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5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1.bin" ContentType="application/vnd.openxmlformats-officedocument.spreadsheetml.customProperty"/>
  <Override PartName="/xl/customProperty10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externalLinks/externalLink1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2020 PCORC\Compliance Filing\2020 PCORC Work Papers COMPLIANCE\"/>
    </mc:Choice>
  </mc:AlternateContent>
  <bookViews>
    <workbookView xWindow="-30" yWindow="1800" windowWidth="16410" windowHeight="2685" tabRatio="844"/>
  </bookViews>
  <sheets>
    <sheet name="Summary of Changes" sheetId="199" r:id="rId1"/>
    <sheet name="Deficiency" sheetId="189" r:id="rId2"/>
    <sheet name="SEF-15 Summary" sheetId="14" r:id="rId3"/>
    <sheet name="SEF-15 Adjustments" sheetId="17" r:id="rId4"/>
    <sheet name="SEF-16 2020 PCORC A-1" sheetId="182" r:id="rId5"/>
    <sheet name="2019 GRC A-1 UE-200907" sheetId="190" r:id="rId6"/>
    <sheet name="ROR" sheetId="167" r:id="rId7"/>
    <sheet name="Name Ranges" sheetId="179" r:id="rId8"/>
    <sheet name="Recon" sheetId="183" r:id="rId9"/>
    <sheet name="Recon Depr" sheetId="184" r:id="rId10"/>
    <sheet name="ARC Dep-ARO Accr" sheetId="185" r:id="rId11"/>
    <sheet name="Col Depr Adj" sheetId="186" r:id="rId12"/>
    <sheet name="Col Acq Adj" sheetId="187" r:id="rId13"/>
    <sheet name="Prod Rel GP" sheetId="188" r:id="rId14"/>
    <sheet name="Reconcile PKW to A-1" sheetId="193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hidden="1">{#N/A,#N/A,FALSE,"schA"}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hidden="1">{#N/A,#N/A,FALSE,"schA"}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hidden="1">{#N/A,#N/A,FALSE,"schA"}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hidden="1">{#N/A,#N/A,FALSE,"schA"}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hidden="1">{#N/A,#N/A,FALSE,"schA"}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hidden="1">{#N/A,#N/A,FALSE,"schA"}</definedName>
    <definedName name="_______ex1" localSheetId="0" hidden="1">{#N/A,#N/A,FALSE,"Summ";#N/A,#N/A,FALSE,"General"}</definedName>
    <definedName name="_______ex1" hidden="1">{#N/A,#N/A,FALSE,"Summ";#N/A,#N/A,FALSE,"General"}</definedName>
    <definedName name="_______new1" localSheetId="0" hidden="1">{#N/A,#N/A,FALSE,"Summ";#N/A,#N/A,FALSE,"General"}</definedName>
    <definedName name="_______new1" hidden="1">{#N/A,#N/A,FALSE,"Summ";#N/A,#N/A,FALSE,"General"}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ex1" localSheetId="0" hidden="1">{#N/A,#N/A,FALSE,"Summ";#N/A,#N/A,FALSE,"General"}</definedName>
    <definedName name="______ex1" hidden="1">{#N/A,#N/A,FALSE,"Summ";#N/A,#N/A,FALSE,"General"}</definedName>
    <definedName name="______new1" localSheetId="0" hidden="1">{#N/A,#N/A,FALSE,"Summ";#N/A,#N/A,FALSE,"General"}</definedName>
    <definedName name="______new1" hidden="1">{#N/A,#N/A,FALSE,"Summ";#N/A,#N/A,FALSE,"General"}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ex1" localSheetId="0" hidden="1">{#N/A,#N/A,FALSE,"Summ";#N/A,#N/A,FALSE,"General"}</definedName>
    <definedName name="_____ex1" hidden="1">{#N/A,#N/A,FALSE,"Summ";#N/A,#N/A,FALSE,"General"}</definedName>
    <definedName name="_____new1" localSheetId="0" hidden="1">{#N/A,#N/A,FALSE,"Summ";#N/A,#N/A,FALSE,"General"}</definedName>
    <definedName name="_____new1" hidden="1">{#N/A,#N/A,FALSE,"Summ";#N/A,#N/A,FALSE,"General"}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ex1" localSheetId="0" hidden="1">{#N/A,#N/A,FALSE,"Summ";#N/A,#N/A,FALSE,"General"}</definedName>
    <definedName name="____ex1" hidden="1">{#N/A,#N/A,FALSE,"Summ";#N/A,#N/A,FALSE,"General"}</definedName>
    <definedName name="____new1" localSheetId="0" hidden="1">{#N/A,#N/A,FALSE,"Summ";#N/A,#N/A,FALSE,"General"}</definedName>
    <definedName name="____new1" hidden="1">{#N/A,#N/A,FALSE,"Summ";#N/A,#N/A,FALSE,"General"}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ex1" localSheetId="0" hidden="1">{#N/A,#N/A,FALSE,"Summ";#N/A,#N/A,FALSE,"General"}</definedName>
    <definedName name="___ex1" hidden="1">{#N/A,#N/A,FALSE,"Summ";#N/A,#N/A,FALSE,"General"}</definedName>
    <definedName name="___new1" localSheetId="0" hidden="1">{#N/A,#N/A,FALSE,"Summ";#N/A,#N/A,FALSE,"General"}</definedName>
    <definedName name="___new1" hidden="1">{#N/A,#N/A,FALSE,"Summ";#N/A,#N/A,FALSE,"General"}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D" localSheetId="0" hidden="1">#REF!</definedName>
    <definedName name="__123Graph_D" hidden="1">#REF!</definedName>
    <definedName name="__123Graph_ECURRENT" hidden="1">#N/A</definedName>
    <definedName name="__ex1" localSheetId="0" hidden="1">{#N/A,#N/A,FALSE,"Summ";#N/A,#N/A,FALSE,"General"}</definedName>
    <definedName name="__ex1" hidden="1">{#N/A,#N/A,FALSE,"Summ";#N/A,#N/A,FALSE,"General"}</definedName>
    <definedName name="__new1" localSheetId="0" hidden="1">{#N/A,#N/A,FALSE,"Summ";#N/A,#N/A,FALSE,"General"}</definedName>
    <definedName name="__new1" hidden="1">{#N/A,#N/A,FALSE,"Summ";#N/A,#N/A,FALSE,"General"}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Colstrip1and2">'SEF-15 Adjustments'!$BR$1:$BX$29</definedName>
    <definedName name="_Colstrip3and4">'SEF-15 Adjustments'!$BL$1:$BP$36</definedName>
    <definedName name="_ConvFactor">'SEF-15 Adjustments'!$CX$1:$DB$29</definedName>
    <definedName name="_Deficiency">Deficiency!$A$1:$G$53</definedName>
    <definedName name="_DeprAMAtoEOP">'SEF-15 Adjustments'!$AH$1:$AL$45</definedName>
    <definedName name="_ex1" localSheetId="0" hidden="1">{#N/A,#N/A,FALSE,"Summ";#N/A,#N/A,FALSE,"General"}</definedName>
    <definedName name="_ex1" hidden="1">{#N/A,#N/A,FALSE,"Summ";#N/A,#N/A,FALSE,"General"}</definedName>
    <definedName name="_Exhibit_A_1_Power_Cost_Baseline_Rate">'SEF-16 2020 PCORC A-1'!$A$1:$G$48</definedName>
    <definedName name="_Fill" localSheetId="0" hidden="1">#REF!</definedName>
    <definedName name="_Fill" hidden="1">#REF!</definedName>
    <definedName name="_FIT">'Name Ranges'!$B$5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ontanaEnergyTax">'SEF-15 Adjustments'!$U$1:$Z$32</definedName>
    <definedName name="_new1" localSheetId="0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PC_pg1">'SEF-15 Adjustments'!$A$2:$E$33</definedName>
    <definedName name="_PC_pg2">'SEF-15 Adjustments'!$G$2:$K$33</definedName>
    <definedName name="_PC_pg3">'SEF-15 Adjustments'!$M$1:$S$33</definedName>
    <definedName name="_PropInsurance">'SEF-15 Adjustments'!$AZ$1:$BD$20</definedName>
    <definedName name="_RB_AMA_EOP">'SEF-15 Adjustments'!$AB$1:$AF$60</definedName>
    <definedName name="_Reg_AssetsLiab">'SEF-15 Adjustments'!$BF$1:$BJ$56</definedName>
    <definedName name="_Regression_Int" hidden="1">1</definedName>
    <definedName name="_RemoveGrnDirect">'SEF-15 Adjustments'!$BZ$1:$CE$32</definedName>
    <definedName name="_RemovEIM">'SEF-15 Adjustments'!$AN$1:$AR$32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SPI_BiosmassPPA">'SEF-15 Adjustments'!$CF$1:$CJ$31</definedName>
    <definedName name="_TempNorm">'SEF-15 Adjustments'!$CR$1:$CV$35</definedName>
    <definedName name="_WHSolar">'SEF-15 Adjustments'!$AT$1:$AX$38</definedName>
    <definedName name="_www1" localSheetId="0" hidden="1">{#N/A,#N/A,FALSE,"schA"}</definedName>
    <definedName name="_www1" hidden="1">{#N/A,#N/A,FALSE,"schA"}</definedName>
    <definedName name="a" localSheetId="0" hidden="1">{#N/A,#N/A,FALSE,"Coversheet";#N/A,#N/A,FALSE,"QA"}</definedName>
    <definedName name="a" hidden="1">{#N/A,#N/A,FALSE,"Coversheet";#N/A,#N/A,FALSE,"QA"}</definedName>
    <definedName name="AAAAAAAAAAAAAA" localSheetId="0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Aurora_Prices">"Monthly Price Summary'!$C$4:$H$63"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" localSheetId="0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0" hidden="1">{#N/A,#N/A,FALSE,"Coversheet";#N/A,#N/A,FALSE,"QA"}</definedName>
    <definedName name="DFIT" hidden="1">{#N/A,#N/A,FALSE,"Coversheet";#N/A,#N/A,FALSE,"QA"}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FIT">'Name Ranges'!$B$5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NvsASD">"V1999-02-28"</definedName>
    <definedName name="NvsAutoDrillOk">"VN"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U_GL_RES_GROUP">"U_SUM_LEDGER"</definedName>
    <definedName name="NvsValTbl.U_GL_RESOURCE">"U_GLRESOURCE_VW"</definedName>
    <definedName name="NvsValTbl.U_PROCESS">"U_PROCESS_AL_VW"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2">'SEF-15 Summary'!$A$2:$AA$44</definedName>
    <definedName name="_xlnm.Print_Titles" localSheetId="2">'SEF-15 Summary'!$A:$C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RY" localSheetId="0">'Name Ranges'!$B$4</definedName>
    <definedName name="RY">'Name Ranges'!$B$4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TY" localSheetId="0">'Name Ranges'!$B$3</definedName>
    <definedName name="TY">'Name Ranges'!$B$3</definedName>
    <definedName name="u" localSheetId="0" hidden="1">{#N/A,#N/A,FALSE,"Coversheet";#N/A,#N/A,FALSE,"QA"}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{#N/A,#N/A,FALSE,"Coversheet";#N/A,#N/A,FALSE,"QA"}</definedName>
    <definedName name="z" hidden="1">{#N/A,#N/A,FALSE,"Coversheet";#N/A,#N/A,FALSE,"QA"}</definedName>
  </definedNames>
  <calcPr calcId="162913"/>
  <customWorkbookViews>
    <customWorkbookView name="JHS 14" guid="{AD88DA1E-4535-4A0F-86F8-39D7812ED88C}" maximized="1" windowWidth="1276" windowHeight="719" tabRatio="807" activeSheetId="55"/>
  </customWorkbookViews>
</workbook>
</file>

<file path=xl/calcChain.xml><?xml version="1.0" encoding="utf-8"?>
<calcChain xmlns="http://schemas.openxmlformats.org/spreadsheetml/2006/main">
  <c r="I74" i="199" l="1"/>
  <c r="I73" i="199"/>
  <c r="I72" i="199"/>
  <c r="I63" i="199"/>
  <c r="I61" i="199"/>
  <c r="I58" i="199"/>
  <c r="I56" i="199"/>
  <c r="I54" i="199"/>
  <c r="I49" i="199"/>
  <c r="H65" i="199"/>
  <c r="H50" i="199"/>
  <c r="G71" i="199"/>
  <c r="I71" i="199" s="1"/>
  <c r="G68" i="199"/>
  <c r="I68" i="199" s="1"/>
  <c r="G67" i="199"/>
  <c r="G64" i="199"/>
  <c r="I64" i="199" s="1"/>
  <c r="G62" i="199"/>
  <c r="G65" i="199" s="1"/>
  <c r="G57" i="199"/>
  <c r="I57" i="199" s="1"/>
  <c r="G55" i="199"/>
  <c r="I55" i="199" s="1"/>
  <c r="G53" i="199"/>
  <c r="G48" i="199"/>
  <c r="G50" i="199" s="1"/>
  <c r="G69" i="199" l="1"/>
  <c r="G76" i="199" s="1"/>
  <c r="I62" i="199"/>
  <c r="I65" i="199" s="1"/>
  <c r="G59" i="199"/>
  <c r="I53" i="199"/>
  <c r="I59" i="199" s="1"/>
  <c r="H69" i="199"/>
  <c r="I67" i="199"/>
  <c r="I69" i="199" s="1"/>
  <c r="H59" i="199"/>
  <c r="I48" i="199"/>
  <c r="I50" i="199" s="1"/>
  <c r="H76" i="199"/>
  <c r="I76" i="199" l="1"/>
  <c r="DH7" i="17"/>
  <c r="G42" i="189"/>
  <c r="G9" i="199" l="1"/>
  <c r="K11" i="199"/>
  <c r="L10" i="199"/>
  <c r="K10" i="199"/>
  <c r="A10" i="199" l="1"/>
  <c r="A11" i="199"/>
  <c r="A12" i="199"/>
  <c r="A13" i="199"/>
  <c r="A14" i="199"/>
  <c r="A15" i="199"/>
  <c r="A16" i="199"/>
  <c r="A17" i="199"/>
  <c r="A18" i="199"/>
  <c r="A19" i="199"/>
  <c r="A20" i="199"/>
  <c r="A21" i="199"/>
  <c r="A22" i="199"/>
  <c r="A23" i="199"/>
  <c r="A24" i="199"/>
  <c r="A25" i="199"/>
  <c r="A26" i="199"/>
  <c r="G42" i="199"/>
  <c r="J10" i="199"/>
  <c r="G12" i="199" l="1"/>
  <c r="G36" i="199" l="1"/>
  <c r="G35" i="199"/>
  <c r="G30" i="199"/>
  <c r="G29" i="199"/>
  <c r="I19" i="199"/>
  <c r="D19" i="199"/>
  <c r="C19" i="199"/>
  <c r="E17" i="199"/>
  <c r="G17" i="199" s="1"/>
  <c r="H17" i="199" s="1"/>
  <c r="E16" i="199"/>
  <c r="G16" i="199" s="1"/>
  <c r="H16" i="199" s="1"/>
  <c r="E14" i="199"/>
  <c r="E13" i="199"/>
  <c r="E15" i="199"/>
  <c r="G15" i="199" s="1"/>
  <c r="H15" i="199" s="1"/>
  <c r="E12" i="199"/>
  <c r="A9" i="199"/>
  <c r="N5" i="199"/>
  <c r="N4" i="199"/>
  <c r="N3" i="199"/>
  <c r="X34" i="17"/>
  <c r="G31" i="199" l="1"/>
  <c r="G37" i="199"/>
  <c r="E19" i="199"/>
  <c r="H12" i="199"/>
  <c r="G14" i="199" l="1"/>
  <c r="H14" i="199" s="1"/>
  <c r="F19" i="199"/>
  <c r="F21" i="199" s="1"/>
  <c r="G13" i="199"/>
  <c r="H13" i="199" s="1"/>
  <c r="H19" i="199" s="1"/>
  <c r="G19" i="199" l="1"/>
  <c r="S43" i="189"/>
  <c r="A46" i="189" l="1"/>
  <c r="A47" i="189"/>
  <c r="A48" i="189"/>
  <c r="A49" i="189"/>
  <c r="A50" i="189"/>
  <c r="F50" i="189" l="1"/>
  <c r="R50" i="189" l="1"/>
  <c r="A43" i="189"/>
  <c r="A42" i="189"/>
  <c r="A41" i="189"/>
  <c r="A44" i="189"/>
  <c r="A45" i="189"/>
  <c r="D20" i="189" l="1"/>
  <c r="I9" i="199" l="1"/>
  <c r="I21" i="199" s="1"/>
  <c r="I24" i="199"/>
  <c r="F39" i="182"/>
  <c r="T39" i="182" s="1"/>
  <c r="D34" i="189"/>
  <c r="I26" i="199" l="1"/>
  <c r="I5" i="199" s="1"/>
  <c r="R40" i="14"/>
  <c r="DF18" i="17"/>
  <c r="DD19" i="17"/>
  <c r="DD20" i="17" s="1"/>
  <c r="DD21" i="17" s="1"/>
  <c r="DD22" i="17" s="1"/>
  <c r="DD23" i="17" s="1"/>
  <c r="DD24" i="17" s="1"/>
  <c r="DD25" i="17" s="1"/>
  <c r="DG20" i="17"/>
  <c r="DD18" i="17"/>
  <c r="DG13" i="17"/>
  <c r="DD9" i="17"/>
  <c r="DH4" i="17"/>
  <c r="DH3" i="17"/>
  <c r="DH2" i="17"/>
  <c r="DH18" i="17" l="1"/>
  <c r="P32" i="17" l="1"/>
  <c r="P66" i="17" s="1"/>
  <c r="O32" i="17"/>
  <c r="O66" i="17" s="1"/>
  <c r="P31" i="17"/>
  <c r="P65" i="17" s="1"/>
  <c r="O31" i="17"/>
  <c r="O65" i="17" s="1"/>
  <c r="P30" i="17"/>
  <c r="P64" i="17" s="1"/>
  <c r="O29" i="17"/>
  <c r="O63" i="17" s="1"/>
  <c r="P26" i="17"/>
  <c r="P60" i="17" s="1"/>
  <c r="O26" i="17"/>
  <c r="O60" i="17" s="1"/>
  <c r="P25" i="17"/>
  <c r="P59" i="17" s="1"/>
  <c r="O25" i="17"/>
  <c r="O59" i="17" s="1"/>
  <c r="P24" i="17"/>
  <c r="P58" i="17" s="1"/>
  <c r="O24" i="17"/>
  <c r="O58" i="17" s="1"/>
  <c r="P23" i="17"/>
  <c r="P57" i="17" s="1"/>
  <c r="P21" i="17"/>
  <c r="P55" i="17" s="1"/>
  <c r="O21" i="17"/>
  <c r="O55" i="17" s="1"/>
  <c r="P20" i="17"/>
  <c r="P54" i="17" s="1"/>
  <c r="O20" i="17"/>
  <c r="O54" i="17" s="1"/>
  <c r="P19" i="17"/>
  <c r="P53" i="17" s="1"/>
  <c r="O19" i="17"/>
  <c r="O53" i="17" s="1"/>
  <c r="J32" i="17"/>
  <c r="J66" i="17" s="1"/>
  <c r="I32" i="17"/>
  <c r="I66" i="17" s="1"/>
  <c r="J31" i="17"/>
  <c r="J65" i="17" s="1"/>
  <c r="J30" i="17"/>
  <c r="J64" i="17" s="1"/>
  <c r="J26" i="17"/>
  <c r="J60" i="17" s="1"/>
  <c r="J25" i="17"/>
  <c r="J59" i="17" s="1"/>
  <c r="J24" i="17"/>
  <c r="J58" i="17" s="1"/>
  <c r="J23" i="17"/>
  <c r="J57" i="17" s="1"/>
  <c r="J21" i="17"/>
  <c r="J55" i="17" s="1"/>
  <c r="J20" i="17"/>
  <c r="J54" i="17" s="1"/>
  <c r="J19" i="17"/>
  <c r="J53" i="17" s="1"/>
  <c r="Y18" i="17" l="1"/>
  <c r="Y32" i="17" s="1"/>
  <c r="X18" i="17"/>
  <c r="X32" i="17" s="1"/>
  <c r="CI24" i="17" l="1"/>
  <c r="CI23" i="17"/>
  <c r="CH23" i="17"/>
  <c r="CI19" i="17"/>
  <c r="CH19" i="17"/>
  <c r="CI18" i="17"/>
  <c r="CH18" i="17"/>
  <c r="CI13" i="17"/>
  <c r="D13" i="14" l="1"/>
  <c r="F15" i="14"/>
  <c r="G15" i="14"/>
  <c r="L15" i="14"/>
  <c r="R15" i="14"/>
  <c r="S15" i="14"/>
  <c r="T15" i="14"/>
  <c r="U15" i="14"/>
  <c r="V15" i="14"/>
  <c r="W15" i="14"/>
  <c r="X15" i="14"/>
  <c r="Y15" i="14"/>
  <c r="D17" i="14"/>
  <c r="J20" i="14"/>
  <c r="K20" i="14"/>
  <c r="P20" i="14"/>
  <c r="R20" i="14"/>
  <c r="S20" i="14"/>
  <c r="X20" i="14"/>
  <c r="Z22" i="14"/>
  <c r="AA22" i="14"/>
  <c r="F23" i="14"/>
  <c r="G23" i="14"/>
  <c r="L23" i="14"/>
  <c r="N23" i="14"/>
  <c r="O23" i="14"/>
  <c r="T23" i="14"/>
  <c r="V23" i="14"/>
  <c r="W23" i="14"/>
  <c r="G24" i="14"/>
  <c r="M24" i="14"/>
  <c r="O24" i="14"/>
  <c r="U24" i="14"/>
  <c r="W24" i="14"/>
  <c r="X24" i="14"/>
  <c r="D25" i="14"/>
  <c r="D26" i="14"/>
  <c r="D27" i="14"/>
  <c r="Q27" i="14"/>
  <c r="D28" i="14"/>
  <c r="Z28" i="14"/>
  <c r="D29" i="14"/>
  <c r="D30" i="14"/>
  <c r="D31" i="14"/>
  <c r="AA31" i="14" s="1"/>
  <c r="Z31" i="14"/>
  <c r="D32" i="14"/>
  <c r="D33" i="14"/>
  <c r="D34" i="14"/>
  <c r="D35" i="14"/>
  <c r="D36" i="14"/>
  <c r="D37" i="14"/>
  <c r="D38" i="14"/>
  <c r="D39" i="14"/>
  <c r="AA39" i="14" s="1"/>
  <c r="Z39" i="14"/>
  <c r="AA28" i="14" l="1"/>
  <c r="T24" i="14"/>
  <c r="L24" i="14"/>
  <c r="L17" i="14" s="1"/>
  <c r="S23" i="14"/>
  <c r="K23" i="14"/>
  <c r="W20" i="14"/>
  <c r="W44" i="14" s="1"/>
  <c r="G20" i="14"/>
  <c r="S24" i="14"/>
  <c r="R23" i="14"/>
  <c r="J23" i="14"/>
  <c r="V20" i="14"/>
  <c r="N20" i="14"/>
  <c r="F20" i="14"/>
  <c r="R24" i="14"/>
  <c r="Y23" i="14"/>
  <c r="Q23" i="14"/>
  <c r="U20" i="14"/>
  <c r="Y24" i="14"/>
  <c r="Q24" i="14"/>
  <c r="X23" i="14"/>
  <c r="P23" i="14"/>
  <c r="T20" i="14"/>
  <c r="T17" i="14" s="1"/>
  <c r="L20" i="14"/>
  <c r="AA17" i="14"/>
  <c r="R17" i="14"/>
  <c r="V24" i="14"/>
  <c r="F24" i="14"/>
  <c r="U23" i="14"/>
  <c r="M23" i="14"/>
  <c r="D23" i="14"/>
  <c r="Y20" i="14"/>
  <c r="I20" i="14"/>
  <c r="W17" i="14"/>
  <c r="U44" i="14" l="1"/>
  <c r="R44" i="14"/>
  <c r="S17" i="14"/>
  <c r="Y17" i="14"/>
  <c r="Y44" i="14"/>
  <c r="X17" i="14"/>
  <c r="X44" i="14"/>
  <c r="U17" i="14"/>
  <c r="S44" i="14"/>
  <c r="V17" i="14"/>
  <c r="V44" i="14"/>
  <c r="G17" i="14"/>
  <c r="T44" i="14"/>
  <c r="F17" i="14"/>
  <c r="Q10" i="182" l="1"/>
  <c r="D44" i="190" l="1"/>
  <c r="AL7" i="17" l="1"/>
  <c r="AF7" i="17"/>
  <c r="BV19" i="17" l="1"/>
  <c r="BV18" i="17" l="1"/>
  <c r="Q31" i="189" l="1"/>
  <c r="Q30" i="189"/>
  <c r="Q22" i="189"/>
  <c r="Q19" i="189"/>
  <c r="Q17" i="189"/>
  <c r="Q16" i="189"/>
  <c r="A38" i="189"/>
  <c r="A39" i="189"/>
  <c r="A40" i="189"/>
  <c r="F34" i="189"/>
  <c r="F20" i="189"/>
  <c r="A35" i="189"/>
  <c r="A36" i="189"/>
  <c r="A37" i="189"/>
  <c r="R34" i="189" l="1"/>
  <c r="J4" i="14"/>
  <c r="H4" i="14"/>
  <c r="I4" i="14" s="1"/>
  <c r="J85" i="14"/>
  <c r="J86" i="14"/>
  <c r="J87" i="14"/>
  <c r="J90" i="14"/>
  <c r="J92" i="14"/>
  <c r="J93" i="14"/>
  <c r="J95" i="14"/>
  <c r="J96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5" i="14"/>
  <c r="J116" i="14"/>
  <c r="J117" i="14"/>
  <c r="CT15" i="17" l="1"/>
  <c r="AE54" i="17" l="1"/>
  <c r="AD54" i="17"/>
  <c r="AE51" i="17"/>
  <c r="AD51" i="17"/>
  <c r="AE50" i="17"/>
  <c r="AD50" i="17"/>
  <c r="AE49" i="17"/>
  <c r="AD49" i="17"/>
  <c r="AE48" i="17"/>
  <c r="AD48" i="17"/>
  <c r="BI50" i="17"/>
  <c r="BH50" i="17"/>
  <c r="BI49" i="17"/>
  <c r="BH49" i="17"/>
  <c r="BI48" i="17"/>
  <c r="BH48" i="17"/>
  <c r="BI47" i="17"/>
  <c r="BH47" i="17"/>
  <c r="BI46" i="17"/>
  <c r="BH46" i="17"/>
  <c r="BI45" i="17"/>
  <c r="BH45" i="17"/>
  <c r="BI44" i="17"/>
  <c r="BH44" i="17"/>
  <c r="BI43" i="17"/>
  <c r="BH43" i="17"/>
  <c r="BI39" i="17"/>
  <c r="BH39" i="17"/>
  <c r="BI32" i="17"/>
  <c r="BH32" i="17"/>
  <c r="BI31" i="17"/>
  <c r="BH31" i="17"/>
  <c r="BI30" i="17"/>
  <c r="BH30" i="17"/>
  <c r="BI29" i="17"/>
  <c r="BH29" i="17"/>
  <c r="BI28" i="17"/>
  <c r="BH28" i="17"/>
  <c r="BI27" i="17"/>
  <c r="BH27" i="17"/>
  <c r="BI26" i="17"/>
  <c r="BH26" i="17"/>
  <c r="BI25" i="17"/>
  <c r="BH25" i="17"/>
  <c r="BI24" i="17"/>
  <c r="BH24" i="17"/>
  <c r="BI23" i="17"/>
  <c r="BH23" i="17"/>
  <c r="BI22" i="17"/>
  <c r="BH22" i="17"/>
  <c r="BI21" i="17"/>
  <c r="BH21" i="17"/>
  <c r="BI20" i="17"/>
  <c r="BH20" i="17"/>
  <c r="BI19" i="17"/>
  <c r="BH19" i="17"/>
  <c r="BI18" i="17"/>
  <c r="BH18" i="17"/>
  <c r="BI17" i="17"/>
  <c r="BH17" i="17"/>
  <c r="BC18" i="17"/>
  <c r="BB18" i="17"/>
  <c r="CB26" i="17"/>
  <c r="AV21" i="17"/>
  <c r="AP20" i="17"/>
  <c r="CB25" i="17"/>
  <c r="CB24" i="17"/>
  <c r="AV20" i="17"/>
  <c r="AV19" i="17"/>
  <c r="AE32" i="17"/>
  <c r="AD32" i="17"/>
  <c r="AE31" i="17"/>
  <c r="AD31" i="17"/>
  <c r="AE30" i="17"/>
  <c r="AD30" i="17"/>
  <c r="AE29" i="17"/>
  <c r="AD29" i="17"/>
  <c r="AE26" i="17"/>
  <c r="AD26" i="17"/>
  <c r="AE25" i="17"/>
  <c r="AD25" i="17"/>
  <c r="AE24" i="17"/>
  <c r="AD24" i="17"/>
  <c r="AE23" i="17"/>
  <c r="AD23" i="17"/>
  <c r="AE22" i="17"/>
  <c r="AD22" i="17"/>
  <c r="AE21" i="17"/>
  <c r="AD21" i="17"/>
  <c r="AE20" i="17"/>
  <c r="AD20" i="17"/>
  <c r="AE19" i="17"/>
  <c r="AD19" i="17"/>
  <c r="AP19" i="17"/>
  <c r="AP18" i="17"/>
  <c r="BP29" i="17"/>
  <c r="N14" i="14" s="1"/>
  <c r="BO29" i="17"/>
  <c r="BN29" i="17"/>
  <c r="BP28" i="17"/>
  <c r="BO28" i="17"/>
  <c r="BN28" i="17"/>
  <c r="BP27" i="17"/>
  <c r="BO27" i="17"/>
  <c r="BN27" i="17"/>
  <c r="BP26" i="17"/>
  <c r="BO26" i="17"/>
  <c r="BN26" i="17"/>
  <c r="BO20" i="17"/>
  <c r="BN20" i="17"/>
  <c r="C39" i="184"/>
  <c r="AV28" i="17"/>
  <c r="AK37" i="17"/>
  <c r="AJ37" i="17"/>
  <c r="AK35" i="17"/>
  <c r="AJ35" i="17"/>
  <c r="AK24" i="17"/>
  <c r="AJ24" i="17"/>
  <c r="AK23" i="17"/>
  <c r="AJ23" i="17"/>
  <c r="AK22" i="17"/>
  <c r="AJ22" i="17"/>
  <c r="AL21" i="17"/>
  <c r="AK21" i="17"/>
  <c r="AJ21" i="17"/>
  <c r="AK20" i="17"/>
  <c r="AJ20" i="17"/>
  <c r="AK19" i="17"/>
  <c r="AJ19" i="17"/>
  <c r="AP27" i="17"/>
  <c r="CB18" i="17"/>
  <c r="AE39" i="17"/>
  <c r="AE38" i="17"/>
  <c r="AD39" i="17"/>
  <c r="AD38" i="17"/>
  <c r="BV24" i="17"/>
  <c r="BU24" i="17"/>
  <c r="BX20" i="17"/>
  <c r="O12" i="14" s="1"/>
  <c r="BW20" i="17"/>
  <c r="BV20" i="17"/>
  <c r="BU20" i="17"/>
  <c r="BT20" i="17"/>
  <c r="BT19" i="17"/>
  <c r="BT18" i="17"/>
  <c r="DB19" i="17"/>
  <c r="DA19" i="17"/>
  <c r="DB18" i="17"/>
  <c r="DB17" i="17"/>
  <c r="AF19" i="17" l="1"/>
  <c r="AF23" i="17"/>
  <c r="AF29" i="17"/>
  <c r="N15" i="14"/>
  <c r="N24" i="14"/>
  <c r="N17" i="14"/>
  <c r="O20" i="14"/>
  <c r="O17" i="14" s="1"/>
  <c r="O15" i="14"/>
  <c r="AF30" i="17"/>
  <c r="AF20" i="17"/>
  <c r="AF24" i="17"/>
  <c r="AF21" i="17"/>
  <c r="AF25" i="17"/>
  <c r="AF31" i="17"/>
  <c r="AF22" i="17"/>
  <c r="AF26" i="17"/>
  <c r="AF32" i="17"/>
  <c r="G38" i="189" l="1"/>
  <c r="P34" i="189"/>
  <c r="S38" i="189" l="1"/>
  <c r="D65" i="183" l="1"/>
  <c r="I69" i="183" l="1"/>
  <c r="U67" i="183"/>
  <c r="U66" i="183"/>
  <c r="A34" i="189" l="1"/>
  <c r="A33" i="189"/>
  <c r="A32" i="189"/>
  <c r="A31" i="189"/>
  <c r="A30" i="189"/>
  <c r="A29" i="189"/>
  <c r="A28" i="189"/>
  <c r="A27" i="189"/>
  <c r="A26" i="189"/>
  <c r="A25" i="189"/>
  <c r="A24" i="189"/>
  <c r="A23" i="189"/>
  <c r="A22" i="189"/>
  <c r="A21" i="189"/>
  <c r="A20" i="189"/>
  <c r="A19" i="189"/>
  <c r="A18" i="189"/>
  <c r="A17" i="189"/>
  <c r="A16" i="189"/>
  <c r="A15" i="189"/>
  <c r="A14" i="189"/>
  <c r="B36" i="189" l="1"/>
  <c r="Q27" i="183"/>
  <c r="Q22" i="183"/>
  <c r="AD52" i="17" l="1"/>
  <c r="AF49" i="17"/>
  <c r="AF50" i="17"/>
  <c r="AF51" i="17"/>
  <c r="AE52" i="17"/>
  <c r="AF48" i="17"/>
  <c r="G23" i="187"/>
  <c r="G22" i="187"/>
  <c r="G21" i="187"/>
  <c r="F23" i="187"/>
  <c r="E23" i="187"/>
  <c r="F22" i="187"/>
  <c r="F21" i="187"/>
  <c r="AF52" i="17" l="1"/>
  <c r="CC28" i="17" l="1"/>
  <c r="CB28" i="17" l="1"/>
  <c r="F30" i="189" l="1"/>
  <c r="F17" i="189"/>
  <c r="F16" i="189"/>
  <c r="D56" i="190"/>
  <c r="G37" i="190"/>
  <c r="F37" i="190"/>
  <c r="F33" i="190"/>
  <c r="A11" i="190"/>
  <c r="A12" i="190" s="1"/>
  <c r="A9" i="190"/>
  <c r="R16" i="189" l="1"/>
  <c r="R17" i="189"/>
  <c r="R30" i="189"/>
  <c r="G15" i="190"/>
  <c r="F16" i="190"/>
  <c r="G18" i="190"/>
  <c r="C9" i="190"/>
  <c r="G19" i="190"/>
  <c r="F20" i="190"/>
  <c r="F21" i="190"/>
  <c r="F22" i="190"/>
  <c r="G23" i="190"/>
  <c r="F24" i="190"/>
  <c r="G25" i="190"/>
  <c r="G26" i="190"/>
  <c r="G27" i="190"/>
  <c r="F28" i="190"/>
  <c r="F29" i="190"/>
  <c r="G30" i="190"/>
  <c r="G31" i="190"/>
  <c r="F32" i="190"/>
  <c r="F34" i="190"/>
  <c r="C14" i="190"/>
  <c r="F17" i="190" l="1"/>
  <c r="G36" i="190"/>
  <c r="G38" i="190" s="1"/>
  <c r="C36" i="190"/>
  <c r="C38" i="190" s="1"/>
  <c r="F14" i="190"/>
  <c r="F35" i="190"/>
  <c r="C46" i="190"/>
  <c r="D46" i="190" s="1"/>
  <c r="C45" i="190" l="1"/>
  <c r="D36" i="190"/>
  <c r="C44" i="190" s="1"/>
  <c r="F36" i="190"/>
  <c r="F38" i="190" s="1"/>
  <c r="C47" i="190" l="1"/>
  <c r="D45" i="190"/>
  <c r="D47" i="190" s="1"/>
  <c r="R20" i="189" l="1"/>
  <c r="B22" i="189"/>
  <c r="S18" i="189"/>
  <c r="F19" i="189"/>
  <c r="R19" i="189" l="1"/>
  <c r="F22" i="189"/>
  <c r="F31" i="189"/>
  <c r="F23" i="189" l="1"/>
  <c r="R23" i="189" s="1"/>
  <c r="R22" i="189"/>
  <c r="R31" i="189"/>
  <c r="F33" i="189"/>
  <c r="F36" i="189" l="1"/>
  <c r="R33" i="189"/>
  <c r="BU19" i="17"/>
  <c r="BU18" i="17"/>
  <c r="R36" i="189" l="1"/>
  <c r="BW18" i="17"/>
  <c r="BX18" i="17" s="1"/>
  <c r="BW19" i="17"/>
  <c r="BX19" i="17" s="1"/>
  <c r="AD41" i="17"/>
  <c r="D12" i="14" s="1"/>
  <c r="AF38" i="17"/>
  <c r="AF39" i="17"/>
  <c r="AE41" i="17"/>
  <c r="AF41" i="17" l="1"/>
  <c r="H12" i="14" s="1"/>
  <c r="H20" i="14" l="1"/>
  <c r="Z12" i="14"/>
  <c r="AA12" i="14" s="1"/>
  <c r="AH18" i="17"/>
  <c r="AH19" i="17" s="1"/>
  <c r="AH20" i="17" s="1"/>
  <c r="AH21" i="17" s="1"/>
  <c r="AH22" i="17" s="1"/>
  <c r="AH23" i="17" s="1"/>
  <c r="AH24" i="17" s="1"/>
  <c r="AH25" i="17" s="1"/>
  <c r="AH26" i="17" s="1"/>
  <c r="AH27" i="17" s="1"/>
  <c r="AH28" i="17" s="1"/>
  <c r="AH29" i="17" s="1"/>
  <c r="AH30" i="17" s="1"/>
  <c r="AH31" i="17" s="1"/>
  <c r="AH32" i="17" s="1"/>
  <c r="AH33" i="17" s="1"/>
  <c r="AH34" i="17" s="1"/>
  <c r="AH35" i="17" s="1"/>
  <c r="AH36" i="17" s="1"/>
  <c r="AH37" i="17" s="1"/>
  <c r="AH38" i="17" s="1"/>
  <c r="AH39" i="17" s="1"/>
  <c r="AH40" i="17" s="1"/>
  <c r="AH41" i="17" s="1"/>
  <c r="AH42" i="17" s="1"/>
  <c r="AH43" i="17" s="1"/>
  <c r="AH44" i="17" s="1"/>
  <c r="AB19" i="17" l="1"/>
  <c r="AB20" i="17" s="1"/>
  <c r="AB21" i="17" s="1"/>
  <c r="AB22" i="17" s="1"/>
  <c r="AB18" i="17"/>
  <c r="AB23" i="17" l="1"/>
  <c r="AB24" i="17" s="1"/>
  <c r="AB25" i="17" s="1"/>
  <c r="AB26" i="17" s="1"/>
  <c r="AB27" i="17" s="1"/>
  <c r="AB28" i="17" s="1"/>
  <c r="AB29" i="17" s="1"/>
  <c r="AB30" i="17" l="1"/>
  <c r="AB31" i="17" s="1"/>
  <c r="AB32" i="17" s="1"/>
  <c r="AB33" i="17" s="1"/>
  <c r="AB34" i="17" s="1"/>
  <c r="AB35" i="17" s="1"/>
  <c r="AB36" i="17" s="1"/>
  <c r="AB37" i="17" s="1"/>
  <c r="AB38" i="17" s="1"/>
  <c r="AB39" i="17" s="1"/>
  <c r="AB40" i="17" s="1"/>
  <c r="AB41" i="17" s="1"/>
  <c r="AB42" i="17" s="1"/>
  <c r="AB43" i="17" l="1"/>
  <c r="AB44" i="17" s="1"/>
  <c r="AB45" i="17" l="1"/>
  <c r="AB46" i="17" s="1"/>
  <c r="AB47" i="17" s="1"/>
  <c r="AB48" i="17" s="1"/>
  <c r="AB49" i="17" s="1"/>
  <c r="AB50" i="17" s="1"/>
  <c r="AB51" i="17" s="1"/>
  <c r="AB52" i="17" s="1"/>
  <c r="AB53" i="17" s="1"/>
  <c r="AB54" i="17" s="1"/>
  <c r="AB55" i="17" s="1"/>
  <c r="AB56" i="17" s="1"/>
  <c r="AB57" i="17" s="1"/>
  <c r="AB58" i="17" s="1"/>
  <c r="AB59" i="17" s="1"/>
  <c r="AB60" i="17" s="1"/>
  <c r="G104" i="184"/>
  <c r="G99" i="184"/>
  <c r="G71" i="184"/>
  <c r="F106" i="184"/>
  <c r="E106" i="184"/>
  <c r="C81" i="184" l="1"/>
  <c r="AL24" i="17" l="1"/>
  <c r="AL23" i="17" l="1"/>
  <c r="AL19" i="17" l="1"/>
  <c r="AL20" i="17"/>
  <c r="AL22" i="17"/>
  <c r="E113" i="184" l="1"/>
  <c r="C135" i="184"/>
  <c r="C119" i="184"/>
  <c r="C52" i="184"/>
  <c r="D12" i="188"/>
  <c r="J97" i="184"/>
  <c r="I97" i="184"/>
  <c r="D23" i="187"/>
  <c r="D22" i="187"/>
  <c r="D21" i="187"/>
  <c r="C22" i="187"/>
  <c r="C21" i="187"/>
  <c r="J1" i="187"/>
  <c r="L1" i="187" s="1"/>
  <c r="D17" i="187"/>
  <c r="F6" i="187"/>
  <c r="F7" i="187" s="1"/>
  <c r="F8" i="187" s="1"/>
  <c r="F9" i="187" s="1"/>
  <c r="F10" i="187" s="1"/>
  <c r="F11" i="187" s="1"/>
  <c r="F12" i="187" s="1"/>
  <c r="F13" i="187" s="1"/>
  <c r="F14" i="187" s="1"/>
  <c r="F15" i="187" s="1"/>
  <c r="F16" i="187" s="1"/>
  <c r="F17" i="187" s="1"/>
  <c r="F5" i="187"/>
  <c r="J96" i="184"/>
  <c r="I96" i="184"/>
  <c r="H363" i="186"/>
  <c r="G363" i="186"/>
  <c r="E363" i="186"/>
  <c r="E362" i="186"/>
  <c r="E361" i="186"/>
  <c r="E360" i="186"/>
  <c r="E359" i="186"/>
  <c r="E358" i="186"/>
  <c r="E357" i="186"/>
  <c r="E356" i="186"/>
  <c r="E355" i="186"/>
  <c r="E354" i="186"/>
  <c r="E353" i="186"/>
  <c r="E352" i="186"/>
  <c r="E351" i="186"/>
  <c r="E15" i="186"/>
  <c r="D10" i="186"/>
  <c r="D12" i="186" s="1"/>
  <c r="D13" i="186" s="1"/>
  <c r="D16" i="186" s="1"/>
  <c r="D17" i="186" s="1"/>
  <c r="D18" i="186" s="1"/>
  <c r="D19" i="186" s="1"/>
  <c r="D20" i="186" s="1"/>
  <c r="D21" i="186" s="1"/>
  <c r="D22" i="186" s="1"/>
  <c r="D23" i="186" s="1"/>
  <c r="D24" i="186" s="1"/>
  <c r="D25" i="186" s="1"/>
  <c r="D26" i="186" s="1"/>
  <c r="D27" i="186" s="1"/>
  <c r="D28" i="186" s="1"/>
  <c r="D29" i="186" s="1"/>
  <c r="D30" i="186" s="1"/>
  <c r="D31" i="186" s="1"/>
  <c r="D32" i="186" s="1"/>
  <c r="D33" i="186" s="1"/>
  <c r="D34" i="186" s="1"/>
  <c r="D35" i="186" s="1"/>
  <c r="D36" i="186" s="1"/>
  <c r="D37" i="186" s="1"/>
  <c r="D38" i="186" s="1"/>
  <c r="D39" i="186" s="1"/>
  <c r="D40" i="186" s="1"/>
  <c r="D41" i="186" s="1"/>
  <c r="D42" i="186" s="1"/>
  <c r="D43" i="186" s="1"/>
  <c r="D44" i="186" s="1"/>
  <c r="D45" i="186" s="1"/>
  <c r="D46" i="186" s="1"/>
  <c r="D47" i="186" s="1"/>
  <c r="D48" i="186" s="1"/>
  <c r="D49" i="186" s="1"/>
  <c r="D50" i="186" s="1"/>
  <c r="D51" i="186" s="1"/>
  <c r="D52" i="186" s="1"/>
  <c r="D53" i="186" s="1"/>
  <c r="D54" i="186" s="1"/>
  <c r="D55" i="186" s="1"/>
  <c r="D56" i="186" s="1"/>
  <c r="D57" i="186" s="1"/>
  <c r="D58" i="186" s="1"/>
  <c r="D59" i="186" s="1"/>
  <c r="D60" i="186" s="1"/>
  <c r="D61" i="186" s="1"/>
  <c r="D62" i="186" s="1"/>
  <c r="D63" i="186" s="1"/>
  <c r="D64" i="186" s="1"/>
  <c r="D65" i="186" s="1"/>
  <c r="D66" i="186" s="1"/>
  <c r="D67" i="186" s="1"/>
  <c r="D68" i="186" s="1"/>
  <c r="D69" i="186" s="1"/>
  <c r="D70" i="186" s="1"/>
  <c r="D71" i="186" s="1"/>
  <c r="D72" i="186" s="1"/>
  <c r="D73" i="186" s="1"/>
  <c r="D74" i="186" s="1"/>
  <c r="D75" i="186" s="1"/>
  <c r="D76" i="186" s="1"/>
  <c r="D77" i="186" s="1"/>
  <c r="D78" i="186" s="1"/>
  <c r="D79" i="186" s="1"/>
  <c r="D80" i="186" s="1"/>
  <c r="D81" i="186" s="1"/>
  <c r="D82" i="186" s="1"/>
  <c r="D83" i="186" s="1"/>
  <c r="D84" i="186" s="1"/>
  <c r="D85" i="186" s="1"/>
  <c r="D86" i="186" s="1"/>
  <c r="D87" i="186" s="1"/>
  <c r="D88" i="186" s="1"/>
  <c r="D89" i="186" s="1"/>
  <c r="D90" i="186" s="1"/>
  <c r="D91" i="186" s="1"/>
  <c r="D92" i="186" s="1"/>
  <c r="D93" i="186" s="1"/>
  <c r="D94" i="186" s="1"/>
  <c r="D95" i="186" s="1"/>
  <c r="D96" i="186" s="1"/>
  <c r="D97" i="186" s="1"/>
  <c r="D98" i="186" s="1"/>
  <c r="D99" i="186" s="1"/>
  <c r="D100" i="186" s="1"/>
  <c r="D101" i="186" s="1"/>
  <c r="D102" i="186" s="1"/>
  <c r="D103" i="186" s="1"/>
  <c r="D104" i="186" s="1"/>
  <c r="D105" i="186" s="1"/>
  <c r="D106" i="186" s="1"/>
  <c r="D107" i="186" s="1"/>
  <c r="D108" i="186" s="1"/>
  <c r="D109" i="186" s="1"/>
  <c r="D110" i="186" s="1"/>
  <c r="D111" i="186" s="1"/>
  <c r="D112" i="186" s="1"/>
  <c r="D113" i="186" s="1"/>
  <c r="D114" i="186" s="1"/>
  <c r="D115" i="186" s="1"/>
  <c r="D116" i="186" s="1"/>
  <c r="D117" i="186" s="1"/>
  <c r="D118" i="186" s="1"/>
  <c r="D119" i="186" s="1"/>
  <c r="D120" i="186" s="1"/>
  <c r="D121" i="186" s="1"/>
  <c r="D122" i="186" s="1"/>
  <c r="D123" i="186" s="1"/>
  <c r="D124" i="186" s="1"/>
  <c r="D125" i="186" s="1"/>
  <c r="D126" i="186" s="1"/>
  <c r="D127" i="186" s="1"/>
  <c r="D128" i="186" s="1"/>
  <c r="D129" i="186" s="1"/>
  <c r="D130" i="186" s="1"/>
  <c r="D131" i="186" s="1"/>
  <c r="D132" i="186" s="1"/>
  <c r="D133" i="186" s="1"/>
  <c r="D134" i="186" s="1"/>
  <c r="D135" i="186" s="1"/>
  <c r="D136" i="186" s="1"/>
  <c r="D137" i="186" s="1"/>
  <c r="D138" i="186" s="1"/>
  <c r="D139" i="186" s="1"/>
  <c r="D140" i="186" s="1"/>
  <c r="D141" i="186" s="1"/>
  <c r="D142" i="186" s="1"/>
  <c r="D143" i="186" s="1"/>
  <c r="D144" i="186" s="1"/>
  <c r="D145" i="186" s="1"/>
  <c r="D146" i="186" s="1"/>
  <c r="D147" i="186" s="1"/>
  <c r="D148" i="186" s="1"/>
  <c r="D149" i="186" s="1"/>
  <c r="D150" i="186" s="1"/>
  <c r="D151" i="186" s="1"/>
  <c r="D152" i="186" s="1"/>
  <c r="D153" i="186" s="1"/>
  <c r="D154" i="186" s="1"/>
  <c r="D155" i="186" s="1"/>
  <c r="D156" i="186" s="1"/>
  <c r="D157" i="186" s="1"/>
  <c r="D158" i="186" s="1"/>
  <c r="D159" i="186" s="1"/>
  <c r="D160" i="186" s="1"/>
  <c r="D161" i="186" s="1"/>
  <c r="D162" i="186" s="1"/>
  <c r="D163" i="186" s="1"/>
  <c r="D164" i="186" s="1"/>
  <c r="D165" i="186" s="1"/>
  <c r="D166" i="186" s="1"/>
  <c r="D167" i="186" s="1"/>
  <c r="D168" i="186" s="1"/>
  <c r="D169" i="186" s="1"/>
  <c r="D170" i="186" s="1"/>
  <c r="D171" i="186" s="1"/>
  <c r="D172" i="186" s="1"/>
  <c r="D173" i="186" s="1"/>
  <c r="D174" i="186" s="1"/>
  <c r="D175" i="186" s="1"/>
  <c r="D176" i="186" s="1"/>
  <c r="D177" i="186" s="1"/>
  <c r="D178" i="186" s="1"/>
  <c r="D179" i="186" s="1"/>
  <c r="D180" i="186" s="1"/>
  <c r="D181" i="186" s="1"/>
  <c r="D182" i="186" s="1"/>
  <c r="D183" i="186" s="1"/>
  <c r="D184" i="186" s="1"/>
  <c r="D185" i="186" s="1"/>
  <c r="D186" i="186" s="1"/>
  <c r="D187" i="186" s="1"/>
  <c r="D188" i="186" s="1"/>
  <c r="D189" i="186" s="1"/>
  <c r="D190" i="186" s="1"/>
  <c r="D191" i="186" s="1"/>
  <c r="D192" i="186" s="1"/>
  <c r="D193" i="186" s="1"/>
  <c r="D194" i="186" s="1"/>
  <c r="D195" i="186" s="1"/>
  <c r="D196" i="186" s="1"/>
  <c r="D197" i="186" s="1"/>
  <c r="D198" i="186" s="1"/>
  <c r="D199" i="186" s="1"/>
  <c r="D200" i="186" s="1"/>
  <c r="D201" i="186" s="1"/>
  <c r="D202" i="186" s="1"/>
  <c r="D203" i="186" s="1"/>
  <c r="D204" i="186" s="1"/>
  <c r="D205" i="186" s="1"/>
  <c r="D206" i="186" s="1"/>
  <c r="D207" i="186" s="1"/>
  <c r="D208" i="186" s="1"/>
  <c r="D209" i="186" s="1"/>
  <c r="D210" i="186" s="1"/>
  <c r="D211" i="186" s="1"/>
  <c r="D212" i="186" s="1"/>
  <c r="D213" i="186" s="1"/>
  <c r="D214" i="186" s="1"/>
  <c r="D215" i="186" s="1"/>
  <c r="D216" i="186" s="1"/>
  <c r="D217" i="186" s="1"/>
  <c r="D218" i="186" s="1"/>
  <c r="D219" i="186" s="1"/>
  <c r="D220" i="186" s="1"/>
  <c r="D221" i="186" s="1"/>
  <c r="D222" i="186" s="1"/>
  <c r="D223" i="186" s="1"/>
  <c r="D224" i="186" s="1"/>
  <c r="D225" i="186" s="1"/>
  <c r="D226" i="186" s="1"/>
  <c r="D227" i="186" s="1"/>
  <c r="D228" i="186" s="1"/>
  <c r="D229" i="186" s="1"/>
  <c r="D230" i="186" s="1"/>
  <c r="D231" i="186" s="1"/>
  <c r="D232" i="186" s="1"/>
  <c r="D233" i="186" s="1"/>
  <c r="D234" i="186" s="1"/>
  <c r="D235" i="186" s="1"/>
  <c r="D236" i="186" s="1"/>
  <c r="D237" i="186" s="1"/>
  <c r="D238" i="186" s="1"/>
  <c r="D239" i="186" s="1"/>
  <c r="D240" i="186" s="1"/>
  <c r="D241" i="186" s="1"/>
  <c r="D242" i="186" s="1"/>
  <c r="D243" i="186" s="1"/>
  <c r="D244" i="186" s="1"/>
  <c r="D245" i="186" s="1"/>
  <c r="D246" i="186" s="1"/>
  <c r="D247" i="186" s="1"/>
  <c r="D248" i="186" s="1"/>
  <c r="D249" i="186" s="1"/>
  <c r="D250" i="186" s="1"/>
  <c r="D251" i="186" s="1"/>
  <c r="D252" i="186" s="1"/>
  <c r="D253" i="186" s="1"/>
  <c r="D254" i="186" s="1"/>
  <c r="D255" i="186" s="1"/>
  <c r="D256" i="186" s="1"/>
  <c r="D257" i="186" s="1"/>
  <c r="D258" i="186" s="1"/>
  <c r="D259" i="186" s="1"/>
  <c r="D260" i="186" s="1"/>
  <c r="D261" i="186" s="1"/>
  <c r="D262" i="186" s="1"/>
  <c r="D263" i="186" s="1"/>
  <c r="D264" i="186" s="1"/>
  <c r="D265" i="186" s="1"/>
  <c r="D266" i="186" s="1"/>
  <c r="D267" i="186" s="1"/>
  <c r="D268" i="186" s="1"/>
  <c r="D269" i="186" s="1"/>
  <c r="D270" i="186" s="1"/>
  <c r="D271" i="186" s="1"/>
  <c r="D272" i="186" s="1"/>
  <c r="D273" i="186" s="1"/>
  <c r="D274" i="186" s="1"/>
  <c r="D275" i="186" s="1"/>
  <c r="D276" i="186" s="1"/>
  <c r="D277" i="186" s="1"/>
  <c r="D278" i="186" s="1"/>
  <c r="D279" i="186" s="1"/>
  <c r="D280" i="186" s="1"/>
  <c r="D281" i="186" s="1"/>
  <c r="D282" i="186" s="1"/>
  <c r="D283" i="186" s="1"/>
  <c r="D284" i="186" s="1"/>
  <c r="D285" i="186" s="1"/>
  <c r="D286" i="186" s="1"/>
  <c r="D287" i="186" s="1"/>
  <c r="D288" i="186" s="1"/>
  <c r="D289" i="186" s="1"/>
  <c r="D290" i="186" s="1"/>
  <c r="D291" i="186" s="1"/>
  <c r="D292" i="186" s="1"/>
  <c r="D293" i="186" s="1"/>
  <c r="D294" i="186" s="1"/>
  <c r="D295" i="186" s="1"/>
  <c r="D296" i="186" s="1"/>
  <c r="D297" i="186" s="1"/>
  <c r="D298" i="186" s="1"/>
  <c r="D299" i="186" s="1"/>
  <c r="D300" i="186" s="1"/>
  <c r="D301" i="186" s="1"/>
  <c r="D302" i="186" s="1"/>
  <c r="D303" i="186" s="1"/>
  <c r="D304" i="186" s="1"/>
  <c r="D305" i="186" s="1"/>
  <c r="D306" i="186" s="1"/>
  <c r="D307" i="186" s="1"/>
  <c r="D308" i="186" s="1"/>
  <c r="D309" i="186" s="1"/>
  <c r="D310" i="186" s="1"/>
  <c r="D311" i="186" s="1"/>
  <c r="D312" i="186" s="1"/>
  <c r="D313" i="186" s="1"/>
  <c r="D314" i="186" s="1"/>
  <c r="D315" i="186" s="1"/>
  <c r="D316" i="186" s="1"/>
  <c r="D317" i="186" s="1"/>
  <c r="D318" i="186" s="1"/>
  <c r="D319" i="186" s="1"/>
  <c r="D320" i="186" s="1"/>
  <c r="D321" i="186" s="1"/>
  <c r="D322" i="186" s="1"/>
  <c r="D323" i="186" s="1"/>
  <c r="D324" i="186" s="1"/>
  <c r="D325" i="186" s="1"/>
  <c r="D326" i="186" s="1"/>
  <c r="D327" i="186" s="1"/>
  <c r="D328" i="186" s="1"/>
  <c r="D329" i="186" s="1"/>
  <c r="D330" i="186" s="1"/>
  <c r="D331" i="186" s="1"/>
  <c r="D332" i="186" s="1"/>
  <c r="D333" i="186" s="1"/>
  <c r="D334" i="186" s="1"/>
  <c r="D335" i="186" s="1"/>
  <c r="D336" i="186" s="1"/>
  <c r="D337" i="186" s="1"/>
  <c r="D338" i="186" s="1"/>
  <c r="D339" i="186" s="1"/>
  <c r="D340" i="186" s="1"/>
  <c r="D341" i="186" s="1"/>
  <c r="D342" i="186" s="1"/>
  <c r="D343" i="186" s="1"/>
  <c r="D344" i="186" s="1"/>
  <c r="D345" i="186" s="1"/>
  <c r="D346" i="186" s="1"/>
  <c r="D347" i="186" s="1"/>
  <c r="D348" i="186" s="1"/>
  <c r="D349" i="186" s="1"/>
  <c r="D350" i="186" s="1"/>
  <c r="C10" i="186"/>
  <c r="C12" i="186" s="1"/>
  <c r="C13" i="186" s="1"/>
  <c r="C16" i="186" s="1"/>
  <c r="B10" i="186"/>
  <c r="B12" i="186" s="1"/>
  <c r="E9" i="186"/>
  <c r="E10" i="186" s="1"/>
  <c r="E8" i="186"/>
  <c r="E12" i="186" l="1"/>
  <c r="E13" i="186" s="1"/>
  <c r="B13" i="186"/>
  <c r="B16" i="186" s="1"/>
  <c r="C17" i="186"/>
  <c r="F363" i="186"/>
  <c r="D99" i="184"/>
  <c r="D81" i="184"/>
  <c r="C99" i="184"/>
  <c r="D66" i="184"/>
  <c r="C66" i="184"/>
  <c r="B17" i="186" l="1"/>
  <c r="E16" i="186"/>
  <c r="C18" i="186"/>
  <c r="C43" i="185"/>
  <c r="C42" i="185"/>
  <c r="K20" i="185"/>
  <c r="D20" i="185"/>
  <c r="C44" i="185"/>
  <c r="I37" i="185"/>
  <c r="B37" i="185"/>
  <c r="K35" i="185"/>
  <c r="L35" i="185" s="1"/>
  <c r="D35" i="185"/>
  <c r="E35" i="185" s="1"/>
  <c r="C35" i="185"/>
  <c r="K34" i="185"/>
  <c r="L34" i="185" s="1"/>
  <c r="D34" i="185"/>
  <c r="C34" i="185"/>
  <c r="L33" i="185"/>
  <c r="K33" i="185"/>
  <c r="D33" i="185"/>
  <c r="C33" i="185"/>
  <c r="E33" i="185" s="1"/>
  <c r="K32" i="185"/>
  <c r="L32" i="185" s="1"/>
  <c r="E32" i="185"/>
  <c r="D32" i="185"/>
  <c r="C32" i="185"/>
  <c r="K31" i="185"/>
  <c r="L31" i="185" s="1"/>
  <c r="D31" i="185"/>
  <c r="E31" i="185" s="1"/>
  <c r="C31" i="185"/>
  <c r="K30" i="185"/>
  <c r="L30" i="185" s="1"/>
  <c r="D30" i="185"/>
  <c r="C30" i="185"/>
  <c r="L29" i="185"/>
  <c r="K29" i="185"/>
  <c r="D29" i="185"/>
  <c r="C29" i="185"/>
  <c r="E29" i="185" s="1"/>
  <c r="K28" i="185"/>
  <c r="L28" i="185" s="1"/>
  <c r="E28" i="185"/>
  <c r="D28" i="185"/>
  <c r="C28" i="185"/>
  <c r="K27" i="185"/>
  <c r="L27" i="185" s="1"/>
  <c r="F27" i="185"/>
  <c r="D27" i="185"/>
  <c r="E27" i="185" s="1"/>
  <c r="G27" i="185" s="1"/>
  <c r="H27" i="185" s="1"/>
  <c r="C27" i="185"/>
  <c r="M26" i="185"/>
  <c r="K26" i="185"/>
  <c r="J26" i="185"/>
  <c r="L26" i="185" s="1"/>
  <c r="N26" i="185" s="1"/>
  <c r="D26" i="185"/>
  <c r="C26" i="185"/>
  <c r="M25" i="185"/>
  <c r="K25" i="185"/>
  <c r="L25" i="185" s="1"/>
  <c r="N25" i="185" s="1"/>
  <c r="F25" i="185"/>
  <c r="D25" i="185"/>
  <c r="C25" i="185"/>
  <c r="E25" i="185" s="1"/>
  <c r="G25" i="185" s="1"/>
  <c r="H25" i="185" s="1"/>
  <c r="M24" i="185"/>
  <c r="L24" i="185"/>
  <c r="K24" i="185"/>
  <c r="K37" i="185" s="1"/>
  <c r="F24" i="185"/>
  <c r="D24" i="185"/>
  <c r="C24" i="185"/>
  <c r="M19" i="185"/>
  <c r="L19" i="185"/>
  <c r="I19" i="185"/>
  <c r="F19" i="185"/>
  <c r="J17" i="185"/>
  <c r="I17" i="185"/>
  <c r="C17" i="185"/>
  <c r="B17" i="185"/>
  <c r="J16" i="185"/>
  <c r="I16" i="185"/>
  <c r="C16" i="185"/>
  <c r="D16" i="185" s="1"/>
  <c r="G16" i="185" s="1"/>
  <c r="B16" i="185"/>
  <c r="J15" i="185"/>
  <c r="I15" i="185"/>
  <c r="C15" i="185"/>
  <c r="B15" i="185"/>
  <c r="J14" i="185"/>
  <c r="I14" i="185"/>
  <c r="C14" i="185"/>
  <c r="B14" i="185"/>
  <c r="J13" i="185"/>
  <c r="I13" i="185"/>
  <c r="C13" i="185"/>
  <c r="B13" i="185"/>
  <c r="J12" i="185"/>
  <c r="I12" i="185"/>
  <c r="C12" i="185"/>
  <c r="D12" i="185" s="1"/>
  <c r="G12" i="185" s="1"/>
  <c r="B12" i="185"/>
  <c r="J11" i="185"/>
  <c r="I11" i="185"/>
  <c r="C11" i="185"/>
  <c r="B11" i="185"/>
  <c r="J10" i="185"/>
  <c r="I10" i="185"/>
  <c r="C10" i="185"/>
  <c r="B10" i="185"/>
  <c r="J9" i="185"/>
  <c r="I9" i="185"/>
  <c r="C9" i="185"/>
  <c r="D9" i="185" s="1"/>
  <c r="G9" i="185" s="1"/>
  <c r="B9" i="185"/>
  <c r="J8" i="185"/>
  <c r="K8" i="185" s="1"/>
  <c r="N8" i="185" s="1"/>
  <c r="I8" i="185"/>
  <c r="O26" i="185" s="1"/>
  <c r="E8" i="185"/>
  <c r="E19" i="185" s="1"/>
  <c r="D8" i="185"/>
  <c r="G8" i="185" s="1"/>
  <c r="C8" i="185"/>
  <c r="F26" i="185" s="1"/>
  <c r="B8" i="185"/>
  <c r="K7" i="185"/>
  <c r="N7" i="185" s="1"/>
  <c r="J7" i="185"/>
  <c r="I7" i="185"/>
  <c r="D7" i="185"/>
  <c r="G7" i="185" s="1"/>
  <c r="C7" i="185"/>
  <c r="B7" i="185"/>
  <c r="K6" i="185"/>
  <c r="J6" i="185"/>
  <c r="J19" i="185" s="1"/>
  <c r="I6" i="185"/>
  <c r="D6" i="185"/>
  <c r="C6" i="185"/>
  <c r="B6" i="185"/>
  <c r="B19" i="185" s="1"/>
  <c r="C125" i="184"/>
  <c r="C121" i="184"/>
  <c r="F105" i="184"/>
  <c r="E105" i="184"/>
  <c r="B105" i="184"/>
  <c r="B104" i="184"/>
  <c r="B106" i="184" s="1"/>
  <c r="F103" i="184"/>
  <c r="D103" i="184"/>
  <c r="E103" i="184" s="1"/>
  <c r="B103" i="184"/>
  <c r="G103" i="184" s="1"/>
  <c r="F101" i="184"/>
  <c r="E101" i="184"/>
  <c r="G101" i="184" s="1"/>
  <c r="B101" i="184"/>
  <c r="C123" i="184"/>
  <c r="B99" i="184"/>
  <c r="J98" i="184"/>
  <c r="I98" i="184"/>
  <c r="B96" i="184"/>
  <c r="E89" i="184"/>
  <c r="D89" i="184"/>
  <c r="B89" i="184"/>
  <c r="F84" i="184"/>
  <c r="E84" i="184"/>
  <c r="B84" i="184"/>
  <c r="G84" i="184" s="1"/>
  <c r="B81" i="184"/>
  <c r="F73" i="184"/>
  <c r="E73" i="184"/>
  <c r="B73" i="184"/>
  <c r="C71" i="184"/>
  <c r="B71" i="184"/>
  <c r="D70" i="184"/>
  <c r="E70" i="184" s="1"/>
  <c r="B70" i="184"/>
  <c r="F68" i="184"/>
  <c r="E68" i="184"/>
  <c r="B68" i="184"/>
  <c r="G68" i="184" s="1"/>
  <c r="E66" i="184"/>
  <c r="E71" i="184" s="1"/>
  <c r="C122" i="184"/>
  <c r="B66" i="184"/>
  <c r="D62" i="184"/>
  <c r="E62" i="184" s="1"/>
  <c r="B62" i="184"/>
  <c r="F60" i="184"/>
  <c r="E60" i="184"/>
  <c r="B60" i="184"/>
  <c r="G60" i="184" s="1"/>
  <c r="F53" i="184"/>
  <c r="B52" i="184"/>
  <c r="D52" i="184" s="1"/>
  <c r="E52" i="184" s="1"/>
  <c r="B42" i="184"/>
  <c r="B39" i="184"/>
  <c r="C27" i="184"/>
  <c r="E27" i="184" s="1"/>
  <c r="B27" i="184"/>
  <c r="G27" i="184" s="1"/>
  <c r="C14" i="184"/>
  <c r="E14" i="184" s="1"/>
  <c r="B14" i="184"/>
  <c r="C120" i="184" s="1"/>
  <c r="C12" i="184"/>
  <c r="E12" i="184" s="1"/>
  <c r="C111" i="184" l="1"/>
  <c r="E111" i="184" s="1"/>
  <c r="D41" i="14" s="1"/>
  <c r="B18" i="186"/>
  <c r="E17" i="186"/>
  <c r="C19" i="186"/>
  <c r="O24" i="185"/>
  <c r="F28" i="185"/>
  <c r="G28" i="185" s="1"/>
  <c r="H28" i="185" s="1"/>
  <c r="D10" i="185"/>
  <c r="G10" i="185" s="1"/>
  <c r="D11" i="185"/>
  <c r="G11" i="185" s="1"/>
  <c r="F29" i="185"/>
  <c r="G29" i="185" s="1"/>
  <c r="H29" i="185" s="1"/>
  <c r="F31" i="185"/>
  <c r="G31" i="185" s="1"/>
  <c r="H31" i="185" s="1"/>
  <c r="D13" i="185"/>
  <c r="G13" i="185" s="1"/>
  <c r="F32" i="185"/>
  <c r="D14" i="185"/>
  <c r="G14" i="185" s="1"/>
  <c r="D15" i="185"/>
  <c r="G15" i="185" s="1"/>
  <c r="F33" i="185"/>
  <c r="D17" i="185"/>
  <c r="G17" i="185" s="1"/>
  <c r="F35" i="185"/>
  <c r="F37" i="185"/>
  <c r="C131" i="184" s="1"/>
  <c r="F30" i="185"/>
  <c r="G32" i="185"/>
  <c r="N31" i="185"/>
  <c r="O31" i="185" s="1"/>
  <c r="N6" i="185"/>
  <c r="O25" i="185"/>
  <c r="M27" i="185"/>
  <c r="N27" i="185" s="1"/>
  <c r="O27" i="185" s="1"/>
  <c r="K9" i="185"/>
  <c r="N9" i="185" s="1"/>
  <c r="K10" i="185"/>
  <c r="N10" i="185" s="1"/>
  <c r="M28" i="185"/>
  <c r="K11" i="185"/>
  <c r="N11" i="185" s="1"/>
  <c r="M29" i="185"/>
  <c r="M37" i="185" s="1"/>
  <c r="K12" i="185"/>
  <c r="N12" i="185" s="1"/>
  <c r="M30" i="185"/>
  <c r="M31" i="185"/>
  <c r="K13" i="185"/>
  <c r="N13" i="185" s="1"/>
  <c r="M32" i="185"/>
  <c r="N32" i="185" s="1"/>
  <c r="O32" i="185" s="1"/>
  <c r="K14" i="185"/>
  <c r="N14" i="185" s="1"/>
  <c r="M33" i="185"/>
  <c r="N33" i="185" s="1"/>
  <c r="O33" i="185" s="1"/>
  <c r="K15" i="185"/>
  <c r="N15" i="185" s="1"/>
  <c r="K16" i="185"/>
  <c r="N16" i="185" s="1"/>
  <c r="M34" i="185"/>
  <c r="N34" i="185" s="1"/>
  <c r="O34" i="185" s="1"/>
  <c r="M35" i="185"/>
  <c r="K17" i="185"/>
  <c r="N17" i="185" s="1"/>
  <c r="C37" i="185"/>
  <c r="C130" i="184" s="1"/>
  <c r="L37" i="185"/>
  <c r="N24" i="185"/>
  <c r="N30" i="185"/>
  <c r="O30" i="185" s="1"/>
  <c r="G33" i="185"/>
  <c r="F34" i="185"/>
  <c r="G35" i="185"/>
  <c r="H35" i="185" s="1"/>
  <c r="D19" i="185"/>
  <c r="G6" i="185"/>
  <c r="H32" i="185"/>
  <c r="H33" i="185"/>
  <c r="C19" i="185"/>
  <c r="D37" i="185"/>
  <c r="B43" i="185" s="1"/>
  <c r="E26" i="185"/>
  <c r="G26" i="185" s="1"/>
  <c r="H26" i="185" s="1"/>
  <c r="N28" i="185"/>
  <c r="O28" i="185" s="1"/>
  <c r="N29" i="185"/>
  <c r="O29" i="185" s="1"/>
  <c r="N35" i="185"/>
  <c r="O35" i="185" s="1"/>
  <c r="E30" i="185"/>
  <c r="G30" i="185" s="1"/>
  <c r="H30" i="185" s="1"/>
  <c r="E34" i="185"/>
  <c r="G34" i="185" s="1"/>
  <c r="H34" i="185" s="1"/>
  <c r="J37" i="185"/>
  <c r="E24" i="185"/>
  <c r="G89" i="184"/>
  <c r="C96" i="184"/>
  <c r="D96" i="184"/>
  <c r="D104" i="184" s="1"/>
  <c r="F104" i="184"/>
  <c r="G12" i="184"/>
  <c r="G66" i="184"/>
  <c r="G52" i="184"/>
  <c r="B53" i="184"/>
  <c r="G14" i="184"/>
  <c r="C53" i="184"/>
  <c r="C63" i="184" s="1"/>
  <c r="C72" i="184" s="1"/>
  <c r="F62" i="184"/>
  <c r="F63" i="184" s="1"/>
  <c r="F70" i="184"/>
  <c r="F71" i="184" s="1"/>
  <c r="D71" i="184"/>
  <c r="F89" i="184"/>
  <c r="E99" i="184"/>
  <c r="C124" i="184"/>
  <c r="D39" i="184"/>
  <c r="D42" i="184"/>
  <c r="E42" i="184" s="1"/>
  <c r="G42" i="184" s="1"/>
  <c r="E81" i="184"/>
  <c r="B19" i="186" l="1"/>
  <c r="E18" i="186"/>
  <c r="C20" i="186"/>
  <c r="C132" i="184"/>
  <c r="N19" i="185"/>
  <c r="K19" i="185"/>
  <c r="E37" i="185"/>
  <c r="G24" i="185"/>
  <c r="N37" i="185"/>
  <c r="B42" i="185"/>
  <c r="B44" i="185" s="1"/>
  <c r="G19" i="185"/>
  <c r="C126" i="184"/>
  <c r="E96" i="184"/>
  <c r="G96" i="184" s="1"/>
  <c r="G70" i="184"/>
  <c r="D53" i="184"/>
  <c r="D63" i="184" s="1"/>
  <c r="D72" i="184" s="1"/>
  <c r="D107" i="184" s="1"/>
  <c r="C104" i="184"/>
  <c r="C107" i="184" s="1"/>
  <c r="C110" i="184" s="1"/>
  <c r="E110" i="184" s="1"/>
  <c r="F107" i="184"/>
  <c r="F72" i="184"/>
  <c r="F74" i="184" s="1"/>
  <c r="G62" i="184"/>
  <c r="B63" i="184"/>
  <c r="E39" i="184"/>
  <c r="G81" i="184"/>
  <c r="D40" i="14" l="1"/>
  <c r="D134" i="184" s="1"/>
  <c r="B20" i="186"/>
  <c r="E19" i="186"/>
  <c r="C21" i="186"/>
  <c r="E104" i="184"/>
  <c r="C127" i="184"/>
  <c r="G37" i="185"/>
  <c r="H24" i="185"/>
  <c r="B72" i="184"/>
  <c r="C112" i="184"/>
  <c r="E53" i="184"/>
  <c r="G39" i="184"/>
  <c r="C134" i="184" l="1"/>
  <c r="C136" i="184" s="1"/>
  <c r="C128" i="184"/>
  <c r="E20" i="186"/>
  <c r="B21" i="186"/>
  <c r="C22" i="186"/>
  <c r="C115" i="184"/>
  <c r="E30" i="183" s="1"/>
  <c r="C114" i="184"/>
  <c r="E63" i="184"/>
  <c r="G53" i="184"/>
  <c r="B74" i="184"/>
  <c r="B107" i="184"/>
  <c r="B22" i="186" l="1"/>
  <c r="E21" i="186"/>
  <c r="C23" i="186"/>
  <c r="E72" i="184"/>
  <c r="G63" i="184"/>
  <c r="C24" i="186" l="1"/>
  <c r="E22" i="186"/>
  <c r="B23" i="186"/>
  <c r="E74" i="184"/>
  <c r="E107" i="184"/>
  <c r="G72" i="184"/>
  <c r="C25" i="186" l="1"/>
  <c r="B24" i="186"/>
  <c r="E23" i="186"/>
  <c r="B25" i="186" l="1"/>
  <c r="E24" i="186"/>
  <c r="C26" i="186"/>
  <c r="C27" i="186" l="1"/>
  <c r="B26" i="186"/>
  <c r="E25" i="186"/>
  <c r="E26" i="186" l="1"/>
  <c r="B27" i="186"/>
  <c r="H27" i="186"/>
  <c r="C28" i="186"/>
  <c r="C29" i="186" l="1"/>
  <c r="H28" i="186"/>
  <c r="G27" i="186"/>
  <c r="E27" i="186"/>
  <c r="B28" i="186"/>
  <c r="BJ49" i="17"/>
  <c r="BG42" i="17"/>
  <c r="BJ27" i="17"/>
  <c r="BJ31" i="17"/>
  <c r="BJ29" i="17" l="1"/>
  <c r="BJ25" i="17"/>
  <c r="BJ45" i="17"/>
  <c r="BJ23" i="17"/>
  <c r="BJ21" i="17"/>
  <c r="BJ19" i="17"/>
  <c r="BJ32" i="17"/>
  <c r="BJ28" i="17"/>
  <c r="BJ24" i="17"/>
  <c r="BJ20" i="17"/>
  <c r="BJ48" i="17"/>
  <c r="BJ46" i="17"/>
  <c r="B29" i="186"/>
  <c r="E28" i="186"/>
  <c r="G28" i="186"/>
  <c r="F27" i="186"/>
  <c r="C30" i="186"/>
  <c r="H29" i="186"/>
  <c r="BH51" i="17"/>
  <c r="D42" i="14" s="1"/>
  <c r="BJ39" i="17"/>
  <c r="BJ30" i="17"/>
  <c r="BJ26" i="17"/>
  <c r="BJ22" i="17"/>
  <c r="BJ18" i="17"/>
  <c r="BI51" i="17"/>
  <c r="BJ47" i="17"/>
  <c r="C31" i="186" l="1"/>
  <c r="H30" i="186"/>
  <c r="F28" i="186"/>
  <c r="B30" i="186"/>
  <c r="E29" i="186"/>
  <c r="G29" i="186"/>
  <c r="C146" i="183"/>
  <c r="F29" i="186" l="1"/>
  <c r="B31" i="186"/>
  <c r="E30" i="186"/>
  <c r="G30" i="186"/>
  <c r="C32" i="186"/>
  <c r="H31" i="186"/>
  <c r="O27" i="183"/>
  <c r="O22" i="183"/>
  <c r="N30" i="183"/>
  <c r="M30" i="183"/>
  <c r="C33" i="186" l="1"/>
  <c r="H32" i="186"/>
  <c r="B32" i="186"/>
  <c r="E31" i="186"/>
  <c r="G31" i="186"/>
  <c r="F30" i="186"/>
  <c r="M31" i="183"/>
  <c r="M32" i="183" s="1"/>
  <c r="F31" i="186" l="1"/>
  <c r="C34" i="186"/>
  <c r="H33" i="186"/>
  <c r="B33" i="186"/>
  <c r="E32" i="186"/>
  <c r="G32" i="186"/>
  <c r="B34" i="186" l="1"/>
  <c r="E33" i="186"/>
  <c r="G33" i="186"/>
  <c r="F32" i="186"/>
  <c r="C35" i="186"/>
  <c r="H34" i="186"/>
  <c r="C36" i="186" l="1"/>
  <c r="H35" i="186"/>
  <c r="F33" i="186"/>
  <c r="E34" i="186"/>
  <c r="B35" i="186"/>
  <c r="G34" i="186"/>
  <c r="F34" i="186" l="1"/>
  <c r="B36" i="186"/>
  <c r="E35" i="186"/>
  <c r="G35" i="186"/>
  <c r="C37" i="186"/>
  <c r="H36" i="186"/>
  <c r="BJ17" i="17"/>
  <c r="C38" i="186" l="1"/>
  <c r="H37" i="186"/>
  <c r="B37" i="186"/>
  <c r="E36" i="186"/>
  <c r="G36" i="186"/>
  <c r="F35" i="186"/>
  <c r="B38" i="186" l="1"/>
  <c r="E37" i="186"/>
  <c r="G37" i="186"/>
  <c r="F36" i="186"/>
  <c r="C39" i="186"/>
  <c r="H38" i="186"/>
  <c r="C40" i="186" l="1"/>
  <c r="H39" i="186"/>
  <c r="F37" i="186"/>
  <c r="B39" i="186"/>
  <c r="E38" i="186"/>
  <c r="G38" i="186"/>
  <c r="BH33" i="17"/>
  <c r="D11" i="14" s="1"/>
  <c r="D20" i="14" s="1"/>
  <c r="BI33" i="17"/>
  <c r="F38" i="186" l="1"/>
  <c r="B40" i="186"/>
  <c r="E39" i="186"/>
  <c r="G39" i="186"/>
  <c r="C41" i="186"/>
  <c r="H40" i="186"/>
  <c r="C42" i="186" l="1"/>
  <c r="H41" i="186"/>
  <c r="B41" i="186"/>
  <c r="E40" i="186"/>
  <c r="G40" i="186"/>
  <c r="F39" i="186"/>
  <c r="BR20" i="17"/>
  <c r="BR22" i="17"/>
  <c r="BR24" i="17"/>
  <c r="B42" i="186" l="1"/>
  <c r="E41" i="186"/>
  <c r="G41" i="186"/>
  <c r="F40" i="186"/>
  <c r="C43" i="186"/>
  <c r="H42" i="186"/>
  <c r="C44" i="186" l="1"/>
  <c r="H43" i="186"/>
  <c r="F41" i="186"/>
  <c r="E42" i="186"/>
  <c r="B43" i="186"/>
  <c r="G42" i="186"/>
  <c r="CP19" i="17"/>
  <c r="CY19" i="17"/>
  <c r="CP20" i="17"/>
  <c r="CP21" i="17"/>
  <c r="CP22" i="17"/>
  <c r="B44" i="186" l="1"/>
  <c r="E43" i="186"/>
  <c r="G43" i="186"/>
  <c r="F42" i="186"/>
  <c r="C45" i="186"/>
  <c r="H44" i="186"/>
  <c r="BN23" i="17"/>
  <c r="BO23" i="17"/>
  <c r="BP20" i="17"/>
  <c r="Q21" i="17"/>
  <c r="Q55" i="17" s="1"/>
  <c r="AX21" i="17"/>
  <c r="Q24" i="17"/>
  <c r="Q58" i="17" s="1"/>
  <c r="AW22" i="17"/>
  <c r="AR20" i="17"/>
  <c r="BP23" i="17" l="1"/>
  <c r="N40" i="14" s="1"/>
  <c r="N44" i="14" s="1"/>
  <c r="C46" i="186"/>
  <c r="H45" i="186"/>
  <c r="F43" i="186"/>
  <c r="B45" i="186"/>
  <c r="E44" i="186"/>
  <c r="G44" i="186"/>
  <c r="F44" i="186" l="1"/>
  <c r="B46" i="186"/>
  <c r="E45" i="186"/>
  <c r="G45" i="186"/>
  <c r="C47" i="186"/>
  <c r="H46" i="186"/>
  <c r="F45" i="186" l="1"/>
  <c r="C48" i="186"/>
  <c r="H47" i="186"/>
  <c r="B47" i="186"/>
  <c r="E46" i="186"/>
  <c r="G46" i="186"/>
  <c r="F46" i="186" l="1"/>
  <c r="E47" i="186"/>
  <c r="B48" i="186"/>
  <c r="G47" i="186"/>
  <c r="C49" i="186"/>
  <c r="H48" i="186"/>
  <c r="AB9" i="17"/>
  <c r="AF4" i="17"/>
  <c r="AF3" i="17"/>
  <c r="AF2" i="17"/>
  <c r="C50" i="186" l="1"/>
  <c r="H49" i="186"/>
  <c r="F47" i="186"/>
  <c r="B49" i="186"/>
  <c r="E48" i="186"/>
  <c r="G48" i="186"/>
  <c r="F48" i="186" l="1"/>
  <c r="B50" i="186"/>
  <c r="E49" i="186"/>
  <c r="G49" i="186"/>
  <c r="C51" i="186"/>
  <c r="H50" i="186"/>
  <c r="C52" i="186" l="1"/>
  <c r="H51" i="186"/>
  <c r="F49" i="186"/>
  <c r="B51" i="186"/>
  <c r="E50" i="186"/>
  <c r="G50" i="186"/>
  <c r="H85" i="14"/>
  <c r="H86" i="14"/>
  <c r="H90" i="14"/>
  <c r="H91" i="14"/>
  <c r="H92" i="14"/>
  <c r="H93" i="14"/>
  <c r="H95" i="14"/>
  <c r="H96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B52" i="186" l="1"/>
  <c r="E51" i="186"/>
  <c r="G51" i="186"/>
  <c r="C53" i="186"/>
  <c r="H52" i="186"/>
  <c r="F50" i="186"/>
  <c r="F51" i="186" l="1"/>
  <c r="C54" i="186"/>
  <c r="H53" i="186"/>
  <c r="B53" i="186"/>
  <c r="E52" i="186"/>
  <c r="G52" i="186"/>
  <c r="Y86" i="14"/>
  <c r="X86" i="14"/>
  <c r="W86" i="14"/>
  <c r="V86" i="14"/>
  <c r="U86" i="14"/>
  <c r="T86" i="14"/>
  <c r="S86" i="14"/>
  <c r="R86" i="14"/>
  <c r="Q86" i="14"/>
  <c r="P86" i="14"/>
  <c r="N86" i="14"/>
  <c r="M86" i="14"/>
  <c r="L86" i="14"/>
  <c r="K86" i="14"/>
  <c r="I86" i="14"/>
  <c r="G86" i="14"/>
  <c r="F86" i="14"/>
  <c r="E86" i="14"/>
  <c r="D86" i="14"/>
  <c r="B13" i="14"/>
  <c r="B14" i="14"/>
  <c r="B17" i="14"/>
  <c r="B21" i="14"/>
  <c r="B25" i="14"/>
  <c r="B26" i="14"/>
  <c r="B27" i="14"/>
  <c r="B28" i="14"/>
  <c r="B29" i="14"/>
  <c r="B30" i="14"/>
  <c r="B31" i="14"/>
  <c r="B32" i="14"/>
  <c r="B33" i="14"/>
  <c r="B34" i="14"/>
  <c r="B36" i="14"/>
  <c r="B37" i="14"/>
  <c r="B38" i="14"/>
  <c r="B39" i="14"/>
  <c r="B40" i="14"/>
  <c r="B41" i="14"/>
  <c r="B42" i="14"/>
  <c r="B44" i="14"/>
  <c r="J97" i="14" l="1"/>
  <c r="F52" i="186"/>
  <c r="C55" i="186"/>
  <c r="H54" i="186"/>
  <c r="B54" i="186"/>
  <c r="E53" i="186"/>
  <c r="G53" i="186"/>
  <c r="N31" i="183"/>
  <c r="N32" i="183" s="1"/>
  <c r="J94" i="14" l="1"/>
  <c r="H94" i="14"/>
  <c r="F53" i="186"/>
  <c r="C56" i="186"/>
  <c r="H55" i="186"/>
  <c r="B55" i="186"/>
  <c r="E54" i="186"/>
  <c r="G54" i="186"/>
  <c r="C57" i="186" l="1"/>
  <c r="H56" i="186"/>
  <c r="F54" i="186"/>
  <c r="B56" i="186"/>
  <c r="E55" i="186"/>
  <c r="G55" i="186"/>
  <c r="C144" i="183"/>
  <c r="F55" i="186" l="1"/>
  <c r="B57" i="186"/>
  <c r="E56" i="186"/>
  <c r="G56" i="186"/>
  <c r="C58" i="186"/>
  <c r="H57" i="186"/>
  <c r="F56" i="186" l="1"/>
  <c r="C59" i="186"/>
  <c r="H58" i="186"/>
  <c r="B58" i="186"/>
  <c r="E57" i="186"/>
  <c r="G57" i="186"/>
  <c r="F57" i="186" l="1"/>
  <c r="C60" i="186"/>
  <c r="H59" i="186"/>
  <c r="B59" i="186"/>
  <c r="E58" i="186"/>
  <c r="G58" i="186"/>
  <c r="C124" i="183"/>
  <c r="C125" i="183"/>
  <c r="D86" i="183"/>
  <c r="D87" i="183"/>
  <c r="D47" i="183"/>
  <c r="E47" i="183" s="1"/>
  <c r="C77" i="183"/>
  <c r="C76" i="183"/>
  <c r="C78" i="183" s="1"/>
  <c r="E78" i="183" s="1"/>
  <c r="C40" i="183"/>
  <c r="F58" i="186" l="1"/>
  <c r="C61" i="186"/>
  <c r="H60" i="186"/>
  <c r="B60" i="186"/>
  <c r="E59" i="186"/>
  <c r="G59" i="186"/>
  <c r="C126" i="183"/>
  <c r="E126" i="183" s="1"/>
  <c r="D88" i="183"/>
  <c r="F59" i="186" l="1"/>
  <c r="C62" i="186"/>
  <c r="H61" i="186"/>
  <c r="B61" i="186"/>
  <c r="E60" i="186"/>
  <c r="G60" i="186"/>
  <c r="D23" i="183"/>
  <c r="D10" i="183"/>
  <c r="D26" i="183"/>
  <c r="F60" i="186" l="1"/>
  <c r="C63" i="186"/>
  <c r="H62" i="186"/>
  <c r="B62" i="186"/>
  <c r="E61" i="186"/>
  <c r="G61" i="186"/>
  <c r="J24" i="183"/>
  <c r="D20" i="183"/>
  <c r="P27" i="183"/>
  <c r="C147" i="183"/>
  <c r="J32" i="183"/>
  <c r="J15" i="183"/>
  <c r="C41" i="183"/>
  <c r="C42" i="183" s="1"/>
  <c r="E42" i="183" s="1"/>
  <c r="J22" i="183"/>
  <c r="D17" i="183"/>
  <c r="J39" i="183"/>
  <c r="J40" i="183"/>
  <c r="J14" i="183"/>
  <c r="J31" i="183"/>
  <c r="J21" i="183"/>
  <c r="J35" i="183"/>
  <c r="J12" i="183"/>
  <c r="J30" i="183"/>
  <c r="J27" i="183"/>
  <c r="J33" i="183"/>
  <c r="J38" i="183"/>
  <c r="J29" i="183"/>
  <c r="J34" i="183"/>
  <c r="J36" i="183"/>
  <c r="J13" i="183"/>
  <c r="J23" i="183"/>
  <c r="I16" i="183"/>
  <c r="H25" i="183"/>
  <c r="H41" i="183" s="1"/>
  <c r="J28" i="183"/>
  <c r="J37" i="183"/>
  <c r="H16" i="183"/>
  <c r="I25" i="183"/>
  <c r="I41" i="183" s="1"/>
  <c r="F61" i="186" l="1"/>
  <c r="C64" i="186"/>
  <c r="H63" i="186"/>
  <c r="B63" i="186"/>
  <c r="E62" i="186"/>
  <c r="G62" i="186"/>
  <c r="C148" i="183"/>
  <c r="E148" i="183" s="1"/>
  <c r="J25" i="183"/>
  <c r="J41" i="183" s="1"/>
  <c r="J16" i="183"/>
  <c r="H43" i="183"/>
  <c r="I43" i="183"/>
  <c r="F62" i="186" l="1"/>
  <c r="C65" i="186"/>
  <c r="H64" i="186"/>
  <c r="E63" i="186"/>
  <c r="B64" i="186"/>
  <c r="G63" i="186"/>
  <c r="J43" i="183"/>
  <c r="B65" i="186" l="1"/>
  <c r="E64" i="186"/>
  <c r="G64" i="186"/>
  <c r="C66" i="186"/>
  <c r="H65" i="186"/>
  <c r="F63" i="186"/>
  <c r="Y19" i="17"/>
  <c r="Y33" i="17" s="1"/>
  <c r="U18" i="17"/>
  <c r="U19" i="17" s="1"/>
  <c r="U20" i="17" s="1"/>
  <c r="U21" i="17" s="1"/>
  <c r="F64" i="186" l="1"/>
  <c r="C67" i="186"/>
  <c r="H66" i="186"/>
  <c r="B66" i="186"/>
  <c r="E65" i="186"/>
  <c r="G65" i="186"/>
  <c r="F65" i="186" l="1"/>
  <c r="C68" i="186"/>
  <c r="H67" i="186"/>
  <c r="B67" i="186"/>
  <c r="E66" i="186"/>
  <c r="G66" i="186"/>
  <c r="F66" i="186" l="1"/>
  <c r="C69" i="186"/>
  <c r="H68" i="186"/>
  <c r="B68" i="186"/>
  <c r="E67" i="186"/>
  <c r="G67" i="186"/>
  <c r="CH25" i="17"/>
  <c r="CH20" i="17"/>
  <c r="F67" i="186" l="1"/>
  <c r="C70" i="186"/>
  <c r="H69" i="186"/>
  <c r="B69" i="186"/>
  <c r="E68" i="186"/>
  <c r="G68" i="186"/>
  <c r="F68" i="186" l="1"/>
  <c r="C71" i="186"/>
  <c r="H70" i="186"/>
  <c r="B70" i="186"/>
  <c r="E69" i="186"/>
  <c r="G69" i="186"/>
  <c r="F69" i="186" l="1"/>
  <c r="C72" i="186"/>
  <c r="H71" i="186"/>
  <c r="B71" i="186"/>
  <c r="E70" i="186"/>
  <c r="G70" i="186"/>
  <c r="F70" i="186" l="1"/>
  <c r="C73" i="186"/>
  <c r="H72" i="186"/>
  <c r="B72" i="186"/>
  <c r="E71" i="186"/>
  <c r="G71" i="186"/>
  <c r="BR18" i="17"/>
  <c r="F71" i="186" l="1"/>
  <c r="C74" i="186"/>
  <c r="H73" i="186"/>
  <c r="B73" i="186"/>
  <c r="E72" i="186"/>
  <c r="G72" i="186"/>
  <c r="F72" i="186" l="1"/>
  <c r="C75" i="186"/>
  <c r="H74" i="186"/>
  <c r="B74" i="186"/>
  <c r="E73" i="186"/>
  <c r="G73" i="186"/>
  <c r="Z86" i="14"/>
  <c r="O86" i="14"/>
  <c r="BW1" i="17"/>
  <c r="AW29" i="17"/>
  <c r="AV29" i="17"/>
  <c r="F73" i="186" l="1"/>
  <c r="C76" i="186"/>
  <c r="H75" i="186"/>
  <c r="B75" i="186"/>
  <c r="E74" i="186"/>
  <c r="G74" i="186"/>
  <c r="AA86" i="14"/>
  <c r="AX28" i="17"/>
  <c r="AX29" i="17" s="1"/>
  <c r="K40" i="14" s="1"/>
  <c r="AX1" i="17" l="1"/>
  <c r="F74" i="186"/>
  <c r="C77" i="186"/>
  <c r="H76" i="186"/>
  <c r="B76" i="186"/>
  <c r="E75" i="186"/>
  <c r="G75" i="186"/>
  <c r="C10" i="182"/>
  <c r="AQ21" i="17"/>
  <c r="F75" i="186" l="1"/>
  <c r="C78" i="186"/>
  <c r="H77" i="186"/>
  <c r="B77" i="186"/>
  <c r="E76" i="186"/>
  <c r="G76" i="186"/>
  <c r="BG39" i="17"/>
  <c r="F76" i="186" l="1"/>
  <c r="C79" i="186"/>
  <c r="H78" i="186"/>
  <c r="B78" i="186"/>
  <c r="E77" i="186"/>
  <c r="G77" i="186"/>
  <c r="BJ44" i="17"/>
  <c r="BJ43" i="17"/>
  <c r="F77" i="186" l="1"/>
  <c r="C80" i="186"/>
  <c r="H79" i="186"/>
  <c r="B79" i="186"/>
  <c r="E78" i="186"/>
  <c r="G78" i="186"/>
  <c r="BJ51" i="17"/>
  <c r="BJ33" i="17"/>
  <c r="M11" i="14" s="1"/>
  <c r="M15" i="14" l="1"/>
  <c r="BI1" i="17" s="1"/>
  <c r="M20" i="14"/>
  <c r="M17" i="14"/>
  <c r="M42" i="14"/>
  <c r="F78" i="186"/>
  <c r="C81" i="186"/>
  <c r="H80" i="186"/>
  <c r="E79" i="186"/>
  <c r="B80" i="186"/>
  <c r="G79" i="186"/>
  <c r="DB21" i="17"/>
  <c r="BP1" i="17"/>
  <c r="BJ1" i="17" l="1"/>
  <c r="M44" i="14"/>
  <c r="B81" i="186"/>
  <c r="E80" i="186"/>
  <c r="G80" i="186"/>
  <c r="C82" i="186"/>
  <c r="H81" i="186"/>
  <c r="F79" i="186"/>
  <c r="BO1" i="17"/>
  <c r="F80" i="186" l="1"/>
  <c r="C83" i="186"/>
  <c r="H82" i="186"/>
  <c r="B82" i="186"/>
  <c r="E81" i="186"/>
  <c r="G81" i="186"/>
  <c r="F81" i="186" l="1"/>
  <c r="C84" i="186"/>
  <c r="H83" i="186"/>
  <c r="B83" i="186"/>
  <c r="E82" i="186"/>
  <c r="G82" i="186"/>
  <c r="F82" i="186" l="1"/>
  <c r="C85" i="186"/>
  <c r="H84" i="186"/>
  <c r="B84" i="186"/>
  <c r="E83" i="186"/>
  <c r="G83" i="186"/>
  <c r="E118" i="14"/>
  <c r="Y117" i="14"/>
  <c r="X117" i="14"/>
  <c r="W117" i="14"/>
  <c r="V117" i="14"/>
  <c r="U117" i="14"/>
  <c r="T117" i="14"/>
  <c r="S117" i="14"/>
  <c r="R117" i="14"/>
  <c r="Q117" i="14"/>
  <c r="P117" i="14"/>
  <c r="N117" i="14"/>
  <c r="M117" i="14"/>
  <c r="L117" i="14"/>
  <c r="K117" i="14"/>
  <c r="I117" i="14"/>
  <c r="G117" i="14"/>
  <c r="F117" i="14"/>
  <c r="E117" i="14"/>
  <c r="Y116" i="14"/>
  <c r="X116" i="14"/>
  <c r="W116" i="14"/>
  <c r="V116" i="14"/>
  <c r="U116" i="14"/>
  <c r="T116" i="14"/>
  <c r="S116" i="14"/>
  <c r="R116" i="14"/>
  <c r="P116" i="14"/>
  <c r="O116" i="14"/>
  <c r="N116" i="14"/>
  <c r="M116" i="14"/>
  <c r="L116" i="14"/>
  <c r="K116" i="14"/>
  <c r="I116" i="14"/>
  <c r="G116" i="14"/>
  <c r="F116" i="14"/>
  <c r="E116" i="14"/>
  <c r="D116" i="14"/>
  <c r="Y115" i="14"/>
  <c r="X115" i="14"/>
  <c r="W115" i="14"/>
  <c r="V115" i="14"/>
  <c r="U115" i="14"/>
  <c r="T115" i="14"/>
  <c r="S115" i="14"/>
  <c r="R115" i="14"/>
  <c r="Q115" i="14"/>
  <c r="P115" i="14"/>
  <c r="O115" i="14"/>
  <c r="N115" i="14"/>
  <c r="M115" i="14"/>
  <c r="L115" i="14"/>
  <c r="K115" i="14"/>
  <c r="G115" i="14"/>
  <c r="F115" i="14"/>
  <c r="E115" i="14"/>
  <c r="Y114" i="14"/>
  <c r="X114" i="14"/>
  <c r="W114" i="14"/>
  <c r="V114" i="14"/>
  <c r="U114" i="14"/>
  <c r="T114" i="14"/>
  <c r="S114" i="14"/>
  <c r="R114" i="14"/>
  <c r="Q114" i="14"/>
  <c r="O114" i="14"/>
  <c r="N114" i="14"/>
  <c r="M114" i="14"/>
  <c r="L114" i="14"/>
  <c r="K114" i="14"/>
  <c r="G114" i="14"/>
  <c r="F114" i="14"/>
  <c r="E114" i="14"/>
  <c r="Y113" i="14"/>
  <c r="X113" i="14"/>
  <c r="W113" i="14"/>
  <c r="V113" i="14"/>
  <c r="U113" i="14"/>
  <c r="T113" i="14"/>
  <c r="S113" i="14"/>
  <c r="R113" i="14"/>
  <c r="Q113" i="14"/>
  <c r="P113" i="14"/>
  <c r="O113" i="14"/>
  <c r="N113" i="14"/>
  <c r="M113" i="14"/>
  <c r="L113" i="14"/>
  <c r="K113" i="14"/>
  <c r="I113" i="14"/>
  <c r="G113" i="14"/>
  <c r="F113" i="14"/>
  <c r="E113" i="14"/>
  <c r="Y112" i="14"/>
  <c r="X112" i="14"/>
  <c r="W112" i="14"/>
  <c r="V112" i="14"/>
  <c r="U112" i="14"/>
  <c r="T112" i="14"/>
  <c r="S112" i="14"/>
  <c r="R112" i="14"/>
  <c r="Q112" i="14"/>
  <c r="P112" i="14"/>
  <c r="O112" i="14"/>
  <c r="N112" i="14"/>
  <c r="M112" i="14"/>
  <c r="L112" i="14"/>
  <c r="K112" i="14"/>
  <c r="I112" i="14"/>
  <c r="G112" i="14"/>
  <c r="E112" i="14"/>
  <c r="Y111" i="14"/>
  <c r="X111" i="14"/>
  <c r="W111" i="14"/>
  <c r="V111" i="14"/>
  <c r="U111" i="14"/>
  <c r="T111" i="14"/>
  <c r="S111" i="14"/>
  <c r="R111" i="14"/>
  <c r="Q111" i="14"/>
  <c r="P111" i="14"/>
  <c r="O111" i="14"/>
  <c r="N111" i="14"/>
  <c r="M111" i="14"/>
  <c r="L111" i="14"/>
  <c r="K111" i="14"/>
  <c r="I111" i="14"/>
  <c r="G111" i="14"/>
  <c r="E111" i="14"/>
  <c r="Y110" i="14"/>
  <c r="X110" i="14"/>
  <c r="W110" i="14"/>
  <c r="V110" i="14"/>
  <c r="U110" i="14"/>
  <c r="T110" i="14"/>
  <c r="S110" i="14"/>
  <c r="R110" i="14"/>
  <c r="Q110" i="14"/>
  <c r="P110" i="14"/>
  <c r="O110" i="14"/>
  <c r="N110" i="14"/>
  <c r="M110" i="14"/>
  <c r="L110" i="14"/>
  <c r="K110" i="14"/>
  <c r="I110" i="14"/>
  <c r="G110" i="14"/>
  <c r="E110" i="14"/>
  <c r="Y109" i="14"/>
  <c r="X109" i="14"/>
  <c r="W109" i="14"/>
  <c r="V109" i="14"/>
  <c r="U109" i="14"/>
  <c r="T109" i="14"/>
  <c r="S109" i="14"/>
  <c r="R109" i="14"/>
  <c r="Q109" i="14"/>
  <c r="P109" i="14"/>
  <c r="O109" i="14"/>
  <c r="N109" i="14"/>
  <c r="M109" i="14"/>
  <c r="L109" i="14"/>
  <c r="K109" i="14"/>
  <c r="I109" i="14"/>
  <c r="G109" i="14"/>
  <c r="E109" i="14"/>
  <c r="Y108" i="14"/>
  <c r="X108" i="14"/>
  <c r="W108" i="14"/>
  <c r="V108" i="14"/>
  <c r="U108" i="14"/>
  <c r="T108" i="14"/>
  <c r="S108" i="14"/>
  <c r="R108" i="14"/>
  <c r="Q108" i="14"/>
  <c r="P108" i="14"/>
  <c r="O108" i="14"/>
  <c r="N108" i="14"/>
  <c r="M108" i="14"/>
  <c r="L108" i="14"/>
  <c r="K108" i="14"/>
  <c r="I108" i="14"/>
  <c r="G108" i="14"/>
  <c r="E108" i="14"/>
  <c r="Y107" i="14"/>
  <c r="X107" i="14"/>
  <c r="W107" i="14"/>
  <c r="V107" i="14"/>
  <c r="U107" i="14"/>
  <c r="T107" i="14"/>
  <c r="S107" i="14"/>
  <c r="R107" i="14"/>
  <c r="Q107" i="14"/>
  <c r="P107" i="14"/>
  <c r="O107" i="14"/>
  <c r="N107" i="14"/>
  <c r="M107" i="14"/>
  <c r="L107" i="14"/>
  <c r="K107" i="14"/>
  <c r="I107" i="14"/>
  <c r="G107" i="14"/>
  <c r="E107" i="14"/>
  <c r="Y106" i="14"/>
  <c r="X106" i="14"/>
  <c r="W106" i="14"/>
  <c r="V106" i="14"/>
  <c r="U106" i="14"/>
  <c r="T106" i="14"/>
  <c r="S106" i="14"/>
  <c r="R106" i="14"/>
  <c r="Q106" i="14"/>
  <c r="P106" i="14"/>
  <c r="O106" i="14"/>
  <c r="N106" i="14"/>
  <c r="M106" i="14"/>
  <c r="L106" i="14"/>
  <c r="K106" i="14"/>
  <c r="I106" i="14"/>
  <c r="G106" i="14"/>
  <c r="E106" i="14"/>
  <c r="Y105" i="14"/>
  <c r="X105" i="14"/>
  <c r="W105" i="14"/>
  <c r="V105" i="14"/>
  <c r="U105" i="14"/>
  <c r="T105" i="14"/>
  <c r="S105" i="14"/>
  <c r="R105" i="14"/>
  <c r="Q105" i="14"/>
  <c r="P105" i="14"/>
  <c r="O105" i="14"/>
  <c r="N105" i="14"/>
  <c r="M105" i="14"/>
  <c r="L105" i="14"/>
  <c r="K105" i="14"/>
  <c r="I105" i="14"/>
  <c r="G105" i="14"/>
  <c r="F105" i="14"/>
  <c r="E105" i="14"/>
  <c r="Y104" i="14"/>
  <c r="X104" i="14"/>
  <c r="W104" i="14"/>
  <c r="V104" i="14"/>
  <c r="U104" i="14"/>
  <c r="T104" i="14"/>
  <c r="S104" i="14"/>
  <c r="R104" i="14"/>
  <c r="Q104" i="14"/>
  <c r="P104" i="14"/>
  <c r="O104" i="14"/>
  <c r="N104" i="14"/>
  <c r="M104" i="14"/>
  <c r="L104" i="14"/>
  <c r="K104" i="14"/>
  <c r="I104" i="14"/>
  <c r="F104" i="14"/>
  <c r="E104" i="14"/>
  <c r="Y103" i="14"/>
  <c r="X103" i="14"/>
  <c r="W103" i="14"/>
  <c r="V103" i="14"/>
  <c r="U103" i="14"/>
  <c r="T103" i="14"/>
  <c r="S103" i="14"/>
  <c r="R103" i="14"/>
  <c r="Q103" i="14"/>
  <c r="P103" i="14"/>
  <c r="O103" i="14"/>
  <c r="M103" i="14"/>
  <c r="K103" i="14"/>
  <c r="I103" i="14"/>
  <c r="G103" i="14"/>
  <c r="F103" i="14"/>
  <c r="E103" i="14"/>
  <c r="D103" i="14"/>
  <c r="Y102" i="14"/>
  <c r="X102" i="14"/>
  <c r="W102" i="14"/>
  <c r="V102" i="14"/>
  <c r="U102" i="14"/>
  <c r="T102" i="14"/>
  <c r="S102" i="14"/>
  <c r="R102" i="14"/>
  <c r="Q102" i="14"/>
  <c r="P102" i="14"/>
  <c r="O102" i="14"/>
  <c r="N102" i="14"/>
  <c r="M102" i="14"/>
  <c r="L102" i="14"/>
  <c r="K102" i="14"/>
  <c r="I102" i="14"/>
  <c r="G102" i="14"/>
  <c r="F102" i="14"/>
  <c r="E102" i="14"/>
  <c r="Y101" i="14"/>
  <c r="X101" i="14"/>
  <c r="W101" i="14"/>
  <c r="V101" i="14"/>
  <c r="U101" i="14"/>
  <c r="T101" i="14"/>
  <c r="S101" i="14"/>
  <c r="R101" i="14"/>
  <c r="Q101" i="14"/>
  <c r="P101" i="14"/>
  <c r="O101" i="14"/>
  <c r="N101" i="14"/>
  <c r="M101" i="14"/>
  <c r="L101" i="14"/>
  <c r="K101" i="14"/>
  <c r="I101" i="14"/>
  <c r="G101" i="14"/>
  <c r="E101" i="14"/>
  <c r="Y100" i="14"/>
  <c r="X100" i="14"/>
  <c r="W100" i="14"/>
  <c r="V100" i="14"/>
  <c r="U100" i="14"/>
  <c r="T100" i="14"/>
  <c r="S100" i="14"/>
  <c r="R100" i="14"/>
  <c r="P100" i="14"/>
  <c r="O100" i="14"/>
  <c r="N100" i="14"/>
  <c r="M100" i="14"/>
  <c r="L100" i="14"/>
  <c r="K100" i="14"/>
  <c r="I100" i="14"/>
  <c r="G100" i="14"/>
  <c r="E100" i="14"/>
  <c r="Y99" i="14"/>
  <c r="X99" i="14"/>
  <c r="W99" i="14"/>
  <c r="V99" i="14"/>
  <c r="U99" i="14"/>
  <c r="T99" i="14"/>
  <c r="S99" i="14"/>
  <c r="R99" i="14"/>
  <c r="Q99" i="14"/>
  <c r="P99" i="14"/>
  <c r="O99" i="14"/>
  <c r="N99" i="14"/>
  <c r="M99" i="14"/>
  <c r="L99" i="14"/>
  <c r="K99" i="14"/>
  <c r="I99" i="14"/>
  <c r="G99" i="14"/>
  <c r="E99" i="14"/>
  <c r="O98" i="14"/>
  <c r="N98" i="14"/>
  <c r="M98" i="14"/>
  <c r="L98" i="14"/>
  <c r="G98" i="14"/>
  <c r="F98" i="14"/>
  <c r="E98" i="14"/>
  <c r="P97" i="14"/>
  <c r="O97" i="14"/>
  <c r="N97" i="14"/>
  <c r="M97" i="14"/>
  <c r="L97" i="14"/>
  <c r="K97" i="14"/>
  <c r="G97" i="14"/>
  <c r="F97" i="14"/>
  <c r="E97" i="14"/>
  <c r="Y96" i="14"/>
  <c r="X96" i="14"/>
  <c r="W96" i="14"/>
  <c r="V96" i="14"/>
  <c r="U96" i="14"/>
  <c r="T96" i="14"/>
  <c r="S96" i="14"/>
  <c r="R96" i="14"/>
  <c r="Q96" i="14"/>
  <c r="P96" i="14"/>
  <c r="O96" i="14"/>
  <c r="N96" i="14"/>
  <c r="M96" i="14"/>
  <c r="L96" i="14"/>
  <c r="K96" i="14"/>
  <c r="I96" i="14"/>
  <c r="G96" i="14"/>
  <c r="E96" i="14"/>
  <c r="D96" i="14"/>
  <c r="Y95" i="14"/>
  <c r="X95" i="14"/>
  <c r="W95" i="14"/>
  <c r="V95" i="14"/>
  <c r="U95" i="14"/>
  <c r="T95" i="14"/>
  <c r="S95" i="14"/>
  <c r="R95" i="14"/>
  <c r="Q95" i="14"/>
  <c r="P95" i="14"/>
  <c r="O95" i="14"/>
  <c r="N95" i="14"/>
  <c r="M95" i="14"/>
  <c r="L95" i="14"/>
  <c r="K95" i="14"/>
  <c r="I95" i="14"/>
  <c r="G95" i="14"/>
  <c r="E95" i="14"/>
  <c r="D95" i="14"/>
  <c r="E94" i="14"/>
  <c r="AA93" i="14"/>
  <c r="Z93" i="14"/>
  <c r="Y93" i="14"/>
  <c r="X93" i="14"/>
  <c r="W93" i="14"/>
  <c r="V93" i="14"/>
  <c r="U93" i="14"/>
  <c r="T93" i="14"/>
  <c r="S93" i="14"/>
  <c r="R93" i="14"/>
  <c r="Q93" i="14"/>
  <c r="P93" i="14"/>
  <c r="O93" i="14"/>
  <c r="N93" i="14"/>
  <c r="M93" i="14"/>
  <c r="L93" i="14"/>
  <c r="K93" i="14"/>
  <c r="I93" i="14"/>
  <c r="G93" i="14"/>
  <c r="F93" i="14"/>
  <c r="E93" i="14"/>
  <c r="D93" i="14"/>
  <c r="AA92" i="14"/>
  <c r="Z92" i="14"/>
  <c r="Y92" i="14"/>
  <c r="X92" i="14"/>
  <c r="W92" i="14"/>
  <c r="V92" i="14"/>
  <c r="U92" i="14"/>
  <c r="T92" i="14"/>
  <c r="S92" i="14"/>
  <c r="R92" i="14"/>
  <c r="Q92" i="14"/>
  <c r="P92" i="14"/>
  <c r="O92" i="14"/>
  <c r="N92" i="14"/>
  <c r="M92" i="14"/>
  <c r="L92" i="14"/>
  <c r="K92" i="14"/>
  <c r="I92" i="14"/>
  <c r="G92" i="14"/>
  <c r="F92" i="14"/>
  <c r="E92" i="14"/>
  <c r="D92" i="14"/>
  <c r="E91" i="14"/>
  <c r="D91" i="14"/>
  <c r="AA90" i="14"/>
  <c r="Z90" i="14"/>
  <c r="Y90" i="14"/>
  <c r="X90" i="14"/>
  <c r="W90" i="14"/>
  <c r="V90" i="14"/>
  <c r="U90" i="14"/>
  <c r="T90" i="14"/>
  <c r="S90" i="14"/>
  <c r="R90" i="14"/>
  <c r="Q90" i="14"/>
  <c r="P90" i="14"/>
  <c r="O90" i="14"/>
  <c r="N90" i="14"/>
  <c r="M90" i="14"/>
  <c r="L90" i="14"/>
  <c r="K90" i="14"/>
  <c r="I90" i="14"/>
  <c r="G90" i="14"/>
  <c r="F90" i="14"/>
  <c r="E90" i="14"/>
  <c r="D90" i="14"/>
  <c r="Y89" i="14"/>
  <c r="X89" i="14"/>
  <c r="W89" i="14"/>
  <c r="V89" i="14"/>
  <c r="U89" i="14"/>
  <c r="T89" i="14"/>
  <c r="S89" i="14"/>
  <c r="R89" i="14"/>
  <c r="L89" i="14"/>
  <c r="G89" i="14"/>
  <c r="F89" i="14"/>
  <c r="E89" i="14"/>
  <c r="Y88" i="14"/>
  <c r="X88" i="14"/>
  <c r="W88" i="14"/>
  <c r="V88" i="14"/>
  <c r="U88" i="14"/>
  <c r="T88" i="14"/>
  <c r="S88" i="14"/>
  <c r="R88" i="14"/>
  <c r="Q88" i="14"/>
  <c r="O88" i="14"/>
  <c r="N88" i="14"/>
  <c r="M88" i="14"/>
  <c r="L88" i="14"/>
  <c r="G88" i="14"/>
  <c r="F88" i="14"/>
  <c r="E88" i="14"/>
  <c r="Y87" i="14"/>
  <c r="X87" i="14"/>
  <c r="W87" i="14"/>
  <c r="V87" i="14"/>
  <c r="U87" i="14"/>
  <c r="T87" i="14"/>
  <c r="S87" i="14"/>
  <c r="R87" i="14"/>
  <c r="Q87" i="14"/>
  <c r="P87" i="14"/>
  <c r="O87" i="14"/>
  <c r="N87" i="14"/>
  <c r="M87" i="14"/>
  <c r="L87" i="14"/>
  <c r="K87" i="14"/>
  <c r="G87" i="14"/>
  <c r="F87" i="14"/>
  <c r="E87" i="14"/>
  <c r="Y85" i="14"/>
  <c r="X85" i="14"/>
  <c r="W85" i="14"/>
  <c r="V85" i="14"/>
  <c r="U85" i="14"/>
  <c r="T85" i="14"/>
  <c r="S85" i="14"/>
  <c r="R85" i="14"/>
  <c r="P85" i="14"/>
  <c r="O85" i="14"/>
  <c r="N85" i="14"/>
  <c r="M85" i="14"/>
  <c r="L85" i="14"/>
  <c r="K85" i="14"/>
  <c r="I85" i="14"/>
  <c r="G85" i="14"/>
  <c r="F85" i="14"/>
  <c r="E85" i="14"/>
  <c r="D85" i="14"/>
  <c r="C86" i="186" l="1"/>
  <c r="H85" i="186"/>
  <c r="B85" i="186"/>
  <c r="E84" i="186"/>
  <c r="G84" i="186"/>
  <c r="F83" i="186"/>
  <c r="BC19" i="17"/>
  <c r="BB19" i="17"/>
  <c r="B86" i="186" l="1"/>
  <c r="E85" i="186"/>
  <c r="G85" i="186"/>
  <c r="F84" i="186"/>
  <c r="C87" i="186"/>
  <c r="H86" i="186"/>
  <c r="BD19" i="17"/>
  <c r="L29" i="14" s="1"/>
  <c r="BD18" i="17"/>
  <c r="Z29" i="14" l="1"/>
  <c r="AA29" i="14" s="1"/>
  <c r="L44" i="14"/>
  <c r="C88" i="186"/>
  <c r="H87" i="186"/>
  <c r="F85" i="186"/>
  <c r="B87" i="186"/>
  <c r="E86" i="186"/>
  <c r="G86" i="186"/>
  <c r="CD26" i="17"/>
  <c r="CD25" i="17"/>
  <c r="CD24" i="17"/>
  <c r="CD18" i="17"/>
  <c r="P40" i="14" s="1"/>
  <c r="CD28" i="17" l="1"/>
  <c r="P14" i="14" s="1"/>
  <c r="F86" i="186"/>
  <c r="B88" i="186"/>
  <c r="E87" i="186"/>
  <c r="G87" i="186"/>
  <c r="C89" i="186"/>
  <c r="H88" i="186"/>
  <c r="Z113" i="14"/>
  <c r="P15" i="14" l="1"/>
  <c r="CC1" i="17" s="1"/>
  <c r="P24" i="14"/>
  <c r="P44" i="14" s="1"/>
  <c r="P17" i="14"/>
  <c r="P88" i="14"/>
  <c r="C90" i="186"/>
  <c r="H89" i="186"/>
  <c r="B89" i="186"/>
  <c r="E88" i="186"/>
  <c r="G88" i="186"/>
  <c r="F87" i="186"/>
  <c r="P114" i="14"/>
  <c r="CD1" i="17"/>
  <c r="A20" i="17"/>
  <c r="A21" i="17" s="1"/>
  <c r="A22" i="17" s="1"/>
  <c r="A23" i="17" s="1"/>
  <c r="A24" i="17" s="1"/>
  <c r="P98" i="14" l="1"/>
  <c r="B90" i="186"/>
  <c r="E89" i="186"/>
  <c r="G89" i="186"/>
  <c r="F88" i="186"/>
  <c r="C91" i="186"/>
  <c r="H90" i="186"/>
  <c r="A25" i="17"/>
  <c r="A26" i="17" s="1"/>
  <c r="A27" i="17" s="1"/>
  <c r="A28" i="17" s="1"/>
  <c r="A29" i="17" s="1"/>
  <c r="A30" i="17" s="1"/>
  <c r="A31" i="17" s="1"/>
  <c r="A32" i="17" s="1"/>
  <c r="A33" i="17" s="1"/>
  <c r="C92" i="186" l="1"/>
  <c r="H91" i="186"/>
  <c r="F89" i="186"/>
  <c r="B91" i="186"/>
  <c r="E90" i="186"/>
  <c r="G90" i="186"/>
  <c r="D110" i="14"/>
  <c r="C20" i="183"/>
  <c r="E20" i="183" s="1"/>
  <c r="F90" i="186" l="1"/>
  <c r="E91" i="186"/>
  <c r="B92" i="186"/>
  <c r="G91" i="186"/>
  <c r="C93" i="186"/>
  <c r="H92" i="186"/>
  <c r="C94" i="186" l="1"/>
  <c r="H93" i="186"/>
  <c r="F91" i="186"/>
  <c r="B93" i="186"/>
  <c r="E92" i="186"/>
  <c r="G92" i="186"/>
  <c r="BF18" i="17"/>
  <c r="F92" i="186" l="1"/>
  <c r="B94" i="186"/>
  <c r="E93" i="186"/>
  <c r="G93" i="186"/>
  <c r="C95" i="186"/>
  <c r="H94" i="186"/>
  <c r="BF19" i="17"/>
  <c r="BF20" i="17" s="1"/>
  <c r="BF21" i="17" s="1"/>
  <c r="BF22" i="17" s="1"/>
  <c r="BF23" i="17" s="1"/>
  <c r="BF24" i="17" s="1"/>
  <c r="BF25" i="17" s="1"/>
  <c r="BF26" i="17" s="1"/>
  <c r="BF27" i="17" s="1"/>
  <c r="BF28" i="17" s="1"/>
  <c r="BF29" i="17" s="1"/>
  <c r="BF30" i="17" s="1"/>
  <c r="BF31" i="17" s="1"/>
  <c r="BF32" i="17" s="1"/>
  <c r="BF33" i="17" s="1"/>
  <c r="BF34" i="17" s="1"/>
  <c r="BF35" i="17" s="1"/>
  <c r="BF36" i="17" s="1"/>
  <c r="BF37" i="17" s="1"/>
  <c r="BF38" i="17" s="1"/>
  <c r="BF39" i="17" s="1"/>
  <c r="BF40" i="17" s="1"/>
  <c r="BF41" i="17" s="1"/>
  <c r="BF42" i="17" s="1"/>
  <c r="BF43" i="17" s="1"/>
  <c r="BF44" i="17" s="1"/>
  <c r="BF45" i="17" s="1"/>
  <c r="BF46" i="17" s="1"/>
  <c r="BF47" i="17" s="1"/>
  <c r="BF48" i="17" s="1"/>
  <c r="BF49" i="17" s="1"/>
  <c r="BF50" i="17" s="1"/>
  <c r="BF51" i="17" s="1"/>
  <c r="BF52" i="17" s="1"/>
  <c r="BF53" i="17" s="1"/>
  <c r="BF54" i="17" s="1"/>
  <c r="BF55" i="17" s="1"/>
  <c r="BF56" i="17" s="1"/>
  <c r="F93" i="186" l="1"/>
  <c r="C96" i="186"/>
  <c r="H95" i="186"/>
  <c r="B95" i="186"/>
  <c r="E94" i="186"/>
  <c r="G94" i="186"/>
  <c r="F94" i="186" l="1"/>
  <c r="C97" i="186"/>
  <c r="H96" i="186"/>
  <c r="E95" i="186"/>
  <c r="B96" i="186"/>
  <c r="G95" i="186"/>
  <c r="D115" i="14"/>
  <c r="B97" i="186" l="1"/>
  <c r="E96" i="186"/>
  <c r="G96" i="186"/>
  <c r="C98" i="186"/>
  <c r="H97" i="186"/>
  <c r="F95" i="186"/>
  <c r="A44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1" i="14"/>
  <c r="A20" i="14"/>
  <c r="A14" i="14"/>
  <c r="A13" i="14"/>
  <c r="B11" i="14"/>
  <c r="A11" i="14"/>
  <c r="F96" i="186" l="1"/>
  <c r="C99" i="186"/>
  <c r="H98" i="186"/>
  <c r="B98" i="186"/>
  <c r="E97" i="186"/>
  <c r="G97" i="186"/>
  <c r="F97" i="186" l="1"/>
  <c r="C100" i="186"/>
  <c r="H99" i="186"/>
  <c r="B99" i="186"/>
  <c r="E98" i="186"/>
  <c r="G98" i="186"/>
  <c r="F98" i="186" l="1"/>
  <c r="C101" i="186"/>
  <c r="H100" i="186"/>
  <c r="B100" i="186"/>
  <c r="E99" i="186"/>
  <c r="G99" i="186"/>
  <c r="F99" i="186" l="1"/>
  <c r="C102" i="186"/>
  <c r="H101" i="186"/>
  <c r="B101" i="186"/>
  <c r="E100" i="186"/>
  <c r="G100" i="186"/>
  <c r="F100" i="186" l="1"/>
  <c r="C103" i="186"/>
  <c r="H102" i="186"/>
  <c r="B102" i="186"/>
  <c r="E101" i="186"/>
  <c r="G101" i="186"/>
  <c r="M11" i="17"/>
  <c r="M10" i="17"/>
  <c r="M20" i="17"/>
  <c r="M21" i="17" s="1"/>
  <c r="M22" i="17" s="1"/>
  <c r="S4" i="17"/>
  <c r="S3" i="17"/>
  <c r="S2" i="17"/>
  <c r="K4" i="17"/>
  <c r="K3" i="17"/>
  <c r="K2" i="17"/>
  <c r="BB15" i="17"/>
  <c r="BH15" i="17"/>
  <c r="CN15" i="17" s="1"/>
  <c r="AN18" i="17"/>
  <c r="AN19" i="17" s="1"/>
  <c r="AN20" i="17" s="1"/>
  <c r="AN21" i="17" s="1"/>
  <c r="AN22" i="17" s="1"/>
  <c r="AZ18" i="17"/>
  <c r="AZ19" i="17" s="1"/>
  <c r="CF18" i="17"/>
  <c r="CF19" i="17" s="1"/>
  <c r="CF20" i="17" s="1"/>
  <c r="CF21" i="17" s="1"/>
  <c r="CF22" i="17" s="1"/>
  <c r="CL18" i="17"/>
  <c r="CL19" i="17" s="1"/>
  <c r="CL20" i="17" s="1"/>
  <c r="CL21" i="17" s="1"/>
  <c r="CL22" i="17" s="1"/>
  <c r="CP18" i="17"/>
  <c r="CR18" i="17"/>
  <c r="CR19" i="17" s="1"/>
  <c r="CR20" i="17" s="1"/>
  <c r="CR21" i="17" s="1"/>
  <c r="CR22" i="17" s="1"/>
  <c r="G11" i="17"/>
  <c r="G10" i="17"/>
  <c r="G20" i="17"/>
  <c r="G21" i="17" s="1"/>
  <c r="G22" i="17" s="1"/>
  <c r="K32" i="17"/>
  <c r="C32" i="17" l="1"/>
  <c r="C66" i="17" s="1"/>
  <c r="K66" i="17"/>
  <c r="C104" i="186"/>
  <c r="H103" i="186"/>
  <c r="F101" i="186"/>
  <c r="B103" i="186"/>
  <c r="E102" i="186"/>
  <c r="G102" i="186"/>
  <c r="M23" i="17"/>
  <c r="M24" i="17"/>
  <c r="M25" i="17" s="1"/>
  <c r="M26" i="17" s="1"/>
  <c r="M27" i="17" s="1"/>
  <c r="M28" i="17" s="1"/>
  <c r="M29" i="17" s="1"/>
  <c r="M30" i="17" s="1"/>
  <c r="M31" i="17" s="1"/>
  <c r="M32" i="17" s="1"/>
  <c r="G24" i="17"/>
  <c r="G23" i="17"/>
  <c r="BD1" i="17"/>
  <c r="G25" i="17"/>
  <c r="G26" i="17" s="1"/>
  <c r="G27" i="17" s="1"/>
  <c r="G28" i="17" s="1"/>
  <c r="G29" i="17" s="1"/>
  <c r="G30" i="17" s="1"/>
  <c r="G31" i="17" s="1"/>
  <c r="G32" i="17" s="1"/>
  <c r="BT15" i="17"/>
  <c r="DB23" i="17"/>
  <c r="A9" i="182"/>
  <c r="F102" i="186" l="1"/>
  <c r="B104" i="186"/>
  <c r="E103" i="186"/>
  <c r="G103" i="186"/>
  <c r="C105" i="186"/>
  <c r="H104" i="186"/>
  <c r="L103" i="14"/>
  <c r="A10" i="182"/>
  <c r="C106" i="186" l="1"/>
  <c r="H105" i="186"/>
  <c r="B105" i="186"/>
  <c r="E104" i="186"/>
  <c r="G104" i="186"/>
  <c r="F103" i="186"/>
  <c r="A11" i="182"/>
  <c r="A17" i="14"/>
  <c r="B106" i="186" l="1"/>
  <c r="E105" i="186"/>
  <c r="G105" i="186"/>
  <c r="C107" i="186"/>
  <c r="H106" i="186"/>
  <c r="F104" i="186"/>
  <c r="A12" i="182"/>
  <c r="F105" i="186" l="1"/>
  <c r="B107" i="186"/>
  <c r="E106" i="186"/>
  <c r="G106" i="186"/>
  <c r="C108" i="186"/>
  <c r="H107" i="186"/>
  <c r="C109" i="186" l="1"/>
  <c r="H108" i="186"/>
  <c r="E107" i="186"/>
  <c r="B108" i="186"/>
  <c r="G107" i="186"/>
  <c r="F106" i="186"/>
  <c r="B109" i="186" l="1"/>
  <c r="E108" i="186"/>
  <c r="G108" i="186"/>
  <c r="C110" i="186"/>
  <c r="H109" i="186"/>
  <c r="F107" i="186"/>
  <c r="C111" i="186" l="1"/>
  <c r="H110" i="186"/>
  <c r="F108" i="186"/>
  <c r="B110" i="186"/>
  <c r="E109" i="186"/>
  <c r="G109" i="186"/>
  <c r="D22" i="167"/>
  <c r="C22" i="167"/>
  <c r="C21" i="167"/>
  <c r="C23" i="167" s="1"/>
  <c r="C19" i="167"/>
  <c r="E18" i="167"/>
  <c r="D21" i="167"/>
  <c r="A19" i="167"/>
  <c r="A20" i="167" s="1"/>
  <c r="A21" i="167" s="1"/>
  <c r="A22" i="167" s="1"/>
  <c r="A23" i="167" s="1"/>
  <c r="A18" i="167"/>
  <c r="F109" i="186" l="1"/>
  <c r="C112" i="186"/>
  <c r="H111" i="186"/>
  <c r="B111" i="186"/>
  <c r="E110" i="186"/>
  <c r="G110" i="186"/>
  <c r="E22" i="167"/>
  <c r="E17" i="167"/>
  <c r="E21" i="167" s="1"/>
  <c r="E23" i="167" s="1"/>
  <c r="F110" i="186" l="1"/>
  <c r="C113" i="186"/>
  <c r="H112" i="186"/>
  <c r="E111" i="186"/>
  <c r="B112" i="186"/>
  <c r="G111" i="186"/>
  <c r="E19" i="167"/>
  <c r="B113" i="186" l="1"/>
  <c r="E112" i="186"/>
  <c r="G112" i="186"/>
  <c r="C114" i="186"/>
  <c r="H113" i="186"/>
  <c r="F111" i="186"/>
  <c r="F112" i="186" l="1"/>
  <c r="C115" i="186"/>
  <c r="H114" i="186"/>
  <c r="B114" i="186"/>
  <c r="E113" i="186"/>
  <c r="G113" i="186"/>
  <c r="A11" i="17"/>
  <c r="A10" i="17"/>
  <c r="D5" i="14"/>
  <c r="AB10" i="17" l="1"/>
  <c r="DD10" i="17"/>
  <c r="AB11" i="17"/>
  <c r="DD11" i="17"/>
  <c r="F113" i="186"/>
  <c r="C116" i="186"/>
  <c r="H115" i="186"/>
  <c r="E114" i="186"/>
  <c r="B115" i="186"/>
  <c r="G114" i="186"/>
  <c r="E115" i="186" l="1"/>
  <c r="B116" i="186"/>
  <c r="G115" i="186"/>
  <c r="F114" i="186"/>
  <c r="C117" i="186"/>
  <c r="H116" i="186"/>
  <c r="C118" i="186" l="1"/>
  <c r="H117" i="186"/>
  <c r="B117" i="186"/>
  <c r="E116" i="186"/>
  <c r="G116" i="186"/>
  <c r="F115" i="186"/>
  <c r="E117" i="186" l="1"/>
  <c r="B118" i="186"/>
  <c r="G117" i="186"/>
  <c r="F116" i="186"/>
  <c r="C119" i="186"/>
  <c r="H118" i="186"/>
  <c r="E118" i="186" l="1"/>
  <c r="B119" i="186"/>
  <c r="G118" i="186"/>
  <c r="C120" i="186"/>
  <c r="H119" i="186"/>
  <c r="F117" i="186"/>
  <c r="E119" i="186" l="1"/>
  <c r="B120" i="186"/>
  <c r="G119" i="186"/>
  <c r="C121" i="186"/>
  <c r="H120" i="186"/>
  <c r="F118" i="186"/>
  <c r="C122" i="186" l="1"/>
  <c r="H121" i="186"/>
  <c r="F119" i="186"/>
  <c r="B121" i="186"/>
  <c r="E120" i="186"/>
  <c r="G120" i="186"/>
  <c r="E121" i="186" l="1"/>
  <c r="B122" i="186"/>
  <c r="G121" i="186"/>
  <c r="F120" i="186"/>
  <c r="C123" i="186"/>
  <c r="H122" i="186"/>
  <c r="U98" i="14"/>
  <c r="V97" i="14"/>
  <c r="W94" i="14"/>
  <c r="T98" i="14"/>
  <c r="U97" i="14"/>
  <c r="V94" i="14"/>
  <c r="Y98" i="14"/>
  <c r="Q98" i="14"/>
  <c r="S94" i="14"/>
  <c r="X98" i="14"/>
  <c r="X94" i="14"/>
  <c r="S98" i="14"/>
  <c r="T97" i="14"/>
  <c r="U94" i="14"/>
  <c r="W98" i="14"/>
  <c r="R98" i="14"/>
  <c r="S97" i="14"/>
  <c r="T94" i="14"/>
  <c r="R94" i="14"/>
  <c r="V98" i="14"/>
  <c r="R97" i="14"/>
  <c r="Y97" i="14"/>
  <c r="Y94" i="14"/>
  <c r="X97" i="14"/>
  <c r="W97" i="14"/>
  <c r="D94" i="14"/>
  <c r="C124" i="186" l="1"/>
  <c r="H123" i="186"/>
  <c r="B123" i="186"/>
  <c r="E122" i="186"/>
  <c r="G122" i="186"/>
  <c r="F121" i="186"/>
  <c r="Q97" i="14"/>
  <c r="P94" i="14"/>
  <c r="P91" i="14"/>
  <c r="W91" i="14"/>
  <c r="W118" i="14"/>
  <c r="F122" i="186" l="1"/>
  <c r="C125" i="186"/>
  <c r="H124" i="186"/>
  <c r="B124" i="186"/>
  <c r="E123" i="186"/>
  <c r="G123" i="186"/>
  <c r="B125" i="186" l="1"/>
  <c r="E124" i="186"/>
  <c r="G124" i="186"/>
  <c r="F123" i="186"/>
  <c r="C126" i="186"/>
  <c r="H125" i="186"/>
  <c r="C127" i="186" l="1"/>
  <c r="H126" i="186"/>
  <c r="F124" i="186"/>
  <c r="B126" i="186"/>
  <c r="E125" i="186"/>
  <c r="G125" i="186"/>
  <c r="F125" i="186" l="1"/>
  <c r="B127" i="186"/>
  <c r="E126" i="186"/>
  <c r="G126" i="186"/>
  <c r="C128" i="186"/>
  <c r="H127" i="186"/>
  <c r="BF11" i="17"/>
  <c r="BF10" i="17"/>
  <c r="BF9" i="17"/>
  <c r="B128" i="186" l="1"/>
  <c r="E127" i="186"/>
  <c r="G127" i="186"/>
  <c r="C129" i="186"/>
  <c r="H128" i="186"/>
  <c r="F126" i="186"/>
  <c r="C130" i="186" l="1"/>
  <c r="H129" i="186"/>
  <c r="F127" i="186"/>
  <c r="B129" i="186"/>
  <c r="E128" i="186"/>
  <c r="G128" i="186"/>
  <c r="B130" i="186" l="1"/>
  <c r="E129" i="186"/>
  <c r="G129" i="186"/>
  <c r="F128" i="186"/>
  <c r="C131" i="186"/>
  <c r="H130" i="186"/>
  <c r="C132" i="186" l="1"/>
  <c r="H131" i="186"/>
  <c r="F129" i="186"/>
  <c r="B131" i="186"/>
  <c r="E130" i="186"/>
  <c r="G130" i="186"/>
  <c r="CN31" i="17"/>
  <c r="CN23" i="17"/>
  <c r="F130" i="186" l="1"/>
  <c r="C133" i="186"/>
  <c r="H132" i="186"/>
  <c r="B132" i="186"/>
  <c r="E131" i="186"/>
  <c r="G131" i="186"/>
  <c r="CP28" i="17"/>
  <c r="CP26" i="17"/>
  <c r="C134" i="186" l="1"/>
  <c r="H133" i="186"/>
  <c r="F131" i="186"/>
  <c r="B133" i="186"/>
  <c r="E132" i="186"/>
  <c r="G132" i="186"/>
  <c r="F132" i="186" l="1"/>
  <c r="B134" i="186"/>
  <c r="E133" i="186"/>
  <c r="G133" i="186"/>
  <c r="C135" i="186"/>
  <c r="H134" i="186"/>
  <c r="I94" i="14"/>
  <c r="F133" i="186" l="1"/>
  <c r="C136" i="186"/>
  <c r="H135" i="186"/>
  <c r="B135" i="186"/>
  <c r="E134" i="186"/>
  <c r="G134" i="186"/>
  <c r="G94" i="14"/>
  <c r="G91" i="14"/>
  <c r="M94" i="14"/>
  <c r="M91" i="14"/>
  <c r="N94" i="14"/>
  <c r="N91" i="14"/>
  <c r="Y118" i="14"/>
  <c r="V91" i="14"/>
  <c r="X91" i="14"/>
  <c r="X118" i="14"/>
  <c r="Y91" i="14"/>
  <c r="F134" i="186" l="1"/>
  <c r="C137" i="186"/>
  <c r="H136" i="186"/>
  <c r="B136" i="186"/>
  <c r="E135" i="186"/>
  <c r="G135" i="186"/>
  <c r="V118" i="14"/>
  <c r="F135" i="186" l="1"/>
  <c r="C138" i="186"/>
  <c r="H137" i="186"/>
  <c r="B137" i="186"/>
  <c r="E136" i="186"/>
  <c r="G136" i="186"/>
  <c r="CX11" i="17"/>
  <c r="CX10" i="17"/>
  <c r="CX9" i="17"/>
  <c r="CR11" i="17"/>
  <c r="CR10" i="17"/>
  <c r="CR9" i="17"/>
  <c r="CL11" i="17"/>
  <c r="CL10" i="17"/>
  <c r="CL9" i="17"/>
  <c r="CF11" i="17"/>
  <c r="CF10" i="17"/>
  <c r="CF9" i="17"/>
  <c r="BZ11" i="17"/>
  <c r="BZ10" i="17"/>
  <c r="BZ9" i="17"/>
  <c r="BR11" i="17"/>
  <c r="BR10" i="17"/>
  <c r="BR9" i="17"/>
  <c r="BL11" i="17"/>
  <c r="BL10" i="17"/>
  <c r="BL9" i="17"/>
  <c r="AZ11" i="17"/>
  <c r="AZ10" i="17"/>
  <c r="AZ9" i="17"/>
  <c r="AT11" i="17"/>
  <c r="AT10" i="17"/>
  <c r="AT9" i="17"/>
  <c r="AH11" i="17"/>
  <c r="AH10" i="17"/>
  <c r="AH9" i="17"/>
  <c r="AN11" i="17"/>
  <c r="AN10" i="17"/>
  <c r="AN9" i="17"/>
  <c r="U11" i="17"/>
  <c r="U10" i="17"/>
  <c r="U9" i="17"/>
  <c r="F136" i="186" l="1"/>
  <c r="C139" i="186"/>
  <c r="H138" i="186"/>
  <c r="B138" i="186"/>
  <c r="E137" i="186"/>
  <c r="G137" i="186"/>
  <c r="F137" i="186" l="1"/>
  <c r="C140" i="186"/>
  <c r="H139" i="186"/>
  <c r="B139" i="186"/>
  <c r="E138" i="186"/>
  <c r="G138" i="186"/>
  <c r="F138" i="186" l="1"/>
  <c r="C141" i="186"/>
  <c r="H140" i="186"/>
  <c r="E139" i="186"/>
  <c r="B140" i="186"/>
  <c r="G139" i="186"/>
  <c r="B141" i="186" l="1"/>
  <c r="E140" i="186"/>
  <c r="G140" i="186"/>
  <c r="C142" i="186"/>
  <c r="H141" i="186"/>
  <c r="F139" i="186"/>
  <c r="F140" i="186" l="1"/>
  <c r="C143" i="186"/>
  <c r="H142" i="186"/>
  <c r="B142" i="186"/>
  <c r="E141" i="186"/>
  <c r="G141" i="186"/>
  <c r="DB4" i="17"/>
  <c r="CV4" i="17"/>
  <c r="CP4" i="17"/>
  <c r="CJ4" i="17"/>
  <c r="CD4" i="17"/>
  <c r="BX4" i="17"/>
  <c r="BP4" i="17"/>
  <c r="BJ4" i="17"/>
  <c r="BD4" i="17"/>
  <c r="AX4" i="17"/>
  <c r="AL4" i="17"/>
  <c r="AR4" i="17"/>
  <c r="Z4" i="17"/>
  <c r="DB3" i="17"/>
  <c r="CV3" i="17"/>
  <c r="CP3" i="17"/>
  <c r="CJ3" i="17"/>
  <c r="CD3" i="17"/>
  <c r="BX3" i="17"/>
  <c r="BP3" i="17"/>
  <c r="BJ3" i="17"/>
  <c r="BD3" i="17"/>
  <c r="AX3" i="17"/>
  <c r="AL3" i="17"/>
  <c r="AR3" i="17"/>
  <c r="Z3" i="17"/>
  <c r="DB2" i="17"/>
  <c r="CV2" i="17"/>
  <c r="CP2" i="17"/>
  <c r="CJ2" i="17"/>
  <c r="CD2" i="17"/>
  <c r="BX2" i="17"/>
  <c r="BP2" i="17"/>
  <c r="BJ2" i="17"/>
  <c r="BD2" i="17"/>
  <c r="AX2" i="17"/>
  <c r="AL2" i="17"/>
  <c r="AR2" i="17"/>
  <c r="Z2" i="17"/>
  <c r="F141" i="186" l="1"/>
  <c r="C144" i="186"/>
  <c r="H143" i="186"/>
  <c r="B143" i="186"/>
  <c r="E142" i="186"/>
  <c r="G142" i="186"/>
  <c r="C145" i="186" l="1"/>
  <c r="H144" i="186"/>
  <c r="F142" i="186"/>
  <c r="B144" i="186"/>
  <c r="E143" i="186"/>
  <c r="G143" i="186"/>
  <c r="AP28" i="17"/>
  <c r="B145" i="186" l="1"/>
  <c r="E144" i="186"/>
  <c r="G144" i="186"/>
  <c r="F143" i="186"/>
  <c r="C146" i="186"/>
  <c r="H145" i="186"/>
  <c r="C147" i="186" l="1"/>
  <c r="H146" i="186"/>
  <c r="F144" i="186"/>
  <c r="B146" i="186"/>
  <c r="E145" i="186"/>
  <c r="G145" i="186"/>
  <c r="CL23" i="17"/>
  <c r="CL24" i="17" s="1"/>
  <c r="CL25" i="17" s="1"/>
  <c r="CL26" i="17" s="1"/>
  <c r="CL27" i="17" s="1"/>
  <c r="CL28" i="17" s="1"/>
  <c r="CL29" i="17" s="1"/>
  <c r="CL30" i="17" s="1"/>
  <c r="CL31" i="17" s="1"/>
  <c r="CF23" i="17"/>
  <c r="CF24" i="17" s="1"/>
  <c r="CF25" i="17" s="1"/>
  <c r="F145" i="186" l="1"/>
  <c r="B147" i="186"/>
  <c r="E146" i="186"/>
  <c r="G146" i="186"/>
  <c r="C148" i="186"/>
  <c r="H147" i="186"/>
  <c r="U91" i="14"/>
  <c r="C149" i="186" l="1"/>
  <c r="H148" i="186"/>
  <c r="B148" i="186"/>
  <c r="E147" i="186"/>
  <c r="G147" i="186"/>
  <c r="F146" i="186"/>
  <c r="F147" i="186" l="1"/>
  <c r="C150" i="186"/>
  <c r="H149" i="186"/>
  <c r="B149" i="186"/>
  <c r="E148" i="186"/>
  <c r="G148" i="186"/>
  <c r="N89" i="14"/>
  <c r="G4" i="14"/>
  <c r="AA91" i="14"/>
  <c r="K4" i="14" l="1"/>
  <c r="Z7" i="17"/>
  <c r="AR7" i="17"/>
  <c r="F148" i="186"/>
  <c r="C151" i="186"/>
  <c r="H150" i="186"/>
  <c r="B150" i="186"/>
  <c r="E149" i="186"/>
  <c r="G149" i="186"/>
  <c r="B151" i="186" l="1"/>
  <c r="E150" i="186"/>
  <c r="G150" i="186"/>
  <c r="F149" i="186"/>
  <c r="C152" i="186"/>
  <c r="H151" i="186"/>
  <c r="L4" i="14" l="1"/>
  <c r="AX7" i="17"/>
  <c r="C153" i="186"/>
  <c r="H152" i="186"/>
  <c r="F150" i="186"/>
  <c r="B152" i="186"/>
  <c r="E151" i="186"/>
  <c r="G151" i="186"/>
  <c r="P89" i="14"/>
  <c r="M4" i="14" l="1"/>
  <c r="BD7" i="17"/>
  <c r="F151" i="186"/>
  <c r="B153" i="186"/>
  <c r="E152" i="186"/>
  <c r="G152" i="186"/>
  <c r="C154" i="186"/>
  <c r="H153" i="186"/>
  <c r="AN23" i="17"/>
  <c r="AN24" i="17" s="1"/>
  <c r="AN25" i="17" s="1"/>
  <c r="AN26" i="17" s="1"/>
  <c r="AN27" i="17" s="1"/>
  <c r="AN28" i="17" s="1"/>
  <c r="CR23" i="17"/>
  <c r="CR24" i="17" s="1"/>
  <c r="CR25" i="17" s="1"/>
  <c r="CR26" i="17" s="1"/>
  <c r="CR27" i="17" s="1"/>
  <c r="CR28" i="17" s="1"/>
  <c r="CR29" i="17" s="1"/>
  <c r="CY23" i="17"/>
  <c r="N4" i="14" l="1"/>
  <c r="BJ7" i="17"/>
  <c r="F152" i="186"/>
  <c r="C155" i="186"/>
  <c r="H154" i="186"/>
  <c r="B154" i="186"/>
  <c r="E153" i="186"/>
  <c r="G153" i="186"/>
  <c r="F94" i="14"/>
  <c r="F91" i="14"/>
  <c r="N103" i="14"/>
  <c r="O4" i="14" l="1"/>
  <c r="BP7" i="17"/>
  <c r="B155" i="186"/>
  <c r="E154" i="186"/>
  <c r="G154" i="186"/>
  <c r="F153" i="186"/>
  <c r="C156" i="186"/>
  <c r="H155" i="186"/>
  <c r="C37" i="182"/>
  <c r="N118" i="14"/>
  <c r="Q37" i="182" l="1"/>
  <c r="P4" i="14"/>
  <c r="BX7" i="17"/>
  <c r="D17" i="189"/>
  <c r="C157" i="186"/>
  <c r="H156" i="186"/>
  <c r="F154" i="186"/>
  <c r="E155" i="186"/>
  <c r="B156" i="186"/>
  <c r="G155" i="186"/>
  <c r="F37" i="182"/>
  <c r="T37" i="182" s="1"/>
  <c r="G37" i="182"/>
  <c r="U37" i="182" s="1"/>
  <c r="M89" i="14"/>
  <c r="P17" i="189" l="1"/>
  <c r="Q4" i="14"/>
  <c r="R4" i="14" s="1"/>
  <c r="S4" i="14" s="1"/>
  <c r="T4" i="14" s="1"/>
  <c r="U4" i="14" s="1"/>
  <c r="V4" i="14" s="1"/>
  <c r="W4" i="14" s="1"/>
  <c r="X4" i="14" s="1"/>
  <c r="Y4" i="14" s="1"/>
  <c r="CD7" i="17"/>
  <c r="CJ7" i="17" s="1"/>
  <c r="CP7" i="17" s="1"/>
  <c r="D31" i="189"/>
  <c r="B157" i="186"/>
  <c r="E156" i="186"/>
  <c r="G156" i="186"/>
  <c r="F155" i="186"/>
  <c r="C158" i="186"/>
  <c r="H157" i="186"/>
  <c r="M118" i="14"/>
  <c r="P31" i="189" l="1"/>
  <c r="C159" i="186"/>
  <c r="H158" i="186"/>
  <c r="F156" i="186"/>
  <c r="B158" i="186"/>
  <c r="E157" i="186"/>
  <c r="G157" i="186"/>
  <c r="B159" i="186" l="1"/>
  <c r="E158" i="186"/>
  <c r="G158" i="186"/>
  <c r="F157" i="186"/>
  <c r="C160" i="186"/>
  <c r="H159" i="186"/>
  <c r="C161" i="186" l="1"/>
  <c r="H160" i="186"/>
  <c r="F158" i="186"/>
  <c r="B160" i="186"/>
  <c r="E159" i="186"/>
  <c r="G159" i="186"/>
  <c r="Z105" i="14"/>
  <c r="Z103" i="14"/>
  <c r="Z102" i="14"/>
  <c r="F159" i="186" l="1"/>
  <c r="B161" i="186"/>
  <c r="E160" i="186"/>
  <c r="G160" i="186"/>
  <c r="C162" i="186"/>
  <c r="H161" i="186"/>
  <c r="U118" i="14"/>
  <c r="F160" i="186" l="1"/>
  <c r="C163" i="186"/>
  <c r="H162" i="186"/>
  <c r="B162" i="186"/>
  <c r="E161" i="186"/>
  <c r="G161" i="186"/>
  <c r="AA103" i="14"/>
  <c r="C22" i="182"/>
  <c r="Q22" i="182" l="1"/>
  <c r="F161" i="186"/>
  <c r="B163" i="186"/>
  <c r="E162" i="186"/>
  <c r="G162" i="186"/>
  <c r="C164" i="186"/>
  <c r="H163" i="186"/>
  <c r="F22" i="182"/>
  <c r="T22" i="182" s="1"/>
  <c r="C165" i="186" l="1"/>
  <c r="H164" i="186"/>
  <c r="B164" i="186"/>
  <c r="E163" i="186"/>
  <c r="G163" i="186"/>
  <c r="F162" i="186"/>
  <c r="S91" i="14"/>
  <c r="S118" i="14"/>
  <c r="F163" i="186" l="1"/>
  <c r="C166" i="186"/>
  <c r="H165" i="186"/>
  <c r="B165" i="186"/>
  <c r="E164" i="186"/>
  <c r="G164" i="186"/>
  <c r="P118" i="14"/>
  <c r="F164" i="186" l="1"/>
  <c r="C167" i="186"/>
  <c r="H166" i="186"/>
  <c r="B166" i="186"/>
  <c r="E165" i="186"/>
  <c r="G165" i="186"/>
  <c r="O89" i="14"/>
  <c r="B167" i="186" l="1"/>
  <c r="E166" i="186"/>
  <c r="G166" i="186"/>
  <c r="F165" i="186"/>
  <c r="C168" i="186"/>
  <c r="H167" i="186"/>
  <c r="O94" i="14"/>
  <c r="O91" i="14"/>
  <c r="C169" i="186" l="1"/>
  <c r="H168" i="186"/>
  <c r="F166" i="186"/>
  <c r="B168" i="186"/>
  <c r="E167" i="186"/>
  <c r="G167" i="186"/>
  <c r="AR27" i="17"/>
  <c r="F167" i="186" l="1"/>
  <c r="B169" i="186"/>
  <c r="E168" i="186"/>
  <c r="G168" i="186"/>
  <c r="C170" i="186"/>
  <c r="H169" i="186"/>
  <c r="AR28" i="17"/>
  <c r="AQ28" i="17"/>
  <c r="J40" i="14" l="1"/>
  <c r="J114" i="14" s="1"/>
  <c r="C171" i="186"/>
  <c r="H170" i="186"/>
  <c r="F168" i="186"/>
  <c r="B170" i="186"/>
  <c r="E169" i="186"/>
  <c r="G169" i="186"/>
  <c r="AR1" i="17" l="1"/>
  <c r="F169" i="186"/>
  <c r="B171" i="186"/>
  <c r="E170" i="186"/>
  <c r="G170" i="186"/>
  <c r="C172" i="186"/>
  <c r="H171" i="186"/>
  <c r="C173" i="186" l="1"/>
  <c r="H172" i="186"/>
  <c r="E171" i="186"/>
  <c r="B172" i="186"/>
  <c r="G171" i="186"/>
  <c r="F170" i="186"/>
  <c r="F171" i="186" l="1"/>
  <c r="B173" i="186"/>
  <c r="E172" i="186"/>
  <c r="G172" i="186"/>
  <c r="C174" i="186"/>
  <c r="H173" i="186"/>
  <c r="R91" i="14"/>
  <c r="C175" i="186" l="1"/>
  <c r="H174" i="186"/>
  <c r="B174" i="186"/>
  <c r="E173" i="186"/>
  <c r="G173" i="186"/>
  <c r="F172" i="186"/>
  <c r="R118" i="14"/>
  <c r="F173" i="186" l="1"/>
  <c r="C176" i="186"/>
  <c r="H175" i="186"/>
  <c r="B175" i="186"/>
  <c r="E174" i="186"/>
  <c r="G174" i="186"/>
  <c r="CP27" i="17"/>
  <c r="C177" i="186" l="1"/>
  <c r="H176" i="186"/>
  <c r="F174" i="186"/>
  <c r="B176" i="186"/>
  <c r="E175" i="186"/>
  <c r="G175" i="186"/>
  <c r="B4" i="14"/>
  <c r="F175" i="186" l="1"/>
  <c r="B177" i="186"/>
  <c r="E176" i="186"/>
  <c r="G176" i="186"/>
  <c r="C178" i="186"/>
  <c r="H177" i="186"/>
  <c r="L94" i="14"/>
  <c r="L91" i="14"/>
  <c r="L118" i="14"/>
  <c r="C179" i="186" l="1"/>
  <c r="H178" i="186"/>
  <c r="F176" i="186"/>
  <c r="B178" i="186"/>
  <c r="E177" i="186"/>
  <c r="G177" i="186"/>
  <c r="T118" i="14"/>
  <c r="T91" i="14"/>
  <c r="F177" i="186" l="1"/>
  <c r="B179" i="186"/>
  <c r="E178" i="186"/>
  <c r="G178" i="186"/>
  <c r="C180" i="186"/>
  <c r="H179" i="186"/>
  <c r="CP30" i="17"/>
  <c r="CO31" i="17"/>
  <c r="CP29" i="17"/>
  <c r="C181" i="186" l="1"/>
  <c r="H180" i="186"/>
  <c r="B180" i="186"/>
  <c r="E179" i="186"/>
  <c r="G179" i="186"/>
  <c r="F178" i="186"/>
  <c r="CP31" i="17"/>
  <c r="B181" i="186" l="1"/>
  <c r="E180" i="186"/>
  <c r="G180" i="186"/>
  <c r="F179" i="186"/>
  <c r="C182" i="186"/>
  <c r="H181" i="186"/>
  <c r="CO23" i="17"/>
  <c r="C183" i="186" l="1"/>
  <c r="H182" i="186"/>
  <c r="F180" i="186"/>
  <c r="B182" i="186"/>
  <c r="E181" i="186"/>
  <c r="G181" i="186"/>
  <c r="CP23" i="17"/>
  <c r="C184" i="186" l="1"/>
  <c r="H183" i="186"/>
  <c r="F181" i="186"/>
  <c r="E182" i="186"/>
  <c r="B183" i="186"/>
  <c r="G182" i="186"/>
  <c r="B184" i="186" l="1"/>
  <c r="E183" i="186"/>
  <c r="G183" i="186"/>
  <c r="C185" i="186"/>
  <c r="H184" i="186"/>
  <c r="F182" i="186"/>
  <c r="F183" i="186" l="1"/>
  <c r="C186" i="186"/>
  <c r="H185" i="186"/>
  <c r="B185" i="186"/>
  <c r="E184" i="186"/>
  <c r="G184" i="186"/>
  <c r="F184" i="186" l="1"/>
  <c r="C187" i="186"/>
  <c r="H186" i="186"/>
  <c r="E185" i="186"/>
  <c r="B186" i="186"/>
  <c r="G185" i="186"/>
  <c r="B187" i="186" l="1"/>
  <c r="E186" i="186"/>
  <c r="G186" i="186"/>
  <c r="F185" i="186"/>
  <c r="C188" i="186"/>
  <c r="H187" i="186"/>
  <c r="K94" i="14"/>
  <c r="C189" i="186" l="1"/>
  <c r="H188" i="186"/>
  <c r="B188" i="186"/>
  <c r="E187" i="186"/>
  <c r="G187" i="186"/>
  <c r="F186" i="186"/>
  <c r="B189" i="186" l="1"/>
  <c r="E188" i="186"/>
  <c r="G188" i="186"/>
  <c r="F187" i="186"/>
  <c r="C190" i="186"/>
  <c r="H189" i="186"/>
  <c r="F188" i="186" l="1"/>
  <c r="C191" i="186"/>
  <c r="H190" i="186"/>
  <c r="B190" i="186"/>
  <c r="E189" i="186"/>
  <c r="G189" i="186"/>
  <c r="Z91" i="14"/>
  <c r="F189" i="186" l="1"/>
  <c r="E190" i="186"/>
  <c r="B191" i="186"/>
  <c r="G190" i="186"/>
  <c r="C192" i="186"/>
  <c r="H191" i="186"/>
  <c r="C193" i="186" l="1"/>
  <c r="H192" i="186"/>
  <c r="F190" i="186"/>
  <c r="B192" i="186"/>
  <c r="E191" i="186"/>
  <c r="G191" i="186"/>
  <c r="F191" i="186" l="1"/>
  <c r="B193" i="186"/>
  <c r="E192" i="186"/>
  <c r="G192" i="186"/>
  <c r="C194" i="186"/>
  <c r="H193" i="186"/>
  <c r="C195" i="186" l="1"/>
  <c r="H194" i="186"/>
  <c r="F192" i="186"/>
  <c r="E193" i="186"/>
  <c r="B194" i="186"/>
  <c r="G193" i="186"/>
  <c r="D101" i="14"/>
  <c r="C14" i="183"/>
  <c r="F193" i="186" l="1"/>
  <c r="B195" i="186"/>
  <c r="E194" i="186"/>
  <c r="G194" i="186"/>
  <c r="C196" i="186"/>
  <c r="H195" i="186"/>
  <c r="D106" i="14"/>
  <c r="C15" i="183"/>
  <c r="P22" i="183" s="1"/>
  <c r="D109" i="14"/>
  <c r="C197" i="186" l="1"/>
  <c r="H196" i="186"/>
  <c r="B196" i="186"/>
  <c r="E195" i="186"/>
  <c r="G195" i="186"/>
  <c r="F194" i="186"/>
  <c r="D104" i="14"/>
  <c r="D132" i="183"/>
  <c r="E132" i="183" s="1"/>
  <c r="D111" i="14"/>
  <c r="C26" i="183"/>
  <c r="E26" i="183" s="1"/>
  <c r="B197" i="186" l="1"/>
  <c r="E196" i="186"/>
  <c r="G196" i="186"/>
  <c r="F195" i="186"/>
  <c r="C198" i="186"/>
  <c r="H197" i="186"/>
  <c r="D112" i="14"/>
  <c r="D89" i="183"/>
  <c r="E89" i="183" s="1"/>
  <c r="D100" i="14"/>
  <c r="C13" i="183"/>
  <c r="C17" i="183" s="1"/>
  <c r="E17" i="183" s="1"/>
  <c r="D108" i="14"/>
  <c r="C23" i="183"/>
  <c r="E23" i="183" s="1"/>
  <c r="D99" i="14"/>
  <c r="C8" i="183"/>
  <c r="D107" i="14"/>
  <c r="C9" i="183"/>
  <c r="D113" i="14"/>
  <c r="C199" i="186" l="1"/>
  <c r="H198" i="186"/>
  <c r="F196" i="186"/>
  <c r="B198" i="186"/>
  <c r="E197" i="186"/>
  <c r="G197" i="186"/>
  <c r="C10" i="183"/>
  <c r="E10" i="183" s="1"/>
  <c r="F197" i="186" l="1"/>
  <c r="E198" i="186"/>
  <c r="B199" i="186"/>
  <c r="G198" i="186"/>
  <c r="C200" i="186"/>
  <c r="H199" i="186"/>
  <c r="D102" i="14"/>
  <c r="D105" i="14"/>
  <c r="C201" i="186" l="1"/>
  <c r="H200" i="186"/>
  <c r="F198" i="186"/>
  <c r="B200" i="186"/>
  <c r="E199" i="186"/>
  <c r="G199" i="186"/>
  <c r="AA105" i="14"/>
  <c r="C21" i="182"/>
  <c r="C24" i="182"/>
  <c r="AA102" i="14"/>
  <c r="Q24" i="182" l="1"/>
  <c r="Q21" i="182"/>
  <c r="B201" i="186"/>
  <c r="E200" i="186"/>
  <c r="G200" i="186"/>
  <c r="F199" i="186"/>
  <c r="C202" i="186"/>
  <c r="H201" i="186"/>
  <c r="F21" i="182"/>
  <c r="T21" i="182" s="1"/>
  <c r="F24" i="182"/>
  <c r="T24" i="182" s="1"/>
  <c r="C203" i="186" l="1"/>
  <c r="H202" i="186"/>
  <c r="F200" i="186"/>
  <c r="B202" i="186"/>
  <c r="E201" i="186"/>
  <c r="G201" i="186"/>
  <c r="F201" i="186" l="1"/>
  <c r="E202" i="186"/>
  <c r="B203" i="186"/>
  <c r="G202" i="186"/>
  <c r="C204" i="186"/>
  <c r="H203" i="186"/>
  <c r="AA113" i="14"/>
  <c r="C32" i="182"/>
  <c r="Q32" i="182" l="1"/>
  <c r="C205" i="186"/>
  <c r="H204" i="186"/>
  <c r="F202" i="186"/>
  <c r="B204" i="186"/>
  <c r="E203" i="186"/>
  <c r="G203" i="186"/>
  <c r="F32" i="182"/>
  <c r="T32" i="182" s="1"/>
  <c r="F203" i="186" l="1"/>
  <c r="B205" i="186"/>
  <c r="E204" i="186"/>
  <c r="G204" i="186"/>
  <c r="C206" i="186"/>
  <c r="H205" i="186"/>
  <c r="F204" i="186" l="1"/>
  <c r="C207" i="186"/>
  <c r="H206" i="186"/>
  <c r="B206" i="186"/>
  <c r="E205" i="186"/>
  <c r="G205" i="186"/>
  <c r="Q32" i="17" l="1"/>
  <c r="Q66" i="17" s="1"/>
  <c r="F205" i="186"/>
  <c r="C208" i="186"/>
  <c r="H207" i="186"/>
  <c r="B207" i="186"/>
  <c r="E206" i="186"/>
  <c r="G206" i="186"/>
  <c r="Q19" i="17" l="1"/>
  <c r="Q53" i="17" s="1"/>
  <c r="Q25" i="17"/>
  <c r="Q59" i="17" s="1"/>
  <c r="Q20" i="17"/>
  <c r="Q54" i="17" s="1"/>
  <c r="C209" i="186"/>
  <c r="H208" i="186"/>
  <c r="F206" i="186"/>
  <c r="B208" i="186"/>
  <c r="E207" i="186"/>
  <c r="G207" i="186"/>
  <c r="F207" i="186" l="1"/>
  <c r="B209" i="186"/>
  <c r="E208" i="186"/>
  <c r="G208" i="186"/>
  <c r="C210" i="186"/>
  <c r="H209" i="186"/>
  <c r="Q26" i="17" l="1"/>
  <c r="Q60" i="17" s="1"/>
  <c r="Q31" i="17"/>
  <c r="Q65" i="17" s="1"/>
  <c r="F208" i="186"/>
  <c r="C211" i="186"/>
  <c r="H210" i="186"/>
  <c r="B210" i="186"/>
  <c r="E209" i="186"/>
  <c r="G209" i="186"/>
  <c r="S31" i="17" l="1"/>
  <c r="C212" i="186"/>
  <c r="H211" i="186"/>
  <c r="F209" i="186"/>
  <c r="B211" i="186"/>
  <c r="E210" i="186"/>
  <c r="G210" i="186"/>
  <c r="D31" i="17" l="1"/>
  <c r="D65" i="17" s="1"/>
  <c r="S65" i="17"/>
  <c r="B16" i="193"/>
  <c r="B212" i="186"/>
  <c r="E211" i="186"/>
  <c r="G211" i="186"/>
  <c r="F210" i="186"/>
  <c r="C213" i="186"/>
  <c r="H212" i="186"/>
  <c r="C214" i="186" l="1"/>
  <c r="H213" i="186"/>
  <c r="F211" i="186"/>
  <c r="B213" i="186"/>
  <c r="E212" i="186"/>
  <c r="G212" i="186"/>
  <c r="B214" i="186" l="1"/>
  <c r="E213" i="186"/>
  <c r="G213" i="186"/>
  <c r="F212" i="186"/>
  <c r="C215" i="186"/>
  <c r="H214" i="186"/>
  <c r="C216" i="186" l="1"/>
  <c r="H215" i="186"/>
  <c r="F213" i="186"/>
  <c r="B215" i="186"/>
  <c r="E214" i="186"/>
  <c r="G214" i="186"/>
  <c r="F214" i="186" l="1"/>
  <c r="B216" i="186"/>
  <c r="E215" i="186"/>
  <c r="G215" i="186"/>
  <c r="C217" i="186"/>
  <c r="H216" i="186"/>
  <c r="C218" i="186" l="1"/>
  <c r="H217" i="186"/>
  <c r="F215" i="186"/>
  <c r="B217" i="186"/>
  <c r="E216" i="186"/>
  <c r="G216" i="186"/>
  <c r="F216" i="186" l="1"/>
  <c r="B218" i="186"/>
  <c r="E217" i="186"/>
  <c r="G217" i="186"/>
  <c r="C219" i="186"/>
  <c r="H218" i="186"/>
  <c r="C220" i="186" l="1"/>
  <c r="H219" i="186"/>
  <c r="E218" i="186"/>
  <c r="B219" i="186"/>
  <c r="G218" i="186"/>
  <c r="F217" i="186"/>
  <c r="B220" i="186" l="1"/>
  <c r="E219" i="186"/>
  <c r="G219" i="186"/>
  <c r="C221" i="186"/>
  <c r="H220" i="186"/>
  <c r="F218" i="186"/>
  <c r="F219" i="186" l="1"/>
  <c r="C222" i="186"/>
  <c r="H221" i="186"/>
  <c r="B221" i="186"/>
  <c r="E220" i="186"/>
  <c r="G220" i="186"/>
  <c r="F220" i="186" l="1"/>
  <c r="C223" i="186"/>
  <c r="H222" i="186"/>
  <c r="B222" i="186"/>
  <c r="E221" i="186"/>
  <c r="G221" i="186"/>
  <c r="C224" i="186" l="1"/>
  <c r="H223" i="186"/>
  <c r="F221" i="186"/>
  <c r="B223" i="186"/>
  <c r="E222" i="186"/>
  <c r="G222" i="186"/>
  <c r="B224" i="186" l="1"/>
  <c r="E223" i="186"/>
  <c r="G223" i="186"/>
  <c r="F222" i="186"/>
  <c r="C225" i="186"/>
  <c r="H224" i="186"/>
  <c r="F96" i="14"/>
  <c r="C226" i="186" l="1"/>
  <c r="H225" i="186"/>
  <c r="F223" i="186"/>
  <c r="B225" i="186"/>
  <c r="E224" i="186"/>
  <c r="G224" i="186"/>
  <c r="Z96" i="14"/>
  <c r="B226" i="186" l="1"/>
  <c r="E225" i="186"/>
  <c r="G225" i="186"/>
  <c r="F224" i="186"/>
  <c r="C227" i="186"/>
  <c r="H226" i="186"/>
  <c r="AA96" i="14"/>
  <c r="C228" i="186" l="1"/>
  <c r="H227" i="186"/>
  <c r="F225" i="186"/>
  <c r="B227" i="186"/>
  <c r="E226" i="186"/>
  <c r="G226" i="186"/>
  <c r="F226" i="186" l="1"/>
  <c r="B228" i="186"/>
  <c r="E227" i="186"/>
  <c r="G227" i="186"/>
  <c r="C229" i="186"/>
  <c r="H228" i="186"/>
  <c r="C230" i="186" l="1"/>
  <c r="H229" i="186"/>
  <c r="F227" i="186"/>
  <c r="B229" i="186"/>
  <c r="E228" i="186"/>
  <c r="G228" i="186"/>
  <c r="B230" i="186" l="1"/>
  <c r="E229" i="186"/>
  <c r="G229" i="186"/>
  <c r="F228" i="186"/>
  <c r="C231" i="186"/>
  <c r="H230" i="186"/>
  <c r="C232" i="186" l="1"/>
  <c r="H231" i="186"/>
  <c r="F229" i="186"/>
  <c r="B231" i="186"/>
  <c r="E230" i="186"/>
  <c r="G230" i="186"/>
  <c r="F230" i="186" l="1"/>
  <c r="B232" i="186"/>
  <c r="E231" i="186"/>
  <c r="G231" i="186"/>
  <c r="C233" i="186"/>
  <c r="H232" i="186"/>
  <c r="F231" i="186" l="1"/>
  <c r="C234" i="186"/>
  <c r="H233" i="186"/>
  <c r="B233" i="186"/>
  <c r="E232" i="186"/>
  <c r="G232" i="186"/>
  <c r="F232" i="186" l="1"/>
  <c r="C235" i="186"/>
  <c r="H234" i="186"/>
  <c r="B234" i="186"/>
  <c r="E233" i="186"/>
  <c r="G233" i="186"/>
  <c r="E234" i="186" l="1"/>
  <c r="B235" i="186"/>
  <c r="G234" i="186"/>
  <c r="F233" i="186"/>
  <c r="C236" i="186"/>
  <c r="H235" i="186"/>
  <c r="C237" i="186" l="1"/>
  <c r="H236" i="186"/>
  <c r="B236" i="186"/>
  <c r="E235" i="186"/>
  <c r="G235" i="186"/>
  <c r="F234" i="186"/>
  <c r="B237" i="186" l="1"/>
  <c r="E236" i="186"/>
  <c r="G236" i="186"/>
  <c r="F235" i="186"/>
  <c r="C238" i="186"/>
  <c r="H237" i="186"/>
  <c r="C239" i="186" l="1"/>
  <c r="H238" i="186"/>
  <c r="F236" i="186"/>
  <c r="B238" i="186"/>
  <c r="E237" i="186"/>
  <c r="G237" i="186"/>
  <c r="F237" i="186" l="1"/>
  <c r="B239" i="186"/>
  <c r="E238" i="186"/>
  <c r="G238" i="186"/>
  <c r="C240" i="186"/>
  <c r="H239" i="186"/>
  <c r="C241" i="186" l="1"/>
  <c r="H240" i="186"/>
  <c r="B240" i="186"/>
  <c r="E239" i="186"/>
  <c r="G239" i="186"/>
  <c r="F238" i="186"/>
  <c r="B241" i="186" l="1"/>
  <c r="E240" i="186"/>
  <c r="G240" i="186"/>
  <c r="F239" i="186"/>
  <c r="C242" i="186"/>
  <c r="H241" i="186"/>
  <c r="C243" i="186" l="1"/>
  <c r="H242" i="186"/>
  <c r="F240" i="186"/>
  <c r="B242" i="186"/>
  <c r="E241" i="186"/>
  <c r="G241" i="186"/>
  <c r="F241" i="186" l="1"/>
  <c r="B243" i="186"/>
  <c r="E242" i="186"/>
  <c r="G242" i="186"/>
  <c r="C244" i="186"/>
  <c r="H243" i="186"/>
  <c r="C245" i="186" l="1"/>
  <c r="H244" i="186"/>
  <c r="B244" i="186"/>
  <c r="E243" i="186"/>
  <c r="G243" i="186"/>
  <c r="F242" i="186"/>
  <c r="B245" i="186" l="1"/>
  <c r="E244" i="186"/>
  <c r="G244" i="186"/>
  <c r="F243" i="186"/>
  <c r="C246" i="186"/>
  <c r="H245" i="186"/>
  <c r="C247" i="186" l="1"/>
  <c r="H246" i="186"/>
  <c r="F244" i="186"/>
  <c r="B246" i="186"/>
  <c r="E245" i="186"/>
  <c r="G245" i="186"/>
  <c r="F245" i="186" l="1"/>
  <c r="B247" i="186"/>
  <c r="E246" i="186"/>
  <c r="G246" i="186"/>
  <c r="C248" i="186"/>
  <c r="H247" i="186"/>
  <c r="B248" i="186" l="1"/>
  <c r="E247" i="186"/>
  <c r="G247" i="186"/>
  <c r="C249" i="186"/>
  <c r="H248" i="186"/>
  <c r="F246" i="186"/>
  <c r="F247" i="186" l="1"/>
  <c r="C250" i="186"/>
  <c r="H249" i="186"/>
  <c r="B249" i="186"/>
  <c r="E248" i="186"/>
  <c r="G248" i="186"/>
  <c r="C251" i="186" l="1"/>
  <c r="H250" i="186"/>
  <c r="F248" i="186"/>
  <c r="B250" i="186"/>
  <c r="E249" i="186"/>
  <c r="G249" i="186"/>
  <c r="F249" i="186" l="1"/>
  <c r="E250" i="186"/>
  <c r="B251" i="186"/>
  <c r="G250" i="186"/>
  <c r="C252" i="186"/>
  <c r="H251" i="186"/>
  <c r="C253" i="186" l="1"/>
  <c r="H252" i="186"/>
  <c r="F250" i="186"/>
  <c r="B252" i="186"/>
  <c r="E251" i="186"/>
  <c r="G251" i="186"/>
  <c r="B253" i="186" l="1"/>
  <c r="E252" i="186"/>
  <c r="G252" i="186"/>
  <c r="F251" i="186"/>
  <c r="C254" i="186"/>
  <c r="H253" i="186"/>
  <c r="F252" i="186" l="1"/>
  <c r="C255" i="186"/>
  <c r="H254" i="186"/>
  <c r="B254" i="186"/>
  <c r="E253" i="186"/>
  <c r="G253" i="186"/>
  <c r="F253" i="186" l="1"/>
  <c r="B255" i="186"/>
  <c r="E254" i="186"/>
  <c r="G254" i="186"/>
  <c r="C256" i="186"/>
  <c r="H255" i="186"/>
  <c r="C257" i="186" l="1"/>
  <c r="H256" i="186"/>
  <c r="F254" i="186"/>
  <c r="B256" i="186"/>
  <c r="E255" i="186"/>
  <c r="G255" i="186"/>
  <c r="E256" i="186" l="1"/>
  <c r="B257" i="186"/>
  <c r="G256" i="186"/>
  <c r="F255" i="186"/>
  <c r="C258" i="186"/>
  <c r="H257" i="186"/>
  <c r="C259" i="186" l="1"/>
  <c r="H258" i="186"/>
  <c r="E257" i="186"/>
  <c r="B258" i="186"/>
  <c r="G257" i="186"/>
  <c r="F256" i="186"/>
  <c r="B259" i="186" l="1"/>
  <c r="E258" i="186"/>
  <c r="G258" i="186"/>
  <c r="C260" i="186"/>
  <c r="H259" i="186"/>
  <c r="F257" i="186"/>
  <c r="F258" i="186" l="1"/>
  <c r="C261" i="186"/>
  <c r="H260" i="186"/>
  <c r="B260" i="186"/>
  <c r="E259" i="186"/>
  <c r="G259" i="186"/>
  <c r="F259" i="186" l="1"/>
  <c r="C262" i="186"/>
  <c r="H261" i="186"/>
  <c r="E260" i="186"/>
  <c r="B261" i="186"/>
  <c r="G260" i="186"/>
  <c r="B262" i="186" l="1"/>
  <c r="E261" i="186"/>
  <c r="G261" i="186"/>
  <c r="C263" i="186"/>
  <c r="H262" i="186"/>
  <c r="F260" i="186"/>
  <c r="F261" i="186" l="1"/>
  <c r="C264" i="186"/>
  <c r="H263" i="186"/>
  <c r="B263" i="186"/>
  <c r="E262" i="186"/>
  <c r="G262" i="186"/>
  <c r="B264" i="186" l="1"/>
  <c r="E263" i="186"/>
  <c r="G263" i="186"/>
  <c r="F262" i="186"/>
  <c r="C265" i="186"/>
  <c r="H264" i="186"/>
  <c r="C266" i="186" l="1"/>
  <c r="H265" i="186"/>
  <c r="F263" i="186"/>
  <c r="B265" i="186"/>
  <c r="E264" i="186"/>
  <c r="G264" i="186"/>
  <c r="F264" i="186" l="1"/>
  <c r="E265" i="186"/>
  <c r="B266" i="186"/>
  <c r="G265" i="186"/>
  <c r="C267" i="186"/>
  <c r="H266" i="186"/>
  <c r="F265" i="186" l="1"/>
  <c r="C268" i="186"/>
  <c r="H267" i="186"/>
  <c r="B267" i="186"/>
  <c r="E266" i="186"/>
  <c r="G266" i="186"/>
  <c r="F266" i="186" l="1"/>
  <c r="C269" i="186"/>
  <c r="H268" i="186"/>
  <c r="B268" i="186"/>
  <c r="E267" i="186"/>
  <c r="G267" i="186"/>
  <c r="E268" i="186" l="1"/>
  <c r="B269" i="186"/>
  <c r="G268" i="186"/>
  <c r="F267" i="186"/>
  <c r="C270" i="186"/>
  <c r="H269" i="186"/>
  <c r="C271" i="186" l="1"/>
  <c r="H270" i="186"/>
  <c r="B270" i="186"/>
  <c r="E269" i="186"/>
  <c r="G269" i="186"/>
  <c r="F268" i="186"/>
  <c r="F269" i="186" l="1"/>
  <c r="C272" i="186"/>
  <c r="H271" i="186"/>
  <c r="B271" i="186"/>
  <c r="E270" i="186"/>
  <c r="G270" i="186"/>
  <c r="C273" i="186" l="1"/>
  <c r="H272" i="186"/>
  <c r="B272" i="186"/>
  <c r="E271" i="186"/>
  <c r="G271" i="186"/>
  <c r="F270" i="186"/>
  <c r="B273" i="186" l="1"/>
  <c r="E272" i="186"/>
  <c r="G272" i="186"/>
  <c r="F271" i="186"/>
  <c r="C274" i="186"/>
  <c r="H273" i="186"/>
  <c r="C275" i="186" l="1"/>
  <c r="H274" i="186"/>
  <c r="B274" i="186"/>
  <c r="E273" i="186"/>
  <c r="G273" i="186"/>
  <c r="F272" i="186"/>
  <c r="F273" i="186" l="1"/>
  <c r="C276" i="186"/>
  <c r="H275" i="186"/>
  <c r="B275" i="186"/>
  <c r="E274" i="186"/>
  <c r="G274" i="186"/>
  <c r="F274" i="186" l="1"/>
  <c r="C277" i="186"/>
  <c r="H276" i="186"/>
  <c r="B276" i="186"/>
  <c r="E275" i="186"/>
  <c r="G275" i="186"/>
  <c r="B277" i="186" l="1"/>
  <c r="E276" i="186"/>
  <c r="G276" i="186"/>
  <c r="C278" i="186"/>
  <c r="H277" i="186"/>
  <c r="F275" i="186"/>
  <c r="F276" i="186" l="1"/>
  <c r="C279" i="186"/>
  <c r="H278" i="186"/>
  <c r="B278" i="186"/>
  <c r="E277" i="186"/>
  <c r="G277" i="186"/>
  <c r="F277" i="186" l="1"/>
  <c r="C280" i="186"/>
  <c r="H279" i="186"/>
  <c r="B279" i="186"/>
  <c r="E278" i="186"/>
  <c r="G278" i="186"/>
  <c r="B280" i="186" l="1"/>
  <c r="E279" i="186"/>
  <c r="G279" i="186"/>
  <c r="C281" i="186"/>
  <c r="H280" i="186"/>
  <c r="F278" i="186"/>
  <c r="F279" i="186" l="1"/>
  <c r="B281" i="186"/>
  <c r="E280" i="186"/>
  <c r="G280" i="186"/>
  <c r="C282" i="186"/>
  <c r="H281" i="186"/>
  <c r="C283" i="186" l="1"/>
  <c r="H282" i="186"/>
  <c r="B282" i="186"/>
  <c r="E281" i="186"/>
  <c r="G281" i="186"/>
  <c r="F280" i="186"/>
  <c r="F281" i="186" l="1"/>
  <c r="C284" i="186"/>
  <c r="H283" i="186"/>
  <c r="B283" i="186"/>
  <c r="E282" i="186"/>
  <c r="G282" i="186"/>
  <c r="C285" i="186" l="1"/>
  <c r="H284" i="186"/>
  <c r="F282" i="186"/>
  <c r="B284" i="186"/>
  <c r="E283" i="186"/>
  <c r="G283" i="186"/>
  <c r="F283" i="186" l="1"/>
  <c r="B285" i="186"/>
  <c r="E284" i="186"/>
  <c r="G284" i="186"/>
  <c r="C286" i="186"/>
  <c r="H285" i="186"/>
  <c r="C287" i="186" l="1"/>
  <c r="H286" i="186"/>
  <c r="E285" i="186"/>
  <c r="B286" i="186"/>
  <c r="G285" i="186"/>
  <c r="F284" i="186"/>
  <c r="B287" i="186" l="1"/>
  <c r="E286" i="186"/>
  <c r="G286" i="186"/>
  <c r="C288" i="186"/>
  <c r="H287" i="186"/>
  <c r="F285" i="186"/>
  <c r="F286" i="186" l="1"/>
  <c r="C289" i="186"/>
  <c r="H288" i="186"/>
  <c r="B288" i="186"/>
  <c r="E287" i="186"/>
  <c r="G287" i="186"/>
  <c r="F287" i="186" l="1"/>
  <c r="C290" i="186"/>
  <c r="H289" i="186"/>
  <c r="E288" i="186"/>
  <c r="B289" i="186"/>
  <c r="G288" i="186"/>
  <c r="E289" i="186" l="1"/>
  <c r="B290" i="186"/>
  <c r="G289" i="186"/>
  <c r="C291" i="186"/>
  <c r="H290" i="186"/>
  <c r="F288" i="186"/>
  <c r="B291" i="186" l="1"/>
  <c r="E290" i="186"/>
  <c r="G290" i="186"/>
  <c r="F289" i="186"/>
  <c r="C292" i="186"/>
  <c r="K301" i="186"/>
  <c r="H291" i="186"/>
  <c r="C293" i="186" l="1"/>
  <c r="H292" i="186"/>
  <c r="F290" i="186"/>
  <c r="J301" i="186"/>
  <c r="E291" i="186"/>
  <c r="B292" i="186"/>
  <c r="G291" i="186"/>
  <c r="F291" i="186" l="1"/>
  <c r="C294" i="186"/>
  <c r="H293" i="186"/>
  <c r="E292" i="186"/>
  <c r="B293" i="186"/>
  <c r="G292" i="186"/>
  <c r="F292" i="186" l="1"/>
  <c r="E293" i="186"/>
  <c r="B294" i="186"/>
  <c r="G293" i="186"/>
  <c r="C295" i="186"/>
  <c r="H294" i="186"/>
  <c r="C296" i="186" l="1"/>
  <c r="H295" i="186"/>
  <c r="F293" i="186"/>
  <c r="B295" i="186"/>
  <c r="E294" i="186"/>
  <c r="G294" i="186"/>
  <c r="F294" i="186" l="1"/>
  <c r="E295" i="186"/>
  <c r="B296" i="186"/>
  <c r="G295" i="186"/>
  <c r="C297" i="186"/>
  <c r="H296" i="186"/>
  <c r="F295" i="186" l="1"/>
  <c r="C298" i="186"/>
  <c r="H297" i="186"/>
  <c r="E296" i="186"/>
  <c r="B297" i="186"/>
  <c r="G296" i="186"/>
  <c r="C299" i="186" l="1"/>
  <c r="H298" i="186"/>
  <c r="F296" i="186"/>
  <c r="E297" i="186"/>
  <c r="B298" i="186"/>
  <c r="G297" i="186"/>
  <c r="B299" i="186" l="1"/>
  <c r="E298" i="186"/>
  <c r="G298" i="186"/>
  <c r="C300" i="186"/>
  <c r="H299" i="186"/>
  <c r="F297" i="186"/>
  <c r="C301" i="186" l="1"/>
  <c r="H300" i="186"/>
  <c r="F298" i="186"/>
  <c r="B300" i="186"/>
  <c r="E299" i="186"/>
  <c r="G299" i="186"/>
  <c r="F299" i="186" l="1"/>
  <c r="B301" i="186"/>
  <c r="E300" i="186"/>
  <c r="G300" i="186"/>
  <c r="C302" i="186"/>
  <c r="H301" i="186"/>
  <c r="B302" i="186" l="1"/>
  <c r="E301" i="186"/>
  <c r="G301" i="186"/>
  <c r="C303" i="186"/>
  <c r="H302" i="186"/>
  <c r="F300" i="186"/>
  <c r="F301" i="186" l="1"/>
  <c r="K302" i="186"/>
  <c r="K303" i="186" s="1"/>
  <c r="C304" i="186"/>
  <c r="H303" i="186"/>
  <c r="B303" i="186"/>
  <c r="E302" i="186"/>
  <c r="G302" i="186"/>
  <c r="E303" i="186" l="1"/>
  <c r="J302" i="186"/>
  <c r="J303" i="186" s="1"/>
  <c r="B304" i="186"/>
  <c r="G303" i="186"/>
  <c r="C305" i="186"/>
  <c r="H304" i="186"/>
  <c r="F302" i="186"/>
  <c r="B305" i="186" l="1"/>
  <c r="E304" i="186"/>
  <c r="G304" i="186"/>
  <c r="C306" i="186"/>
  <c r="H305" i="186"/>
  <c r="F303" i="186"/>
  <c r="F304" i="186" l="1"/>
  <c r="C307" i="186"/>
  <c r="H306" i="186"/>
  <c r="B306" i="186"/>
  <c r="E305" i="186"/>
  <c r="G305" i="186"/>
  <c r="F305" i="186" l="1"/>
  <c r="C308" i="186"/>
  <c r="H307" i="186"/>
  <c r="B307" i="186"/>
  <c r="E306" i="186"/>
  <c r="G306" i="186"/>
  <c r="F306" i="186" l="1"/>
  <c r="C309" i="186"/>
  <c r="H308" i="186"/>
  <c r="B308" i="186"/>
  <c r="E307" i="186"/>
  <c r="G307" i="186"/>
  <c r="F307" i="186" l="1"/>
  <c r="C310" i="186"/>
  <c r="H309" i="186"/>
  <c r="B309" i="186"/>
  <c r="E308" i="186"/>
  <c r="G308" i="186"/>
  <c r="C311" i="186" l="1"/>
  <c r="H310" i="186"/>
  <c r="F308" i="186"/>
  <c r="E309" i="186"/>
  <c r="B310" i="186"/>
  <c r="G309" i="186"/>
  <c r="E310" i="186" l="1"/>
  <c r="B311" i="186"/>
  <c r="G310" i="186"/>
  <c r="F309" i="186"/>
  <c r="C312" i="186"/>
  <c r="H311" i="186"/>
  <c r="C313" i="186" l="1"/>
  <c r="H312" i="186"/>
  <c r="B312" i="186"/>
  <c r="E311" i="186"/>
  <c r="G311" i="186"/>
  <c r="F310" i="186"/>
  <c r="E312" i="186" l="1"/>
  <c r="B313" i="186"/>
  <c r="G312" i="186"/>
  <c r="F311" i="186"/>
  <c r="C314" i="186"/>
  <c r="H313" i="186"/>
  <c r="C315" i="186" l="1"/>
  <c r="H314" i="186"/>
  <c r="E313" i="186"/>
  <c r="B314" i="186"/>
  <c r="G313" i="186"/>
  <c r="F312" i="186"/>
  <c r="B315" i="186" l="1"/>
  <c r="E314" i="186"/>
  <c r="G314" i="186"/>
  <c r="C316" i="186"/>
  <c r="H315" i="186"/>
  <c r="F313" i="186"/>
  <c r="F314" i="186" l="1"/>
  <c r="C317" i="186"/>
  <c r="H316" i="186"/>
  <c r="B316" i="186"/>
  <c r="E315" i="186"/>
  <c r="G315" i="186"/>
  <c r="F315" i="186" l="1"/>
  <c r="C318" i="186"/>
  <c r="H317" i="186"/>
  <c r="E316" i="186"/>
  <c r="B317" i="186"/>
  <c r="G316" i="186"/>
  <c r="B318" i="186" l="1"/>
  <c r="E317" i="186"/>
  <c r="G317" i="186"/>
  <c r="F316" i="186"/>
  <c r="C319" i="186"/>
  <c r="H318" i="186"/>
  <c r="C320" i="186" l="1"/>
  <c r="H319" i="186"/>
  <c r="F317" i="186"/>
  <c r="E318" i="186"/>
  <c r="B319" i="186"/>
  <c r="G318" i="186"/>
  <c r="B320" i="186" l="1"/>
  <c r="E319" i="186"/>
  <c r="G319" i="186"/>
  <c r="F318" i="186"/>
  <c r="C321" i="186"/>
  <c r="H320" i="186"/>
  <c r="C322" i="186" l="1"/>
  <c r="H321" i="186"/>
  <c r="F319" i="186"/>
  <c r="B321" i="186"/>
  <c r="E320" i="186"/>
  <c r="G320" i="186"/>
  <c r="F320" i="186" l="1"/>
  <c r="E321" i="186"/>
  <c r="B322" i="186"/>
  <c r="G321" i="186"/>
  <c r="C323" i="186"/>
  <c r="H322" i="186"/>
  <c r="C324" i="186" l="1"/>
  <c r="H323" i="186"/>
  <c r="F321" i="186"/>
  <c r="E322" i="186"/>
  <c r="B323" i="186"/>
  <c r="G322" i="186"/>
  <c r="F322" i="186" l="1"/>
  <c r="B324" i="186"/>
  <c r="E323" i="186"/>
  <c r="G323" i="186"/>
  <c r="C325" i="186"/>
  <c r="H324" i="186"/>
  <c r="F323" i="186" l="1"/>
  <c r="C326" i="186"/>
  <c r="H325" i="186"/>
  <c r="E324" i="186"/>
  <c r="B325" i="186"/>
  <c r="G324" i="186"/>
  <c r="F324" i="186" l="1"/>
  <c r="E325" i="186"/>
  <c r="B326" i="186"/>
  <c r="G325" i="186"/>
  <c r="C327" i="186"/>
  <c r="H326" i="186"/>
  <c r="C328" i="186" l="1"/>
  <c r="H327" i="186"/>
  <c r="F325" i="186"/>
  <c r="E326" i="186"/>
  <c r="B327" i="186"/>
  <c r="G326" i="186"/>
  <c r="F326" i="186" l="1"/>
  <c r="C329" i="186"/>
  <c r="H328" i="186"/>
  <c r="B328" i="186"/>
  <c r="E327" i="186"/>
  <c r="G327" i="186"/>
  <c r="F327" i="186" l="1"/>
  <c r="E328" i="186"/>
  <c r="B329" i="186"/>
  <c r="G328" i="186"/>
  <c r="C330" i="186"/>
  <c r="H329" i="186"/>
  <c r="C331" i="186" l="1"/>
  <c r="H330" i="186"/>
  <c r="F328" i="186"/>
  <c r="E329" i="186"/>
  <c r="B330" i="186"/>
  <c r="G329" i="186"/>
  <c r="F329" i="186" l="1"/>
  <c r="B331" i="186"/>
  <c r="E330" i="186"/>
  <c r="G330" i="186"/>
  <c r="C332" i="186"/>
  <c r="H331" i="186"/>
  <c r="C333" i="186" l="1"/>
  <c r="H332" i="186"/>
  <c r="B332" i="186"/>
  <c r="E331" i="186"/>
  <c r="G331" i="186"/>
  <c r="F330" i="186"/>
  <c r="E332" i="186" l="1"/>
  <c r="B333" i="186"/>
  <c r="G332" i="186"/>
  <c r="F331" i="186"/>
  <c r="C334" i="186"/>
  <c r="H333" i="186"/>
  <c r="C335" i="186" l="1"/>
  <c r="H334" i="186"/>
  <c r="B334" i="186"/>
  <c r="E333" i="186"/>
  <c r="G333" i="186"/>
  <c r="F332" i="186"/>
  <c r="F333" i="186" l="1"/>
  <c r="C336" i="186"/>
  <c r="H335" i="186"/>
  <c r="B335" i="186"/>
  <c r="E334" i="186"/>
  <c r="G334" i="186"/>
  <c r="F334" i="186" l="1"/>
  <c r="B336" i="186"/>
  <c r="E335" i="186"/>
  <c r="G335" i="186"/>
  <c r="C337" i="186"/>
  <c r="H336" i="186"/>
  <c r="F335" i="186" l="1"/>
  <c r="C338" i="186"/>
  <c r="H337" i="186"/>
  <c r="B337" i="186"/>
  <c r="E336" i="186"/>
  <c r="G336" i="186"/>
  <c r="C339" i="186" l="1"/>
  <c r="H338" i="186"/>
  <c r="F336" i="186"/>
  <c r="B338" i="186"/>
  <c r="E337" i="186"/>
  <c r="G337" i="186"/>
  <c r="F337" i="186" l="1"/>
  <c r="E338" i="186"/>
  <c r="B339" i="186"/>
  <c r="G338" i="186"/>
  <c r="C340" i="186"/>
  <c r="H339" i="186"/>
  <c r="F338" i="186" l="1"/>
  <c r="C341" i="186"/>
  <c r="H340" i="186"/>
  <c r="B340" i="186"/>
  <c r="E339" i="186"/>
  <c r="G339" i="186"/>
  <c r="C342" i="186" l="1"/>
  <c r="H341" i="186"/>
  <c r="F339" i="186"/>
  <c r="B341" i="186"/>
  <c r="E340" i="186"/>
  <c r="G340" i="186"/>
  <c r="E341" i="186" l="1"/>
  <c r="B342" i="186"/>
  <c r="G341" i="186"/>
  <c r="C343" i="186"/>
  <c r="H342" i="186"/>
  <c r="F340" i="186"/>
  <c r="C344" i="186" l="1"/>
  <c r="H343" i="186"/>
  <c r="E342" i="186"/>
  <c r="B343" i="186"/>
  <c r="G342" i="186"/>
  <c r="F341" i="186"/>
  <c r="B344" i="186" l="1"/>
  <c r="E343" i="186"/>
  <c r="G343" i="186"/>
  <c r="C345" i="186"/>
  <c r="H344" i="186"/>
  <c r="F342" i="186"/>
  <c r="C346" i="186" l="1"/>
  <c r="H345" i="186"/>
  <c r="F343" i="186"/>
  <c r="E344" i="186"/>
  <c r="B345" i="186"/>
  <c r="G344" i="186"/>
  <c r="E345" i="186" l="1"/>
  <c r="B346" i="186"/>
  <c r="G345" i="186"/>
  <c r="C347" i="186"/>
  <c r="H346" i="186"/>
  <c r="F344" i="186"/>
  <c r="C348" i="186" l="1"/>
  <c r="H347" i="186"/>
  <c r="F345" i="186"/>
  <c r="B347" i="186"/>
  <c r="E346" i="186"/>
  <c r="G346" i="186"/>
  <c r="C349" i="186" l="1"/>
  <c r="H348" i="186"/>
  <c r="F346" i="186"/>
  <c r="B348" i="186"/>
  <c r="E347" i="186"/>
  <c r="G347" i="186"/>
  <c r="E348" i="186" l="1"/>
  <c r="B349" i="186"/>
  <c r="G348" i="186"/>
  <c r="C350" i="186"/>
  <c r="H361" i="186" s="1"/>
  <c r="H349" i="186"/>
  <c r="H354" i="186"/>
  <c r="F347" i="186"/>
  <c r="H360" i="186"/>
  <c r="B350" i="186" l="1"/>
  <c r="G361" i="186"/>
  <c r="E349" i="186"/>
  <c r="G349" i="186"/>
  <c r="H362" i="186"/>
  <c r="H350" i="186"/>
  <c r="H351" i="186"/>
  <c r="H352" i="186"/>
  <c r="H353" i="186"/>
  <c r="H359" i="186"/>
  <c r="H357" i="186"/>
  <c r="H356" i="186"/>
  <c r="H355" i="186"/>
  <c r="H358" i="186"/>
  <c r="G356" i="186"/>
  <c r="F348" i="186"/>
  <c r="F349" i="186" l="1"/>
  <c r="G362" i="186"/>
  <c r="E350" i="186"/>
  <c r="G350" i="186"/>
  <c r="G353" i="186"/>
  <c r="G351" i="186"/>
  <c r="G352" i="186"/>
  <c r="G355" i="186"/>
  <c r="G354" i="186"/>
  <c r="G359" i="186"/>
  <c r="G360" i="186"/>
  <c r="G358" i="186"/>
  <c r="G357" i="186"/>
  <c r="F362" i="186" l="1"/>
  <c r="F350" i="186"/>
  <c r="F351" i="186"/>
  <c r="F352" i="186"/>
  <c r="F353" i="186"/>
  <c r="F357" i="186"/>
  <c r="F354" i="186"/>
  <c r="F360" i="186"/>
  <c r="F359" i="186"/>
  <c r="F356" i="186"/>
  <c r="F355" i="186"/>
  <c r="F358" i="186"/>
  <c r="F361" i="186"/>
  <c r="D112" i="184" l="1"/>
  <c r="D114" i="184"/>
  <c r="E112" i="184"/>
  <c r="E114" i="184" l="1"/>
  <c r="D114" i="14"/>
  <c r="AX20" i="17" l="1"/>
  <c r="AX19" i="17" l="1"/>
  <c r="AX22" i="17" s="1"/>
  <c r="K14" i="14" s="1"/>
  <c r="AV22" i="17"/>
  <c r="K15" i="14" l="1"/>
  <c r="K24" i="14"/>
  <c r="K44" i="14" s="1"/>
  <c r="K88" i="14"/>
  <c r="K17" i="14" l="1"/>
  <c r="K91" i="14" s="1"/>
  <c r="AW1" i="17"/>
  <c r="K89" i="14"/>
  <c r="K118" i="14"/>
  <c r="K98" i="14"/>
  <c r="AR19" i="17" l="1"/>
  <c r="AP21" i="17" l="1"/>
  <c r="AR18" i="17"/>
  <c r="AR21" i="17" s="1"/>
  <c r="J14" i="14" l="1"/>
  <c r="J15" i="14" s="1"/>
  <c r="J89" i="14" s="1"/>
  <c r="J88" i="14" l="1"/>
  <c r="J24" i="14"/>
  <c r="J44" i="14" s="1"/>
  <c r="AQ1" i="17"/>
  <c r="J98" i="14"/>
  <c r="J118" i="14"/>
  <c r="J17" i="14" l="1"/>
  <c r="J91" i="14" s="1"/>
  <c r="CJ23" i="17"/>
  <c r="CJ19" i="17"/>
  <c r="CI20" i="17" l="1"/>
  <c r="CJ18" i="17"/>
  <c r="CJ20" i="17" l="1"/>
  <c r="Q11" i="14" l="1"/>
  <c r="Q20" i="14" l="1"/>
  <c r="Q17" i="14" s="1"/>
  <c r="Q91" i="14" s="1"/>
  <c r="Q15" i="14"/>
  <c r="Z11" i="14"/>
  <c r="Q85" i="14"/>
  <c r="CJ24" i="17"/>
  <c r="CI25" i="17"/>
  <c r="CJ25" i="17" l="1"/>
  <c r="Q42" i="14" s="1"/>
  <c r="AA11" i="14"/>
  <c r="Z85" i="14"/>
  <c r="CI1" i="17"/>
  <c r="Q89" i="14"/>
  <c r="Z20" i="14"/>
  <c r="Q94" i="14"/>
  <c r="Z42" i="14" l="1"/>
  <c r="Q116" i="14"/>
  <c r="AA85" i="14"/>
  <c r="C6" i="182"/>
  <c r="AA20" i="14"/>
  <c r="AA94" i="14" s="1"/>
  <c r="Z94" i="14"/>
  <c r="B27" i="193"/>
  <c r="D27" i="193" s="1"/>
  <c r="AA42" i="14" l="1"/>
  <c r="Z116" i="14"/>
  <c r="Q100" i="14"/>
  <c r="Q44" i="14"/>
  <c r="Q118" i="14" s="1"/>
  <c r="CJ1" i="17"/>
  <c r="C14" i="182"/>
  <c r="Q6" i="182"/>
  <c r="AF54" i="17"/>
  <c r="AA116" i="14" l="1"/>
  <c r="C35" i="182"/>
  <c r="Q14" i="182"/>
  <c r="F14" i="182"/>
  <c r="T14" i="182" s="1"/>
  <c r="AL35" i="17"/>
  <c r="Q35" i="182" l="1"/>
  <c r="F35" i="182"/>
  <c r="T35" i="182" s="1"/>
  <c r="G24" i="189" l="1"/>
  <c r="P20" i="189"/>
  <c r="S24" i="189" l="1"/>
  <c r="AJ36" i="17" l="1"/>
  <c r="AJ25" i="17"/>
  <c r="AJ26" i="17" s="1"/>
  <c r="AK36" i="17" l="1"/>
  <c r="AL36" i="17" s="1"/>
  <c r="AL37" i="17" s="1"/>
  <c r="AL39" i="17" s="1"/>
  <c r="I41" i="14" s="1"/>
  <c r="Z41" i="14" s="1"/>
  <c r="AA41" i="14" s="1"/>
  <c r="AL42" i="17" l="1"/>
  <c r="AL43" i="17" s="1"/>
  <c r="AL44" i="17" s="1"/>
  <c r="I13" i="14" s="1"/>
  <c r="I23" i="14" l="1"/>
  <c r="I87" i="14"/>
  <c r="I115" i="14"/>
  <c r="I97" i="14" l="1"/>
  <c r="Z115" i="14"/>
  <c r="AA115" i="14" l="1"/>
  <c r="C34" i="182"/>
  <c r="Q34" i="182" l="1"/>
  <c r="F34" i="182"/>
  <c r="T34" i="182" s="1"/>
  <c r="AL29" i="17" l="1"/>
  <c r="AL30" i="17" l="1"/>
  <c r="AL31" i="17" s="1"/>
  <c r="I14" i="14" s="1"/>
  <c r="I24" i="14" l="1"/>
  <c r="I17" i="14" s="1"/>
  <c r="I15" i="14"/>
  <c r="I88" i="14"/>
  <c r="AK1" i="17" l="1"/>
  <c r="I89" i="14"/>
  <c r="I91" i="14"/>
  <c r="I98" i="14"/>
  <c r="AK25" i="17" l="1"/>
  <c r="AK26" i="17" l="1"/>
  <c r="AL25" i="17"/>
  <c r="AL26" i="17" s="1"/>
  <c r="I40" i="14" s="1"/>
  <c r="Z40" i="14" l="1"/>
  <c r="AA40" i="14" s="1"/>
  <c r="I44" i="14"/>
  <c r="AL1" i="17"/>
  <c r="I114" i="14" l="1"/>
  <c r="I118" i="14"/>
  <c r="Z114" i="14" l="1"/>
  <c r="AA114" i="14" l="1"/>
  <c r="C33" i="182"/>
  <c r="Q33" i="182" l="1"/>
  <c r="F33" i="182"/>
  <c r="T33" i="182" s="1"/>
  <c r="BT24" i="17" l="1"/>
  <c r="D43" i="14" s="1"/>
  <c r="D135" i="184" l="1"/>
  <c r="D117" i="14"/>
  <c r="BX24" i="17" l="1"/>
  <c r="O43" i="14" s="1"/>
  <c r="BW24" i="17"/>
  <c r="Z43" i="14" l="1"/>
  <c r="AA43" i="14" s="1"/>
  <c r="O44" i="14"/>
  <c r="X19" i="17"/>
  <c r="Z18" i="17"/>
  <c r="Z32" i="17" s="1"/>
  <c r="BX1" i="17"/>
  <c r="X21" i="17" l="1"/>
  <c r="X35" i="17" s="1"/>
  <c r="X33" i="17"/>
  <c r="Z19" i="17"/>
  <c r="Z33" i="17" s="1"/>
  <c r="O118" i="14"/>
  <c r="O117" i="14"/>
  <c r="AA117" i="14" l="1"/>
  <c r="Z117" i="14"/>
  <c r="AE58" i="17" l="1"/>
  <c r="AD58" i="17"/>
  <c r="AE57" i="17"/>
  <c r="AD57" i="17"/>
  <c r="AF57" i="17" l="1"/>
  <c r="AE60" i="17"/>
  <c r="AF58" i="17"/>
  <c r="AD60" i="17"/>
  <c r="AF60" i="17" l="1"/>
  <c r="H13" i="14" s="1"/>
  <c r="Z13" i="14" l="1"/>
  <c r="AA13" i="14" s="1"/>
  <c r="H23" i="14"/>
  <c r="Z23" i="14" s="1"/>
  <c r="AA23" i="14" s="1"/>
  <c r="D87" i="14"/>
  <c r="H87" i="14"/>
  <c r="Z87" i="14" l="1"/>
  <c r="D97" i="14"/>
  <c r="H97" i="14"/>
  <c r="AA97" i="14" l="1"/>
  <c r="Z97" i="14"/>
  <c r="AA87" i="14"/>
  <c r="C7" i="182"/>
  <c r="Q7" i="182" l="1"/>
  <c r="C16" i="182"/>
  <c r="Q16" i="182" l="1"/>
  <c r="F16" i="182"/>
  <c r="T16" i="182" l="1"/>
  <c r="AE28" i="17" l="1"/>
  <c r="AE27" i="17"/>
  <c r="AD28" i="17"/>
  <c r="AD27" i="17"/>
  <c r="AD34" i="17" l="1"/>
  <c r="AF28" i="17"/>
  <c r="AF27" i="17"/>
  <c r="AF34" i="17" s="1"/>
  <c r="AE34" i="17"/>
  <c r="H14" i="14" l="1"/>
  <c r="H15" i="14" l="1"/>
  <c r="Z14" i="14"/>
  <c r="H24" i="14"/>
  <c r="H88" i="14"/>
  <c r="H89" i="14" l="1"/>
  <c r="AJ1" i="17"/>
  <c r="Z15" i="14"/>
  <c r="Z89" i="14" s="1"/>
  <c r="Z88" i="14"/>
  <c r="H44" i="14"/>
  <c r="H118" i="14" s="1"/>
  <c r="Z24" i="14"/>
  <c r="H98" i="14"/>
  <c r="Z98" i="14" l="1"/>
  <c r="D14" i="14" l="1"/>
  <c r="D24" i="14" l="1"/>
  <c r="D15" i="14"/>
  <c r="D89" i="14" s="1"/>
  <c r="D88" i="14"/>
  <c r="AA14" i="14"/>
  <c r="AA15" i="14" l="1"/>
  <c r="AA88" i="14"/>
  <c r="C8" i="182"/>
  <c r="D44" i="14"/>
  <c r="D118" i="14" s="1"/>
  <c r="D98" i="14"/>
  <c r="AA24" i="14"/>
  <c r="AA98" i="14" l="1"/>
  <c r="AA89" i="14"/>
  <c r="Q8" i="182"/>
  <c r="C17" i="182"/>
  <c r="E24" i="199" s="1"/>
  <c r="C9" i="182"/>
  <c r="C24" i="199" s="1"/>
  <c r="Q17" i="182" l="1"/>
  <c r="F17" i="182"/>
  <c r="Q9" i="182"/>
  <c r="T17" i="182" l="1"/>
  <c r="DF19" i="17" l="1"/>
  <c r="DH19" i="17" l="1"/>
  <c r="DH20" i="17" s="1"/>
  <c r="DF20" i="17"/>
  <c r="S42" i="189" l="1"/>
  <c r="J15" i="199" s="1"/>
  <c r="G46" i="189" l="1"/>
  <c r="K24" i="199" s="1"/>
  <c r="S46" i="189" l="1"/>
  <c r="K15" i="199" s="1"/>
  <c r="J76" i="199" s="1"/>
  <c r="K19" i="199" l="1"/>
  <c r="K21" i="199" s="1"/>
  <c r="K26" i="199" s="1"/>
  <c r="K5" i="199" s="1"/>
  <c r="L15" i="199"/>
  <c r="G32" i="193" l="1"/>
  <c r="G33" i="193" l="1"/>
  <c r="G34" i="193" s="1"/>
  <c r="G30" i="193"/>
  <c r="G36" i="193" l="1"/>
  <c r="H9" i="199" l="1"/>
  <c r="H21" i="199"/>
  <c r="G21" i="199"/>
  <c r="J9" i="199" l="1"/>
  <c r="L9" i="199" l="1"/>
  <c r="L11" i="199" s="1"/>
  <c r="J13" i="199"/>
  <c r="J14" i="199" s="1"/>
  <c r="J11" i="199"/>
  <c r="L14" i="199" l="1"/>
  <c r="L13" i="199"/>
  <c r="J19" i="199"/>
  <c r="J21" i="199" s="1"/>
  <c r="E9" i="199"/>
  <c r="E21" i="199"/>
  <c r="E26" i="199" s="1"/>
  <c r="E5" i="199" s="1"/>
  <c r="C21" i="199"/>
  <c r="C26" i="199"/>
  <c r="C5" i="199" s="1"/>
  <c r="L19" i="199" l="1"/>
  <c r="L21" i="199" s="1"/>
  <c r="I31" i="17" l="1"/>
  <c r="I30" i="17"/>
  <c r="J29" i="17"/>
  <c r="I29" i="17"/>
  <c r="I26" i="17"/>
  <c r="I25" i="17"/>
  <c r="I24" i="17"/>
  <c r="I23" i="17"/>
  <c r="J22" i="17"/>
  <c r="I22" i="17"/>
  <c r="I21" i="17"/>
  <c r="I20" i="17"/>
  <c r="I19" i="17"/>
  <c r="I53" i="17" l="1"/>
  <c r="K19" i="17"/>
  <c r="I27" i="17"/>
  <c r="I60" i="17"/>
  <c r="K26" i="17"/>
  <c r="K24" i="17"/>
  <c r="I58" i="17"/>
  <c r="I63" i="17"/>
  <c r="K29" i="17"/>
  <c r="J63" i="17"/>
  <c r="R27" i="183"/>
  <c r="S27" i="183" s="1"/>
  <c r="K25" i="17"/>
  <c r="I59" i="17"/>
  <c r="K21" i="17"/>
  <c r="I55" i="17"/>
  <c r="I64" i="17"/>
  <c r="K30" i="17"/>
  <c r="I57" i="17"/>
  <c r="K23" i="17"/>
  <c r="I54" i="17"/>
  <c r="K20" i="17"/>
  <c r="K22" i="17"/>
  <c r="I56" i="17"/>
  <c r="J27" i="17"/>
  <c r="R22" i="183"/>
  <c r="S22" i="183" s="1"/>
  <c r="J56" i="17"/>
  <c r="I65" i="17"/>
  <c r="K31" i="17"/>
  <c r="C22" i="17" l="1"/>
  <c r="C56" i="17" s="1"/>
  <c r="K56" i="17"/>
  <c r="C26" i="17"/>
  <c r="C60" i="17" s="1"/>
  <c r="K60" i="17"/>
  <c r="K65" i="17"/>
  <c r="C31" i="17"/>
  <c r="C25" i="17"/>
  <c r="C59" i="17" s="1"/>
  <c r="K59" i="17"/>
  <c r="C21" i="17"/>
  <c r="C55" i="17" s="1"/>
  <c r="K55" i="17"/>
  <c r="K54" i="17"/>
  <c r="C20" i="17"/>
  <c r="C54" i="17" s="1"/>
  <c r="C23" i="17"/>
  <c r="C57" i="17" s="1"/>
  <c r="K57" i="17"/>
  <c r="I61" i="17"/>
  <c r="I33" i="17"/>
  <c r="I67" i="17" s="1"/>
  <c r="C24" i="17"/>
  <c r="C58" i="17" s="1"/>
  <c r="K58" i="17"/>
  <c r="K53" i="17"/>
  <c r="K27" i="17"/>
  <c r="C19" i="17"/>
  <c r="J33" i="17"/>
  <c r="J67" i="17" s="1"/>
  <c r="J61" i="17"/>
  <c r="E32" i="183"/>
  <c r="K64" i="17"/>
  <c r="C30" i="17"/>
  <c r="C64" i="17" s="1"/>
  <c r="K63" i="17"/>
  <c r="C29" i="17"/>
  <c r="C63" i="17" s="1"/>
  <c r="E31" i="17" l="1"/>
  <c r="C65" i="17"/>
  <c r="C27" i="17"/>
  <c r="C53" i="17"/>
  <c r="K33" i="17"/>
  <c r="K67" i="17" s="1"/>
  <c r="K61" i="17"/>
  <c r="C33" i="17" l="1"/>
  <c r="C67" i="17" s="1"/>
  <c r="C61" i="17"/>
  <c r="E65" i="17"/>
  <c r="F35" i="14"/>
  <c r="Z35" i="14" l="1"/>
  <c r="F109" i="14"/>
  <c r="C39" i="182"/>
  <c r="Q39" i="182" l="1"/>
  <c r="D33" i="182"/>
  <c r="R33" i="182" s="1"/>
  <c r="D14" i="182"/>
  <c r="D16" i="182"/>
  <c r="R16" i="182" s="1"/>
  <c r="D32" i="182"/>
  <c r="R32" i="182" s="1"/>
  <c r="D17" i="182"/>
  <c r="R17" i="182" s="1"/>
  <c r="D21" i="182"/>
  <c r="R21" i="182" s="1"/>
  <c r="D22" i="182"/>
  <c r="R22" i="182" s="1"/>
  <c r="D35" i="182"/>
  <c r="R35" i="182" s="1"/>
  <c r="D24" i="182"/>
  <c r="R24" i="182" s="1"/>
  <c r="D34" i="182"/>
  <c r="R34" i="182" s="1"/>
  <c r="AA35" i="14"/>
  <c r="Z109" i="14"/>
  <c r="C28" i="182" l="1"/>
  <c r="AA109" i="14"/>
  <c r="R14" i="182"/>
  <c r="Q28" i="182" l="1"/>
  <c r="D28" i="182"/>
  <c r="R28" i="182" s="1"/>
  <c r="F28" i="182"/>
  <c r="T28" i="182" s="1"/>
  <c r="O30" i="17" l="1"/>
  <c r="O64" i="17" l="1"/>
  <c r="Q30" i="17"/>
  <c r="P29" i="17"/>
  <c r="P63" i="17" l="1"/>
  <c r="Q29" i="17"/>
  <c r="Q64" i="17"/>
  <c r="S30" i="17"/>
  <c r="S64" i="17" l="1"/>
  <c r="B15" i="193"/>
  <c r="B25" i="193" s="1"/>
  <c r="D30" i="17"/>
  <c r="Q63" i="17"/>
  <c r="S29" i="17"/>
  <c r="P22" i="17"/>
  <c r="P56" i="17" l="1"/>
  <c r="P27" i="17"/>
  <c r="D29" i="17"/>
  <c r="S63" i="17"/>
  <c r="B14" i="193"/>
  <c r="D64" i="17"/>
  <c r="E30" i="17"/>
  <c r="E64" i="17" s="1"/>
  <c r="B24" i="193" l="1"/>
  <c r="D63" i="17"/>
  <c r="E29" i="17"/>
  <c r="P61" i="17"/>
  <c r="P33" i="17"/>
  <c r="P67" i="17" s="1"/>
  <c r="B10" i="193"/>
  <c r="J34" i="17"/>
  <c r="F36" i="14" l="1"/>
  <c r="E63" i="17"/>
  <c r="P34" i="17"/>
  <c r="Z36" i="14" l="1"/>
  <c r="F110" i="14"/>
  <c r="AA36" i="14" l="1"/>
  <c r="Z110" i="14"/>
  <c r="O23" i="17"/>
  <c r="O57" i="17" l="1"/>
  <c r="Q23" i="17"/>
  <c r="C29" i="182"/>
  <c r="AA110" i="14"/>
  <c r="O22" i="17"/>
  <c r="O56" i="17" l="1"/>
  <c r="O27" i="17"/>
  <c r="Q22" i="17"/>
  <c r="Q57" i="17"/>
  <c r="Q29" i="182"/>
  <c r="F29" i="182"/>
  <c r="T29" i="182" s="1"/>
  <c r="D29" i="182"/>
  <c r="R29" i="182" s="1"/>
  <c r="Q27" i="17" l="1"/>
  <c r="S22" i="17"/>
  <c r="Q56" i="17"/>
  <c r="O61" i="17"/>
  <c r="B9" i="193"/>
  <c r="O33" i="17"/>
  <c r="O67" i="17" s="1"/>
  <c r="I34" i="17"/>
  <c r="S56" i="17" l="1"/>
  <c r="D22" i="17"/>
  <c r="B26" i="193"/>
  <c r="D26" i="193" s="1"/>
  <c r="Q61" i="17"/>
  <c r="Q33" i="17"/>
  <c r="Q67" i="17" s="1"/>
  <c r="D56" i="17" l="1"/>
  <c r="E22" i="17"/>
  <c r="K34" i="17"/>
  <c r="C34" i="17"/>
  <c r="G32" i="199" l="1"/>
  <c r="S17" i="17"/>
  <c r="W20" i="17"/>
  <c r="Y20" i="17" s="1"/>
  <c r="E56" i="17"/>
  <c r="F27" i="14"/>
  <c r="Y34" i="17" l="1"/>
  <c r="Z20" i="17"/>
  <c r="Y21" i="17"/>
  <c r="Y35" i="17" s="1"/>
  <c r="S26" i="17"/>
  <c r="S20" i="17"/>
  <c r="S24" i="17"/>
  <c r="S19" i="17"/>
  <c r="S21" i="17"/>
  <c r="S32" i="17"/>
  <c r="S25" i="17"/>
  <c r="S23" i="17"/>
  <c r="F101" i="14"/>
  <c r="Z27" i="14"/>
  <c r="G38" i="199"/>
  <c r="G39" i="199" s="1"/>
  <c r="H39" i="199" s="1"/>
  <c r="G33" i="199"/>
  <c r="H33" i="199" s="1"/>
  <c r="Z101" i="14" l="1"/>
  <c r="AA27" i="14"/>
  <c r="S60" i="17"/>
  <c r="D26" i="17"/>
  <c r="S57" i="17"/>
  <c r="D23" i="17"/>
  <c r="D24" i="17"/>
  <c r="S58" i="17"/>
  <c r="D25" i="17"/>
  <c r="S59" i="17"/>
  <c r="Z21" i="17"/>
  <c r="Z34" i="17"/>
  <c r="S55" i="17"/>
  <c r="D21" i="17"/>
  <c r="S53" i="17"/>
  <c r="D19" i="17"/>
  <c r="S27" i="17"/>
  <c r="S54" i="17"/>
  <c r="D20" i="17"/>
  <c r="S66" i="17"/>
  <c r="D32" i="17"/>
  <c r="B17" i="193"/>
  <c r="E24" i="17" l="1"/>
  <c r="D58" i="17"/>
  <c r="D55" i="17"/>
  <c r="E21" i="17"/>
  <c r="E32" i="17"/>
  <c r="D66" i="17"/>
  <c r="D57" i="17"/>
  <c r="E23" i="17"/>
  <c r="D60" i="17"/>
  <c r="E26" i="17"/>
  <c r="S33" i="17"/>
  <c r="S67" i="17" s="1"/>
  <c r="S61" i="17"/>
  <c r="B11" i="193"/>
  <c r="B12" i="193" s="1"/>
  <c r="C12" i="193"/>
  <c r="E25" i="17"/>
  <c r="D59" i="17"/>
  <c r="D53" i="17"/>
  <c r="E19" i="17"/>
  <c r="D27" i="17"/>
  <c r="D17" i="193"/>
  <c r="B18" i="193"/>
  <c r="E20" i="17"/>
  <c r="D54" i="17"/>
  <c r="Z35" i="17"/>
  <c r="G30" i="14"/>
  <c r="C20" i="182"/>
  <c r="AA101" i="14"/>
  <c r="F21" i="14" l="1"/>
  <c r="E66" i="17"/>
  <c r="E57" i="17"/>
  <c r="F32" i="14"/>
  <c r="E59" i="17"/>
  <c r="F37" i="14"/>
  <c r="E55" i="17"/>
  <c r="F26" i="14"/>
  <c r="D20" i="182"/>
  <c r="F20" i="182"/>
  <c r="Q20" i="182"/>
  <c r="F25" i="14"/>
  <c r="E27" i="17"/>
  <c r="E53" i="17"/>
  <c r="F38" i="14"/>
  <c r="E60" i="17"/>
  <c r="E54" i="17"/>
  <c r="F33" i="14"/>
  <c r="D12" i="193"/>
  <c r="B20" i="193"/>
  <c r="C20" i="193" s="1"/>
  <c r="D61" i="17"/>
  <c r="D33" i="17"/>
  <c r="D67" i="17" s="1"/>
  <c r="Z1" i="17"/>
  <c r="G104" i="14"/>
  <c r="Z30" i="14"/>
  <c r="G44" i="14"/>
  <c r="G118" i="14" s="1"/>
  <c r="E58" i="17"/>
  <c r="F34" i="14"/>
  <c r="F100" i="14" l="1"/>
  <c r="Z26" i="14"/>
  <c r="Z38" i="14"/>
  <c r="F112" i="14"/>
  <c r="Z37" i="14"/>
  <c r="F111" i="14"/>
  <c r="E61" i="17"/>
  <c r="E33" i="17"/>
  <c r="Z34" i="14"/>
  <c r="F108" i="14"/>
  <c r="F99" i="14"/>
  <c r="Z25" i="14"/>
  <c r="Z33" i="14"/>
  <c r="F107" i="14"/>
  <c r="F36" i="182"/>
  <c r="T20" i="182"/>
  <c r="Z32" i="14"/>
  <c r="F106" i="14"/>
  <c r="AA30" i="14"/>
  <c r="Z104" i="14"/>
  <c r="R20" i="182"/>
  <c r="C45" i="182"/>
  <c r="Z21" i="14"/>
  <c r="F44" i="14"/>
  <c r="F95" i="14"/>
  <c r="F38" i="182" l="1"/>
  <c r="T36" i="182"/>
  <c r="D30" i="189"/>
  <c r="F45" i="182"/>
  <c r="E34" i="17"/>
  <c r="F118" i="14"/>
  <c r="AA21" i="14"/>
  <c r="Z44" i="14"/>
  <c r="Z118" i="14" s="1"/>
  <c r="Z95" i="14"/>
  <c r="AA37" i="14"/>
  <c r="Z111" i="14"/>
  <c r="Z112" i="14"/>
  <c r="AA38" i="14"/>
  <c r="E1" i="17"/>
  <c r="E67" i="17"/>
  <c r="AA25" i="14"/>
  <c r="Z99" i="14"/>
  <c r="AA104" i="14"/>
  <c r="C23" i="182"/>
  <c r="B23" i="193"/>
  <c r="AA26" i="14"/>
  <c r="Z100" i="14"/>
  <c r="Q45" i="182"/>
  <c r="D45" i="182"/>
  <c r="AA33" i="14"/>
  <c r="Z107" i="14"/>
  <c r="AA32" i="14"/>
  <c r="Z106" i="14"/>
  <c r="AA34" i="14"/>
  <c r="Z108" i="14"/>
  <c r="AA106" i="14" l="1"/>
  <c r="C25" i="182"/>
  <c r="AA95" i="14"/>
  <c r="C15" i="182"/>
  <c r="AA44" i="14"/>
  <c r="AA112" i="14"/>
  <c r="C31" i="182"/>
  <c r="D23" i="193"/>
  <c r="D30" i="193" s="1"/>
  <c r="B28" i="193"/>
  <c r="B30" i="193" s="1"/>
  <c r="P30" i="189"/>
  <c r="D33" i="189"/>
  <c r="R45" i="182"/>
  <c r="C18" i="182"/>
  <c r="AA99" i="14"/>
  <c r="C27" i="182"/>
  <c r="AA108" i="14"/>
  <c r="AA111" i="14"/>
  <c r="C30" i="182"/>
  <c r="C19" i="182"/>
  <c r="AA100" i="14"/>
  <c r="T45" i="182"/>
  <c r="D23" i="182"/>
  <c r="R23" i="182" s="1"/>
  <c r="G23" i="182"/>
  <c r="U23" i="182" s="1"/>
  <c r="Q23" i="182"/>
  <c r="C26" i="182"/>
  <c r="AA107" i="14"/>
  <c r="T38" i="182"/>
  <c r="G45" i="182"/>
  <c r="Q31" i="182" l="1"/>
  <c r="G31" i="182"/>
  <c r="D31" i="182"/>
  <c r="R31" i="182" s="1"/>
  <c r="D27" i="182"/>
  <c r="R27" i="182" s="1"/>
  <c r="Q27" i="182"/>
  <c r="G27" i="182"/>
  <c r="U45" i="182"/>
  <c r="Q18" i="182"/>
  <c r="G18" i="182"/>
  <c r="D18" i="182"/>
  <c r="R18" i="182" s="1"/>
  <c r="Q19" i="182"/>
  <c r="D19" i="182"/>
  <c r="R19" i="182" s="1"/>
  <c r="G19" i="182"/>
  <c r="F24" i="199"/>
  <c r="F26" i="199" s="1"/>
  <c r="F5" i="199" s="1"/>
  <c r="Q15" i="182"/>
  <c r="C36" i="182"/>
  <c r="D15" i="182"/>
  <c r="G15" i="182"/>
  <c r="Q26" i="182"/>
  <c r="G26" i="182"/>
  <c r="D26" i="182"/>
  <c r="R26" i="182" s="1"/>
  <c r="Q30" i="182"/>
  <c r="D30" i="182"/>
  <c r="R30" i="182" s="1"/>
  <c r="G30" i="182"/>
  <c r="Q25" i="182"/>
  <c r="D25" i="182"/>
  <c r="R25" i="182" s="1"/>
  <c r="G25" i="182"/>
  <c r="AA118" i="14"/>
  <c r="C40" i="182"/>
  <c r="P33" i="189"/>
  <c r="P56" i="189" s="1"/>
  <c r="P57" i="189" s="1"/>
  <c r="D36" i="189"/>
  <c r="E30" i="193"/>
  <c r="G36" i="189" l="1"/>
  <c r="P36" i="189"/>
  <c r="I25" i="182"/>
  <c r="U25" i="182"/>
  <c r="G36" i="182"/>
  <c r="I15" i="182"/>
  <c r="U15" i="182"/>
  <c r="I19" i="182"/>
  <c r="U19" i="182"/>
  <c r="I27" i="182"/>
  <c r="U27" i="182"/>
  <c r="I26" i="182"/>
  <c r="U26" i="182"/>
  <c r="C46" i="182"/>
  <c r="R15" i="182"/>
  <c r="D36" i="182"/>
  <c r="I18" i="182"/>
  <c r="U18" i="182"/>
  <c r="I31" i="182"/>
  <c r="U31" i="182"/>
  <c r="U30" i="182"/>
  <c r="I30" i="182"/>
  <c r="G24" i="199"/>
  <c r="G26" i="199" s="1"/>
  <c r="G5" i="199" s="1"/>
  <c r="F44" i="182"/>
  <c r="T44" i="182" s="1"/>
  <c r="C38" i="182"/>
  <c r="Q36" i="182"/>
  <c r="D46" i="182" l="1"/>
  <c r="Q46" i="182"/>
  <c r="C47" i="182"/>
  <c r="H36" i="182"/>
  <c r="B6" i="193"/>
  <c r="B32" i="193" s="1"/>
  <c r="D16" i="189"/>
  <c r="G38" i="182"/>
  <c r="U36" i="182"/>
  <c r="F46" i="182"/>
  <c r="D37" i="182"/>
  <c r="R37" i="182" s="1"/>
  <c r="C44" i="182"/>
  <c r="R36" i="182"/>
  <c r="H24" i="199"/>
  <c r="H26" i="199" s="1"/>
  <c r="H5" i="199" s="1"/>
  <c r="G44" i="182"/>
  <c r="U44" i="182" s="1"/>
  <c r="Q38" i="182"/>
  <c r="H38" i="182"/>
  <c r="S36" i="189"/>
  <c r="G40" i="189"/>
  <c r="S40" i="189" s="1"/>
  <c r="U38" i="182" l="1"/>
  <c r="G46" i="182"/>
  <c r="P16" i="189"/>
  <c r="D19" i="189"/>
  <c r="Q44" i="182"/>
  <c r="D44" i="182"/>
  <c r="R44" i="182" s="1"/>
  <c r="C48" i="182"/>
  <c r="Q47" i="182"/>
  <c r="T46" i="182"/>
  <c r="F47" i="182"/>
  <c r="R46" i="182"/>
  <c r="D47" i="182"/>
  <c r="P19" i="189" l="1"/>
  <c r="D22" i="189"/>
  <c r="D48" i="182"/>
  <c r="R47" i="182"/>
  <c r="F48" i="182"/>
  <c r="T48" i="182" s="1"/>
  <c r="T47" i="182"/>
  <c r="U46" i="182"/>
  <c r="G47" i="182"/>
  <c r="G48" i="182" l="1"/>
  <c r="U48" i="182" s="1"/>
  <c r="U47" i="182"/>
  <c r="G43" i="199"/>
  <c r="G44" i="199" s="1"/>
  <c r="H44" i="199" s="1"/>
  <c r="G22" i="189"/>
  <c r="P22" i="189"/>
  <c r="D23" i="189"/>
  <c r="G26" i="189" l="1"/>
  <c r="S22" i="189"/>
  <c r="S26" i="189" l="1"/>
  <c r="G44" i="189"/>
  <c r="J24" i="199" l="1"/>
  <c r="J26" i="199" s="1"/>
  <c r="J5" i="199" s="1"/>
  <c r="F44" i="189"/>
  <c r="R44" i="189" s="1"/>
  <c r="S44" i="189"/>
  <c r="G48" i="189"/>
  <c r="L24" i="199" l="1"/>
  <c r="L26" i="199" s="1"/>
  <c r="L5" i="199" s="1"/>
  <c r="S48" i="189"/>
  <c r="F48" i="189"/>
  <c r="R48" i="189" s="1"/>
  <c r="O34" i="17"/>
  <c r="Q34" i="17" l="1"/>
  <c r="S34" i="17" l="1"/>
  <c r="D34" i="17"/>
</calcChain>
</file>

<file path=xl/sharedStrings.xml><?xml version="1.0" encoding="utf-8"?>
<sst xmlns="http://schemas.openxmlformats.org/spreadsheetml/2006/main" count="1723" uniqueCount="848">
  <si>
    <t>Transmission Exp - 500KV</t>
  </si>
  <si>
    <t xml:space="preserve"> </t>
  </si>
  <si>
    <t>Depreciation-Transmission</t>
  </si>
  <si>
    <t>Revenue Sensitive Items</t>
  </si>
  <si>
    <t>LINE</t>
  </si>
  <si>
    <t>NO.</t>
  </si>
  <si>
    <t>DESCRIPTION</t>
  </si>
  <si>
    <t>Puget Sound Energy</t>
  </si>
  <si>
    <t xml:space="preserve">Revenue </t>
  </si>
  <si>
    <t>Total</t>
  </si>
  <si>
    <t>TY</t>
  </si>
  <si>
    <t>RY</t>
  </si>
  <si>
    <t>Subtotal &amp; Baseline Rate</t>
  </si>
  <si>
    <t>Subtotal</t>
  </si>
  <si>
    <t>POWER</t>
  </si>
  <si>
    <t>COST</t>
  </si>
  <si>
    <t>PROPERTY</t>
  </si>
  <si>
    <t>ENERGY TAX</t>
  </si>
  <si>
    <t>MONTANA</t>
  </si>
  <si>
    <t>INSURANCE</t>
  </si>
  <si>
    <t>ADJUSTMENT</t>
  </si>
  <si>
    <t xml:space="preserve">TOTAL </t>
  </si>
  <si>
    <t>PUGET SOUND ENERGY</t>
  </si>
  <si>
    <t>Property Insurance</t>
  </si>
  <si>
    <t>Description</t>
  </si>
  <si>
    <t>TEST YEAR</t>
  </si>
  <si>
    <t>INCREASE (DECREASE) EXPENSE</t>
  </si>
  <si>
    <t>ADJUSTED</t>
  </si>
  <si>
    <t xml:space="preserve">RATE YEAR </t>
  </si>
  <si>
    <t>Wheeling</t>
  </si>
  <si>
    <t>557-Other Power Exp</t>
  </si>
  <si>
    <t>Fixed Asset Recovery Other (on Row 4)</t>
  </si>
  <si>
    <t>Fixed Asset Recovery-Prod Factored (on Row 5)</t>
  </si>
  <si>
    <t>Depreciation-Production (FERC 403)</t>
  </si>
  <si>
    <t>447-Sales to Others</t>
  </si>
  <si>
    <t>PLANT BALANCE</t>
  </si>
  <si>
    <t>ACCUMULATED DEPRECIATION</t>
  </si>
  <si>
    <t>BAD DEBTS</t>
  </si>
  <si>
    <t>ANNUAL FILING FEE</t>
  </si>
  <si>
    <t>SUM OF TAXES OTHER</t>
  </si>
  <si>
    <t>12ME</t>
  </si>
  <si>
    <t>Reclass</t>
  </si>
  <si>
    <t>Ben&amp;Tax</t>
  </si>
  <si>
    <t>Power Cost Rate</t>
  </si>
  <si>
    <t>RATE YEAR</t>
  </si>
  <si>
    <t xml:space="preserve"> POWER COST ONLY RATE CASE</t>
  </si>
  <si>
    <t>CONVERSION FACTOR</t>
  </si>
  <si>
    <t>Net Before</t>
  </si>
  <si>
    <t>Prod Factor</t>
  </si>
  <si>
    <t>After Prod</t>
  </si>
  <si>
    <t>Factor of</t>
  </si>
  <si>
    <t>Amount</t>
  </si>
  <si>
    <t>WHITE RIVER PLANT COSTS</t>
  </si>
  <si>
    <t>Row</t>
  </si>
  <si>
    <t>Test Yr</t>
  </si>
  <si>
    <t>$/MWh</t>
  </si>
  <si>
    <t>Rate Year</t>
  </si>
  <si>
    <t>Variable Transmission Income</t>
  </si>
  <si>
    <t>Montana Electric Energy Tax</t>
  </si>
  <si>
    <t>Before Rev.</t>
  </si>
  <si>
    <t>After Rev.</t>
  </si>
  <si>
    <t>Sensitive Items</t>
  </si>
  <si>
    <t>(I)</t>
  </si>
  <si>
    <t>UTILITY PLANT RATEBASE</t>
  </si>
  <si>
    <t>DEPRECIATION EXPENSE ON UTILITY PLANT</t>
  </si>
  <si>
    <t xml:space="preserve">ACCUM DEPRECIATION </t>
  </si>
  <si>
    <t>FACTOR</t>
  </si>
  <si>
    <t>15a</t>
  </si>
  <si>
    <t>15b</t>
  </si>
  <si>
    <t>15c</t>
  </si>
  <si>
    <t>15d</t>
  </si>
  <si>
    <t>Payroll Taxes on Production Wages</t>
  </si>
  <si>
    <t>9A</t>
  </si>
  <si>
    <t>Regulatory Asset Recovery (on Row 3)</t>
  </si>
  <si>
    <t>TOTAL</t>
  </si>
  <si>
    <t>Production O&amp;M</t>
  </si>
  <si>
    <t>F</t>
  </si>
  <si>
    <t>REMOVE WILD HORSE SOLAR</t>
  </si>
  <si>
    <t>MONTANA ENERGY TAX</t>
  </si>
  <si>
    <t>DEPRECIATION</t>
  </si>
  <si>
    <t xml:space="preserve">  </t>
  </si>
  <si>
    <t>CARRYING CHARGES ON LSR PREPAID TRANSM</t>
  </si>
  <si>
    <t>Remove</t>
  </si>
  <si>
    <t>Test Year DELIVERED Load (MWh's)</t>
  </si>
  <si>
    <t>Fixed</t>
  </si>
  <si>
    <t>Variable</t>
  </si>
  <si>
    <t>V</t>
  </si>
  <si>
    <t>(II)</t>
  </si>
  <si>
    <t>INCREASE OPERATING EXPENSES</t>
  </si>
  <si>
    <t>check</t>
  </si>
  <si>
    <t>PLANT RATE BASE</t>
  </si>
  <si>
    <t>Deficiency</t>
  </si>
  <si>
    <t>REVENUE (SURPLUS) / DEFICIENCY</t>
  </si>
  <si>
    <t>Exhibit A-1 Power Cost Baseline Rate</t>
  </si>
  <si>
    <t>10a</t>
  </si>
  <si>
    <t>Equity Adder Centralia Coal Transition PPA</t>
  </si>
  <si>
    <t>(III)</t>
  </si>
  <si>
    <t>MINT FARM DEFFRED - UE-090704 (ends Mar 2025)</t>
  </si>
  <si>
    <t>A-1 Line</t>
  </si>
  <si>
    <t>TOTAL NON-POWER COST RELATED</t>
  </si>
  <si>
    <t>456-Purch/Sales Non-Core Gas</t>
  </si>
  <si>
    <t>PUGET SOUND ENERGY-ELECTRIC</t>
  </si>
  <si>
    <t>PRO FORMA COST OF CAPITAL</t>
  </si>
  <si>
    <t>PRO FORMA</t>
  </si>
  <si>
    <t>COST OF</t>
  </si>
  <si>
    <t>CAPITAL %</t>
  </si>
  <si>
    <t>COST %</t>
  </si>
  <si>
    <t>CAPITAL</t>
  </si>
  <si>
    <t>EQUITY</t>
  </si>
  <si>
    <t>TOTAL AFTER TAX COST OF CAPITAL</t>
  </si>
  <si>
    <t>a</t>
  </si>
  <si>
    <t>b</t>
  </si>
  <si>
    <t>c</t>
  </si>
  <si>
    <t>Adjustments to  Test Year Power Cost Rate</t>
  </si>
  <si>
    <t>EXPENSES</t>
  </si>
  <si>
    <t>TEST YEAR 12 MONTHS ENDED JUNE 30, 2020</t>
  </si>
  <si>
    <t>RATE YEAR 12 MONTHS ENDED MAY 31, 2022</t>
  </si>
  <si>
    <t>UE-190529</t>
  </si>
  <si>
    <t>UG-190530</t>
  </si>
  <si>
    <t>2019 General Rate Case</t>
  </si>
  <si>
    <t>FOR THE TWELVE MONTHS ENDED DECEMBER 31, 2018</t>
  </si>
  <si>
    <t xml:space="preserve">2019 GENERAL RATE INCREASE </t>
  </si>
  <si>
    <t>SHORT AND LONG TERM DEBT</t>
  </si>
  <si>
    <t>AFTER TAX SHORT TERM DEBT ( (LINE 1)* 79%)</t>
  </si>
  <si>
    <t>2019 GRC</t>
  </si>
  <si>
    <t>EOP Test Year</t>
  </si>
  <si>
    <t xml:space="preserve">Net of tax rate of return </t>
  </si>
  <si>
    <t>Prod Costs</t>
  </si>
  <si>
    <t>In Decoupling</t>
  </si>
  <si>
    <t>in PCA</t>
  </si>
  <si>
    <t>(IV)</t>
  </si>
  <si>
    <t>(V)</t>
  </si>
  <si>
    <t>Payroll Overheads - Benefits</t>
  </si>
  <si>
    <t>15e</t>
  </si>
  <si>
    <t>Brokerage Fees #55700003</t>
  </si>
  <si>
    <t>Grossed up for RSI</t>
  </si>
  <si>
    <t>Rev Req (Column (II) )</t>
  </si>
  <si>
    <t>Power Cost Baseline Rate</t>
  </si>
  <si>
    <t xml:space="preserve">Fixed Production Costs </t>
  </si>
  <si>
    <t>Variable Production Costs</t>
  </si>
  <si>
    <t>NON POWER COST RELATED REG ASSETS &amp; LIAB</t>
  </si>
  <si>
    <t xml:space="preserve">FERC </t>
  </si>
  <si>
    <t xml:space="preserve">Non PF'd </t>
  </si>
  <si>
    <t>Check=&gt;</t>
  </si>
  <si>
    <t>PROFORMA PCORC INCREASE - VARIABLE:</t>
  </si>
  <si>
    <t>2020 PCORC compared to 2019 GRC</t>
  </si>
  <si>
    <t>2020 PCORC</t>
  </si>
  <si>
    <t xml:space="preserve">Jan '18 -Dec '18 </t>
  </si>
  <si>
    <t>XXX '20 - XXX '21</t>
  </si>
  <si>
    <t>Jul '19 ~ Jun '20</t>
  </si>
  <si>
    <t>Jun '21 ~ May '21</t>
  </si>
  <si>
    <t>Total Variable Costs</t>
  </si>
  <si>
    <t>(Surplus)</t>
  </si>
  <si>
    <t>Total Variable Costs Grossed-up RSI's</t>
  </si>
  <si>
    <t>2020 PCORC Test Year Delivered Load</t>
  </si>
  <si>
    <t>Total Fixed Costs</t>
  </si>
  <si>
    <t>48.5% Equity / 6.80% Net of tax rate of return</t>
  </si>
  <si>
    <t>VARIABLE DEFICIENCY (SURPLUS)</t>
  </si>
  <si>
    <t>FIXED PRODUCTION DEFICIENCY (SURPLUS)</t>
  </si>
  <si>
    <t>Conversion Factor for Revenue Sensitive Items ("RSI")</t>
  </si>
  <si>
    <t>RSI Conversion Factor</t>
  </si>
  <si>
    <t>REMOVE</t>
  </si>
  <si>
    <t>EIM</t>
  </si>
  <si>
    <t>AMA TO EOP</t>
  </si>
  <si>
    <t>WILD HORSE</t>
  </si>
  <si>
    <t>SOLAR</t>
  </si>
  <si>
    <t>REGULATORY</t>
  </si>
  <si>
    <t>ASSETS AND</t>
  </si>
  <si>
    <t>LIABILITIES</t>
  </si>
  <si>
    <t>COLSTRIP 3/4</t>
  </si>
  <si>
    <t>STUDY</t>
  </si>
  <si>
    <t>GREEN</t>
  </si>
  <si>
    <t>DIRECT</t>
  </si>
  <si>
    <t>POWER COST ADJUSTMENT</t>
  </si>
  <si>
    <t>Docket Number UE-20____</t>
  </si>
  <si>
    <t>POWER COST TEST YEAR</t>
  </si>
  <si>
    <t xml:space="preserve"> for Adjustment</t>
  </si>
  <si>
    <t>Test Year</t>
  </si>
  <si>
    <t>POWER COST RATE YEAR</t>
  </si>
  <si>
    <t>Regulatory Assets</t>
  </si>
  <si>
    <t>Transmission Rate Base</t>
  </si>
  <si>
    <t>Production Rate Base</t>
  </si>
  <si>
    <t>501-Steam Fuel Incl Reg Amort</t>
  </si>
  <si>
    <t>555-Purchased power Incl Reg Amort</t>
  </si>
  <si>
    <t>547-Fuel Incl Reg Amort</t>
  </si>
  <si>
    <t>565-Wheeling Incl Reg Amort</t>
  </si>
  <si>
    <t>Amortization  - Reg Assets - Non PC Only</t>
  </si>
  <si>
    <t>|</t>
  </si>
  <si>
    <t>ADD</t>
  </si>
  <si>
    <t>COLSTRIP 1-2</t>
  </si>
  <si>
    <t>REG ASSET</t>
  </si>
  <si>
    <t>10b</t>
  </si>
  <si>
    <t>REMOVE EIM</t>
  </si>
  <si>
    <t>PROPERTY INSURANCE</t>
  </si>
  <si>
    <t>COLSTRIP 3&amp;4 DEPRECIATION STUDY</t>
  </si>
  <si>
    <t>REMOVE GREEN DIRECT</t>
  </si>
  <si>
    <t>OPEN</t>
  </si>
  <si>
    <t>456-1 OATT Transmission Income</t>
  </si>
  <si>
    <t>check=&gt;</t>
  </si>
  <si>
    <t>Oct '20 - Sep '21</t>
  </si>
  <si>
    <t>INCOME STATEMENT:</t>
  </si>
  <si>
    <t>RATE BASE</t>
  </si>
  <si>
    <t>Return on 2% Cap CETA PPAs - NEW</t>
  </si>
  <si>
    <t>DIFFERENCE</t>
  </si>
  <si>
    <t>Copy and paste value section from left to here:</t>
  </si>
  <si>
    <t>403 ELEC. PROD DEPRECIATION EXPENSE</t>
  </si>
  <si>
    <t>403 ELEC. TRANS DEPRECIATION EXPENSE</t>
  </si>
  <si>
    <t>404 ELEC. PROD DEPRECIATION EXPENSE</t>
  </si>
  <si>
    <t>SUBTOTAL DEPRECIATION EXPENSE 403</t>
  </si>
  <si>
    <t>403.1 ELEC. PROD ASSET RETIREMENT COST DEPRECIATION</t>
  </si>
  <si>
    <t>411.10 ELEC. PROD ASSET RETIREMENT OBLIGATION ACCRETION</t>
  </si>
  <si>
    <t>DFIT</t>
  </si>
  <si>
    <t>TOTAL ADJUSTMENT TO RATEBASE</t>
  </si>
  <si>
    <t>TOTAL DEPRECIATION EXPENSE 403</t>
  </si>
  <si>
    <t>PRODUCTION:</t>
  </si>
  <si>
    <t>TRANSMISSION:</t>
  </si>
  <si>
    <t>ADJUSTMENT TO RATE BASE:</t>
  </si>
  <si>
    <t>ADJUSTMENT TO COLSTRIP 3&amp;4 NET OPERATING INCOME AND RATE BASE</t>
  </si>
  <si>
    <t>NET OPERATING INCOME</t>
  </si>
  <si>
    <t>ADJUST DEPRECIATION EXPENSE FOR NEW DEPRECIATION RATES</t>
  </si>
  <si>
    <t>IMPACT ON ACCUM DEP FOR CHANGE TO DEP EXPENSE</t>
  </si>
  <si>
    <t>IMPACT ON ACCUM DEF FED INC TAXES FOR CHANGE IN ACCUM DEP</t>
  </si>
  <si>
    <t>IMPACT ON ACCUM DEF FED INC TAXES FOR EDIT REVERSAL</t>
  </si>
  <si>
    <t>AMA OF REGULATORY ASSET/LIABILITY NET OF ACCUM AMORT AND DFIT</t>
  </si>
  <si>
    <t>WESTCOAST PIPELINE CAPACITY - UE-082013 (FB ENERGY)</t>
  </si>
  <si>
    <t>WESTCOAST PIPELINE CAPACITY - UE-100503 (BNP PARIBUS)</t>
  </si>
  <si>
    <t>CHELAN PUD</t>
  </si>
  <si>
    <t xml:space="preserve">CHELAN - ROCK ISLAND SECURITY DEPOSIT </t>
  </si>
  <si>
    <t>COLSTRIP 1&amp;2 (WECo) PREPAYMENT</t>
  </si>
  <si>
    <t>BAKER LICENSE UPGRADE DEFERRAL (2013 PCORC) (FERC 407.3)</t>
  </si>
  <si>
    <t>SNOQUALMIE LICENSE UPGRADE DEFERRAL (2013 PCORC) (FERC 407.3)</t>
  </si>
  <si>
    <t>FERNDALE DEFERRAL (2013 PCORC) (FERC 407.3)</t>
  </si>
  <si>
    <t>BAKER TREASURY GRANT DEFERRAL (2014 PCORC) (FERC 407.4)</t>
  </si>
  <si>
    <t>SNOQUALMIE TREASURY GRANT DEFERRAL (2014 PCORC) (FERC 407.4)</t>
  </si>
  <si>
    <t>ELECTRON UNRECOVERED COST (2014 PCORC) (FERC 407.3)</t>
  </si>
  <si>
    <t>AMORTIZATION OF REGULATORY ASSET/LIABILITY</t>
  </si>
  <si>
    <t>TOTAL AMORTIZATION OF REG ASSETS/LIABS</t>
  </si>
  <si>
    <t>NET EIM RATEBASE</t>
  </si>
  <si>
    <t>EIM EXPENSE</t>
  </si>
  <si>
    <t>DEPRECIATION EXPENSE</t>
  </si>
  <si>
    <t>INCREASE (DECREASE ) EXPENSE</t>
  </si>
  <si>
    <t>SPI BIOMASS PPA REGULATORY ASSET</t>
  </si>
  <si>
    <t>TOTAL INCREASE (DECREASE) EXPENSE</t>
  </si>
  <si>
    <t>SPI BIOMASS PPA</t>
  </si>
  <si>
    <t xml:space="preserve">TOTAL REGULATORY AMORT </t>
  </si>
  <si>
    <t>SPI BIOMASS</t>
  </si>
  <si>
    <t>DFIT SPI BIOMASS PPA REGULATORY ASSET</t>
  </si>
  <si>
    <t>PRODUCTION FACTOR ON RATE YEAR</t>
  </si>
  <si>
    <t>EXPENSES TO BE NORMALIZED:</t>
  </si>
  <si>
    <t>MONTANA TAX EXPENSE</t>
  </si>
  <si>
    <t>PERIODIC ALLOCATED RESULTS OF OPERATIONS</t>
  </si>
  <si>
    <t>FOR THE 12 MONTHS ENDED June 30, 2020</t>
  </si>
  <si>
    <t>(JUL - DEC 2019 Spread is based on allocation factors developed for the 12 ME 12/31/2018 CBR)</t>
  </si>
  <si>
    <t>(JAN - JUN 2020 Spread is based on allocation factors developed for the 12 ME 12/31/2019 CBR)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</si>
  <si>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</si>
  <si>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</si>
  <si>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</si>
  <si>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</si>
  <si>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</si>
  <si>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</si>
  <si>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</si>
  <si>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</si>
  <si>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</si>
  <si>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</si>
  <si>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</si>
  <si>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</si>
  <si>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</si>
  <si>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</si>
  <si>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</si>
  <si>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</si>
  <si>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</si>
  <si>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</si>
  <si>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</si>
  <si>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</si>
  <si>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</si>
  <si>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</si>
  <si>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</si>
  <si>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</si>
  <si>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</si>
  <si>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</si>
  <si>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</si>
  <si>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</si>
  <si>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</si>
  <si>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</si>
  <si>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TAXES OTHER THAN INCOME TAXES</t>
  </si>
  <si>
    <t>29 - INCOME TAXES</t>
  </si>
  <si>
    <t>30 - DEFERRED INCOME TAXES</t>
  </si>
  <si>
    <t>31 - TOTAL OPERATING REV. DEDUCT.</t>
  </si>
  <si>
    <t>12ME June 2020 Income Statement Filed in UE-200743</t>
  </si>
  <si>
    <t>Fuel per UE-200743:</t>
  </si>
  <si>
    <t>Summary</t>
  </si>
  <si>
    <t xml:space="preserve">Per SEF-5 </t>
  </si>
  <si>
    <t>Per I/S in</t>
  </si>
  <si>
    <t>UE-200743</t>
  </si>
  <si>
    <t>Reconciled</t>
  </si>
  <si>
    <t>Category</t>
  </si>
  <si>
    <t>Not all test year amounts on SEF-5 Summary are at the income statement line item level</t>
  </si>
  <si>
    <t>The ones that are have been reconciled to the quarterly report filed under UE-200743 below</t>
  </si>
  <si>
    <t>Purchased and Interchanged</t>
  </si>
  <si>
    <t>Sales to Others</t>
  </si>
  <si>
    <t>(5) 449.1 - Provision for rate refunds E</t>
  </si>
  <si>
    <t>(5) 450 - Forfeited Discounts</t>
  </si>
  <si>
    <t>(5) 451 - Electric Misc Service Revenue</t>
  </si>
  <si>
    <t>(5) 454 - Rent For Electric Property</t>
  </si>
  <si>
    <t>(5) 456 - Other Electric Revenues</t>
  </si>
  <si>
    <t>(5) 456.1 - Other Electric Revenues - Transmission</t>
  </si>
  <si>
    <t>Income Statement Detail</t>
  </si>
  <si>
    <t>Summary Income Statement</t>
  </si>
  <si>
    <t>Reconciles</t>
  </si>
  <si>
    <t>45610002 - 4310 - Other Elec Rev - Transm Snohomish</t>
  </si>
  <si>
    <t>45610005 - 4310-Elec Trans Rev -OASIS-Cols,SI ,NI</t>
  </si>
  <si>
    <t>45610010 - 4310 - Other Elec Rev - Transm Seattle</t>
  </si>
  <si>
    <t>45610011 - 4310 - Other Elec Rev -Transm Tacoma</t>
  </si>
  <si>
    <t>45610015 - 4310- Elec Transm Rev - WA ST Tax -OASIS</t>
  </si>
  <si>
    <t>45610050 - 4310-Transm Rev-Ancillary Svcs Sch. 1</t>
  </si>
  <si>
    <t>45610051 - 4310-Transm Rev-Ancillary Svcs Sch.1-Oth</t>
  </si>
  <si>
    <t>45610052 - 4310-Transm Rev-Ancillary Svcs Sch. 2</t>
  </si>
  <si>
    <t>45610053 - 4310-Transm Rev-Ancillary Svcs Sch.2-Oth</t>
  </si>
  <si>
    <t>45610054 - 4310-Transm Rev-Ancillary Svcs Sch. 3</t>
  </si>
  <si>
    <t>45610055 - 4310-Transm Rev-Ancillary Svcs Sch.3-Oth</t>
  </si>
  <si>
    <t>45610056 - 4310-Transm Rev-Ancillary Svcs Sch. 5</t>
  </si>
  <si>
    <t>45610057 - 4310-Transm Rev-Ancillary Svcs Sch.5-Oth</t>
  </si>
  <si>
    <t>45610058 - 4310-Transm Rev-Ancillary Svcs Sch. 6</t>
  </si>
  <si>
    <t>45610059 - 4310-Transm Rev-Ancillary Svcs Sch.6-Oth</t>
  </si>
  <si>
    <t>45610060 - 4310-Elec Trans Rev - Network 449 Transm</t>
  </si>
  <si>
    <t>45610077 - 4310 - Unreserved Use Penalty-Refundable</t>
  </si>
  <si>
    <t>45610080 - 4310 - Elec Trans Rev-BPA NT OATT-T-Elec</t>
  </si>
  <si>
    <t>45610081 - 4310 -Elec Trans Rev-BPA NT Ded Fac-Elec</t>
  </si>
  <si>
    <t>45610089 - 4310 - Elec Trans Rev-Transmission Other</t>
  </si>
  <si>
    <t>45610090 - 5360 - Elec Trans Rev.  Losses</t>
  </si>
  <si>
    <t>45610093 - 4310-Transm Rev-Ancillary Svcs Sch. 13</t>
  </si>
  <si>
    <t>45610121 - Elec Trans Rev-Ancillary Svcs Sch. 1 449</t>
  </si>
  <si>
    <t>45610122 - Elec Trans Rev-Ancillary Svcs Sch. 2 449</t>
  </si>
  <si>
    <t>45610123 - Elec Trans Rev-Ancillary Svcs Sch. 3 449</t>
  </si>
  <si>
    <t>45610124 - Elec Trans Rev-Ancillary Svcs Sch. 5 449</t>
  </si>
  <si>
    <t>45610125 - Elec Trans Rev-Ancillary Svcs Sch. 6 449</t>
  </si>
  <si>
    <t>45610126 - Unreserved Use Penalty-Refundable 449</t>
  </si>
  <si>
    <t>45610127 - Elec Trans Rev - WA ST Tax - OASIS 449</t>
  </si>
  <si>
    <t>45610128 - Elec Trans Rev - Transm Losses 449</t>
  </si>
  <si>
    <t>(5) 456.1 - Other Electric Revenues - Transmission Detail</t>
  </si>
  <si>
    <t>Detail Income Statement</t>
  </si>
  <si>
    <t>Detail Order Level</t>
  </si>
  <si>
    <t>Only PCORC Item</t>
  </si>
  <si>
    <t>45600055 - 4050 - Substation JO Revenue</t>
  </si>
  <si>
    <t>45600073 - 3545 - Green Energy Option</t>
  </si>
  <si>
    <t>45600077 - 3515- Other Revenue- Wireless</t>
  </si>
  <si>
    <t>45600078 - Other Elect Revenue-Maintenance Contract</t>
  </si>
  <si>
    <t>45600080 - Othr Elect Rev - Sale of Non-Core Gas</t>
  </si>
  <si>
    <t>45600081 - Othr Elect Rev - Cost Non-Core Gas sold</t>
  </si>
  <si>
    <t>45600082 - Oth Elec Rev- Cedar Hills Facility Fee</t>
  </si>
  <si>
    <t>45600088 - 1143 - Other Electric Rev -Summit Buyout</t>
  </si>
  <si>
    <t>45600089 - 1143 - REC Revenue per Tariff Schedule-E</t>
  </si>
  <si>
    <t>45600102 - E Decoup Rev Sch 8 &amp; 24</t>
  </si>
  <si>
    <t>45600103 - E Decoup Rev Sch 7A, 11, 25, 29, 35 &amp; 43</t>
  </si>
  <si>
    <t>45600104 - E Decoup Rev Sch 40</t>
  </si>
  <si>
    <t>45600105 - E Decoup Rev Sch 7 FPC</t>
  </si>
  <si>
    <t>45600106 - E Decoup Rev Sch 8 &amp; 24 FPC</t>
  </si>
  <si>
    <t>45600107 - E Dcp Rev Sc 7A, 11, 25, 29, 35 &amp; 43 FPC</t>
  </si>
  <si>
    <t>45600108 - E Decoup Rev Sch 40 FPC</t>
  </si>
  <si>
    <t>45600109 - E Decoup Rev Sch 12 &amp; 26 FPC</t>
  </si>
  <si>
    <t>45600110 - E Decoup Rev Sch 10 &amp; 31 FPC</t>
  </si>
  <si>
    <t>45600139 - E Decoup Amort of Sch 142 - Sch 8 &amp; 24</t>
  </si>
  <si>
    <t>45600141 - E Dcp Amort Sch 142-Sc 7A,11,25,29,35,43</t>
  </si>
  <si>
    <t>45600142 - E Decoup Amort of Sch 142 - Sch 40 in Ra</t>
  </si>
  <si>
    <t>45600143 - E FPC Decoup Amort Sch 142  - Sch 7 in R</t>
  </si>
  <si>
    <t>45600144 - E FPC Decoup Amort Sch 142 - Sch 8 &amp; 24</t>
  </si>
  <si>
    <t>45600145 - E FPC Dcp Amrt Sc 142-7A,11,25,29,35,43</t>
  </si>
  <si>
    <t>45600146 - E FPC Decoup Amort Sch 142 - Sch 40 in R</t>
  </si>
  <si>
    <t>45600147 - E FPC Decoup Amort Sch 142 - Sch 12 &amp; 26</t>
  </si>
  <si>
    <t>45600148 - E FPC Decoup Amort Sch 142 - Sch 10 &amp; 31</t>
  </si>
  <si>
    <t>45600149 - E Decoup Amort Sch 142 - Sch 46 &amp; 49 in</t>
  </si>
  <si>
    <t>45600152 - 24M GAAP-E Non-Res 7A, 11, 25, 29, 35&amp;43</t>
  </si>
  <si>
    <t>45600155 - AMI Return Deferral - Electric</t>
  </si>
  <si>
    <t>45600156 - EV Other Revenues Sch 551 deferral</t>
  </si>
  <si>
    <t>45600201 - EV One time Incentive Credit</t>
  </si>
  <si>
    <t>45600321 - 9900-Electric Residential Decoupling Rev</t>
  </si>
  <si>
    <t>45600325 - Electric Schedule 26 Decoupling Revenue</t>
  </si>
  <si>
    <t>45600326 - Electric Schedule 31 Decoupling Revenue</t>
  </si>
  <si>
    <t>45600329 - 9900 - Other Elec Rev - QRE Annual Fees</t>
  </si>
  <si>
    <t>45600335 - Amort of Sch 142 Electric Sch26 in Rates</t>
  </si>
  <si>
    <t>45600336 - Amort of Sch 142 Electric Sch31 in Rates</t>
  </si>
  <si>
    <t>45600351 - 9900-Lifetime O&amp;M Revenue - Elec</t>
  </si>
  <si>
    <t>45600361 - 9900-Amort of Sch 142 Elec Resid in rate</t>
  </si>
  <si>
    <t>45600382 - 3515 - Wireline Non-Rent Revenue</t>
  </si>
  <si>
    <t>45600383 - 3515 - Street Light Non-Reg Revenue</t>
  </si>
  <si>
    <t>(5) 456 - Other Electric Revenues Detail</t>
  </si>
  <si>
    <t>Only PCORC Items</t>
  </si>
  <si>
    <t>^</t>
  </si>
  <si>
    <t>Income Statement Sign</t>
  </si>
  <si>
    <t>Sign</t>
  </si>
  <si>
    <t>Ledger</t>
  </si>
  <si>
    <t>Credit is</t>
  </si>
  <si>
    <t>"Negative</t>
  </si>
  <si>
    <t>Expense"</t>
  </si>
  <si>
    <t>&lt;--- Income Statement Sign</t>
  </si>
  <si>
    <t>40810002 State Excise Taxes</t>
  </si>
  <si>
    <t>40810003 Municipal Taxes</t>
  </si>
  <si>
    <t>40810005 Montana Electric Producer Taxes</t>
  </si>
  <si>
    <t>40810006 Property Taxes-Washington-Electric</t>
  </si>
  <si>
    <t>40810009 Prop Tax Sch140 Tracker Amort Defer-Elec</t>
  </si>
  <si>
    <t>40810012 Property Taxes - Oregon</t>
  </si>
  <si>
    <t>40810013 Property Taxes - Montana</t>
  </si>
  <si>
    <t>40810326 Payroll Tax Reclass To 2100;  PT=OT; E</t>
  </si>
  <si>
    <t>40810602 Excise Taxes</t>
  </si>
  <si>
    <t>40818007 Payroll Tax Reclass From 2010; PT=CP - E</t>
  </si>
  <si>
    <t>40818014 Payroll Tax Reclass From 2060; PT=OM - E</t>
  </si>
  <si>
    <t>40818016 Payroll Tax Reclass From 2060; PT=OR - E</t>
  </si>
  <si>
    <t>40818018 Payroll Tax Reclass From 2060; PT=OS - E</t>
  </si>
  <si>
    <t>40818021 Payroll Tax Reclass From 2070; PT=NU - E</t>
  </si>
  <si>
    <t>&lt;--- Ledger Sign - Credit is "negative expense"</t>
  </si>
  <si>
    <t>Order Detail</t>
  </si>
  <si>
    <t>AMA BALANCE NET OF ACCUM AMORT AND DFIT</t>
  </si>
  <si>
    <t xml:space="preserve">regulatory assets and liabilities are performed in the </t>
  </si>
  <si>
    <t xml:space="preserve">Power Cost Adjustment (Adjustment No. 5.01) and therefore </t>
  </si>
  <si>
    <t>are not adjusted here.</t>
  </si>
  <si>
    <t>CHELAN PUD INITIATION PAYMENT - 20 YEARS - OCT 2031</t>
  </si>
  <si>
    <t>CARRY CHARGES ON LSR PP TRANSM 25 YEARS ~2037</t>
  </si>
  <si>
    <t>LOWER SNAKE RIVER PP TRANSM - 25 YEARS ~2035</t>
  </si>
  <si>
    <t>WHITE RIVER PLANT COSTS - 3 YEARS - 2020</t>
  </si>
  <si>
    <t>TOIT Regulatory Indicator 4081 by Order Detail:</t>
  </si>
  <si>
    <t>TOIT transferred from Underlying FERC accounts:</t>
  </si>
  <si>
    <t>&lt;=check</t>
  </si>
  <si>
    <t>3a</t>
  </si>
  <si>
    <t>Colstrip 1&amp;2 Regulatory Asset</t>
  </si>
  <si>
    <t>Amortization - Colstrip 1&amp;2 Regulatory Asset</t>
  </si>
  <si>
    <t>DEPRECIATION FROM AMA TO EOP</t>
  </si>
  <si>
    <t>RATEBASE FROM AMA TO EOP</t>
  </si>
  <si>
    <t>DEFERRED TAXES</t>
  </si>
  <si>
    <t>COLSTRIP 1&amp;2 TRANSMISSION</t>
  </si>
  <si>
    <t>COLSTRIP 3&amp;4 TRANSMISSION</t>
  </si>
  <si>
    <t>NORTHERN INTERTIE</t>
  </si>
  <si>
    <t>TOTAL TRANSMISSION</t>
  </si>
  <si>
    <t>TRANSMISSION PORTION OF:</t>
  </si>
  <si>
    <t xml:space="preserve">    COLSTRIP COMMON FERC ADJ, NET OF ACCUM AMORT</t>
  </si>
  <si>
    <t xml:space="preserve">    COLSTRIP DEF DEPRFERC ADJ, NET OF ACCUM AMORT</t>
  </si>
  <si>
    <t>TOTAL TRANSMISSION RATE BASE AMA TO EOP ADJ</t>
  </si>
  <si>
    <t>COLSTRIP REGULATORY ASSET</t>
  </si>
  <si>
    <t>RESTATED</t>
  </si>
  <si>
    <t>PTC</t>
  </si>
  <si>
    <t>10/15/2020 EOP</t>
  </si>
  <si>
    <t>OFFSET</t>
  </si>
  <si>
    <t>COLSTRIP 1-2 REGULATORY ASSET PTC OFFSET</t>
  </si>
  <si>
    <t>PTC OFFSET TO</t>
  </si>
  <si>
    <t>EXPENSE</t>
  </si>
  <si>
    <t>TRANSFER OF UNPROTECTED EDIT TO 254 LIABILITY ACCOUNT</t>
  </si>
  <si>
    <t>COLSTRIP 1&amp;2 COAL (WECo) CONTRACT PREPAYMENT</t>
  </si>
  <si>
    <t>SAP</t>
  </si>
  <si>
    <t>Benefits</t>
  </si>
  <si>
    <t>Taxes</t>
  </si>
  <si>
    <t>Reclassed to</t>
  </si>
  <si>
    <t>Per Income</t>
  </si>
  <si>
    <t>Statement</t>
  </si>
  <si>
    <t>Prod O&amp;M</t>
  </si>
  <si>
    <t>Total TOIT</t>
  </si>
  <si>
    <t>Line 13 - 501-Steam Fuel Including Reg Amort</t>
  </si>
  <si>
    <t>Line 16 - 547-Fuel Including Reg Amort</t>
  </si>
  <si>
    <t>1 - OPERATING REVENUES:</t>
  </si>
  <si>
    <t>8 - OPERATING REVENUE DEDUCTIONS:</t>
  </si>
  <si>
    <t>10 - POWER COSTS:</t>
  </si>
  <si>
    <t>Orders</t>
  </si>
  <si>
    <t>Act. Costs</t>
  </si>
  <si>
    <t xml:space="preserve">     40300011  Depr Exp - Electric Steam Product Plant</t>
  </si>
  <si>
    <t xml:space="preserve">     40300023  Depr Exp-Fredrickson-Steam Production Pl</t>
  </si>
  <si>
    <t xml:space="preserve">     40300064  1150 - Ferndale Steam Production Plant</t>
  </si>
  <si>
    <t xml:space="preserve">     40300071  Depr Exp-Encogen Steam Prod Plant CC1000</t>
  </si>
  <si>
    <t xml:space="preserve">     40300082  1150 - Goldendale Steam Prod Plant</t>
  </si>
  <si>
    <t xml:space="preserve">     40300086  1150 - Mint Farm Steam Prod Plant</t>
  </si>
  <si>
    <t xml:space="preserve">     40300092  1150 - Sumas Steam Prod Plant</t>
  </si>
  <si>
    <t>*    Steam Prod Plant - Elec Depr Expense</t>
  </si>
  <si>
    <t xml:space="preserve">     40300012  Depr Exp - Electric Hydro Product Plant</t>
  </si>
  <si>
    <t>*    Hydro Prod Plant - Elec Depr Expense</t>
  </si>
  <si>
    <t xml:space="preserve">     40300013  Depr Exp - Electric Other Product Plant</t>
  </si>
  <si>
    <t xml:space="preserve">     40300016  1150 -Hopkins Ridge Otr Production Plant</t>
  </si>
  <si>
    <t xml:space="preserve">     40300022  Depr Exp-Fredrickson-Otr ProductionPlant</t>
  </si>
  <si>
    <t xml:space="preserve">     40300026  1150 - Wild Horse Other Production Plant</t>
  </si>
  <si>
    <t xml:space="preserve">     40300063  1150 - Ferndale Other Production Plant</t>
  </si>
  <si>
    <t xml:space="preserve">     40300072  Depr Exp-Encogen Otr Product Plt CC1000</t>
  </si>
  <si>
    <t xml:space="preserve">     40300076  1150 - Fredonia 3&amp;4 Other Product Plant</t>
  </si>
  <si>
    <t xml:space="preserve">     40300080  1150 - Goldendale Other Production Plant</t>
  </si>
  <si>
    <t xml:space="preserve">     40300084  1150 - Mint Farm Other Production Plant</t>
  </si>
  <si>
    <t xml:space="preserve">     40300090  1150 - Sumas Other Production Plant</t>
  </si>
  <si>
    <t xml:space="preserve">     40300095  1150 - Whitehorn 2&amp;3 Oth Production Plnt</t>
  </si>
  <si>
    <t xml:space="preserve">     40300104  1150 -  Lwr Snake River Other Prod Plant</t>
  </si>
  <si>
    <t>*    Other Prod Plant - Elec Depr Expense</t>
  </si>
  <si>
    <t xml:space="preserve">     40300017  1150 - Wild Horse Transmission Plant</t>
  </si>
  <si>
    <t xml:space="preserve">     40300020  1150 - Hopkins Ridge Transmission Plant</t>
  </si>
  <si>
    <t xml:space="preserve">     40300024  Depr Exp-Fredrickson-Transmission Plant</t>
  </si>
  <si>
    <t xml:space="preserve">     40300031  Depr Exp - Electric Transmission Plant</t>
  </si>
  <si>
    <t xml:space="preserve">     40300065  1150 - Ferndale Transmission Plant</t>
  </si>
  <si>
    <t xml:space="preserve">     40300070  1150 - Encogen Transmission Plant</t>
  </si>
  <si>
    <t xml:space="preserve">     40300078  1150 - Fredonia 3&amp;4 TSM - 2010 Purchase</t>
  </si>
  <si>
    <t xml:space="preserve">     40300079  1150 - Goldendale Transmission Plant</t>
  </si>
  <si>
    <t xml:space="preserve">     40300088  1150 - Mint Farm Transmission Plant</t>
  </si>
  <si>
    <t xml:space="preserve">     40300094  1150 - Sumas Transmission Plant</t>
  </si>
  <si>
    <t xml:space="preserve">     40300103  1150 -  Lwr Snake River Transmison Plant</t>
  </si>
  <si>
    <t>*    Transmission Plant - Elec Depr Expense</t>
  </si>
  <si>
    <t xml:space="preserve">     40300041  Depr Exp - Electric Distribution Plant</t>
  </si>
  <si>
    <t xml:space="preserve">     40300101  1150 -  Lwr Snake River Distribut  Plant</t>
  </si>
  <si>
    <t>*    Dist Plant Excl VROW - Elec Depr Expense</t>
  </si>
  <si>
    <t xml:space="preserve">     40300018  1150 - Hopkins Ridge General Plant</t>
  </si>
  <si>
    <t xml:space="preserve">     40300021  Depr Exp-Fredrickson-General Plant- Elec</t>
  </si>
  <si>
    <t xml:space="preserve">     40300028  1150 - Wild Horse General Plant</t>
  </si>
  <si>
    <t xml:space="preserve">     40300051  Depr Exp - Electric General Plant</t>
  </si>
  <si>
    <t xml:space="preserve">     40300074  Depr Exp - Encogen General Plant CC1000</t>
  </si>
  <si>
    <t xml:space="preserve">     40300081  1150 - Goldendale General Plant</t>
  </si>
  <si>
    <t xml:space="preserve">     40300085  1150 - Mint Farm General Plant</t>
  </si>
  <si>
    <t xml:space="preserve">     40300091  1150 - Sumas General Plant</t>
  </si>
  <si>
    <t xml:space="preserve">     40300102  1150 -  Lwr Snake River General Plant</t>
  </si>
  <si>
    <t>*    General Plant - Elec Depr Expense</t>
  </si>
  <si>
    <t>**   Electric Depreciation Expense</t>
  </si>
  <si>
    <t xml:space="preserve">     40300311  1150-Depr Exp - Gas Production Plant</t>
  </si>
  <si>
    <t xml:space="preserve">     40300321  1150-Depr Exp - Gas UG Storage Plant</t>
  </si>
  <si>
    <t xml:space="preserve">     40300323  1150-Depr Exp - Gas Other Storage Plant</t>
  </si>
  <si>
    <t xml:space="preserve">     40300325  Depr Exp-Gas LNG Terminaling/Processing</t>
  </si>
  <si>
    <t xml:space="preserve">     40300341  1150-Depr Exp - Gas Distribution Plant</t>
  </si>
  <si>
    <t xml:space="preserve">     40300351  1150-Depr Exp - Gas General Plant</t>
  </si>
  <si>
    <t>**   Gas Depreciation Expense</t>
  </si>
  <si>
    <t xml:space="preserve">     40300651  Depr Exp - Common General Plant</t>
  </si>
  <si>
    <t>**   Common Depreciation Expense</t>
  </si>
  <si>
    <t>***  Depreciation Expense</t>
  </si>
  <si>
    <t xml:space="preserve">     40310001  Depr Exp - Elec Asset Retirement Costs</t>
  </si>
  <si>
    <t xml:space="preserve">     40310002  Depr Exp - Elec Contra Colstrip 1&amp;2 ARC</t>
  </si>
  <si>
    <t xml:space="preserve">     40310301  Depr Exp - Gas Asset Retirement Costs</t>
  </si>
  <si>
    <t xml:space="preserve">     40310601  Depr Exp - Common Asset Retirement Costs</t>
  </si>
  <si>
    <t>**** Total</t>
  </si>
  <si>
    <t xml:space="preserve">   40400011  Amort Exp - Electric Franchises</t>
  </si>
  <si>
    <t xml:space="preserve">   40400012  Amort Exp - Elect Hydro Project Licenses</t>
  </si>
  <si>
    <t xml:space="preserve">   40400032  Whitehorn 2&amp;3 Leasehold Imprv</t>
  </si>
  <si>
    <t xml:space="preserve">   40400091  Amort Exp - Electric Computer Software</t>
  </si>
  <si>
    <t>*  Electric Amort Ltd-Term Plant</t>
  </si>
  <si>
    <t xml:space="preserve">   40400311  Amort Exp - Gas Franchises</t>
  </si>
  <si>
    <t xml:space="preserve">   40400391  Amort Exp - Gas Computer Software</t>
  </si>
  <si>
    <t>*  Gas Amort Ltd-Term Plant</t>
  </si>
  <si>
    <t xml:space="preserve">   40400611  Amort Exp - Common Franchises</t>
  </si>
  <si>
    <t xml:space="preserve">   40400621  Amort Exp - Common Leasehold Improvement</t>
  </si>
  <si>
    <t xml:space="preserve">   40400631  Amortization Exp - Common Capital Lease</t>
  </si>
  <si>
    <t xml:space="preserve">   40400691  Amort Exp - Common Computer Software</t>
  </si>
  <si>
    <t>*  Common Amort Ltd-Term Plant</t>
  </si>
  <si>
    <t xml:space="preserve">   40600011  Amort Exp - Electr Plant Acquisition Adj</t>
  </si>
  <si>
    <t xml:space="preserve">   40600012  Amort Exp-Colstrip Common Plt Acquis Adj</t>
  </si>
  <si>
    <t xml:space="preserve">   40600021  Amort Exp - WUTC AFUDC Plant Acquis Adj</t>
  </si>
  <si>
    <t xml:space="preserve">   40600031  Amort of Acquisition Adj -Encogen-CC1000</t>
  </si>
  <si>
    <t xml:space="preserve">   40600041  1150 - MNT - Amort of Elect Plant A</t>
  </si>
  <si>
    <t xml:space="preserve">   40600061  1150 - Ferndale - Amort of Elect Plant</t>
  </si>
  <si>
    <t>*  Electric Plant Acquisition Adj</t>
  </si>
  <si>
    <t xml:space="preserve">   41113002  Accre Exp- Colstrip 1&amp;2 Contra- Elec</t>
  </si>
  <si>
    <t>*  Electric ARO Accretion Expense</t>
  </si>
  <si>
    <t xml:space="preserve">   41113301  1150- Accretion Exp - ARO Gas Plant</t>
  </si>
  <si>
    <t>*  Gas ARO Accretion Expense</t>
  </si>
  <si>
    <t xml:space="preserve">   41113601  1150- Accretion Exp - ARO Common</t>
  </si>
  <si>
    <t>*  Common ARO Accretion Expense</t>
  </si>
  <si>
    <t xml:space="preserve">   41113001  1150- Accretion Exp - ARO Electric Plant</t>
  </si>
  <si>
    <t>Electric 4-Factor</t>
  </si>
  <si>
    <t>Gas 4-Factor</t>
  </si>
  <si>
    <t>Elec Prod</t>
  </si>
  <si>
    <t>Elec Non-Prod</t>
  </si>
  <si>
    <t>Total Elec</t>
  </si>
  <si>
    <t>Depreciation - Production</t>
  </si>
  <si>
    <t>Depreciation - Transmission</t>
  </si>
  <si>
    <t>Total Test Year Depreciation for PCORC</t>
  </si>
  <si>
    <t>Supported</t>
  </si>
  <si>
    <t>Total Depreciation and Amortization</t>
  </si>
  <si>
    <t>Production</t>
  </si>
  <si>
    <t>Transmission</t>
  </si>
  <si>
    <t>Colstrip Common FERC Adj, net of accum amort</t>
  </si>
  <si>
    <t>Colstrip Def Depr FERC Adj, net of accum amort</t>
  </si>
  <si>
    <t>`</t>
  </si>
  <si>
    <t>Ledger Detail</t>
  </si>
  <si>
    <t>ARC Depreciation</t>
  </si>
  <si>
    <t>ARO Accretion</t>
  </si>
  <si>
    <t>Month</t>
  </si>
  <si>
    <t>Common</t>
  </si>
  <si>
    <t>**   ARC Electric Depreciation Expense</t>
  </si>
  <si>
    <t>**   ARC Gas Depreciation Expense</t>
  </si>
  <si>
    <t>**   ARC Common Depreciation Expense</t>
  </si>
  <si>
    <t>***  ARC Depreciation Expense</t>
  </si>
  <si>
    <t>Detail</t>
  </si>
  <si>
    <t xml:space="preserve">Production </t>
  </si>
  <si>
    <t>Colstrip 1&amp;2</t>
  </si>
  <si>
    <t>Colstrip 3&amp;4</t>
  </si>
  <si>
    <t>1&amp;2 Reclass</t>
  </si>
  <si>
    <t>&lt;-- Reconciles</t>
  </si>
  <si>
    <t>Total ARC Depreciation Expected in PP</t>
  </si>
  <si>
    <t>CARRYING CHARGES ON LSR PP TRANSM $99.8M (FERC 407.3)</t>
  </si>
  <si>
    <t>Open</t>
  </si>
  <si>
    <t>includes 9.25M non Power Plant</t>
  </si>
  <si>
    <t>Not in PP</t>
  </si>
  <si>
    <t>Depreciation - Colstrip 1 and 2 Regulatory Asset</t>
  </si>
  <si>
    <t>Total Depreciation</t>
  </si>
  <si>
    <t>Colstrip 1&amp;2 R/A Amort</t>
  </si>
  <si>
    <t>Line 23</t>
  </si>
  <si>
    <t>Line 26</t>
  </si>
  <si>
    <t>Depreciation</t>
  </si>
  <si>
    <t>COLSTRIP FERC RATE BASE</t>
  </si>
  <si>
    <t>d = a + b + c</t>
  </si>
  <si>
    <t>AMA on d</t>
  </si>
  <si>
    <t>AMA on a</t>
  </si>
  <si>
    <t>AMA on b</t>
  </si>
  <si>
    <t>PRODUCTION</t>
  </si>
  <si>
    <t>TRANSMISSION</t>
  </si>
  <si>
    <t>GENERAL</t>
  </si>
  <si>
    <t>BALANCE</t>
  </si>
  <si>
    <t>AMA</t>
  </si>
  <si>
    <t>1987 DEPRECIATION</t>
  </si>
  <si>
    <t>REMAINING YEARS</t>
  </si>
  <si>
    <t>ANNUAL DEPRECIATION</t>
  </si>
  <si>
    <t>MONTHLY DEPRECIATION</t>
  </si>
  <si>
    <t>NOT APPLICABLE</t>
  </si>
  <si>
    <t>Amortization Expense</t>
  </si>
  <si>
    <t>Account</t>
  </si>
  <si>
    <t>Electric - Colstrip</t>
  </si>
  <si>
    <t>Debit</t>
  </si>
  <si>
    <t>Credit</t>
  </si>
  <si>
    <t>Balance</t>
  </si>
  <si>
    <t>Cum. balance</t>
  </si>
  <si>
    <t xml:space="preserve">Period </t>
  </si>
  <si>
    <t>AMA 6/2020</t>
  </si>
  <si>
    <t>E303 - Software</t>
  </si>
  <si>
    <t>EIM Software</t>
  </si>
  <si>
    <t>E391</t>
  </si>
  <si>
    <t>EIM Computer Hardware</t>
  </si>
  <si>
    <t>Green Direct-SW.CN.3YR-143003850</t>
  </si>
  <si>
    <t>Frederickson - WO 141002697</t>
  </si>
  <si>
    <t>Lower Baker - WO 103007439</t>
  </si>
  <si>
    <t>Lower Baker - WO 103007440</t>
  </si>
  <si>
    <t>Lower Baker - WO 103007359</t>
  </si>
  <si>
    <t>E303 - Leaseholds</t>
  </si>
  <si>
    <t>Whitehorn 2 &amp; 3</t>
  </si>
  <si>
    <t>Col 1&amp;2 Dep</t>
  </si>
  <si>
    <t>Dep</t>
  </si>
  <si>
    <t>404 OTHER AMORTIZATION</t>
  </si>
  <si>
    <t>406 ACQUISITION ADJUSTMENT AMORTIZATION</t>
  </si>
  <si>
    <t>CONV FACTOR</t>
  </si>
  <si>
    <t>COLSTRIP 1&amp;2 REGULATORY ASSET:</t>
  </si>
  <si>
    <t/>
  </si>
  <si>
    <t>TOTAL TEST YEAR PRODUCTION RATE BASE</t>
  </si>
  <si>
    <t>ACCUMULATED DEFERRED INCOME TAXES</t>
  </si>
  <si>
    <t>TREASURY GRANTS</t>
  </si>
  <si>
    <t>STEAM NET BOOK VALUE</t>
  </si>
  <si>
    <t>HYDRO NET BOOK VALUE</t>
  </si>
  <si>
    <t>OTHER PRODUCTION NET BOOK VALUE</t>
  </si>
  <si>
    <t>WILD HORSE SOLAR NET BOOK VALUE</t>
  </si>
  <si>
    <t>EIM NET BOOK VALUE</t>
  </si>
  <si>
    <t>GREEN DIRECT NET BOOK VALUE</t>
  </si>
  <si>
    <t>OTHER SOFTWARE NET BOOK VALUE</t>
  </si>
  <si>
    <t>LICENSING NET BOOK VALUE</t>
  </si>
  <si>
    <t>COLSTRIP COMMON FERC ADJUSTMENT NET BOOK VALUE</t>
  </si>
  <si>
    <t>COLSTRIP DEFERRED DEPRECIATION FERC ADJ NBV</t>
  </si>
  <si>
    <t>ACQUISITION ADJUSTMENTS NET BOOK VALUE</t>
  </si>
  <si>
    <t>ASSET RETIREMENT OBLIGATIONS NET BOOK VALUE</t>
  </si>
  <si>
    <t>NET COLSTRIP REGULATORY ASSET (NOTE 1)</t>
  </si>
  <si>
    <t>AMOUNTS ARE FURTHER OFFSET BY PTC'S IN ADJUSTMENT 10</t>
  </si>
  <si>
    <t>RATE BASE ADJUSTMENT:</t>
  </si>
  <si>
    <t>COLSTRIP 1-2 REGULATORY ASSET</t>
  </si>
  <si>
    <t>NET COLSTRIP REGULATORY ASSET AND PTC OFFSET</t>
  </si>
  <si>
    <t>TEST YEAR EXPENSE ADJUSTMENT:</t>
  </si>
  <si>
    <t>COLSTRIP 1-2 REG ASSET AMORT ADJ</t>
  </si>
  <si>
    <t>FROM EOP</t>
  </si>
  <si>
    <t xml:space="preserve">ADJS. #3 &amp; #4 </t>
  </si>
  <si>
    <t>PROPERTY INSURANCE EXPENSE</t>
  </si>
  <si>
    <t>EOP</t>
  </si>
  <si>
    <t>Benefits and Taxes</t>
  </si>
  <si>
    <t>TOTAL RATE BASE</t>
  </si>
  <si>
    <t>PLANT IN SERVICE</t>
  </si>
  <si>
    <t>ACCUMULATED DEFERRED FIT</t>
  </si>
  <si>
    <t>Production Rate Base Return (on Row 5)</t>
  </si>
  <si>
    <t>Transmission Rate Base Return (on Row 4)</t>
  </si>
  <si>
    <t>Regulatory Asset Rate Base Return (on Row 3+3a)</t>
  </si>
  <si>
    <t>&lt;---- Portion related to Microsoft</t>
  </si>
  <si>
    <t>PWX MSFT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</si>
  <si>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</si>
  <si>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</si>
  <si>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</si>
  <si>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</si>
  <si>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</si>
  <si>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</si>
  <si>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</si>
  <si>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</si>
  <si>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</si>
  <si>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</si>
  <si>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</si>
  <si>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</si>
  <si>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12MOE June 2020</t>
  </si>
  <si>
    <t>Other</t>
  </si>
  <si>
    <t>Corrected - per Compliance Filing in UE-190529 as updated in UE-200907</t>
  </si>
  <si>
    <t>|------------  (Note 1)  ------------|</t>
  </si>
  <si>
    <t xml:space="preserve">(Note 1) The adjustments for amortization of power cost related </t>
  </si>
  <si>
    <t>Variable Power Costs per Exhibit A-1 (before gross-up)</t>
  </si>
  <si>
    <t>Power Costs per Exh. PKW-3C</t>
  </si>
  <si>
    <t>Reclass 557 Benefits and Taxes to different line on A-1</t>
  </si>
  <si>
    <t>Production Factor the Costs</t>
  </si>
  <si>
    <t>Subtotal Power Costs</t>
  </si>
  <si>
    <t>Add:</t>
  </si>
  <si>
    <t>Trasnmission Expense</t>
  </si>
  <si>
    <t>Transmission Revenues</t>
  </si>
  <si>
    <t>Centralia Equity Adder</t>
  </si>
  <si>
    <t>Subtotal Additional Costs in Power Cost Adjustment</t>
  </si>
  <si>
    <t>Total per Power Cost Adjustment</t>
  </si>
  <si>
    <t>Montana Energy Tax</t>
  </si>
  <si>
    <t>Adjust for amounts included in other adjustments:</t>
  </si>
  <si>
    <t>Remove non-brokerage fees from 557</t>
  </si>
  <si>
    <t>Subtotal Other Adjustments</t>
  </si>
  <si>
    <t>Total Variable from A-1</t>
  </si>
  <si>
    <t>Transmission Revenue and Expense</t>
  </si>
  <si>
    <t>Add SPI Biomass amortization</t>
  </si>
  <si>
    <t>PKW</t>
  </si>
  <si>
    <t>Rev Req</t>
  </si>
  <si>
    <t>AMOUNTS</t>
  </si>
  <si>
    <t>Page 3 of 17</t>
  </si>
  <si>
    <t>Page 4 of 17</t>
  </si>
  <si>
    <t>Page 5 of 17</t>
  </si>
  <si>
    <t>Page 6 of 17</t>
  </si>
  <si>
    <t>Page 7 of 17</t>
  </si>
  <si>
    <t>Page 8 of 17</t>
  </si>
  <si>
    <t>Page 9 of 17</t>
  </si>
  <si>
    <t>Page 10 of 17</t>
  </si>
  <si>
    <t>Page 11 of 17</t>
  </si>
  <si>
    <t>Page 12 of 17</t>
  </si>
  <si>
    <t>Page 13 of 17</t>
  </si>
  <si>
    <t>Page 14 of 17</t>
  </si>
  <si>
    <t>Page 15 of 17</t>
  </si>
  <si>
    <t>Page 16 of 17</t>
  </si>
  <si>
    <t>Page 17 of 17</t>
  </si>
  <si>
    <t>Adjustment 1 - 1/3</t>
  </si>
  <si>
    <t>Adjustment 1 - 2/3</t>
  </si>
  <si>
    <t>Adjustment 1 - 3/3</t>
  </si>
  <si>
    <t>501 COAL STEAM FUEL</t>
  </si>
  <si>
    <t>547 NATURAL GAS FUEL</t>
  </si>
  <si>
    <t>555 PURCHASED POWER</t>
  </si>
  <si>
    <t>557 OTHER POWER EXPENSE</t>
  </si>
  <si>
    <t>557 BROKERAGE FEES</t>
  </si>
  <si>
    <t>565 WHEELING</t>
  </si>
  <si>
    <t>447 SALES FOR RESALE</t>
  </si>
  <si>
    <t>456 PURCHASES/SALES OF NON-CORE GAS</t>
  </si>
  <si>
    <t xml:space="preserve">     NET POWER COSTS FROM EXH. PKW-3</t>
  </si>
  <si>
    <t>PRODUCTION O&amp;M FROM RJR EXHIBIT</t>
  </si>
  <si>
    <t xml:space="preserve">TRANS. EXP. INCL. 500KV O&amp;M </t>
  </si>
  <si>
    <t>456-1 OATT TRANSMISSION INCOME</t>
  </si>
  <si>
    <t>EQUITY RETURN ON CENTRALIA COAL TRANSITION PPA</t>
  </si>
  <si>
    <t>SUBTOTAL</t>
  </si>
  <si>
    <t>PRODUCTION FACTOR ADJUSTMENT</t>
  </si>
  <si>
    <t>(NOTE 1) ADJUSTED TO OCTOBER 15, 2020, THE DAY AMORTIZATION CEASED COINCIDENT WITH 2019 GRC RATES</t>
  </si>
  <si>
    <t>3RD AC NW-SW INTERTIE</t>
  </si>
  <si>
    <t>TOTAL UTILITY PLANT RATE BASE</t>
  </si>
  <si>
    <t>WILD HORSE SOLAR EXPENSE</t>
  </si>
  <si>
    <t>WILD HORSE SOLAR RATE BASE</t>
  </si>
  <si>
    <t>TOTAL REGULATORY ASSETS</t>
  </si>
  <si>
    <t>PROD FACTOR</t>
  </si>
  <si>
    <t>Regulatory Asset Rate Base Return (on Row 3)</t>
  </si>
  <si>
    <t>INCREASE(DECREASE) EXPENSE</t>
  </si>
  <si>
    <t>REGULATORY ASSETS AND LIABILITIES</t>
  </si>
  <si>
    <t>MINT FARM DEFERRED - 15 YEARS - MARCH 2025</t>
  </si>
  <si>
    <t>ADJUSTMENT TO ACCUMULATED DEPRECIATION</t>
  </si>
  <si>
    <t>PROFORMA PCORC DECREASE - FIXED:</t>
  </si>
  <si>
    <t>Operating Revenues from Exh. BDJ-8</t>
  </si>
  <si>
    <t>Jun '21 ~ May '22</t>
  </si>
  <si>
    <t>are errors in the model or check formulas</t>
  </si>
  <si>
    <t>Load</t>
  </si>
  <si>
    <t>Grossed up Rate</t>
  </si>
  <si>
    <t>Conversion Factor</t>
  </si>
  <si>
    <t>Ref</t>
  </si>
  <si>
    <t>Rate Base</t>
  </si>
  <si>
    <t>Rate of Return</t>
  </si>
  <si>
    <t>Return on Rate Base</t>
  </si>
  <si>
    <t>Expenses</t>
  </si>
  <si>
    <t>Total 
Baseline Rate</t>
  </si>
  <si>
    <t>Grossed up</t>
  </si>
  <si>
    <t>Test Year Load (MWh's)</t>
  </si>
  <si>
    <t>From the Model</t>
  </si>
  <si>
    <t>The Difference</t>
  </si>
  <si>
    <t>Baseline Rate from 2019 GRC</t>
  </si>
  <si>
    <t>Rounding</t>
  </si>
  <si>
    <r>
      <t xml:space="preserve">2020 </t>
    </r>
    <r>
      <rPr>
        <b/>
        <u/>
        <sz val="10"/>
        <rFont val="Arial"/>
        <family val="2"/>
      </rPr>
      <t>ELECTRIC</t>
    </r>
    <r>
      <rPr>
        <sz val="10"/>
        <rFont val="Arial"/>
        <family val="2"/>
      </rPr>
      <t xml:space="preserve"> Power Only Rate Case</t>
    </r>
  </si>
  <si>
    <t>These cells should be zero and green otherwise, there</t>
  </si>
  <si>
    <t>o</t>
  </si>
  <si>
    <t>TOTAL Revenue Requirement Impact *</t>
  </si>
  <si>
    <t>Rollforward from 2019 GRC BLR to 2020 PCORC BLR in Staff DR 34</t>
  </si>
  <si>
    <t>Exh. SEF-14</t>
  </si>
  <si>
    <t>Docket Number UE-200980</t>
  </si>
  <si>
    <t>Updated</t>
  </si>
  <si>
    <t>Exh. SEF-16</t>
  </si>
  <si>
    <t>Exhibit No. _____ (SEF-15)</t>
  </si>
  <si>
    <t>SETTLEMENT</t>
  </si>
  <si>
    <t xml:space="preserve">Increase (Decrease) FIT @ </t>
  </si>
  <si>
    <t>INCREASE (DECREASE) NOI</t>
  </si>
  <si>
    <t>Smart Burn Depreciation Expense</t>
  </si>
  <si>
    <t>SMART BURN</t>
  </si>
  <si>
    <t>SMART</t>
  </si>
  <si>
    <t>BURN</t>
  </si>
  <si>
    <t>For Green Direct Credit</t>
  </si>
  <si>
    <t>← includes GD</t>
  </si>
  <si>
    <t>←check→</t>
  </si>
  <si>
    <t>GREEN DIRECT ENERGY CREDIT DEFICIENCY</t>
  </si>
  <si>
    <t>PCORC DEFICIENCY IN SCHEDULE 95</t>
  </si>
  <si>
    <t>IMPACT OF CHANGE TO SCHEDULE 139 CREDIT</t>
  </si>
  <si>
    <t>TOTAL RATE IMPACT OF PCORC FILING</t>
  </si>
  <si>
    <t>Compliance Filing</t>
  </si>
  <si>
    <t>Settlement</t>
  </si>
  <si>
    <t>COMPLIANCE</t>
  </si>
  <si>
    <t xml:space="preserve">          Green Direct load</t>
  </si>
  <si>
    <t xml:space="preserve">          Variable baseline rate</t>
  </si>
  <si>
    <t>Compliance</t>
  </si>
  <si>
    <t>Change</t>
  </si>
  <si>
    <t>Power Costs in Settlement</t>
  </si>
  <si>
    <t>Power Costs in Compliance</t>
  </si>
  <si>
    <t>Increase</t>
  </si>
  <si>
    <t>Production Factor</t>
  </si>
  <si>
    <t>Power Costs Incr after Prod Fctr</t>
  </si>
  <si>
    <t>1.  Update Power Costs for Compliance</t>
  </si>
  <si>
    <t>2.  Montana Tax for Compliance</t>
  </si>
  <si>
    <t>Montana Tax in Settlement</t>
  </si>
  <si>
    <t>Montana Tax in Compliance</t>
  </si>
  <si>
    <t>Montana Tax Incr after Prod Fctr</t>
  </si>
  <si>
    <r>
      <t xml:space="preserve">BEFORE CHANGES (copy/paste value) - </t>
    </r>
    <r>
      <rPr>
        <b/>
        <sz val="9.35"/>
        <color rgb="FF0000FF"/>
        <rFont val="Times New Roman"/>
        <family val="1"/>
      </rPr>
      <t>Settlement</t>
    </r>
  </si>
  <si>
    <t>3.  Change in Credit to be provided to Green Direct customers</t>
  </si>
  <si>
    <t xml:space="preserve">     Settlement Run</t>
  </si>
  <si>
    <t>Line 15</t>
  </si>
  <si>
    <t>Deficit / (Surplus) before Change to Green Direct Credit</t>
  </si>
  <si>
    <t>Total Revenue Requirment before Change to Green Direct Credit in Settlement</t>
  </si>
  <si>
    <t xml:space="preserve">     Credit to be provided to Green Direct Customers in Settlment</t>
  </si>
  <si>
    <t>Total Rate Impact</t>
  </si>
  <si>
    <t>IMPACT ON SCH 139 OF CHANGING TO VAR BLR</t>
  </si>
  <si>
    <t>COMPLIANCE Changes in Rows 13-15</t>
  </si>
  <si>
    <t>Summary of Changes Compliance</t>
  </si>
  <si>
    <t>Credit to be provided to Green Direct customers</t>
  </si>
  <si>
    <t>Schedule 139 change due to increase in Credit</t>
  </si>
  <si>
    <t>Tariff</t>
  </si>
  <si>
    <t>7A</t>
  </si>
  <si>
    <t>Residential</t>
  </si>
  <si>
    <t>26 &amp; 26P</t>
  </si>
  <si>
    <t>Total Secondary Voltage</t>
  </si>
  <si>
    <t>Total Primary Voltage</t>
  </si>
  <si>
    <t>Total High Voltage</t>
  </si>
  <si>
    <t>50-59</t>
  </si>
  <si>
    <t>Lights</t>
  </si>
  <si>
    <t>449-459</t>
  </si>
  <si>
    <t>Transportation</t>
  </si>
  <si>
    <t>SC</t>
  </si>
  <si>
    <t>Special Contract</t>
  </si>
  <si>
    <t>Firm Resale</t>
  </si>
  <si>
    <t>Total Sales</t>
  </si>
  <si>
    <t>Proposed
Schedule 139 Eff 6-1-2021
Revenue  Compliance</t>
  </si>
  <si>
    <t>Proposed
Schedule 139 Eff 6-1-2021
Revenue  Settlement</t>
  </si>
  <si>
    <t>Line 13</t>
  </si>
  <si>
    <t>Line 14</t>
  </si>
  <si>
    <t>Line 15 Rev Req</t>
  </si>
  <si>
    <t>Line 15 Sch. 139</t>
  </si>
  <si>
    <t>Changes Made for Staff COMPLIANCE filing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</si>
</sst>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00_);_(* \(#,##0.0000000\);_(* &quot;-&quot;??_);_(@_)"/>
    <numFmt numFmtId="166" formatCode="_(&quot;$&quot;* #,##0_);_(&quot;$&quot;* \(#,##0\);_(&quot;$&quot;* &quot;-&quot;??_);_(@_)"/>
    <numFmt numFmtId="167" formatCode="_(* #,##0.000_);_(* \(#,##0.000\);_(* &quot;-&quot;??_);_(@_)"/>
    <numFmt numFmtId="168" formatCode="_(&quot;$&quot;* #,##0.000_);_(&quot;$&quot;* \(#,##0.000\);_(&quot;$&quot;* &quot;-&quot;??_);_(@_)"/>
    <numFmt numFmtId="169" formatCode="0.000"/>
    <numFmt numFmtId="170" formatCode="0.00000"/>
    <numFmt numFmtId="171" formatCode="0.000000"/>
    <numFmt numFmtId="172" formatCode="0.0000000"/>
    <numFmt numFmtId="173" formatCode="_(&quot;$&quot;* #,##0.000_);_(&quot;$&quot;* \(#,##0.000\);_(&quot;$&quot;* &quot;-&quot;???_);_(@_)"/>
    <numFmt numFmtId="174" formatCode="mmmm\ d\,\ yyyy"/>
    <numFmt numFmtId="175" formatCode="0.000%"/>
    <numFmt numFmtId="176" formatCode="#,##0;\(#,##0\)"/>
    <numFmt numFmtId="177" formatCode="_(* #,##0.000000_);_(* \(#,##0.000000\);_(* &quot;-&quot;??_);_(@_)"/>
    <numFmt numFmtId="178" formatCode="0.0000%"/>
    <numFmt numFmtId="179" formatCode="&quot;Adjustment&quot;\ General"/>
    <numFmt numFmtId="180" formatCode="_(* #,##0.0000_);_(* \(#,##0.0000\);_(* &quot;-&quot;??_);_(@_)"/>
    <numFmt numFmtId="181" formatCode="yyyy"/>
    <numFmt numFmtId="182" formatCode="0.0000"/>
    <numFmt numFmtId="183" formatCode="__@"/>
    <numFmt numFmtId="184" formatCode="_(* #,##0.000_);_(* \(#,##0.000\);_(* &quot;-&quot;_);_(@_)"/>
    <numFmt numFmtId="185" formatCode="[$-409]mmm\-yy;@"/>
    <numFmt numFmtId="186" formatCode="0_);\(0\)"/>
    <numFmt numFmtId="187" formatCode="_(&quot;$&quot;* #,##0.000000_);_(&quot;$&quot;* \(#,##0.000000\);_(&quot;$&quot;* &quot;-&quot;??_);_(@_)"/>
    <numFmt numFmtId="188" formatCode="_(* #,##0.00000_);_(* \(#,##0.00000\);_(* &quot;-&quot;??_);_(@_)"/>
    <numFmt numFmtId="189" formatCode="_(&quot;$&quot;* #,##0.0000_);_(&quot;$&quot;* \(#,##0.0000\);_(&quot;$&quot;* &quot;-&quot;??_);_(@_)"/>
    <numFmt numFmtId="190" formatCode="_(&quot;$&quot;* #,##0.000_);_(&quot;$&quot;* \(#,##0.000\);_(&quot;$&quot;* &quot;-&quot;_);_(@_)"/>
  </numFmts>
  <fonts count="8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0000FF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sz val="8"/>
      <color theme="1"/>
      <name val="Arial"/>
      <family val="2"/>
    </font>
    <font>
      <b/>
      <i/>
      <sz val="10"/>
      <color rgb="FF0000FF"/>
      <name val="Arial"/>
      <family val="2"/>
    </font>
    <font>
      <i/>
      <sz val="10"/>
      <color rgb="FF0000FF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9"/>
      <name val="Arial"/>
      <family val="2"/>
    </font>
    <font>
      <sz val="11"/>
      <color theme="1"/>
      <name val="Arial"/>
      <family val="2"/>
    </font>
    <font>
      <sz val="16"/>
      <color rgb="FFFF0000"/>
      <name val="Arial"/>
      <family val="2"/>
    </font>
    <font>
      <sz val="9"/>
      <color theme="1"/>
      <name val="Arial"/>
      <family val="2"/>
    </font>
    <font>
      <sz val="10"/>
      <color theme="1"/>
      <name val="Times New Roman"/>
      <family val="1"/>
    </font>
    <font>
      <b/>
      <sz val="16"/>
      <color theme="1"/>
      <name val="Arial"/>
      <family val="2"/>
    </font>
    <font>
      <b/>
      <sz val="11"/>
      <color theme="1"/>
      <name val="Times New Roman"/>
      <family val="1"/>
    </font>
    <font>
      <sz val="16"/>
      <color theme="1"/>
      <name val="Arial"/>
      <family val="2"/>
    </font>
    <font>
      <b/>
      <u/>
      <sz val="11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name val="Calibri"/>
      <family val="2"/>
      <scheme val="minor"/>
    </font>
    <font>
      <sz val="6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name val="Times New Roman"/>
      <family val="1"/>
    </font>
    <font>
      <sz val="12"/>
      <name val="Arial"/>
      <family val="2"/>
    </font>
    <font>
      <sz val="12"/>
      <color rgb="FFFF0000"/>
      <name val="Arial"/>
      <family val="2"/>
    </font>
    <font>
      <u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name val="Arial"/>
      <family val="2"/>
    </font>
    <font>
      <b/>
      <u val="singleAccounting"/>
      <sz val="10"/>
      <name val="Arial"/>
      <family val="2"/>
    </font>
    <font>
      <b/>
      <sz val="10"/>
      <color theme="0"/>
      <name val="Arial"/>
      <family val="2"/>
    </font>
    <font>
      <i/>
      <sz val="10"/>
      <color rgb="FF0000FF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Helv"/>
    </font>
    <font>
      <b/>
      <sz val="1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u/>
      <sz val="10"/>
      <name val="Times New Roman"/>
      <family val="1"/>
    </font>
    <font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u/>
      <sz val="10"/>
      <color rgb="FF0000FF"/>
      <name val="Times New Roman"/>
      <family val="1"/>
    </font>
    <font>
      <u val="singleAccounting"/>
      <sz val="10"/>
      <color rgb="FFFF0000"/>
      <name val="Times New Roman"/>
      <family val="1"/>
    </font>
    <font>
      <u/>
      <sz val="10"/>
      <color rgb="FFFF0000"/>
      <name val="Times New Roman"/>
      <family val="1"/>
    </font>
    <font>
      <sz val="16"/>
      <color rgb="FF006100"/>
      <name val="Calibri"/>
      <family val="2"/>
      <scheme val="minor"/>
    </font>
    <font>
      <sz val="10"/>
      <name val="Arial"/>
      <family val="2"/>
    </font>
    <font>
      <sz val="8"/>
      <color rgb="FF0000FF"/>
      <name val="Arial"/>
      <family val="2"/>
    </font>
    <font>
      <b/>
      <sz val="18"/>
      <color rgb="FFFF0000"/>
      <name val="Arial"/>
      <family val="2"/>
    </font>
    <font>
      <sz val="10"/>
      <name val="Arial"/>
      <family val="2"/>
    </font>
    <font>
      <b/>
      <i/>
      <sz val="10"/>
      <color rgb="FF0000FF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color theme="0" tint="-0.34998626667073579"/>
      <name val="Arial"/>
      <family val="2"/>
    </font>
    <font>
      <b/>
      <i/>
      <sz val="14"/>
      <color rgb="FF0000FF"/>
      <name val="Arial"/>
      <family val="2"/>
    </font>
    <font>
      <b/>
      <sz val="12"/>
      <color rgb="FF0000FF"/>
      <name val="Arial"/>
      <family val="2"/>
    </font>
    <font>
      <b/>
      <sz val="14"/>
      <color rgb="FF0000FF"/>
      <name val="Arial"/>
      <family val="2"/>
    </font>
    <font>
      <b/>
      <sz val="9.35"/>
      <color rgb="FF0000FF"/>
      <name val="Times New Roman"/>
      <family val="1"/>
    </font>
    <font>
      <b/>
      <sz val="10"/>
      <color rgb="FF0000FF"/>
      <name val="Times New Roman"/>
      <family val="1"/>
    </font>
    <font>
      <sz val="12"/>
      <color rgb="FFFF000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auto="1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thin">
        <color auto="1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DotDot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44" fontId="68" fillId="0" borderId="0" applyFont="0" applyFill="0" applyBorder="0" applyAlignment="0" applyProtection="0"/>
    <xf numFmtId="171" fontId="4" fillId="0" borderId="0">
      <alignment horizontal="left" wrapText="1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71" fillId="0" borderId="0" applyFont="0" applyFill="0" applyBorder="0" applyAlignment="0" applyProtection="0"/>
    <xf numFmtId="9" fontId="71" fillId="0" borderId="0" applyFont="0" applyFill="0" applyBorder="0" applyAlignment="0" applyProtection="0"/>
  </cellStyleXfs>
  <cellXfs count="1009">
    <xf numFmtId="0" fontId="0" fillId="0" borderId="0" xfId="0"/>
    <xf numFmtId="0" fontId="11" fillId="0" borderId="15" xfId="0" applyFont="1" applyFill="1" applyBorder="1" applyAlignment="1">
      <alignment horizontal="centerContinuous"/>
    </xf>
    <xf numFmtId="0" fontId="11" fillId="0" borderId="0" xfId="0" quotePrefix="1" applyFont="1" applyFill="1" applyBorder="1" applyAlignment="1">
      <alignment horizontal="centerContinuous"/>
    </xf>
    <xf numFmtId="0" fontId="11" fillId="0" borderId="0" xfId="0" applyFont="1" applyFill="1" applyBorder="1" applyAlignment="1">
      <alignment horizontal="centerContinuous"/>
    </xf>
    <xf numFmtId="0" fontId="11" fillId="0" borderId="16" xfId="0" applyFont="1" applyFill="1" applyBorder="1" applyAlignment="1">
      <alignment horizontal="centerContinuous"/>
    </xf>
    <xf numFmtId="0" fontId="5" fillId="0" borderId="0" xfId="0" applyFont="1" applyFill="1" applyBorder="1"/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5" fontId="4" fillId="0" borderId="2" xfId="0" applyNumberFormat="1" applyFont="1" applyFill="1" applyBorder="1"/>
    <xf numFmtId="165" fontId="4" fillId="0" borderId="0" xfId="0" applyNumberFormat="1" applyFont="1" applyFill="1" applyBorder="1"/>
    <xf numFmtId="0" fontId="4" fillId="0" borderId="0" xfId="0" applyNumberFormat="1" applyFont="1" applyFill="1" applyAlignment="1"/>
    <xf numFmtId="0" fontId="5" fillId="0" borderId="0" xfId="0" applyFont="1" applyFill="1" applyAlignment="1">
      <alignment horizontal="left"/>
    </xf>
    <xf numFmtId="166" fontId="4" fillId="0" borderId="9" xfId="0" applyNumberFormat="1" applyFont="1" applyFill="1" applyBorder="1"/>
    <xf numFmtId="0" fontId="4" fillId="0" borderId="0" xfId="0" applyFont="1" applyFill="1"/>
    <xf numFmtId="0" fontId="17" fillId="0" borderId="0" xfId="0" applyFont="1" applyFill="1" applyBorder="1" applyAlignment="1">
      <alignment horizontal="center"/>
    </xf>
    <xf numFmtId="0" fontId="14" fillId="0" borderId="0" xfId="0" applyFont="1"/>
    <xf numFmtId="0" fontId="4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indent="1"/>
    </xf>
    <xf numFmtId="0" fontId="5" fillId="0" borderId="27" xfId="0" applyFont="1" applyFill="1" applyBorder="1" applyAlignment="1">
      <alignment horizontal="center"/>
    </xf>
    <xf numFmtId="164" fontId="4" fillId="0" borderId="0" xfId="0" applyNumberFormat="1" applyFont="1" applyFill="1" applyBorder="1"/>
    <xf numFmtId="166" fontId="4" fillId="0" borderId="0" xfId="0" applyNumberFormat="1" applyFont="1" applyFill="1" applyBorder="1"/>
    <xf numFmtId="0" fontId="4" fillId="0" borderId="21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74" fontId="4" fillId="0" borderId="2" xfId="0" applyNumberFormat="1" applyFont="1" applyFill="1" applyBorder="1" applyAlignment="1">
      <alignment horizontal="center"/>
    </xf>
    <xf numFmtId="166" fontId="4" fillId="0" borderId="0" xfId="0" applyNumberFormat="1" applyFont="1" applyFill="1" applyBorder="1"/>
    <xf numFmtId="3" fontId="4" fillId="0" borderId="0" xfId="0" applyNumberFormat="1" applyFont="1" applyFill="1"/>
    <xf numFmtId="41" fontId="24" fillId="0" borderId="0" xfId="0" applyNumberFormat="1" applyFont="1" applyFill="1"/>
    <xf numFmtId="0" fontId="4" fillId="0" borderId="0" xfId="0" applyFont="1" applyFill="1" applyAlignment="1">
      <alignment horizontal="left" indent="1"/>
    </xf>
    <xf numFmtId="41" fontId="4" fillId="0" borderId="27" xfId="0" applyNumberFormat="1" applyFont="1" applyFill="1" applyBorder="1"/>
    <xf numFmtId="42" fontId="4" fillId="0" borderId="21" xfId="0" applyNumberFormat="1" applyFont="1" applyFill="1" applyBorder="1"/>
    <xf numFmtId="42" fontId="4" fillId="0" borderId="21" xfId="0" applyNumberFormat="1" applyFont="1" applyFill="1" applyBorder="1"/>
    <xf numFmtId="0" fontId="2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4" fillId="0" borderId="9" xfId="0" applyNumberFormat="1" applyFont="1" applyFill="1" applyBorder="1"/>
    <xf numFmtId="0" fontId="4" fillId="0" borderId="0" xfId="0" applyFont="1" applyFill="1" applyBorder="1" applyAlignment="1">
      <alignment horizontal="left"/>
    </xf>
    <xf numFmtId="168" fontId="4" fillId="0" borderId="0" xfId="0" applyNumberFormat="1" applyFont="1" applyFill="1" applyBorder="1"/>
    <xf numFmtId="0" fontId="4" fillId="0" borderId="0" xfId="0" applyFont="1" applyFill="1" applyBorder="1"/>
    <xf numFmtId="164" fontId="4" fillId="0" borderId="10" xfId="0" applyNumberFormat="1" applyFont="1" applyFill="1" applyBorder="1"/>
    <xf numFmtId="164" fontId="4" fillId="0" borderId="11" xfId="0" applyNumberFormat="1" applyFont="1" applyFill="1" applyBorder="1"/>
    <xf numFmtId="0" fontId="4" fillId="0" borderId="12" xfId="0" applyFont="1" applyFill="1" applyBorder="1"/>
    <xf numFmtId="0" fontId="4" fillId="0" borderId="13" xfId="0" applyFont="1" applyFill="1" applyBorder="1"/>
    <xf numFmtId="0" fontId="4" fillId="0" borderId="14" xfId="0" applyFont="1" applyFill="1" applyBorder="1"/>
    <xf numFmtId="0" fontId="15" fillId="0" borderId="0" xfId="0" applyFont="1" applyFill="1" applyAlignment="1">
      <alignment horizontal="right"/>
    </xf>
    <xf numFmtId="0" fontId="4" fillId="0" borderId="15" xfId="0" applyFont="1" applyFill="1" applyBorder="1"/>
    <xf numFmtId="0" fontId="4" fillId="0" borderId="16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6" fontId="4" fillId="0" borderId="0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quotePrefix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5" xfId="0" applyFont="1" applyFill="1" applyBorder="1" applyAlignment="1">
      <alignment horizontal="center"/>
    </xf>
    <xf numFmtId="0" fontId="4" fillId="0" borderId="0" xfId="0" applyFont="1" applyFill="1" applyBorder="1" applyAlignment="1"/>
    <xf numFmtId="43" fontId="4" fillId="0" borderId="0" xfId="0" applyNumberFormat="1" applyFont="1" applyFill="1" applyBorder="1"/>
    <xf numFmtId="0" fontId="4" fillId="0" borderId="19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0" xfId="0" applyFont="1" applyFill="1" applyBorder="1"/>
    <xf numFmtId="177" fontId="4" fillId="0" borderId="0" xfId="0" applyNumberFormat="1" applyFont="1" applyFill="1"/>
    <xf numFmtId="0" fontId="4" fillId="0" borderId="0" xfId="0" applyFont="1" applyFill="1" applyAlignment="1">
      <alignment horizontal="left"/>
    </xf>
    <xf numFmtId="0" fontId="4" fillId="0" borderId="27" xfId="0" applyFont="1" applyFill="1" applyBorder="1" applyAlignment="1">
      <alignment horizontal="center"/>
    </xf>
    <xf numFmtId="42" fontId="4" fillId="0" borderId="0" xfId="0" applyNumberFormat="1" applyFont="1" applyFill="1" applyBorder="1"/>
    <xf numFmtId="164" fontId="4" fillId="0" borderId="0" xfId="0" applyNumberFormat="1" applyFont="1" applyFill="1" applyBorder="1"/>
    <xf numFmtId="164" fontId="4" fillId="0" borderId="27" xfId="0" applyNumberFormat="1" applyFont="1" applyFill="1" applyBorder="1"/>
    <xf numFmtId="37" fontId="4" fillId="0" borderId="0" xfId="0" applyNumberFormat="1" applyFont="1" applyFill="1" applyBorder="1"/>
    <xf numFmtId="0" fontId="4" fillId="0" borderId="0" xfId="0" applyFont="1" applyFill="1"/>
    <xf numFmtId="0" fontId="4" fillId="0" borderId="0" xfId="0" applyFont="1"/>
    <xf numFmtId="0" fontId="4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10" fillId="0" borderId="15" xfId="0" applyFont="1" applyFill="1" applyBorder="1"/>
    <xf numFmtId="0" fontId="10" fillId="0" borderId="0" xfId="0" applyFont="1" applyFill="1"/>
    <xf numFmtId="0" fontId="0" fillId="0" borderId="12" xfId="0" applyBorder="1"/>
    <xf numFmtId="0" fontId="0" fillId="0" borderId="28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9" xfId="0" applyBorder="1"/>
    <xf numFmtId="0" fontId="0" fillId="0" borderId="1" xfId="0" applyBorder="1"/>
    <xf numFmtId="0" fontId="0" fillId="0" borderId="20" xfId="0" applyBorder="1"/>
    <xf numFmtId="0" fontId="0" fillId="0" borderId="0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5" fillId="0" borderId="15" xfId="0" applyFont="1" applyBorder="1" applyAlignment="1">
      <alignment horizontal="centerContinuous"/>
    </xf>
    <xf numFmtId="0" fontId="5" fillId="0" borderId="29" xfId="0" applyFont="1" applyBorder="1"/>
    <xf numFmtId="0" fontId="5" fillId="0" borderId="16" xfId="0" applyFont="1" applyBorder="1"/>
    <xf numFmtId="0" fontId="5" fillId="0" borderId="16" xfId="0" applyFont="1" applyBorder="1" applyAlignment="1">
      <alignment horizontal="right"/>
    </xf>
    <xf numFmtId="174" fontId="4" fillId="0" borderId="27" xfId="0" applyNumberFormat="1" applyFont="1" applyFill="1" applyBorder="1" applyAlignment="1">
      <alignment horizontal="center"/>
    </xf>
    <xf numFmtId="42" fontId="4" fillId="0" borderId="30" xfId="0" applyNumberFormat="1" applyFont="1" applyFill="1" applyBorder="1"/>
    <xf numFmtId="0" fontId="21" fillId="0" borderId="0" xfId="0" applyFont="1" applyFill="1" applyBorder="1" applyAlignment="1">
      <alignment horizontal="center"/>
    </xf>
    <xf numFmtId="41" fontId="4" fillId="0" borderId="21" xfId="0" applyNumberFormat="1" applyFont="1" applyFill="1" applyBorder="1"/>
    <xf numFmtId="10" fontId="4" fillId="0" borderId="0" xfId="0" applyNumberFormat="1" applyFont="1" applyFill="1"/>
    <xf numFmtId="3" fontId="4" fillId="0" borderId="0" xfId="0" applyNumberFormat="1" applyFont="1" applyFill="1" applyBorder="1"/>
    <xf numFmtId="0" fontId="0" fillId="0" borderId="0" xfId="0" applyFill="1" applyBorder="1"/>
    <xf numFmtId="0" fontId="4" fillId="0" borderId="0" xfId="0" quotePrefix="1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11" fillId="0" borderId="16" xfId="0" applyFont="1" applyFill="1" applyBorder="1" applyAlignment="1">
      <alignment horizontal="left"/>
    </xf>
    <xf numFmtId="166" fontId="4" fillId="0" borderId="0" xfId="0" applyNumberFormat="1" applyFont="1" applyFill="1" applyBorder="1"/>
    <xf numFmtId="164" fontId="4" fillId="0" borderId="0" xfId="0" applyNumberFormat="1" applyFont="1" applyBorder="1"/>
    <xf numFmtId="0" fontId="4" fillId="0" borderId="21" xfId="0" applyFont="1" applyFill="1" applyBorder="1"/>
    <xf numFmtId="42" fontId="4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11" fillId="0" borderId="28" xfId="0" quotePrefix="1" applyFont="1" applyFill="1" applyBorder="1" applyAlignment="1">
      <alignment horizontal="left"/>
    </xf>
    <xf numFmtId="0" fontId="4" fillId="0" borderId="27" xfId="0" applyFont="1" applyFill="1" applyBorder="1" applyAlignment="1">
      <alignment horizontal="right"/>
    </xf>
    <xf numFmtId="9" fontId="29" fillId="0" borderId="33" xfId="0" applyNumberFormat="1" applyFont="1" applyFill="1" applyBorder="1"/>
    <xf numFmtId="0" fontId="29" fillId="0" borderId="33" xfId="0" applyFont="1" applyFill="1" applyBorder="1"/>
    <xf numFmtId="0" fontId="29" fillId="0" borderId="0" xfId="0" applyNumberFormat="1" applyFont="1" applyFill="1" applyBorder="1" applyAlignment="1"/>
    <xf numFmtId="10" fontId="29" fillId="0" borderId="0" xfId="0" applyNumberFormat="1" applyFont="1" applyFill="1" applyBorder="1"/>
    <xf numFmtId="10" fontId="29" fillId="0" borderId="16" xfId="0" applyNumberFormat="1" applyFont="1" applyFill="1" applyBorder="1"/>
    <xf numFmtId="10" fontId="29" fillId="0" borderId="31" xfId="0" applyNumberFormat="1" applyFont="1" applyFill="1" applyBorder="1"/>
    <xf numFmtId="0" fontId="29" fillId="0" borderId="0" xfId="0" applyFont="1" applyFill="1" applyBorder="1"/>
    <xf numFmtId="0" fontId="29" fillId="0" borderId="16" xfId="0" applyFont="1" applyFill="1" applyBorder="1"/>
    <xf numFmtId="0" fontId="6" fillId="0" borderId="0" xfId="0" applyFont="1" applyFill="1" applyBorder="1"/>
    <xf numFmtId="0" fontId="26" fillId="0" borderId="0" xfId="0" applyFont="1" applyFill="1"/>
    <xf numFmtId="0" fontId="3" fillId="0" borderId="0" xfId="0" applyFont="1"/>
    <xf numFmtId="0" fontId="28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/>
    <xf numFmtId="0" fontId="3" fillId="0" borderId="0" xfId="0" applyFont="1" applyFill="1"/>
    <xf numFmtId="0" fontId="12" fillId="0" borderId="0" xfId="0" applyFont="1" applyFill="1"/>
    <xf numFmtId="0" fontId="4" fillId="0" borderId="0" xfId="0" applyNumberFormat="1" applyFont="1" applyFill="1" applyBorder="1" applyAlignment="1"/>
    <xf numFmtId="0" fontId="23" fillId="0" borderId="0" xfId="0" applyNumberFormat="1" applyFont="1" applyFill="1" applyAlignment="1">
      <alignment horizontal="center"/>
    </xf>
    <xf numFmtId="166" fontId="20" fillId="0" borderId="0" xfId="0" applyNumberFormat="1" applyFont="1" applyFill="1"/>
    <xf numFmtId="0" fontId="36" fillId="0" borderId="0" xfId="0" applyFont="1" applyFill="1"/>
    <xf numFmtId="168" fontId="4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left"/>
    </xf>
    <xf numFmtId="0" fontId="26" fillId="0" borderId="0" xfId="0" applyNumberFormat="1" applyFont="1" applyFill="1" applyAlignment="1">
      <alignment horizontal="center"/>
    </xf>
    <xf numFmtId="164" fontId="12" fillId="0" borderId="0" xfId="0" applyNumberFormat="1" applyFont="1" applyFill="1" applyBorder="1" applyAlignment="1">
      <alignment horizontal="left"/>
    </xf>
    <xf numFmtId="41" fontId="12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2" fillId="0" borderId="0" xfId="0" applyFont="1" applyFill="1"/>
    <xf numFmtId="0" fontId="30" fillId="0" borderId="0" xfId="0" applyFont="1" applyFill="1"/>
    <xf numFmtId="0" fontId="31" fillId="0" borderId="0" xfId="0" applyFont="1" applyFill="1" applyBorder="1" applyAlignment="1">
      <alignment horizontal="centerContinuous"/>
    </xf>
    <xf numFmtId="169" fontId="37" fillId="0" borderId="0" xfId="0" applyNumberFormat="1" applyFont="1"/>
    <xf numFmtId="0" fontId="37" fillId="0" borderId="0" xfId="0" applyFont="1" applyFill="1" applyBorder="1" applyAlignment="1">
      <alignment horizontal="right"/>
    </xf>
    <xf numFmtId="0" fontId="4" fillId="0" borderId="27" xfId="0" applyFont="1" applyFill="1" applyBorder="1"/>
    <xf numFmtId="0" fontId="17" fillId="0" borderId="15" xfId="0" applyFont="1" applyBorder="1" applyAlignment="1">
      <alignment horizontal="centerContinuous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 indent="1"/>
    </xf>
    <xf numFmtId="0" fontId="12" fillId="0" borderId="0" xfId="0" applyNumberFormat="1" applyFont="1" applyFill="1" applyBorder="1" applyAlignment="1">
      <alignment vertical="top"/>
    </xf>
    <xf numFmtId="0" fontId="12" fillId="0" borderId="0" xfId="0" quotePrefix="1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centerContinuous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16" fontId="4" fillId="2" borderId="0" xfId="0" applyNumberFormat="1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166" fontId="4" fillId="2" borderId="0" xfId="0" applyNumberFormat="1" applyFont="1" applyFill="1" applyBorder="1"/>
    <xf numFmtId="164" fontId="4" fillId="2" borderId="0" xfId="0" applyNumberFormat="1" applyFont="1" applyFill="1" applyBorder="1"/>
    <xf numFmtId="41" fontId="4" fillId="2" borderId="0" xfId="0" applyNumberFormat="1" applyFont="1" applyFill="1" applyBorder="1"/>
    <xf numFmtId="168" fontId="4" fillId="2" borderId="0" xfId="0" applyNumberFormat="1" applyFont="1" applyFill="1" applyBorder="1"/>
    <xf numFmtId="0" fontId="27" fillId="2" borderId="37" xfId="0" applyFont="1" applyFill="1" applyBorder="1" applyAlignment="1">
      <alignment horizontal="centerContinuous"/>
    </xf>
    <xf numFmtId="0" fontId="27" fillId="2" borderId="38" xfId="0" applyFont="1" applyFill="1" applyBorder="1" applyAlignment="1">
      <alignment horizontal="centerContinuous"/>
    </xf>
    <xf numFmtId="0" fontId="27" fillId="2" borderId="39" xfId="0" applyFont="1" applyFill="1" applyBorder="1" applyAlignment="1">
      <alignment horizontal="centerContinuous"/>
    </xf>
    <xf numFmtId="0" fontId="11" fillId="2" borderId="40" xfId="0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right"/>
    </xf>
    <xf numFmtId="0" fontId="15" fillId="2" borderId="41" xfId="0" applyFont="1" applyFill="1" applyBorder="1" applyAlignment="1">
      <alignment horizontal="right"/>
    </xf>
    <xf numFmtId="0" fontId="11" fillId="2" borderId="41" xfId="0" applyFont="1" applyFill="1" applyBorder="1" applyAlignment="1">
      <alignment horizontal="centerContinuous"/>
    </xf>
    <xf numFmtId="0" fontId="4" fillId="2" borderId="40" xfId="0" applyFont="1" applyFill="1" applyBorder="1"/>
    <xf numFmtId="0" fontId="4" fillId="2" borderId="41" xfId="0" applyFont="1" applyFill="1" applyBorder="1"/>
    <xf numFmtId="0" fontId="4" fillId="2" borderId="42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16" fontId="4" fillId="2" borderId="40" xfId="0" applyNumberFormat="1" applyFont="1" applyFill="1" applyBorder="1" applyAlignment="1">
      <alignment horizontal="center"/>
    </xf>
    <xf numFmtId="0" fontId="4" fillId="2" borderId="43" xfId="0" quotePrefix="1" applyFont="1" applyFill="1" applyBorder="1" applyAlignment="1">
      <alignment horizontal="center"/>
    </xf>
    <xf numFmtId="0" fontId="4" fillId="2" borderId="27" xfId="0" quotePrefix="1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166" fontId="4" fillId="2" borderId="41" xfId="0" applyNumberFormat="1" applyFont="1" applyFill="1" applyBorder="1"/>
    <xf numFmtId="165" fontId="4" fillId="2" borderId="27" xfId="0" applyNumberFormat="1" applyFont="1" applyFill="1" applyBorder="1"/>
    <xf numFmtId="165" fontId="4" fillId="2" borderId="41" xfId="0" applyNumberFormat="1" applyFont="1" applyFill="1" applyBorder="1"/>
    <xf numFmtId="43" fontId="4" fillId="2" borderId="41" xfId="0" applyNumberFormat="1" applyFont="1" applyFill="1" applyBorder="1"/>
    <xf numFmtId="168" fontId="4" fillId="2" borderId="41" xfId="0" applyNumberFormat="1" applyFont="1" applyFill="1" applyBorder="1"/>
    <xf numFmtId="169" fontId="37" fillId="2" borderId="0" xfId="0" applyNumberFormat="1" applyFont="1" applyFill="1" applyBorder="1"/>
    <xf numFmtId="164" fontId="4" fillId="2" borderId="41" xfId="0" applyNumberFormat="1" applyFont="1" applyFill="1" applyBorder="1"/>
    <xf numFmtId="166" fontId="4" fillId="2" borderId="45" xfId="0" applyNumberFormat="1" applyFont="1" applyFill="1" applyBorder="1"/>
    <xf numFmtId="175" fontId="4" fillId="2" borderId="41" xfId="0" applyNumberFormat="1" applyFont="1" applyFill="1" applyBorder="1"/>
    <xf numFmtId="0" fontId="4" fillId="2" borderId="46" xfId="0" applyFont="1" applyFill="1" applyBorder="1"/>
    <xf numFmtId="0" fontId="4" fillId="2" borderId="47" xfId="0" applyFont="1" applyFill="1" applyBorder="1"/>
    <xf numFmtId="44" fontId="4" fillId="0" borderId="0" xfId="0" applyNumberFormat="1" applyFont="1"/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Border="1"/>
    <xf numFmtId="42" fontId="4" fillId="5" borderId="33" xfId="0" applyNumberFormat="1" applyFont="1" applyFill="1" applyBorder="1"/>
    <xf numFmtId="166" fontId="4" fillId="7" borderId="0" xfId="0" applyNumberFormat="1" applyFont="1" applyFill="1" applyBorder="1"/>
    <xf numFmtId="0" fontId="4" fillId="7" borderId="0" xfId="0" applyFont="1" applyFill="1" applyBorder="1"/>
    <xf numFmtId="164" fontId="4" fillId="7" borderId="0" xfId="0" applyNumberFormat="1" applyFont="1" applyFill="1" applyBorder="1"/>
    <xf numFmtId="41" fontId="4" fillId="7" borderId="0" xfId="0" applyNumberFormat="1" applyFont="1" applyFill="1" applyBorder="1"/>
    <xf numFmtId="168" fontId="4" fillId="7" borderId="0" xfId="0" applyNumberFormat="1" applyFont="1" applyFill="1" applyBorder="1"/>
    <xf numFmtId="0" fontId="15" fillId="2" borderId="40" xfId="0" applyFont="1" applyFill="1" applyBorder="1"/>
    <xf numFmtId="165" fontId="4" fillId="7" borderId="27" xfId="0" applyNumberFormat="1" applyFont="1" applyFill="1" applyBorder="1"/>
    <xf numFmtId="169" fontId="37" fillId="7" borderId="0" xfId="0" applyNumberFormat="1" applyFont="1" applyFill="1" applyBorder="1"/>
    <xf numFmtId="166" fontId="4" fillId="7" borderId="48" xfId="0" applyNumberFormat="1" applyFont="1" applyFill="1" applyBorder="1"/>
    <xf numFmtId="0" fontId="4" fillId="7" borderId="49" xfId="0" applyFont="1" applyFill="1" applyBorder="1"/>
    <xf numFmtId="166" fontId="4" fillId="7" borderId="49" xfId="0" applyNumberFormat="1" applyFont="1" applyFill="1" applyBorder="1"/>
    <xf numFmtId="166" fontId="4" fillId="7" borderId="50" xfId="0" applyNumberFormat="1" applyFont="1" applyFill="1" applyBorder="1"/>
    <xf numFmtId="165" fontId="4" fillId="7" borderId="51" xfId="0" applyNumberFormat="1" applyFont="1" applyFill="1" applyBorder="1"/>
    <xf numFmtId="165" fontId="4" fillId="7" borderId="52" xfId="0" applyNumberFormat="1" applyFont="1" applyFill="1" applyBorder="1"/>
    <xf numFmtId="0" fontId="4" fillId="7" borderId="53" xfId="0" applyFont="1" applyFill="1" applyBorder="1"/>
    <xf numFmtId="166" fontId="4" fillId="7" borderId="52" xfId="0" applyNumberFormat="1" applyFont="1" applyFill="1" applyBorder="1"/>
    <xf numFmtId="164" fontId="4" fillId="7" borderId="53" xfId="0" applyNumberFormat="1" applyFont="1" applyFill="1" applyBorder="1"/>
    <xf numFmtId="41" fontId="4" fillId="7" borderId="53" xfId="0" applyNumberFormat="1" applyFont="1" applyFill="1" applyBorder="1"/>
    <xf numFmtId="43" fontId="4" fillId="7" borderId="52" xfId="0" applyNumberFormat="1" applyFont="1" applyFill="1" applyBorder="1"/>
    <xf numFmtId="168" fontId="4" fillId="7" borderId="53" xfId="0" applyNumberFormat="1" applyFont="1" applyFill="1" applyBorder="1"/>
    <xf numFmtId="168" fontId="4" fillId="7" borderId="52" xfId="0" applyNumberFormat="1" applyFont="1" applyFill="1" applyBorder="1"/>
    <xf numFmtId="169" fontId="37" fillId="7" borderId="53" xfId="0" applyNumberFormat="1" applyFont="1" applyFill="1" applyBorder="1"/>
    <xf numFmtId="164" fontId="4" fillId="7" borderId="52" xfId="0" applyNumberFormat="1" applyFont="1" applyFill="1" applyBorder="1"/>
    <xf numFmtId="166" fontId="4" fillId="7" borderId="54" xfId="0" applyNumberFormat="1" applyFont="1" applyFill="1" applyBorder="1"/>
    <xf numFmtId="166" fontId="4" fillId="7" borderId="53" xfId="0" applyNumberFormat="1" applyFont="1" applyFill="1" applyBorder="1"/>
    <xf numFmtId="175" fontId="4" fillId="7" borderId="52" xfId="0" applyNumberFormat="1" applyFont="1" applyFill="1" applyBorder="1"/>
    <xf numFmtId="0" fontId="4" fillId="7" borderId="55" xfId="0" applyFont="1" applyFill="1" applyBorder="1"/>
    <xf numFmtId="0" fontId="4" fillId="7" borderId="56" xfId="0" applyFont="1" applyFill="1" applyBorder="1"/>
    <xf numFmtId="0" fontId="4" fillId="7" borderId="57" xfId="0" applyFont="1" applyFill="1" applyBorder="1"/>
    <xf numFmtId="42" fontId="4" fillId="0" borderId="33" xfId="0" applyNumberFormat="1" applyFont="1" applyFill="1" applyBorder="1"/>
    <xf numFmtId="0" fontId="39" fillId="8" borderId="0" xfId="0" applyNumberFormat="1" applyFont="1" applyFill="1" applyBorder="1" applyAlignment="1">
      <alignment horizontal="left"/>
    </xf>
    <xf numFmtId="0" fontId="40" fillId="0" borderId="0" xfId="0" applyFont="1"/>
    <xf numFmtId="0" fontId="40" fillId="0" borderId="0" xfId="0" applyFont="1" applyFill="1"/>
    <xf numFmtId="42" fontId="4" fillId="5" borderId="0" xfId="0" applyNumberFormat="1" applyFont="1" applyFill="1" applyBorder="1"/>
    <xf numFmtId="41" fontId="4" fillId="5" borderId="0" xfId="0" applyNumberFormat="1" applyFont="1" applyFill="1"/>
    <xf numFmtId="41" fontId="4" fillId="5" borderId="0" xfId="0" applyNumberFormat="1" applyFont="1" applyFill="1" applyBorder="1"/>
    <xf numFmtId="41" fontId="4" fillId="5" borderId="27" xfId="0" applyNumberFormat="1" applyFont="1" applyFill="1" applyBorder="1"/>
    <xf numFmtId="41" fontId="4" fillId="5" borderId="21" xfId="0" applyNumberFormat="1" applyFont="1" applyFill="1" applyBorder="1"/>
    <xf numFmtId="3" fontId="4" fillId="5" borderId="0" xfId="0" applyNumberFormat="1" applyFont="1" applyFill="1"/>
    <xf numFmtId="3" fontId="4" fillId="5" borderId="0" xfId="0" applyNumberFormat="1" applyFont="1" applyFill="1" applyBorder="1"/>
    <xf numFmtId="10" fontId="23" fillId="5" borderId="0" xfId="0" applyNumberFormat="1" applyFont="1" applyFill="1"/>
    <xf numFmtId="3" fontId="24" fillId="5" borderId="0" xfId="0" applyNumberFormat="1" applyFont="1" applyFill="1"/>
    <xf numFmtId="3" fontId="24" fillId="5" borderId="0" xfId="0" applyNumberFormat="1" applyFont="1" applyFill="1" applyBorder="1"/>
    <xf numFmtId="10" fontId="4" fillId="5" borderId="0" xfId="0" applyNumberFormat="1" applyFont="1" applyFill="1"/>
    <xf numFmtId="168" fontId="4" fillId="5" borderId="0" xfId="0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left" indent="1"/>
    </xf>
    <xf numFmtId="0" fontId="4" fillId="5" borderId="0" xfId="0" applyFont="1" applyFill="1" applyAlignment="1">
      <alignment horizontal="left" indent="1"/>
    </xf>
    <xf numFmtId="42" fontId="4" fillId="5" borderId="0" xfId="0" applyNumberFormat="1" applyFont="1" applyFill="1"/>
    <xf numFmtId="42" fontId="4" fillId="5" borderId="30" xfId="0" applyNumberFormat="1" applyFont="1" applyFill="1" applyBorder="1"/>
    <xf numFmtId="42" fontId="4" fillId="5" borderId="21" xfId="0" applyNumberFormat="1" applyFont="1" applyFill="1" applyBorder="1"/>
    <xf numFmtId="42" fontId="14" fillId="9" borderId="0" xfId="0" applyNumberFormat="1" applyFont="1" applyFill="1" applyBorder="1"/>
    <xf numFmtId="41" fontId="14" fillId="9" borderId="0" xfId="0" applyNumberFormat="1" applyFont="1" applyFill="1"/>
    <xf numFmtId="0" fontId="14" fillId="9" borderId="0" xfId="0" applyFont="1" applyFill="1"/>
    <xf numFmtId="41" fontId="14" fillId="9" borderId="0" xfId="0" applyNumberFormat="1" applyFont="1" applyFill="1" applyBorder="1"/>
    <xf numFmtId="41" fontId="14" fillId="9" borderId="27" xfId="0" applyNumberFormat="1" applyFont="1" applyFill="1" applyBorder="1"/>
    <xf numFmtId="41" fontId="14" fillId="9" borderId="21" xfId="0" applyNumberFormat="1" applyFont="1" applyFill="1" applyBorder="1"/>
    <xf numFmtId="3" fontId="14" fillId="9" borderId="0" xfId="0" applyNumberFormat="1" applyFont="1" applyFill="1"/>
    <xf numFmtId="3" fontId="14" fillId="9" borderId="0" xfId="0" applyNumberFormat="1" applyFont="1" applyFill="1" applyBorder="1"/>
    <xf numFmtId="10" fontId="14" fillId="9" borderId="0" xfId="0" applyNumberFormat="1" applyFont="1" applyFill="1"/>
    <xf numFmtId="164" fontId="14" fillId="9" borderId="0" xfId="0" applyNumberFormat="1" applyFont="1" applyFill="1" applyBorder="1"/>
    <xf numFmtId="42" fontId="14" fillId="9" borderId="0" xfId="0" applyNumberFormat="1" applyFont="1" applyFill="1"/>
    <xf numFmtId="0" fontId="40" fillId="5" borderId="0" xfId="0" applyFont="1" applyFill="1" applyAlignment="1">
      <alignment horizontal="center"/>
    </xf>
    <xf numFmtId="0" fontId="40" fillId="5" borderId="0" xfId="0" applyFont="1" applyFill="1" applyAlignment="1">
      <alignment horizontal="left" indent="1"/>
    </xf>
    <xf numFmtId="0" fontId="40" fillId="5" borderId="0" xfId="0" applyFont="1" applyFill="1"/>
    <xf numFmtId="42" fontId="41" fillId="9" borderId="30" xfId="0" applyNumberFormat="1" applyFont="1" applyFill="1" applyBorder="1"/>
    <xf numFmtId="42" fontId="41" fillId="9" borderId="21" xfId="0" applyNumberFormat="1" applyFont="1" applyFill="1" applyBorder="1"/>
    <xf numFmtId="42" fontId="0" fillId="0" borderId="0" xfId="0" applyNumberFormat="1"/>
    <xf numFmtId="0" fontId="5" fillId="0" borderId="0" xfId="0" applyFont="1"/>
    <xf numFmtId="164" fontId="0" fillId="0" borderId="0" xfId="0" applyNumberFormat="1" applyFont="1"/>
    <xf numFmtId="0" fontId="42" fillId="0" borderId="0" xfId="0" applyFont="1" applyFill="1" applyAlignment="1">
      <alignment horizontal="left"/>
    </xf>
    <xf numFmtId="0" fontId="43" fillId="0" borderId="0" xfId="0" applyFont="1" applyFill="1" applyAlignment="1">
      <alignment horizontal="left"/>
    </xf>
    <xf numFmtId="0" fontId="42" fillId="0" borderId="0" xfId="0" applyFont="1" applyFill="1" applyBorder="1" applyAlignment="1">
      <alignment horizontal="left"/>
    </xf>
    <xf numFmtId="0" fontId="43" fillId="0" borderId="0" xfId="0" applyFont="1" applyFill="1" applyAlignment="1">
      <alignment horizontal="left" wrapText="1"/>
    </xf>
    <xf numFmtId="164" fontId="0" fillId="0" borderId="0" xfId="0" applyNumberFormat="1"/>
    <xf numFmtId="9" fontId="0" fillId="0" borderId="0" xfId="0" applyNumberFormat="1" applyFont="1"/>
    <xf numFmtId="41" fontId="4" fillId="5" borderId="0" xfId="0" applyNumberFormat="1" applyFont="1" applyFill="1"/>
    <xf numFmtId="0" fontId="44" fillId="0" borderId="0" xfId="0" applyNumberFormat="1" applyFont="1" applyFill="1" applyAlignment="1">
      <alignment horizontal="left"/>
    </xf>
    <xf numFmtId="0" fontId="43" fillId="0" borderId="0" xfId="0" applyNumberFormat="1" applyFont="1" applyFill="1" applyAlignment="1">
      <alignment horizontal="left"/>
    </xf>
    <xf numFmtId="0" fontId="43" fillId="0" borderId="0" xfId="0" applyNumberFormat="1" applyFont="1" applyFill="1"/>
    <xf numFmtId="0" fontId="43" fillId="0" borderId="0" xfId="0" applyFont="1" applyFill="1" applyAlignment="1">
      <alignment horizontal="center"/>
    </xf>
    <xf numFmtId="181" fontId="43" fillId="0" borderId="0" xfId="0" quotePrefix="1" applyNumberFormat="1" applyFont="1" applyFill="1" applyBorder="1" applyAlignment="1">
      <alignment horizontal="left"/>
    </xf>
    <xf numFmtId="0" fontId="42" fillId="0" borderId="0" xfId="0" applyNumberFormat="1" applyFont="1" applyFill="1" applyAlignment="1">
      <alignment horizontal="left"/>
    </xf>
    <xf numFmtId="182" fontId="43" fillId="0" borderId="0" xfId="0" applyNumberFormat="1" applyFont="1" applyFill="1" applyAlignment="1">
      <alignment horizontal="left"/>
    </xf>
    <xf numFmtId="43" fontId="0" fillId="0" borderId="0" xfId="0" applyNumberFormat="1"/>
    <xf numFmtId="0" fontId="5" fillId="0" borderId="0" xfId="0" applyFont="1" applyBorder="1" applyAlignment="1">
      <alignment horizontal="center"/>
    </xf>
    <xf numFmtId="0" fontId="0" fillId="0" borderId="22" xfId="0" applyBorder="1"/>
    <xf numFmtId="0" fontId="5" fillId="0" borderId="2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83" fontId="4" fillId="0" borderId="5" xfId="0" quotePrefix="1" applyNumberFormat="1" applyFont="1" applyFill="1" applyBorder="1" applyAlignment="1">
      <alignment horizontal="left"/>
    </xf>
    <xf numFmtId="37" fontId="4" fillId="0" borderId="9" xfId="0" applyNumberFormat="1" applyFont="1" applyFill="1" applyBorder="1"/>
    <xf numFmtId="183" fontId="4" fillId="0" borderId="5" xfId="0" applyNumberFormat="1" applyFont="1" applyFill="1" applyBorder="1"/>
    <xf numFmtId="37" fontId="4" fillId="0" borderId="11" xfId="0" applyNumberFormat="1" applyFont="1" applyFill="1" applyBorder="1"/>
    <xf numFmtId="183" fontId="4" fillId="0" borderId="5" xfId="0" quotePrefix="1" applyNumberFormat="1" applyFont="1" applyBorder="1" applyAlignment="1">
      <alignment horizontal="left"/>
    </xf>
    <xf numFmtId="37" fontId="4" fillId="0" borderId="0" xfId="0" applyNumberFormat="1" applyFont="1" applyBorder="1"/>
    <xf numFmtId="37" fontId="4" fillId="0" borderId="9" xfId="0" applyNumberFormat="1" applyFont="1" applyBorder="1"/>
    <xf numFmtId="183" fontId="4" fillId="0" borderId="5" xfId="0" applyNumberFormat="1" applyFont="1" applyBorder="1"/>
    <xf numFmtId="164" fontId="4" fillId="0" borderId="9" xfId="0" applyNumberFormat="1" applyFont="1" applyBorder="1"/>
    <xf numFmtId="164" fontId="4" fillId="0" borderId="10" xfId="0" applyNumberFormat="1" applyFont="1" applyBorder="1"/>
    <xf numFmtId="164" fontId="4" fillId="0" borderId="27" xfId="0" applyNumberFormat="1" applyFont="1" applyBorder="1"/>
    <xf numFmtId="164" fontId="4" fillId="0" borderId="11" xfId="0" applyNumberFormat="1" applyFont="1" applyBorder="1"/>
    <xf numFmtId="183" fontId="11" fillId="0" borderId="5" xfId="0" applyNumberFormat="1" applyFont="1" applyBorder="1"/>
    <xf numFmtId="166" fontId="48" fillId="0" borderId="0" xfId="0" applyNumberFormat="1" applyFont="1" applyBorder="1"/>
    <xf numFmtId="166" fontId="48" fillId="0" borderId="9" xfId="0" applyNumberFormat="1" applyFont="1" applyBorder="1"/>
    <xf numFmtId="166" fontId="0" fillId="0" borderId="0" xfId="0" applyNumberFormat="1"/>
    <xf numFmtId="41" fontId="0" fillId="0" borderId="0" xfId="0" applyNumberFormat="1"/>
    <xf numFmtId="0" fontId="0" fillId="0" borderId="0" xfId="0" applyAlignment="1">
      <alignment horizontal="center"/>
    </xf>
    <xf numFmtId="0" fontId="5" fillId="0" borderId="27" xfId="0" applyFont="1" applyBorder="1" applyAlignment="1">
      <alignment horizontal="center"/>
    </xf>
    <xf numFmtId="166" fontId="0" fillId="0" borderId="33" xfId="0" applyNumberForma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166" fontId="0" fillId="0" borderId="0" xfId="0" applyNumberFormat="1" applyBorder="1"/>
    <xf numFmtId="41" fontId="0" fillId="0" borderId="0" xfId="0" applyNumberFormat="1" applyBorder="1"/>
    <xf numFmtId="0" fontId="0" fillId="0" borderId="10" xfId="0" applyBorder="1"/>
    <xf numFmtId="0" fontId="0" fillId="0" borderId="27" xfId="0" applyBorder="1"/>
    <xf numFmtId="0" fontId="0" fillId="0" borderId="11" xfId="0" applyBorder="1"/>
    <xf numFmtId="0" fontId="0" fillId="3" borderId="32" xfId="0" applyFill="1" applyBorder="1"/>
    <xf numFmtId="0" fontId="0" fillId="3" borderId="33" xfId="0" applyFill="1" applyBorder="1"/>
    <xf numFmtId="0" fontId="0" fillId="3" borderId="34" xfId="0" applyFill="1" applyBorder="1"/>
    <xf numFmtId="0" fontId="0" fillId="3" borderId="8" xfId="0" applyFill="1" applyBorder="1"/>
    <xf numFmtId="166" fontId="0" fillId="3" borderId="0" xfId="0" applyNumberFormat="1" applyFill="1" applyBorder="1"/>
    <xf numFmtId="0" fontId="0" fillId="3" borderId="0" xfId="0" applyFill="1" applyBorder="1"/>
    <xf numFmtId="0" fontId="0" fillId="3" borderId="9" xfId="0" applyFill="1" applyBorder="1"/>
    <xf numFmtId="41" fontId="0" fillId="3" borderId="0" xfId="0" applyNumberFormat="1" applyFill="1" applyBorder="1"/>
    <xf numFmtId="164" fontId="0" fillId="3" borderId="0" xfId="0" applyNumberFormat="1" applyFill="1" applyBorder="1"/>
    <xf numFmtId="0" fontId="0" fillId="3" borderId="10" xfId="0" applyFill="1" applyBorder="1"/>
    <xf numFmtId="0" fontId="0" fillId="3" borderId="27" xfId="0" applyFill="1" applyBorder="1"/>
    <xf numFmtId="0" fontId="0" fillId="3" borderId="11" xfId="0" applyFill="1" applyBorder="1"/>
    <xf numFmtId="0" fontId="0" fillId="11" borderId="32" xfId="0" applyFill="1" applyBorder="1"/>
    <xf numFmtId="0" fontId="0" fillId="11" borderId="33" xfId="0" applyFill="1" applyBorder="1"/>
    <xf numFmtId="0" fontId="0" fillId="11" borderId="34" xfId="0" applyFill="1" applyBorder="1"/>
    <xf numFmtId="0" fontId="0" fillId="11" borderId="8" xfId="0" applyFill="1" applyBorder="1"/>
    <xf numFmtId="166" fontId="0" fillId="11" borderId="0" xfId="0" applyNumberFormat="1" applyFill="1" applyBorder="1"/>
    <xf numFmtId="166" fontId="0" fillId="11" borderId="9" xfId="0" applyNumberFormat="1" applyFill="1" applyBorder="1"/>
    <xf numFmtId="41" fontId="0" fillId="11" borderId="0" xfId="0" applyNumberFormat="1" applyFill="1" applyBorder="1"/>
    <xf numFmtId="0" fontId="0" fillId="11" borderId="0" xfId="0" applyFill="1" applyBorder="1"/>
    <xf numFmtId="0" fontId="0" fillId="11" borderId="9" xfId="0" applyFill="1" applyBorder="1"/>
    <xf numFmtId="166" fontId="0" fillId="11" borderId="33" xfId="0" applyNumberFormat="1" applyFill="1" applyBorder="1"/>
    <xf numFmtId="0" fontId="0" fillId="11" borderId="10" xfId="0" applyFill="1" applyBorder="1"/>
    <xf numFmtId="0" fontId="0" fillId="11" borderId="27" xfId="0" applyFill="1" applyBorder="1"/>
    <xf numFmtId="0" fontId="0" fillId="11" borderId="11" xfId="0" applyFill="1" applyBorder="1"/>
    <xf numFmtId="0" fontId="49" fillId="10" borderId="8" xfId="0" applyFont="1" applyFill="1" applyBorder="1" applyAlignment="1">
      <alignment horizontal="centerContinuous"/>
    </xf>
    <xf numFmtId="0" fontId="49" fillId="10" borderId="0" xfId="0" applyFont="1" applyFill="1" applyBorder="1" applyAlignment="1">
      <alignment horizontal="centerContinuous"/>
    </xf>
    <xf numFmtId="0" fontId="49" fillId="10" borderId="9" xfId="0" applyFont="1" applyFill="1" applyBorder="1" applyAlignment="1">
      <alignment horizontal="centerContinuous"/>
    </xf>
    <xf numFmtId="0" fontId="5" fillId="0" borderId="8" xfId="0" applyFont="1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45" fillId="0" borderId="8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46" fillId="0" borderId="8" xfId="0" applyFont="1" applyBorder="1"/>
    <xf numFmtId="0" fontId="47" fillId="0" borderId="8" xfId="0" applyFont="1" applyBorder="1" applyAlignment="1">
      <alignment horizontal="centerContinuous" vertical="center"/>
    </xf>
    <xf numFmtId="0" fontId="47" fillId="0" borderId="0" xfId="0" applyFont="1" applyBorder="1" applyAlignment="1">
      <alignment horizontal="centerContinuous" vertical="center"/>
    </xf>
    <xf numFmtId="0" fontId="47" fillId="0" borderId="9" xfId="0" applyFont="1" applyBorder="1" applyAlignment="1">
      <alignment horizontal="centerContinuous" vertical="center"/>
    </xf>
    <xf numFmtId="0" fontId="5" fillId="0" borderId="32" xfId="0" applyFont="1" applyBorder="1"/>
    <xf numFmtId="0" fontId="5" fillId="0" borderId="10" xfId="0" applyFont="1" applyBorder="1"/>
    <xf numFmtId="166" fontId="0" fillId="0" borderId="0" xfId="0" applyNumberFormat="1" applyFill="1" applyBorder="1"/>
    <xf numFmtId="41" fontId="0" fillId="0" borderId="0" xfId="0" applyNumberFormat="1" applyFill="1" applyBorder="1"/>
    <xf numFmtId="164" fontId="0" fillId="0" borderId="33" xfId="0" applyNumberFormat="1" applyBorder="1"/>
    <xf numFmtId="166" fontId="0" fillId="0" borderId="33" xfId="0" applyNumberFormat="1" applyFill="1" applyBorder="1"/>
    <xf numFmtId="41" fontId="0" fillId="0" borderId="33" xfId="0" applyNumberFormat="1" applyBorder="1"/>
    <xf numFmtId="180" fontId="4" fillId="0" borderId="0" xfId="0" applyNumberFormat="1" applyFont="1" applyFill="1" applyBorder="1"/>
    <xf numFmtId="37" fontId="50" fillId="0" borderId="0" xfId="0" applyNumberFormat="1" applyFont="1" applyFill="1" applyAlignment="1"/>
    <xf numFmtId="37" fontId="50" fillId="0" borderId="0" xfId="0" applyNumberFormat="1" applyFont="1" applyFill="1" applyAlignment="1">
      <alignment horizontal="left" indent="2"/>
    </xf>
    <xf numFmtId="164" fontId="50" fillId="0" borderId="0" xfId="0" applyNumberFormat="1" applyFont="1" applyFill="1" applyBorder="1" applyAlignment="1">
      <alignment horizontal="centerContinuous"/>
    </xf>
    <xf numFmtId="174" fontId="4" fillId="0" borderId="0" xfId="0" applyNumberFormat="1" applyFont="1" applyFill="1" applyBorder="1" applyAlignment="1">
      <alignment horizontal="center"/>
    </xf>
    <xf numFmtId="41" fontId="0" fillId="0" borderId="27" xfId="0" applyNumberFormat="1" applyBorder="1"/>
    <xf numFmtId="41" fontId="5" fillId="0" borderId="0" xfId="0" applyNumberFormat="1" applyFont="1"/>
    <xf numFmtId="184" fontId="4" fillId="0" borderId="0" xfId="0" applyNumberFormat="1" applyFont="1" applyFill="1" applyBorder="1"/>
    <xf numFmtId="167" fontId="38" fillId="0" borderId="0" xfId="0" applyNumberFormat="1" applyFont="1" applyFill="1" applyBorder="1" applyAlignment="1"/>
    <xf numFmtId="41" fontId="4" fillId="5" borderId="33" xfId="0" applyNumberFormat="1" applyFont="1" applyFill="1" applyBorder="1"/>
    <xf numFmtId="42" fontId="4" fillId="4" borderId="0" xfId="0" applyNumberFormat="1" applyFont="1" applyFill="1" applyBorder="1" applyAlignment="1"/>
    <xf numFmtId="173" fontId="36" fillId="4" borderId="0" xfId="0" applyNumberFormat="1" applyFont="1" applyFill="1"/>
    <xf numFmtId="173" fontId="12" fillId="4" borderId="0" xfId="0" applyNumberFormat="1" applyFont="1" applyFill="1"/>
    <xf numFmtId="0" fontId="0" fillId="0" borderId="0" xfId="0" applyFill="1"/>
    <xf numFmtId="0" fontId="36" fillId="0" borderId="0" xfId="0" applyNumberFormat="1" applyFont="1" applyFill="1" applyBorder="1" applyAlignment="1"/>
    <xf numFmtId="0" fontId="0" fillId="0" borderId="0" xfId="0" applyFill="1" applyBorder="1" applyAlignment="1">
      <alignment horizontal="center"/>
    </xf>
    <xf numFmtId="166" fontId="0" fillId="0" borderId="9" xfId="0" applyNumberFormat="1" applyBorder="1"/>
    <xf numFmtId="49" fontId="52" fillId="0" borderId="22" xfId="0" applyNumberFormat="1" applyFont="1" applyFill="1" applyBorder="1" applyAlignment="1">
      <alignment horizontal="left"/>
    </xf>
    <xf numFmtId="49" fontId="52" fillId="0" borderId="22" xfId="0" applyNumberFormat="1" applyFont="1" applyFill="1" applyBorder="1" applyAlignment="1">
      <alignment horizontal="center"/>
    </xf>
    <xf numFmtId="49" fontId="0" fillId="0" borderId="5" xfId="0" applyNumberFormat="1" applyFill="1" applyBorder="1" applyAlignment="1">
      <alignment horizontal="left"/>
    </xf>
    <xf numFmtId="49" fontId="5" fillId="0" borderId="58" xfId="0" applyNumberFormat="1" applyFont="1" applyFill="1" applyBorder="1" applyAlignment="1">
      <alignment horizontal="left"/>
    </xf>
    <xf numFmtId="49" fontId="0" fillId="0" borderId="22" xfId="0" applyNumberFormat="1" applyFill="1" applyBorder="1" applyAlignment="1">
      <alignment horizontal="left"/>
    </xf>
    <xf numFmtId="49" fontId="0" fillId="0" borderId="8" xfId="0" applyNumberFormat="1" applyFill="1" applyBorder="1" applyAlignment="1">
      <alignment horizontal="left"/>
    </xf>
    <xf numFmtId="49" fontId="0" fillId="0" borderId="24" xfId="0" applyNumberFormat="1" applyFill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0" xfId="0" applyFill="1" applyAlignment="1">
      <alignment horizontal="right"/>
    </xf>
    <xf numFmtId="10" fontId="0" fillId="0" borderId="0" xfId="0" applyNumberFormat="1" applyFont="1"/>
    <xf numFmtId="41" fontId="0" fillId="0" borderId="5" xfId="0" applyNumberFormat="1" applyFill="1" applyBorder="1"/>
    <xf numFmtId="41" fontId="0" fillId="0" borderId="22" xfId="0" applyNumberFormat="1" applyFill="1" applyBorder="1"/>
    <xf numFmtId="41" fontId="0" fillId="0" borderId="25" xfId="0" applyNumberFormat="1" applyFill="1" applyBorder="1"/>
    <xf numFmtId="41" fontId="0" fillId="0" borderId="9" xfId="0" applyNumberFormat="1" applyFill="1" applyBorder="1"/>
    <xf numFmtId="41" fontId="5" fillId="0" borderId="58" xfId="0" applyNumberFormat="1" applyFont="1" applyFill="1" applyBorder="1"/>
    <xf numFmtId="41" fontId="0" fillId="0" borderId="0" xfId="0" applyNumberFormat="1" applyFill="1"/>
    <xf numFmtId="41" fontId="52" fillId="0" borderId="22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41" fontId="0" fillId="0" borderId="23" xfId="0" applyNumberFormat="1" applyFill="1" applyBorder="1"/>
    <xf numFmtId="0" fontId="4" fillId="0" borderId="0" xfId="0" applyFont="1" applyFill="1" applyAlignment="1">
      <alignment horizontal="left" indent="1"/>
    </xf>
    <xf numFmtId="0" fontId="53" fillId="0" borderId="27" xfId="0" applyFont="1" applyBorder="1" applyAlignment="1">
      <alignment horizontal="centerContinuous"/>
    </xf>
    <xf numFmtId="0" fontId="53" fillId="0" borderId="0" xfId="0" applyFont="1" applyAlignment="1">
      <alignment horizontal="center"/>
    </xf>
    <xf numFmtId="0" fontId="53" fillId="0" borderId="27" xfId="0" applyFont="1" applyBorder="1" applyAlignment="1">
      <alignment horizontal="center"/>
    </xf>
    <xf numFmtId="14" fontId="0" fillId="0" borderId="0" xfId="0" applyNumberFormat="1" applyAlignment="1">
      <alignment horizontal="left" indent="1"/>
    </xf>
    <xf numFmtId="42" fontId="0" fillId="0" borderId="7" xfId="0" applyNumberFormat="1" applyBorder="1"/>
    <xf numFmtId="49" fontId="0" fillId="0" borderId="0" xfId="0" applyNumberFormat="1" applyFill="1" applyBorder="1" applyAlignment="1">
      <alignment horizontal="right"/>
    </xf>
    <xf numFmtId="37" fontId="14" fillId="0" borderId="0" xfId="0" applyNumberFormat="1" applyFont="1"/>
    <xf numFmtId="171" fontId="43" fillId="0" borderId="0" xfId="0" applyNumberFormat="1" applyFont="1" applyFill="1" applyAlignment="1">
      <alignment horizontal="left"/>
    </xf>
    <xf numFmtId="0" fontId="43" fillId="0" borderId="0" xfId="0" applyFont="1" applyFill="1" applyAlignment="1"/>
    <xf numFmtId="41" fontId="4" fillId="0" borderId="33" xfId="0" applyNumberFormat="1" applyFont="1" applyFill="1" applyBorder="1"/>
    <xf numFmtId="41" fontId="0" fillId="0" borderId="33" xfId="0" applyNumberFormat="1" applyFill="1" applyBorder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42" fontId="0" fillId="0" borderId="0" xfId="0" applyNumberFormat="1" applyFill="1"/>
    <xf numFmtId="41" fontId="0" fillId="0" borderId="59" xfId="0" applyNumberFormat="1" applyFill="1" applyBorder="1"/>
    <xf numFmtId="42" fontId="0" fillId="0" borderId="0" xfId="0" applyNumberFormat="1" applyFont="1"/>
    <xf numFmtId="0" fontId="4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3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27" xfId="0" applyFont="1" applyBorder="1" applyAlignment="1">
      <alignment horizontal="right"/>
    </xf>
    <xf numFmtId="17" fontId="4" fillId="0" borderId="0" xfId="0" applyNumberFormat="1" applyFont="1" applyAlignment="1">
      <alignment horizontal="left"/>
    </xf>
    <xf numFmtId="43" fontId="4" fillId="0" borderId="0" xfId="0" applyNumberFormat="1" applyFont="1"/>
    <xf numFmtId="43" fontId="4" fillId="0" borderId="0" xfId="0" applyNumberFormat="1" applyFont="1" applyBorder="1" applyAlignment="1">
      <alignment horizontal="right"/>
    </xf>
    <xf numFmtId="17" fontId="4" fillId="0" borderId="0" xfId="0" applyNumberFormat="1" applyFont="1" applyBorder="1" applyAlignment="1">
      <alignment horizontal="center"/>
    </xf>
    <xf numFmtId="17" fontId="4" fillId="0" borderId="0" xfId="0" applyNumberFormat="1" applyFont="1" applyAlignment="1">
      <alignment horizontal="center"/>
    </xf>
    <xf numFmtId="164" fontId="4" fillId="0" borderId="0" xfId="0" applyNumberFormat="1" applyFont="1"/>
    <xf numFmtId="17" fontId="4" fillId="0" borderId="0" xfId="0" applyNumberFormat="1" applyFont="1" applyFill="1" applyAlignment="1">
      <alignment horizontal="center"/>
    </xf>
    <xf numFmtId="43" fontId="4" fillId="0" borderId="0" xfId="0" applyNumberFormat="1" applyFont="1" applyFill="1"/>
    <xf numFmtId="164" fontId="4" fillId="0" borderId="0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Fill="1" applyBorder="1"/>
    <xf numFmtId="17" fontId="4" fillId="0" borderId="0" xfId="0" applyNumberFormat="1" applyFont="1" applyFill="1" applyAlignment="1">
      <alignment horizontal="left"/>
    </xf>
    <xf numFmtId="164" fontId="4" fillId="0" borderId="0" xfId="0" applyNumberFormat="1" applyFont="1"/>
    <xf numFmtId="164" fontId="4" fillId="0" borderId="27" xfId="0" applyNumberFormat="1" applyFont="1" applyBorder="1"/>
    <xf numFmtId="0" fontId="4" fillId="0" borderId="0" xfId="0" applyFont="1"/>
    <xf numFmtId="164" fontId="4" fillId="0" borderId="23" xfId="0" applyNumberFormat="1" applyFont="1" applyBorder="1"/>
    <xf numFmtId="0" fontId="54" fillId="0" borderId="4" xfId="0" applyNumberFormat="1" applyFont="1" applyFill="1" applyBorder="1" applyAlignment="1">
      <alignment horizontal="center"/>
    </xf>
    <xf numFmtId="0" fontId="54" fillId="0" borderId="60" xfId="0" applyNumberFormat="1" applyFont="1" applyFill="1" applyBorder="1" applyAlignment="1"/>
    <xf numFmtId="0" fontId="0" fillId="0" borderId="61" xfId="0" applyNumberFormat="1" applyFill="1" applyBorder="1" applyAlignment="1"/>
    <xf numFmtId="0" fontId="4" fillId="0" borderId="15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185" fontId="2" fillId="0" borderId="0" xfId="0" applyNumberFormat="1" applyFont="1" applyFill="1"/>
    <xf numFmtId="4" fontId="36" fillId="0" borderId="0" xfId="0" applyNumberFormat="1" applyFont="1" applyFill="1" applyBorder="1" applyAlignment="1"/>
    <xf numFmtId="3" fontId="36" fillId="0" borderId="0" xfId="0" applyNumberFormat="1" applyFont="1" applyFill="1" applyBorder="1" applyAlignment="1"/>
    <xf numFmtId="41" fontId="36" fillId="0" borderId="0" xfId="0" applyNumberFormat="1" applyFont="1" applyFill="1" applyBorder="1" applyAlignment="1"/>
    <xf numFmtId="3" fontId="36" fillId="0" borderId="16" xfId="0" applyNumberFormat="1" applyFont="1" applyFill="1" applyBorder="1" applyAlignment="1"/>
    <xf numFmtId="49" fontId="5" fillId="0" borderId="15" xfId="0" applyNumberFormat="1" applyFont="1" applyFill="1" applyBorder="1" applyAlignment="1"/>
    <xf numFmtId="185" fontId="2" fillId="0" borderId="15" xfId="0" applyNumberFormat="1" applyFont="1" applyFill="1" applyBorder="1" applyAlignment="1">
      <alignment horizontal="right"/>
    </xf>
    <xf numFmtId="41" fontId="36" fillId="0" borderId="27" xfId="0" applyNumberFormat="1" applyFont="1" applyFill="1" applyBorder="1" applyAlignment="1"/>
    <xf numFmtId="3" fontId="36" fillId="0" borderId="18" xfId="0" applyNumberFormat="1" applyFont="1" applyFill="1" applyBorder="1" applyAlignment="1"/>
    <xf numFmtId="49" fontId="4" fillId="0" borderId="15" xfId="0" applyNumberFormat="1" applyFont="1" applyFill="1" applyBorder="1" applyAlignment="1"/>
    <xf numFmtId="164" fontId="55" fillId="0" borderId="16" xfId="0" applyNumberFormat="1" applyFont="1" applyFill="1" applyBorder="1" applyAlignment="1"/>
    <xf numFmtId="0" fontId="4" fillId="0" borderId="19" xfId="0" applyNumberFormat="1" applyFont="1" applyFill="1" applyBorder="1" applyAlignment="1"/>
    <xf numFmtId="0" fontId="36" fillId="0" borderId="1" xfId="0" applyNumberFormat="1" applyFont="1" applyFill="1" applyBorder="1" applyAlignment="1"/>
    <xf numFmtId="164" fontId="55" fillId="0" borderId="1" xfId="0" applyNumberFormat="1" applyFont="1" applyFill="1" applyBorder="1" applyAlignment="1"/>
    <xf numFmtId="164" fontId="55" fillId="0" borderId="20" xfId="0" applyNumberFormat="1" applyFont="1" applyFill="1" applyBorder="1" applyAlignment="1"/>
    <xf numFmtId="10" fontId="56" fillId="0" borderId="0" xfId="0" applyNumberFormat="1" applyFont="1"/>
    <xf numFmtId="10" fontId="0" fillId="0" borderId="0" xfId="0" applyNumberFormat="1"/>
    <xf numFmtId="37" fontId="9" fillId="0" borderId="0" xfId="0" applyNumberFormat="1" applyFont="1" applyFill="1" applyAlignment="1">
      <alignment horizontal="left"/>
    </xf>
    <xf numFmtId="186" fontId="9" fillId="0" borderId="0" xfId="0" applyNumberFormat="1" applyFont="1" applyFill="1" applyAlignment="1">
      <alignment horizontal="left"/>
    </xf>
    <xf numFmtId="41" fontId="4" fillId="0" borderId="0" xfId="0" applyNumberFormat="1" applyFont="1" applyFill="1"/>
    <xf numFmtId="41" fontId="4" fillId="0" borderId="0" xfId="0" applyNumberFormat="1" applyFont="1" applyFill="1" applyBorder="1"/>
    <xf numFmtId="37" fontId="16" fillId="0" borderId="0" xfId="0" applyNumberFormat="1" applyFont="1" applyFill="1" applyAlignment="1">
      <alignment horizontal="left"/>
    </xf>
    <xf numFmtId="37" fontId="16" fillId="0" borderId="0" xfId="0" applyNumberFormat="1" applyFont="1" applyFill="1" applyAlignment="1">
      <alignment horizontal="right"/>
    </xf>
    <xf numFmtId="41" fontId="0" fillId="0" borderId="0" xfId="0" applyNumberFormat="1" applyAlignment="1">
      <alignment horizontal="left"/>
    </xf>
    <xf numFmtId="0" fontId="43" fillId="0" borderId="0" xfId="0" applyFont="1"/>
    <xf numFmtId="41" fontId="43" fillId="0" borderId="0" xfId="0" applyNumberFormat="1" applyFont="1"/>
    <xf numFmtId="0" fontId="43" fillId="0" borderId="0" xfId="0" applyFont="1" applyAlignment="1"/>
    <xf numFmtId="0" fontId="43" fillId="0" borderId="0" xfId="0" applyFont="1" applyBorder="1" applyAlignment="1"/>
    <xf numFmtId="0" fontId="43" fillId="0" borderId="0" xfId="0" applyFont="1" applyFill="1"/>
    <xf numFmtId="0" fontId="44" fillId="0" borderId="0" xfId="0" applyFont="1" applyFill="1" applyAlignment="1">
      <alignment horizontal="right"/>
    </xf>
    <xf numFmtId="0" fontId="44" fillId="0" borderId="0" xfId="0" applyFont="1" applyFill="1"/>
    <xf numFmtId="0" fontId="44" fillId="0" borderId="0" xfId="0" applyFont="1" applyFill="1" applyBorder="1" applyAlignment="1"/>
    <xf numFmtId="0" fontId="44" fillId="0" borderId="0" xfId="0" applyFont="1" applyFill="1" applyBorder="1" applyAlignment="1">
      <alignment horizontal="right"/>
    </xf>
    <xf numFmtId="0" fontId="44" fillId="0" borderId="0" xfId="0" applyFont="1" applyFill="1" applyAlignment="1"/>
    <xf numFmtId="0" fontId="57" fillId="0" borderId="0" xfId="0" applyFont="1" applyFill="1" applyAlignment="1">
      <alignment horizontal="centerContinuous"/>
    </xf>
    <xf numFmtId="0" fontId="58" fillId="0" borderId="0" xfId="0" applyFont="1" applyFill="1" applyAlignment="1">
      <alignment horizontal="centerContinuous"/>
    </xf>
    <xf numFmtId="0" fontId="57" fillId="0" borderId="0" xfId="0" applyFont="1" applyFill="1" applyAlignment="1">
      <alignment horizontal="center"/>
    </xf>
    <xf numFmtId="0" fontId="58" fillId="0" borderId="0" xfId="0" applyFont="1" applyFill="1" applyAlignment="1">
      <alignment horizontal="center"/>
    </xf>
    <xf numFmtId="0" fontId="44" fillId="0" borderId="0" xfId="0" quotePrefix="1" applyFont="1" applyFill="1" applyBorder="1" applyAlignment="1">
      <alignment horizontal="right"/>
    </xf>
    <xf numFmtId="179" fontId="44" fillId="0" borderId="0" xfId="0" applyNumberFormat="1" applyFont="1" applyFill="1" applyBorder="1" applyAlignment="1">
      <alignment horizontal="center"/>
    </xf>
    <xf numFmtId="0" fontId="58" fillId="0" borderId="0" xfId="0" quotePrefix="1" applyFont="1" applyFill="1" applyBorder="1" applyAlignment="1">
      <alignment horizontal="centerContinuous"/>
    </xf>
    <xf numFmtId="0" fontId="58" fillId="0" borderId="0" xfId="0" quotePrefix="1" applyFont="1" applyFill="1" applyBorder="1" applyAlignment="1">
      <alignment horizontal="center"/>
    </xf>
    <xf numFmtId="0" fontId="44" fillId="0" borderId="0" xfId="0" applyFont="1" applyFill="1" applyBorder="1" applyAlignment="1">
      <alignment horizontal="left"/>
    </xf>
    <xf numFmtId="179" fontId="44" fillId="0" borderId="3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Alignment="1">
      <alignment horizontal="centerContinuous"/>
    </xf>
    <xf numFmtId="0" fontId="43" fillId="0" borderId="0" xfId="0" applyFont="1" applyFill="1" applyAlignment="1">
      <alignment horizontal="centerContinuous"/>
    </xf>
    <xf numFmtId="179" fontId="44" fillId="0" borderId="3" xfId="0" applyNumberFormat="1" applyFont="1" applyFill="1" applyBorder="1" applyAlignment="1">
      <alignment horizontal="centerContinuous"/>
    </xf>
    <xf numFmtId="0" fontId="44" fillId="0" borderId="0" xfId="0" applyFont="1" applyFill="1" applyAlignment="1">
      <alignment horizontal="center"/>
    </xf>
    <xf numFmtId="0" fontId="44" fillId="0" borderId="0" xfId="0" applyFont="1" applyFill="1" applyAlignment="1" applyProtection="1">
      <alignment horizontal="centerContinuous"/>
      <protection locked="0"/>
    </xf>
    <xf numFmtId="0" fontId="44" fillId="0" borderId="0" xfId="0" applyFont="1" applyFill="1" applyAlignment="1">
      <alignment horizontal="left"/>
    </xf>
    <xf numFmtId="0" fontId="43" fillId="0" borderId="0" xfId="0" applyFont="1" applyAlignment="1">
      <alignment horizontal="centerContinuous"/>
    </xf>
    <xf numFmtId="0" fontId="44" fillId="0" borderId="0" xfId="0" applyFont="1" applyFill="1" applyAlignment="1" applyProtection="1">
      <alignment horizontal="center"/>
      <protection locked="0"/>
    </xf>
    <xf numFmtId="0" fontId="44" fillId="0" borderId="0" xfId="0" applyFont="1" applyFill="1" applyBorder="1" applyAlignment="1" applyProtection="1">
      <protection locked="0"/>
    </xf>
    <xf numFmtId="15" fontId="44" fillId="0" borderId="0" xfId="0" applyNumberFormat="1" applyFont="1" applyFill="1" applyAlignment="1">
      <alignment horizontal="centerContinuous"/>
    </xf>
    <xf numFmtId="15" fontId="44" fillId="0" borderId="0" xfId="0" applyNumberFormat="1" applyFont="1" applyFill="1" applyAlignment="1"/>
    <xf numFmtId="15" fontId="44" fillId="0" borderId="0" xfId="0" applyNumberFormat="1" applyFont="1" applyFill="1" applyAlignment="1">
      <alignment horizontal="left"/>
    </xf>
    <xf numFmtId="18" fontId="44" fillId="0" borderId="0" xfId="0" applyNumberFormat="1" applyFont="1" applyFill="1" applyAlignment="1">
      <alignment horizontal="centerContinuous"/>
    </xf>
    <xf numFmtId="18" fontId="44" fillId="0" borderId="0" xfId="0" applyNumberFormat="1" applyFont="1" applyFill="1" applyAlignment="1"/>
    <xf numFmtId="18" fontId="44" fillId="0" borderId="0" xfId="0" applyNumberFormat="1" applyFont="1" applyFill="1" applyAlignment="1">
      <alignment horizontal="left"/>
    </xf>
    <xf numFmtId="0" fontId="43" fillId="0" borderId="0" xfId="0" applyFont="1" applyFill="1" applyBorder="1" applyAlignment="1"/>
    <xf numFmtId="0" fontId="59" fillId="0" borderId="0" xfId="0" applyFont="1" applyFill="1" applyAlignment="1">
      <alignment horizontal="centerContinuous"/>
    </xf>
    <xf numFmtId="18" fontId="59" fillId="0" borderId="0" xfId="0" applyNumberFormat="1" applyFont="1" applyFill="1" applyAlignment="1">
      <alignment horizontal="centerContinuous"/>
    </xf>
    <xf numFmtId="18" fontId="59" fillId="0" borderId="0" xfId="0" applyNumberFormat="1" applyFont="1" applyFill="1" applyAlignment="1"/>
    <xf numFmtId="18" fontId="59" fillId="0" borderId="0" xfId="0" applyNumberFormat="1" applyFont="1" applyFill="1" applyAlignment="1">
      <alignment horizontal="left"/>
    </xf>
    <xf numFmtId="0" fontId="60" fillId="0" borderId="0" xfId="0" applyFont="1" applyAlignment="1">
      <alignment horizontal="centerContinuous"/>
    </xf>
    <xf numFmtId="0" fontId="60" fillId="0" borderId="0" xfId="0" applyFont="1" applyFill="1"/>
    <xf numFmtId="0" fontId="60" fillId="0" borderId="0" xfId="0" applyFont="1" applyFill="1" applyAlignment="1">
      <alignment horizontal="centerContinuous"/>
    </xf>
    <xf numFmtId="0" fontId="59" fillId="0" borderId="0" xfId="0" applyFont="1" applyFill="1" applyAlignment="1" applyProtection="1">
      <alignment horizontal="center"/>
      <protection locked="0"/>
    </xf>
    <xf numFmtId="0" fontId="59" fillId="0" borderId="0" xfId="0" applyFont="1" applyFill="1" applyAlignment="1" applyProtection="1">
      <alignment horizontal="centerContinuous"/>
      <protection locked="0"/>
    </xf>
    <xf numFmtId="0" fontId="59" fillId="0" borderId="0" xfId="0" applyFont="1" applyFill="1" applyBorder="1" applyAlignment="1"/>
    <xf numFmtId="0" fontId="60" fillId="0" borderId="0" xfId="0" applyFont="1"/>
    <xf numFmtId="0" fontId="43" fillId="0" borderId="0" xfId="0" applyFont="1" applyAlignment="1">
      <alignment horizontal="left"/>
    </xf>
    <xf numFmtId="171" fontId="44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horizontal="left"/>
    </xf>
    <xf numFmtId="171" fontId="44" fillId="0" borderId="0" xfId="0" applyNumberFormat="1" applyFont="1" applyFill="1" applyBorder="1" applyAlignment="1"/>
    <xf numFmtId="9" fontId="44" fillId="0" borderId="0" xfId="0" applyNumberFormat="1" applyFont="1" applyFill="1" applyBorder="1" applyAlignment="1">
      <alignment horizontal="center"/>
    </xf>
    <xf numFmtId="0" fontId="44" fillId="0" borderId="27" xfId="0" applyFont="1" applyFill="1" applyBorder="1" applyAlignment="1">
      <alignment horizontal="center"/>
    </xf>
    <xf numFmtId="0" fontId="44" fillId="0" borderId="27" xfId="0" applyFont="1" applyFill="1" applyBorder="1"/>
    <xf numFmtId="10" fontId="44" fillId="0" borderId="27" xfId="0" applyNumberFormat="1" applyFont="1" applyFill="1" applyBorder="1" applyAlignment="1">
      <alignment horizontal="center"/>
    </xf>
    <xf numFmtId="0" fontId="60" fillId="0" borderId="0" xfId="0" applyFont="1" applyFill="1" applyAlignment="1">
      <alignment horizontal="center"/>
    </xf>
    <xf numFmtId="171" fontId="43" fillId="0" borderId="0" xfId="0" applyNumberFormat="1" applyFont="1" applyFill="1" applyBorder="1" applyAlignment="1">
      <alignment wrapText="1"/>
    </xf>
    <xf numFmtId="176" fontId="43" fillId="0" borderId="0" xfId="0" applyNumberFormat="1" applyFont="1" applyFill="1"/>
    <xf numFmtId="42" fontId="43" fillId="0" borderId="0" xfId="0" applyNumberFormat="1" applyFont="1" applyFill="1"/>
    <xf numFmtId="171" fontId="42" fillId="0" borderId="0" xfId="0" applyNumberFormat="1" applyFont="1" applyFill="1" applyBorder="1" applyAlignment="1">
      <alignment horizontal="left"/>
    </xf>
    <xf numFmtId="0" fontId="61" fillId="0" borderId="0" xfId="0" applyFont="1" applyFill="1"/>
    <xf numFmtId="42" fontId="43" fillId="0" borderId="0" xfId="0" applyNumberFormat="1" applyFont="1"/>
    <xf numFmtId="171" fontId="44" fillId="0" borderId="0" xfId="0" applyNumberFormat="1" applyFont="1" applyFill="1" applyBorder="1" applyAlignment="1">
      <alignment horizontal="left"/>
    </xf>
    <xf numFmtId="0" fontId="43" fillId="0" borderId="0" xfId="0" applyFont="1" applyFill="1" applyBorder="1"/>
    <xf numFmtId="166" fontId="43" fillId="0" borderId="0" xfId="0" applyNumberFormat="1" applyFont="1" applyFill="1" applyBorder="1"/>
    <xf numFmtId="0" fontId="42" fillId="0" borderId="0" xfId="0" applyFont="1" applyFill="1" applyBorder="1"/>
    <xf numFmtId="42" fontId="43" fillId="0" borderId="0" xfId="0" applyNumberFormat="1" applyFont="1" applyFill="1" applyBorder="1"/>
    <xf numFmtId="37" fontId="43" fillId="0" borderId="0" xfId="0" applyNumberFormat="1" applyFont="1" applyFill="1" applyBorder="1"/>
    <xf numFmtId="0" fontId="43" fillId="0" borderId="0" xfId="0" applyFont="1" applyFill="1" applyAlignment="1">
      <alignment horizontal="right"/>
    </xf>
    <xf numFmtId="171" fontId="43" fillId="0" borderId="0" xfId="0" applyNumberFormat="1" applyFont="1" applyFill="1"/>
    <xf numFmtId="166" fontId="43" fillId="0" borderId="0" xfId="0" applyNumberFormat="1" applyFont="1" applyFill="1" applyBorder="1" applyAlignment="1"/>
    <xf numFmtId="171" fontId="43" fillId="0" borderId="0" xfId="0" applyNumberFormat="1" applyFont="1" applyFill="1" applyAlignment="1">
      <alignment horizontal="left" indent="2"/>
    </xf>
    <xf numFmtId="171" fontId="42" fillId="0" borderId="0" xfId="0" applyNumberFormat="1" applyFont="1" applyFill="1" applyBorder="1" applyAlignment="1">
      <alignment horizontal="left" indent="1"/>
    </xf>
    <xf numFmtId="42" fontId="43" fillId="0" borderId="27" xfId="0" applyNumberFormat="1" applyFont="1" applyFill="1" applyBorder="1" applyAlignment="1" applyProtection="1">
      <protection locked="0"/>
    </xf>
    <xf numFmtId="171" fontId="43" fillId="0" borderId="0" xfId="0" applyNumberFormat="1" applyFont="1" applyFill="1" applyBorder="1" applyAlignment="1">
      <alignment horizontal="left"/>
    </xf>
    <xf numFmtId="164" fontId="43" fillId="0" borderId="0" xfId="0" applyNumberFormat="1" applyFont="1" applyFill="1" applyBorder="1" applyAlignment="1"/>
    <xf numFmtId="166" fontId="43" fillId="0" borderId="0" xfId="0" applyNumberFormat="1" applyFont="1" applyFill="1"/>
    <xf numFmtId="166" fontId="43" fillId="5" borderId="0" xfId="0" applyNumberFormat="1" applyFont="1" applyFill="1" applyBorder="1"/>
    <xf numFmtId="41" fontId="43" fillId="0" borderId="0" xfId="0" applyNumberFormat="1" applyFont="1" applyFill="1"/>
    <xf numFmtId="41" fontId="43" fillId="0" borderId="0" xfId="0" applyNumberFormat="1" applyFont="1" applyFill="1" applyBorder="1"/>
    <xf numFmtId="171" fontId="43" fillId="0" borderId="0" xfId="0" applyNumberFormat="1" applyFont="1" applyFill="1" applyBorder="1" applyAlignment="1">
      <alignment horizontal="left" indent="2"/>
    </xf>
    <xf numFmtId="0" fontId="43" fillId="0" borderId="0" xfId="0" applyNumberFormat="1" applyFont="1" applyFill="1" applyAlignment="1"/>
    <xf numFmtId="171" fontId="58" fillId="0" borderId="0" xfId="0" applyNumberFormat="1" applyFont="1" applyFill="1" applyBorder="1" applyAlignment="1">
      <alignment horizontal="left"/>
    </xf>
    <xf numFmtId="164" fontId="43" fillId="0" borderId="0" xfId="0" applyNumberFormat="1" applyFont="1" applyFill="1" applyBorder="1"/>
    <xf numFmtId="176" fontId="43" fillId="0" borderId="0" xfId="0" applyNumberFormat="1" applyFont="1" applyFill="1" applyBorder="1"/>
    <xf numFmtId="164" fontId="43" fillId="0" borderId="0" xfId="0" applyNumberFormat="1" applyFont="1" applyFill="1"/>
    <xf numFmtId="41" fontId="43" fillId="0" borderId="27" xfId="0" applyNumberFormat="1" applyFont="1" applyFill="1" applyBorder="1"/>
    <xf numFmtId="42" fontId="43" fillId="0" borderId="23" xfId="0" applyNumberFormat="1" applyFont="1" applyFill="1" applyBorder="1"/>
    <xf numFmtId="171" fontId="43" fillId="0" borderId="0" xfId="0" applyNumberFormat="1" applyFont="1" applyFill="1" applyBorder="1"/>
    <xf numFmtId="41" fontId="43" fillId="0" borderId="0" xfId="0" applyNumberFormat="1" applyFont="1" applyBorder="1"/>
    <xf numFmtId="42" fontId="43" fillId="0" borderId="23" xfId="0" applyNumberFormat="1" applyFont="1" applyBorder="1"/>
    <xf numFmtId="164" fontId="43" fillId="0" borderId="0" xfId="0" applyNumberFormat="1" applyFont="1" applyFill="1"/>
    <xf numFmtId="164" fontId="43" fillId="0" borderId="0" xfId="0" applyNumberFormat="1" applyFont="1" applyFill="1" applyBorder="1" applyAlignment="1">
      <alignment horizontal="center"/>
    </xf>
    <xf numFmtId="41" fontId="43" fillId="0" borderId="0" xfId="0" applyNumberFormat="1" applyFont="1" applyFill="1" applyBorder="1" applyAlignment="1">
      <alignment horizontal="left" wrapText="1"/>
    </xf>
    <xf numFmtId="41" fontId="44" fillId="0" borderId="0" xfId="0" applyNumberFormat="1" applyFont="1" applyFill="1" applyAlignment="1">
      <alignment horizontal="center"/>
    </xf>
    <xf numFmtId="164" fontId="43" fillId="0" borderId="27" xfId="0" applyNumberFormat="1" applyFont="1" applyFill="1" applyBorder="1"/>
    <xf numFmtId="171" fontId="43" fillId="0" borderId="0" xfId="0" applyNumberFormat="1" applyFont="1" applyAlignment="1">
      <alignment horizontal="left"/>
    </xf>
    <xf numFmtId="0" fontId="29" fillId="0" borderId="0" xfId="0" applyNumberFormat="1" applyFont="1" applyFill="1" applyAlignment="1">
      <alignment horizontal="left"/>
    </xf>
    <xf numFmtId="172" fontId="43" fillId="0" borderId="0" xfId="0" applyNumberFormat="1" applyFont="1" applyFill="1" applyBorder="1" applyProtection="1">
      <protection locked="0"/>
    </xf>
    <xf numFmtId="42" fontId="43" fillId="0" borderId="0" xfId="0" applyNumberFormat="1" applyFont="1" applyBorder="1"/>
    <xf numFmtId="0" fontId="42" fillId="0" borderId="0" xfId="0" applyFont="1" applyFill="1"/>
    <xf numFmtId="171" fontId="42" fillId="0" borderId="0" xfId="0" applyNumberFormat="1" applyFont="1" applyFill="1" applyAlignment="1">
      <alignment horizontal="left"/>
    </xf>
    <xf numFmtId="0" fontId="43" fillId="0" borderId="0" xfId="0" applyFont="1" applyBorder="1"/>
    <xf numFmtId="42" fontId="43" fillId="0" borderId="33" xfId="0" applyNumberFormat="1" applyFont="1" applyFill="1" applyBorder="1"/>
    <xf numFmtId="0" fontId="43" fillId="0" borderId="0" xfId="0" applyNumberFormat="1" applyFont="1" applyFill="1" applyBorder="1"/>
    <xf numFmtId="43" fontId="43" fillId="0" borderId="0" xfId="0" applyNumberFormat="1" applyFont="1" applyFill="1" applyBorder="1"/>
    <xf numFmtId="43" fontId="43" fillId="0" borderId="33" xfId="0" applyNumberFormat="1" applyFont="1" applyFill="1" applyBorder="1"/>
    <xf numFmtId="0" fontId="43" fillId="0" borderId="33" xfId="0" applyFont="1" applyFill="1" applyBorder="1"/>
    <xf numFmtId="41" fontId="43" fillId="0" borderId="0" xfId="0" applyNumberFormat="1" applyFont="1" applyFill="1" applyBorder="1" applyAlignment="1"/>
    <xf numFmtId="171" fontId="43" fillId="0" borderId="0" xfId="0" applyNumberFormat="1" applyFont="1" applyFill="1" applyBorder="1" applyAlignment="1">
      <alignment horizontal="left" indent="1"/>
    </xf>
    <xf numFmtId="0" fontId="43" fillId="0" borderId="0" xfId="0" applyFont="1" applyFill="1" applyBorder="1" applyAlignment="1">
      <alignment horizontal="left"/>
    </xf>
    <xf numFmtId="37" fontId="43" fillId="0" borderId="0" xfId="0" applyNumberFormat="1" applyFont="1" applyFill="1"/>
    <xf numFmtId="164" fontId="43" fillId="0" borderId="0" xfId="0" applyNumberFormat="1" applyFont="1" applyFill="1" applyBorder="1"/>
    <xf numFmtId="17" fontId="43" fillId="0" borderId="0" xfId="0" applyNumberFormat="1" applyFont="1" applyFill="1" applyAlignment="1">
      <alignment horizontal="right"/>
    </xf>
    <xf numFmtId="0" fontId="62" fillId="0" borderId="0" xfId="0" applyFont="1" applyFill="1" applyAlignment="1">
      <alignment horizontal="left"/>
    </xf>
    <xf numFmtId="41" fontId="43" fillId="0" borderId="0" xfId="0" applyNumberFormat="1" applyFont="1" applyBorder="1" applyAlignment="1">
      <alignment horizontal="left" wrapText="1"/>
    </xf>
    <xf numFmtId="0" fontId="44" fillId="0" borderId="0" xfId="0" applyFont="1"/>
    <xf numFmtId="0" fontId="43" fillId="0" borderId="0" xfId="0" applyFont="1" applyFill="1" applyBorder="1" applyAlignment="1">
      <alignment horizontal="center"/>
    </xf>
    <xf numFmtId="42" fontId="62" fillId="0" borderId="0" xfId="0" applyNumberFormat="1" applyFont="1" applyFill="1" applyBorder="1"/>
    <xf numFmtId="164" fontId="59" fillId="6" borderId="0" xfId="0" applyNumberFormat="1" applyFont="1" applyFill="1"/>
    <xf numFmtId="171" fontId="62" fillId="0" borderId="0" xfId="0" applyNumberFormat="1" applyFont="1" applyFill="1" applyBorder="1" applyAlignment="1">
      <alignment horizontal="left" indent="2"/>
    </xf>
    <xf numFmtId="41" fontId="62" fillId="0" borderId="0" xfId="0" applyNumberFormat="1" applyFont="1" applyFill="1" applyBorder="1"/>
    <xf numFmtId="0" fontId="43" fillId="0" borderId="0" xfId="0" applyFont="1" applyFill="1" applyBorder="1" applyAlignment="1">
      <alignment horizontal="centerContinuous"/>
    </xf>
    <xf numFmtId="41" fontId="43" fillId="0" borderId="0" xfId="0" applyNumberFormat="1" applyFont="1" applyFill="1" applyBorder="1" applyAlignment="1">
      <alignment horizontal="left"/>
    </xf>
    <xf numFmtId="0" fontId="43" fillId="0" borderId="0" xfId="0" quotePrefix="1" applyFont="1" applyFill="1" applyBorder="1" applyAlignment="1">
      <alignment horizontal="centerContinuous"/>
    </xf>
    <xf numFmtId="41" fontId="62" fillId="0" borderId="0" xfId="0" applyNumberFormat="1" applyFont="1" applyFill="1"/>
    <xf numFmtId="0" fontId="63" fillId="0" borderId="0" xfId="0" applyFont="1" applyFill="1" applyBorder="1" applyAlignment="1">
      <alignment horizontal="center"/>
    </xf>
    <xf numFmtId="0" fontId="63" fillId="0" borderId="0" xfId="0" applyNumberFormat="1" applyFont="1" applyFill="1" applyBorder="1" applyAlignment="1" applyProtection="1">
      <alignment horizontal="center"/>
      <protection locked="0"/>
    </xf>
    <xf numFmtId="171" fontId="62" fillId="0" borderId="0" xfId="0" applyNumberFormat="1" applyFont="1" applyFill="1" applyBorder="1" applyAlignment="1">
      <alignment horizontal="left"/>
    </xf>
    <xf numFmtId="41" fontId="62" fillId="0" borderId="0" xfId="0" applyNumberFormat="1" applyFont="1" applyFill="1" applyBorder="1" applyAlignment="1">
      <alignment horizontal="left" wrapText="1"/>
    </xf>
    <xf numFmtId="0" fontId="43" fillId="0" borderId="0" xfId="0" applyNumberFormat="1" applyFont="1" applyAlignment="1"/>
    <xf numFmtId="0" fontId="43" fillId="0" borderId="0" xfId="0" applyFont="1" applyFill="1" applyBorder="1" applyAlignment="1" applyProtection="1">
      <alignment horizontal="center"/>
      <protection locked="0"/>
    </xf>
    <xf numFmtId="10" fontId="62" fillId="0" borderId="0" xfId="0" applyNumberFormat="1" applyFont="1" applyFill="1" applyBorder="1" applyAlignment="1">
      <alignment horizontal="left" wrapText="1"/>
    </xf>
    <xf numFmtId="15" fontId="43" fillId="0" borderId="0" xfId="0" applyNumberFormat="1" applyFont="1" applyFill="1" applyBorder="1" applyAlignment="1">
      <alignment horizontal="centerContinuous"/>
    </xf>
    <xf numFmtId="18" fontId="43" fillId="0" borderId="0" xfId="0" applyNumberFormat="1" applyFont="1" applyFill="1" applyBorder="1" applyAlignment="1">
      <alignment horizontal="centerContinuous"/>
    </xf>
    <xf numFmtId="0" fontId="43" fillId="0" borderId="0" xfId="0" applyFont="1" applyFill="1" applyBorder="1" applyAlignment="1">
      <alignment horizontal="left" indent="1"/>
    </xf>
    <xf numFmtId="171" fontId="64" fillId="0" borderId="0" xfId="0" applyNumberFormat="1" applyFont="1" applyFill="1" applyBorder="1" applyAlignment="1">
      <alignment horizontal="left"/>
    </xf>
    <xf numFmtId="0" fontId="43" fillId="0" borderId="0" xfId="0" quotePrefix="1" applyFont="1" applyFill="1" applyBorder="1" applyAlignment="1">
      <alignment horizontal="left" indent="1"/>
    </xf>
    <xf numFmtId="166" fontId="43" fillId="0" borderId="0" xfId="0" applyNumberFormat="1" applyFont="1" applyBorder="1"/>
    <xf numFmtId="164" fontId="43" fillId="0" borderId="0" xfId="0" applyNumberFormat="1" applyFont="1"/>
    <xf numFmtId="176" fontId="43" fillId="0" borderId="0" xfId="0" applyNumberFormat="1" applyFont="1" applyFill="1" applyBorder="1" applyAlignment="1">
      <alignment vertical="center"/>
    </xf>
    <xf numFmtId="164" fontId="43" fillId="0" borderId="0" xfId="0" applyNumberFormat="1" applyFont="1" applyFill="1" applyBorder="1" applyAlignment="1">
      <alignment wrapText="1"/>
    </xf>
    <xf numFmtId="41" fontId="62" fillId="0" borderId="0" xfId="0" applyNumberFormat="1" applyFont="1" applyFill="1" applyBorder="1" applyAlignment="1"/>
    <xf numFmtId="176" fontId="60" fillId="0" borderId="0" xfId="0" applyNumberFormat="1" applyFont="1" applyFill="1" applyBorder="1"/>
    <xf numFmtId="166" fontId="65" fillId="0" borderId="0" xfId="0" applyNumberFormat="1" applyFont="1" applyFill="1" applyBorder="1"/>
    <xf numFmtId="166" fontId="60" fillId="0" borderId="0" xfId="0" applyNumberFormat="1" applyFont="1" applyFill="1" applyBorder="1"/>
    <xf numFmtId="44" fontId="43" fillId="0" borderId="0" xfId="0" applyNumberFormat="1" applyFont="1" applyFill="1" applyBorder="1"/>
    <xf numFmtId="171" fontId="60" fillId="0" borderId="0" xfId="0" applyNumberFormat="1" applyFont="1" applyFill="1" applyBorder="1" applyAlignment="1">
      <alignment horizontal="left"/>
    </xf>
    <xf numFmtId="41" fontId="60" fillId="0" borderId="0" xfId="0" applyNumberFormat="1" applyFont="1" applyFill="1" applyBorder="1"/>
    <xf numFmtId="164" fontId="60" fillId="0" borderId="0" xfId="0" applyNumberFormat="1" applyFont="1" applyFill="1" applyBorder="1"/>
    <xf numFmtId="0" fontId="43" fillId="0" borderId="0" xfId="0" applyFont="1" applyFill="1" applyBorder="1" applyAlignment="1">
      <alignment vertical="center"/>
    </xf>
    <xf numFmtId="0" fontId="66" fillId="0" borderId="0" xfId="0" applyFont="1" applyFill="1" applyBorder="1"/>
    <xf numFmtId="0" fontId="60" fillId="0" borderId="0" xfId="0" applyFont="1" applyFill="1" applyBorder="1" applyAlignment="1">
      <alignment horizontal="center"/>
    </xf>
    <xf numFmtId="0" fontId="43" fillId="0" borderId="0" xfId="0" applyNumberFormat="1" applyFont="1" applyFill="1" applyBorder="1" applyAlignment="1"/>
    <xf numFmtId="3" fontId="43" fillId="0" borderId="0" xfId="0" applyNumberFormat="1" applyFont="1" applyFill="1" applyBorder="1" applyAlignment="1"/>
    <xf numFmtId="37" fontId="43" fillId="0" borderId="0" xfId="0" applyNumberFormat="1" applyFont="1" applyFill="1" applyBorder="1" applyAlignment="1"/>
    <xf numFmtId="0" fontId="62" fillId="0" borderId="0" xfId="0" applyFont="1" applyFill="1" applyBorder="1"/>
    <xf numFmtId="180" fontId="43" fillId="0" borderId="0" xfId="0" applyNumberFormat="1" applyFont="1" applyFill="1" applyBorder="1"/>
    <xf numFmtId="42" fontId="43" fillId="0" borderId="0" xfId="0" applyNumberFormat="1" applyFont="1" applyFill="1" applyBorder="1"/>
    <xf numFmtId="164" fontId="43" fillId="0" borderId="33" xfId="0" applyNumberFormat="1" applyFont="1" applyFill="1" applyBorder="1"/>
    <xf numFmtId="0" fontId="43" fillId="0" borderId="0" xfId="0" applyNumberFormat="1" applyFont="1" applyFill="1" applyBorder="1" applyAlignment="1">
      <alignment horizontal="left"/>
    </xf>
    <xf numFmtId="0" fontId="59" fillId="0" borderId="0" xfId="0" applyFont="1" applyFill="1" applyBorder="1" applyAlignment="1">
      <alignment horizontal="right"/>
    </xf>
    <xf numFmtId="0" fontId="30" fillId="0" borderId="32" xfId="0" applyFont="1" applyFill="1" applyBorder="1"/>
    <xf numFmtId="0" fontId="26" fillId="0" borderId="33" xfId="0" applyFont="1" applyFill="1" applyBorder="1"/>
    <xf numFmtId="0" fontId="26" fillId="0" borderId="0" xfId="0" applyFont="1" applyFill="1"/>
    <xf numFmtId="0" fontId="28" fillId="0" borderId="0" xfId="0" applyFont="1" applyFill="1"/>
    <xf numFmtId="0" fontId="30" fillId="0" borderId="8" xfId="0" applyFont="1" applyFill="1" applyBorder="1"/>
    <xf numFmtId="0" fontId="26" fillId="0" borderId="0" xfId="0" applyFont="1" applyFill="1" applyBorder="1"/>
    <xf numFmtId="0" fontId="26" fillId="0" borderId="9" xfId="0" applyFont="1" applyFill="1" applyBorder="1"/>
    <xf numFmtId="0" fontId="51" fillId="12" borderId="30" xfId="0" applyFont="1" applyFill="1" applyBorder="1" applyAlignment="1">
      <alignment horizontal="centerContinuous"/>
    </xf>
    <xf numFmtId="0" fontId="51" fillId="12" borderId="25" xfId="0" applyFont="1" applyFill="1" applyBorder="1" applyAlignment="1">
      <alignment horizontal="centerContinuous"/>
    </xf>
    <xf numFmtId="0" fontId="26" fillId="0" borderId="8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26" fillId="0" borderId="8" xfId="0" applyNumberFormat="1" applyFont="1" applyFill="1" applyBorder="1" applyAlignment="1">
      <alignment horizontal="center"/>
    </xf>
    <xf numFmtId="0" fontId="12" fillId="0" borderId="0" xfId="0" applyFont="1" applyFill="1" applyBorder="1"/>
    <xf numFmtId="166" fontId="12" fillId="0" borderId="0" xfId="0" applyNumberFormat="1" applyFont="1" applyFill="1" applyBorder="1"/>
    <xf numFmtId="0" fontId="12" fillId="0" borderId="0" xfId="0" applyFont="1" applyFill="1" applyBorder="1"/>
    <xf numFmtId="0" fontId="12" fillId="0" borderId="9" xfId="0" applyFont="1" applyFill="1" applyBorder="1"/>
    <xf numFmtId="41" fontId="12" fillId="0" borderId="0" xfId="0" applyNumberFormat="1" applyFont="1" applyFill="1" applyBorder="1"/>
    <xf numFmtId="166" fontId="12" fillId="0" borderId="33" xfId="0" applyNumberFormat="1" applyFont="1" applyFill="1" applyBorder="1"/>
    <xf numFmtId="0" fontId="12" fillId="0" borderId="0" xfId="0" applyNumberFormat="1" applyFont="1" applyFill="1" applyBorder="1" applyAlignment="1">
      <alignment horizontal="left"/>
    </xf>
    <xf numFmtId="10" fontId="12" fillId="0" borderId="0" xfId="0" applyNumberFormat="1" applyFont="1" applyFill="1" applyBorder="1" applyAlignment="1"/>
    <xf numFmtId="43" fontId="1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left"/>
    </xf>
    <xf numFmtId="0" fontId="12" fillId="0" borderId="27" xfId="0" applyNumberFormat="1" applyFont="1" applyFill="1" applyBorder="1" applyAlignment="1">
      <alignment horizontal="center"/>
    </xf>
    <xf numFmtId="164" fontId="12" fillId="0" borderId="27" xfId="0" applyNumberFormat="1" applyFont="1" applyFill="1" applyBorder="1" applyAlignment="1">
      <alignment horizontal="center"/>
    </xf>
    <xf numFmtId="164" fontId="12" fillId="0" borderId="11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166" fontId="12" fillId="0" borderId="0" xfId="0" applyNumberFormat="1" applyFont="1" applyFill="1" applyBorder="1" applyAlignment="1"/>
    <xf numFmtId="168" fontId="12" fillId="0" borderId="0" xfId="0" applyNumberFormat="1" applyFont="1" applyFill="1" applyBorder="1" applyAlignment="1"/>
    <xf numFmtId="168" fontId="12" fillId="0" borderId="0" xfId="0" applyNumberFormat="1" applyFont="1" applyFill="1" applyBorder="1" applyAlignment="1">
      <alignment horizontal="center"/>
    </xf>
    <xf numFmtId="166" fontId="12" fillId="0" borderId="9" xfId="0" applyNumberFormat="1" applyFont="1" applyFill="1" applyBorder="1" applyAlignment="1"/>
    <xf numFmtId="164" fontId="12" fillId="0" borderId="0" xfId="0" applyNumberFormat="1" applyFont="1" applyFill="1" applyBorder="1" applyAlignment="1"/>
    <xf numFmtId="164" fontId="12" fillId="0" borderId="9" xfId="0" applyNumberFormat="1" applyFont="1" applyFill="1" applyBorder="1" applyAlignment="1"/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 indent="1"/>
    </xf>
    <xf numFmtId="0" fontId="12" fillId="0" borderId="0" xfId="0" applyNumberFormat="1" applyFont="1" applyFill="1" applyBorder="1" applyAlignment="1">
      <alignment vertical="top"/>
    </xf>
    <xf numFmtId="0" fontId="12" fillId="0" borderId="0" xfId="0" quotePrefix="1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 vertical="center" indent="1"/>
    </xf>
    <xf numFmtId="166" fontId="12" fillId="0" borderId="31" xfId="0" applyNumberFormat="1" applyFont="1" applyFill="1" applyBorder="1" applyAlignment="1">
      <alignment vertical="center"/>
    </xf>
    <xf numFmtId="168" fontId="12" fillId="0" borderId="26" xfId="0" applyNumberFormat="1" applyFont="1" applyFill="1" applyBorder="1" applyAlignment="1">
      <alignment vertical="center"/>
    </xf>
    <xf numFmtId="168" fontId="12" fillId="0" borderId="33" xfId="0" applyNumberFormat="1" applyFont="1" applyFill="1" applyBorder="1" applyAlignment="1">
      <alignment vertical="center"/>
    </xf>
    <xf numFmtId="166" fontId="12" fillId="0" borderId="33" xfId="0" applyNumberFormat="1" applyFont="1" applyFill="1" applyBorder="1" applyAlignment="1">
      <alignment vertical="center"/>
    </xf>
    <xf numFmtId="166" fontId="12" fillId="0" borderId="34" xfId="0" applyNumberFormat="1" applyFont="1" applyFill="1" applyBorder="1" applyAlignment="1">
      <alignment vertical="center"/>
    </xf>
    <xf numFmtId="165" fontId="12" fillId="0" borderId="27" xfId="0" applyNumberFormat="1" applyFont="1" applyFill="1" applyBorder="1" applyAlignment="1"/>
    <xf numFmtId="0" fontId="36" fillId="0" borderId="0" xfId="0" applyFont="1" applyFill="1" applyBorder="1"/>
    <xf numFmtId="167" fontId="12" fillId="0" borderId="0" xfId="0" applyNumberFormat="1" applyFont="1" applyFill="1" applyBorder="1" applyAlignment="1"/>
    <xf numFmtId="177" fontId="12" fillId="0" borderId="0" xfId="0" applyNumberFormat="1" applyFont="1" applyFill="1" applyBorder="1" applyAlignment="1"/>
    <xf numFmtId="177" fontId="12" fillId="0" borderId="9" xfId="0" applyNumberFormat="1" applyFont="1" applyFill="1" applyBorder="1" applyAlignment="1"/>
    <xf numFmtId="166" fontId="12" fillId="0" borderId="33" xfId="0" applyNumberFormat="1" applyFont="1" applyFill="1" applyBorder="1" applyAlignment="1"/>
    <xf numFmtId="166" fontId="12" fillId="0" borderId="34" xfId="0" applyNumberFormat="1" applyFont="1" applyFill="1" applyBorder="1" applyAlignment="1"/>
    <xf numFmtId="0" fontId="12" fillId="0" borderId="0" xfId="0" applyNumberFormat="1" applyFont="1" applyFill="1" applyBorder="1" applyAlignment="1"/>
    <xf numFmtId="0" fontId="12" fillId="0" borderId="9" xfId="0" applyNumberFormat="1" applyFont="1" applyFill="1" applyBorder="1" applyAlignment="1"/>
    <xf numFmtId="0" fontId="4" fillId="0" borderId="0" xfId="0" applyNumberFormat="1" applyFont="1" applyFill="1" applyBorder="1" applyAlignment="1"/>
    <xf numFmtId="169" fontId="4" fillId="0" borderId="0" xfId="0" applyNumberFormat="1" applyFont="1" applyFill="1" applyBorder="1" applyAlignment="1"/>
    <xf numFmtId="44" fontId="4" fillId="0" borderId="0" xfId="0" applyNumberFormat="1" applyFont="1" applyFill="1" applyBorder="1" applyAlignment="1"/>
    <xf numFmtId="43" fontId="4" fillId="0" borderId="9" xfId="0" applyNumberFormat="1" applyFont="1" applyFill="1" applyBorder="1" applyAlignment="1">
      <alignment horizontal="center"/>
    </xf>
    <xf numFmtId="167" fontId="1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right"/>
    </xf>
    <xf numFmtId="167" fontId="8" fillId="0" borderId="9" xfId="0" applyNumberFormat="1" applyFont="1" applyFill="1" applyBorder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right"/>
    </xf>
    <xf numFmtId="0" fontId="8" fillId="0" borderId="9" xfId="0" applyNumberFormat="1" applyFont="1" applyFill="1" applyBorder="1" applyAlignment="1"/>
    <xf numFmtId="167" fontId="18" fillId="0" borderId="0" xfId="0" applyNumberFormat="1" applyFont="1" applyFill="1" applyBorder="1" applyAlignment="1">
      <alignment horizontal="centerContinuous"/>
    </xf>
    <xf numFmtId="0" fontId="4" fillId="0" borderId="0" xfId="0" applyNumberFormat="1" applyFont="1" applyFill="1" applyBorder="1" applyAlignment="1">
      <alignment horizontal="centerContinuous"/>
    </xf>
    <xf numFmtId="167" fontId="18" fillId="0" borderId="9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/>
    <xf numFmtId="168" fontId="4" fillId="0" borderId="9" xfId="0" applyNumberFormat="1" applyFont="1" applyFill="1" applyBorder="1" applyAlignment="1"/>
    <xf numFmtId="0" fontId="13" fillId="0" borderId="0" xfId="0" applyNumberFormat="1" applyFont="1" applyFill="1" applyBorder="1" applyAlignment="1"/>
    <xf numFmtId="0" fontId="4" fillId="0" borderId="9" xfId="0" applyNumberFormat="1" applyFont="1" applyFill="1" applyBorder="1" applyAlignment="1"/>
    <xf numFmtId="168" fontId="12" fillId="0" borderId="27" xfId="0" applyNumberFormat="1" applyFont="1" applyFill="1" applyBorder="1" applyAlignment="1"/>
    <xf numFmtId="0" fontId="26" fillId="0" borderId="10" xfId="0" applyFont="1" applyFill="1" applyBorder="1" applyAlignment="1">
      <alignment horizontal="center"/>
    </xf>
    <xf numFmtId="0" fontId="12" fillId="0" borderId="27" xfId="0" applyFont="1" applyFill="1" applyBorder="1"/>
    <xf numFmtId="0" fontId="12" fillId="0" borderId="11" xfId="0" applyFont="1" applyFill="1" applyBorder="1"/>
    <xf numFmtId="0" fontId="26" fillId="0" borderId="0" xfId="0" applyFont="1" applyFill="1" applyAlignment="1">
      <alignment horizontal="center"/>
    </xf>
    <xf numFmtId="171" fontId="35" fillId="0" borderId="0" xfId="0" applyNumberFormat="1" applyFont="1" applyFill="1" applyBorder="1" applyAlignment="1">
      <alignment horizontal="left"/>
    </xf>
    <xf numFmtId="0" fontId="1" fillId="0" borderId="0" xfId="0" applyFont="1" applyFill="1"/>
    <xf numFmtId="171" fontId="23" fillId="0" borderId="0" xfId="0" applyNumberFormat="1" applyFont="1" applyFill="1" applyBorder="1" applyAlignment="1">
      <alignment horizontal="left"/>
    </xf>
    <xf numFmtId="0" fontId="23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171" fontId="34" fillId="0" borderId="12" xfId="0" applyNumberFormat="1" applyFont="1" applyFill="1" applyBorder="1" applyAlignment="1">
      <alignment horizontal="left"/>
    </xf>
    <xf numFmtId="0" fontId="34" fillId="0" borderId="28" xfId="0" applyNumberFormat="1" applyFont="1" applyFill="1" applyBorder="1" applyAlignment="1">
      <alignment horizontal="center"/>
    </xf>
    <xf numFmtId="0" fontId="34" fillId="0" borderId="29" xfId="0" applyNumberFormat="1" applyFont="1" applyFill="1" applyBorder="1" applyAlignment="1">
      <alignment horizontal="center"/>
    </xf>
    <xf numFmtId="171" fontId="20" fillId="0" borderId="35" xfId="0" applyNumberFormat="1" applyFont="1" applyFill="1" applyBorder="1" applyAlignment="1">
      <alignment horizontal="left"/>
    </xf>
    <xf numFmtId="0" fontId="20" fillId="0" borderId="33" xfId="0" applyNumberFormat="1" applyFont="1" applyFill="1" applyBorder="1" applyAlignment="1">
      <alignment horizontal="center"/>
    </xf>
    <xf numFmtId="41" fontId="20" fillId="0" borderId="31" xfId="0" applyNumberFormat="1" applyFont="1" applyFill="1" applyBorder="1" applyAlignment="1"/>
    <xf numFmtId="171" fontId="20" fillId="0" borderId="15" xfId="0" applyNumberFormat="1" applyFont="1" applyFill="1" applyBorder="1" applyAlignment="1">
      <alignment horizontal="left"/>
    </xf>
    <xf numFmtId="41" fontId="20" fillId="0" borderId="16" xfId="0" applyNumberFormat="1" applyFont="1" applyFill="1" applyBorder="1" applyAlignment="1"/>
    <xf numFmtId="0" fontId="20" fillId="0" borderId="0" xfId="0" applyNumberFormat="1" applyFont="1" applyFill="1" applyBorder="1" applyAlignment="1"/>
    <xf numFmtId="41" fontId="20" fillId="0" borderId="36" xfId="0" applyNumberFormat="1" applyFont="1" applyFill="1" applyBorder="1" applyAlignment="1"/>
    <xf numFmtId="0" fontId="20" fillId="0" borderId="19" xfId="0" applyNumberFormat="1" applyFont="1" applyFill="1" applyBorder="1" applyAlignment="1"/>
    <xf numFmtId="0" fontId="20" fillId="0" borderId="1" xfId="0" applyNumberFormat="1" applyFont="1" applyFill="1" applyBorder="1" applyAlignment="1">
      <alignment horizontal="right"/>
    </xf>
    <xf numFmtId="41" fontId="20" fillId="0" borderId="20" xfId="0" applyNumberFormat="1" applyFont="1" applyFill="1" applyBorder="1" applyAlignment="1"/>
    <xf numFmtId="2" fontId="1" fillId="0" borderId="0" xfId="0" applyNumberFormat="1" applyFont="1" applyFill="1"/>
    <xf numFmtId="0" fontId="31" fillId="0" borderId="33" xfId="0" applyFont="1" applyFill="1" applyBorder="1" applyAlignment="1">
      <alignment horizontal="centerContinuous"/>
    </xf>
    <xf numFmtId="0" fontId="31" fillId="0" borderId="34" xfId="0" applyFont="1" applyFill="1" applyBorder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 applyFont="1"/>
    <xf numFmtId="164" fontId="0" fillId="13" borderId="0" xfId="0" applyNumberFormat="1" applyFont="1" applyFill="1"/>
    <xf numFmtId="0" fontId="4" fillId="0" borderId="27" xfId="0" applyNumberFormat="1" applyFont="1" applyFill="1" applyBorder="1" applyAlignment="1">
      <alignment horizontal="center"/>
    </xf>
    <xf numFmtId="0" fontId="67" fillId="12" borderId="24" xfId="0" applyFont="1" applyFill="1" applyBorder="1" applyAlignment="1">
      <alignment horizontal="centerContinuous"/>
    </xf>
    <xf numFmtId="0" fontId="0" fillId="0" borderId="0" xfId="0" applyAlignment="1">
      <alignment horizontal="left" indent="1"/>
    </xf>
    <xf numFmtId="42" fontId="0" fillId="0" borderId="33" xfId="0" applyNumberFormat="1" applyBorder="1"/>
    <xf numFmtId="37" fontId="16" fillId="0" borderId="0" xfId="0" applyNumberFormat="1" applyFont="1"/>
    <xf numFmtId="41" fontId="0" fillId="0" borderId="30" xfId="0" applyNumberFormat="1" applyBorder="1"/>
    <xf numFmtId="42" fontId="0" fillId="0" borderId="23" xfId="0" applyNumberFormat="1" applyBorder="1"/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19" fillId="0" borderId="0" xfId="0" applyFont="1" applyFill="1" applyBorder="1"/>
    <xf numFmtId="184" fontId="4" fillId="7" borderId="0" xfId="0" applyNumberFormat="1" applyFont="1" applyFill="1" applyBorder="1"/>
    <xf numFmtId="42" fontId="43" fillId="0" borderId="0" xfId="0" applyNumberFormat="1" applyFont="1" applyFill="1" applyAlignment="1"/>
    <xf numFmtId="164" fontId="43" fillId="0" borderId="0" xfId="0" applyNumberFormat="1" applyFont="1" applyFill="1" applyBorder="1" applyAlignment="1">
      <alignment horizontal="center"/>
    </xf>
    <xf numFmtId="41" fontId="43" fillId="0" borderId="0" xfId="0" applyNumberFormat="1" applyFont="1" applyFill="1" applyAlignment="1"/>
    <xf numFmtId="42" fontId="43" fillId="0" borderId="33" xfId="0" applyNumberFormat="1" applyFont="1" applyFill="1" applyBorder="1" applyAlignment="1"/>
    <xf numFmtId="42" fontId="43" fillId="0" borderId="7" xfId="0" applyNumberFormat="1" applyFont="1" applyFill="1" applyBorder="1" applyAlignment="1"/>
    <xf numFmtId="0" fontId="63" fillId="0" borderId="0" xfId="0" applyFont="1" applyFill="1" applyBorder="1" applyAlignment="1">
      <alignment horizontal="center"/>
    </xf>
    <xf numFmtId="164" fontId="43" fillId="0" borderId="0" xfId="0" applyNumberFormat="1" applyFont="1" applyFill="1" applyAlignment="1"/>
    <xf numFmtId="164" fontId="43" fillId="0" borderId="0" xfId="0" applyNumberFormat="1" applyFont="1" applyFill="1" applyBorder="1" applyAlignment="1">
      <alignment horizontal="right"/>
    </xf>
    <xf numFmtId="0" fontId="57" fillId="0" borderId="0" xfId="0" applyFont="1" applyFill="1" applyAlignment="1">
      <alignment horizontal="left" indent="2"/>
    </xf>
    <xf numFmtId="0" fontId="57" fillId="0" borderId="0" xfId="0" applyFont="1" applyFill="1" applyAlignment="1">
      <alignment horizontal="left" indent="7"/>
    </xf>
    <xf numFmtId="41" fontId="43" fillId="0" borderId="27" xfId="0" applyNumberFormat="1" applyFont="1" applyFill="1" applyBorder="1" applyAlignment="1"/>
    <xf numFmtId="41" fontId="43" fillId="0" borderId="33" xfId="0" applyNumberFormat="1" applyFont="1" applyFill="1" applyBorder="1"/>
    <xf numFmtId="42" fontId="43" fillId="0" borderId="27" xfId="0" applyNumberFormat="1" applyFont="1" applyFill="1" applyBorder="1"/>
    <xf numFmtId="164" fontId="43" fillId="0" borderId="0" xfId="0" applyNumberFormat="1" applyFont="1" applyFill="1" applyAlignment="1">
      <alignment horizontal="centerContinuous"/>
    </xf>
    <xf numFmtId="0" fontId="43" fillId="0" borderId="0" xfId="0" applyNumberFormat="1" applyFont="1" applyFill="1"/>
    <xf numFmtId="43" fontId="43" fillId="0" borderId="0" xfId="0" applyNumberFormat="1" applyFont="1" applyFill="1"/>
    <xf numFmtId="42" fontId="43" fillId="0" borderId="7" xfId="0" applyNumberFormat="1" applyFont="1" applyFill="1" applyBorder="1"/>
    <xf numFmtId="178" fontId="43" fillId="0" borderId="0" xfId="0" applyNumberFormat="1" applyFont="1" applyFill="1" applyAlignment="1"/>
    <xf numFmtId="171" fontId="43" fillId="0" borderId="27" xfId="0" applyNumberFormat="1" applyFont="1" applyFill="1" applyBorder="1"/>
    <xf numFmtId="171" fontId="43" fillId="0" borderId="7" xfId="0" applyNumberFormat="1" applyFont="1" applyFill="1" applyBorder="1" applyProtection="1">
      <protection locked="0"/>
    </xf>
    <xf numFmtId="42" fontId="43" fillId="0" borderId="0" xfId="0" applyNumberFormat="1" applyFont="1" applyFill="1"/>
    <xf numFmtId="41" fontId="43" fillId="0" borderId="0" xfId="0" applyNumberFormat="1" applyFont="1" applyFill="1"/>
    <xf numFmtId="166" fontId="0" fillId="0" borderId="0" xfId="0" applyNumberFormat="1" applyFill="1"/>
    <xf numFmtId="164" fontId="0" fillId="0" borderId="33" xfId="0" applyNumberFormat="1" applyFill="1" applyBorder="1"/>
    <xf numFmtId="0" fontId="0" fillId="0" borderId="0" xfId="0" applyFill="1" applyAlignment="1">
      <alignment horizontal="center"/>
    </xf>
    <xf numFmtId="10" fontId="0" fillId="0" borderId="0" xfId="0" applyNumberFormat="1" applyFont="1" applyFill="1"/>
    <xf numFmtId="10" fontId="23" fillId="0" borderId="0" xfId="0" applyNumberFormat="1" applyFont="1" applyFill="1"/>
    <xf numFmtId="0" fontId="44" fillId="0" borderId="0" xfId="0" applyFont="1" applyFill="1" applyAlignment="1" applyProtection="1">
      <alignment horizontal="center"/>
      <protection locked="0"/>
    </xf>
    <xf numFmtId="0" fontId="59" fillId="0" borderId="0" xfId="0" applyFont="1" applyFill="1" applyAlignment="1">
      <alignment horizontal="center"/>
    </xf>
    <xf numFmtId="179" fontId="44" fillId="0" borderId="22" xfId="0" applyNumberFormat="1" applyFont="1" applyFill="1" applyBorder="1" applyAlignment="1">
      <alignment horizontal="center"/>
    </xf>
    <xf numFmtId="0" fontId="58" fillId="0" borderId="27" xfId="0" applyFont="1" applyFill="1" applyBorder="1" applyAlignment="1">
      <alignment horizontal="centerContinuous"/>
    </xf>
    <xf numFmtId="0" fontId="44" fillId="0" borderId="27" xfId="0" applyFont="1" applyFill="1" applyBorder="1" applyAlignment="1">
      <alignment horizontal="centerContinuous"/>
    </xf>
    <xf numFmtId="0" fontId="58" fillId="0" borderId="0" xfId="0" applyFont="1" applyFill="1" applyBorder="1" applyAlignment="1">
      <alignment horizontal="centerContinuous"/>
    </xf>
    <xf numFmtId="14" fontId="44" fillId="0" borderId="27" xfId="0" applyNumberFormat="1" applyFont="1" applyFill="1" applyBorder="1" applyAlignment="1">
      <alignment horizontal="center"/>
    </xf>
    <xf numFmtId="170" fontId="44" fillId="0" borderId="27" xfId="0" applyNumberFormat="1" applyFont="1" applyFill="1" applyBorder="1" applyAlignment="1">
      <alignment horizontal="center"/>
    </xf>
    <xf numFmtId="0" fontId="58" fillId="0" borderId="2" xfId="0" applyFont="1" applyFill="1" applyBorder="1" applyAlignment="1">
      <alignment horizontal="centerContinuous"/>
    </xf>
    <xf numFmtId="0" fontId="44" fillId="0" borderId="2" xfId="0" applyFont="1" applyFill="1" applyBorder="1" applyAlignment="1">
      <alignment horizontal="centerContinuous"/>
    </xf>
    <xf numFmtId="0" fontId="44" fillId="0" borderId="0" xfId="0" applyFont="1" applyFill="1" applyBorder="1" applyAlignment="1">
      <alignment horizontal="centerContinuous"/>
    </xf>
    <xf numFmtId="14" fontId="44" fillId="0" borderId="2" xfId="0" applyNumberFormat="1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/>
    </xf>
    <xf numFmtId="0" fontId="43" fillId="0" borderId="0" xfId="0" applyFont="1" applyFill="1" applyAlignment="1">
      <alignment horizontal="left" vertical="top"/>
    </xf>
    <xf numFmtId="173" fontId="4" fillId="7" borderId="53" xfId="0" applyNumberFormat="1" applyFont="1" applyFill="1" applyBorder="1"/>
    <xf numFmtId="173" fontId="4" fillId="7" borderId="0" xfId="0" applyNumberFormat="1" applyFont="1" applyFill="1" applyBorder="1"/>
    <xf numFmtId="173" fontId="4" fillId="7" borderId="52" xfId="0" applyNumberFormat="1" applyFont="1" applyFill="1" applyBorder="1"/>
    <xf numFmtId="41" fontId="4" fillId="7" borderId="52" xfId="0" applyNumberFormat="1" applyFont="1" applyFill="1" applyBorder="1"/>
    <xf numFmtId="184" fontId="4" fillId="2" borderId="0" xfId="0" applyNumberFormat="1" applyFont="1" applyFill="1" applyBorder="1"/>
    <xf numFmtId="0" fontId="4" fillId="3" borderId="0" xfId="0" applyFont="1" applyFill="1" applyBorder="1" applyAlignment="1"/>
    <xf numFmtId="0" fontId="4" fillId="0" borderId="0" xfId="0" applyNumberFormat="1" applyFont="1" applyFill="1" applyAlignment="1">
      <alignment vertical="top"/>
    </xf>
    <xf numFmtId="41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 vertical="top"/>
    </xf>
    <xf numFmtId="41" fontId="19" fillId="0" borderId="0" xfId="0" applyNumberFormat="1" applyFont="1" applyFill="1" applyAlignment="1">
      <alignment vertical="center"/>
    </xf>
    <xf numFmtId="0" fontId="19" fillId="0" borderId="0" xfId="0" applyNumberFormat="1" applyFont="1" applyFill="1" applyAlignment="1">
      <alignment vertical="top"/>
    </xf>
    <xf numFmtId="41" fontId="69" fillId="0" borderId="0" xfId="0" applyNumberFormat="1" applyFont="1" applyFill="1" applyAlignment="1">
      <alignment vertical="center"/>
    </xf>
    <xf numFmtId="41" fontId="19" fillId="0" borderId="33" xfId="0" applyNumberFormat="1" applyFont="1" applyFill="1" applyBorder="1" applyAlignment="1">
      <alignment vertical="center"/>
    </xf>
    <xf numFmtId="41" fontId="4" fillId="0" borderId="0" xfId="0" applyNumberFormat="1" applyFont="1" applyFill="1" applyAlignment="1">
      <alignment vertical="center"/>
    </xf>
    <xf numFmtId="10" fontId="19" fillId="0" borderId="0" xfId="0" applyNumberFormat="1" applyFont="1" applyFill="1" applyBorder="1" applyAlignment="1">
      <alignment vertical="center"/>
    </xf>
    <xf numFmtId="41" fontId="19" fillId="0" borderId="0" xfId="0" applyNumberFormat="1" applyFont="1" applyFill="1" applyBorder="1" applyAlignment="1">
      <alignment vertical="center"/>
    </xf>
    <xf numFmtId="42" fontId="4" fillId="0" borderId="0" xfId="0" applyNumberFormat="1" applyFont="1" applyFill="1" applyAlignment="1">
      <alignment vertical="center"/>
    </xf>
    <xf numFmtId="1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top" wrapText="1"/>
    </xf>
    <xf numFmtId="41" fontId="4" fillId="0" borderId="27" xfId="0" applyNumberFormat="1" applyFont="1" applyFill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7" xfId="0" applyNumberFormat="1" applyFont="1" applyFill="1" applyBorder="1" applyAlignment="1">
      <alignment horizontal="center" wrapText="1"/>
    </xf>
    <xf numFmtId="0" fontId="4" fillId="15" borderId="64" xfId="0" applyFont="1" applyFill="1" applyBorder="1" applyAlignment="1">
      <alignment horizontal="center"/>
    </xf>
    <xf numFmtId="0" fontId="4" fillId="14" borderId="11" xfId="0" applyFont="1" applyFill="1" applyBorder="1" applyAlignment="1">
      <alignment horizontal="centerContinuous"/>
    </xf>
    <xf numFmtId="0" fontId="4" fillId="14" borderId="27" xfId="0" applyFont="1" applyFill="1" applyBorder="1" applyAlignment="1">
      <alignment horizontal="centerContinuous"/>
    </xf>
    <xf numFmtId="164" fontId="5" fillId="14" borderId="10" xfId="0" applyNumberFormat="1" applyFont="1" applyFill="1" applyBorder="1" applyAlignment="1">
      <alignment horizontal="centerContinuous"/>
    </xf>
    <xf numFmtId="0" fontId="4" fillId="14" borderId="34" xfId="0" applyFont="1" applyFill="1" applyBorder="1" applyAlignment="1">
      <alignment horizontal="centerContinuous"/>
    </xf>
    <xf numFmtId="0" fontId="4" fillId="14" borderId="33" xfId="0" applyFont="1" applyFill="1" applyBorder="1" applyAlignment="1">
      <alignment horizontal="centerContinuous"/>
    </xf>
    <xf numFmtId="164" fontId="5" fillId="14" borderId="32" xfId="0" applyNumberFormat="1" applyFont="1" applyFill="1" applyBorder="1" applyAlignment="1">
      <alignment horizontal="centerContinuous"/>
    </xf>
    <xf numFmtId="0" fontId="4" fillId="3" borderId="3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Continuous" vertical="center"/>
    </xf>
    <xf numFmtId="0" fontId="17" fillId="0" borderId="30" xfId="0" applyFont="1" applyFill="1" applyBorder="1" applyAlignment="1">
      <alignment horizontal="centerContinuous" vertical="center"/>
    </xf>
    <xf numFmtId="0" fontId="70" fillId="0" borderId="24" xfId="0" applyFont="1" applyFill="1" applyBorder="1" applyAlignment="1">
      <alignment horizontal="centerContinuous" vertical="center"/>
    </xf>
    <xf numFmtId="0" fontId="14" fillId="0" borderId="0" xfId="0" applyFont="1" applyAlignment="1">
      <alignment horizontal="right" vertical="center"/>
    </xf>
    <xf numFmtId="0" fontId="0" fillId="0" borderId="0" xfId="0" applyAlignment="1"/>
    <xf numFmtId="166" fontId="19" fillId="16" borderId="0" xfId="4" applyNumberFormat="1" applyFont="1" applyFill="1" applyAlignment="1">
      <alignment vertical="center"/>
    </xf>
    <xf numFmtId="164" fontId="19" fillId="16" borderId="0" xfId="12" applyNumberFormat="1" applyFont="1" applyFill="1" applyAlignment="1">
      <alignment vertical="center"/>
    </xf>
    <xf numFmtId="166" fontId="19" fillId="0" borderId="0" xfId="4" applyNumberFormat="1" applyFont="1" applyFill="1" applyAlignment="1">
      <alignment vertical="center"/>
    </xf>
    <xf numFmtId="10" fontId="19" fillId="0" borderId="0" xfId="0" applyNumberFormat="1" applyFont="1" applyAlignment="1"/>
    <xf numFmtId="10" fontId="19" fillId="0" borderId="0" xfId="13" applyNumberFormat="1" applyFont="1" applyFill="1" applyAlignment="1">
      <alignment vertical="center"/>
    </xf>
    <xf numFmtId="0" fontId="19" fillId="0" borderId="0" xfId="0" applyFont="1" applyAlignment="1"/>
    <xf numFmtId="42" fontId="4" fillId="4" borderId="0" xfId="0" applyNumberFormat="1" applyFont="1" applyFill="1" applyAlignment="1">
      <alignment vertical="center"/>
    </xf>
    <xf numFmtId="0" fontId="0" fillId="15" borderId="64" xfId="0" applyFill="1" applyBorder="1" applyAlignment="1"/>
    <xf numFmtId="0" fontId="4" fillId="0" borderId="0" xfId="0" applyFont="1" applyAlignment="1"/>
    <xf numFmtId="168" fontId="4" fillId="3" borderId="64" xfId="0" applyNumberFormat="1" applyFont="1" applyFill="1" applyBorder="1" applyAlignment="1"/>
    <xf numFmtId="0" fontId="0" fillId="3" borderId="64" xfId="0" applyFill="1" applyBorder="1" applyAlignment="1"/>
    <xf numFmtId="42" fontId="4" fillId="0" borderId="0" xfId="0" applyNumberFormat="1" applyFont="1" applyAlignment="1"/>
    <xf numFmtId="41" fontId="4" fillId="3" borderId="63" xfId="0" applyNumberFormat="1" applyFont="1" applyFill="1" applyBorder="1" applyAlignment="1"/>
    <xf numFmtId="41" fontId="4" fillId="3" borderId="62" xfId="0" applyNumberFormat="1" applyFont="1" applyFill="1" applyBorder="1" applyAlignment="1"/>
    <xf numFmtId="0" fontId="0" fillId="3" borderId="29" xfId="0" applyFill="1" applyBorder="1" applyAlignment="1"/>
    <xf numFmtId="0" fontId="4" fillId="3" borderId="61" xfId="0" applyFont="1" applyFill="1" applyBorder="1" applyAlignment="1">
      <alignment horizontal="center" vertical="center"/>
    </xf>
    <xf numFmtId="0" fontId="14" fillId="0" borderId="0" xfId="0" applyFont="1" applyAlignment="1">
      <alignment vertical="top"/>
    </xf>
    <xf numFmtId="0" fontId="5" fillId="0" borderId="12" xfId="0" applyFont="1" applyBorder="1" applyAlignment="1"/>
    <xf numFmtId="0" fontId="72" fillId="0" borderId="0" xfId="0" applyFont="1" applyFill="1" applyBorder="1" applyAlignment="1"/>
    <xf numFmtId="0" fontId="49" fillId="17" borderId="0" xfId="0" applyNumberFormat="1" applyFont="1" applyFill="1" applyAlignment="1">
      <alignment vertical="top"/>
    </xf>
    <xf numFmtId="42" fontId="49" fillId="17" borderId="0" xfId="0" applyNumberFormat="1" applyFont="1" applyFill="1" applyAlignment="1">
      <alignment vertical="center"/>
    </xf>
    <xf numFmtId="10" fontId="49" fillId="17" borderId="0" xfId="0" applyNumberFormat="1" applyFont="1" applyFill="1" applyAlignment="1">
      <alignment vertical="center"/>
    </xf>
    <xf numFmtId="41" fontId="49" fillId="17" borderId="0" xfId="0" applyNumberFormat="1" applyFont="1" applyFill="1" applyAlignment="1">
      <alignment vertical="center"/>
    </xf>
    <xf numFmtId="166" fontId="12" fillId="18" borderId="0" xfId="0" applyNumberFormat="1" applyFont="1" applyFill="1"/>
    <xf numFmtId="0" fontId="12" fillId="18" borderId="0" xfId="0" applyFont="1" applyFill="1"/>
    <xf numFmtId="0" fontId="26" fillId="18" borderId="0" xfId="0" applyFont="1" applyFill="1"/>
    <xf numFmtId="41" fontId="12" fillId="18" borderId="0" xfId="0" applyNumberFormat="1" applyFont="1" applyFill="1"/>
    <xf numFmtId="166" fontId="12" fillId="18" borderId="33" xfId="0" applyNumberFormat="1" applyFont="1" applyFill="1" applyBorder="1"/>
    <xf numFmtId="10" fontId="12" fillId="18" borderId="0" xfId="0" applyNumberFormat="1" applyFont="1" applyFill="1" applyBorder="1" applyAlignment="1"/>
    <xf numFmtId="43" fontId="12" fillId="18" borderId="0" xfId="0" applyNumberFormat="1" applyFont="1" applyFill="1" applyBorder="1" applyAlignment="1">
      <alignment horizontal="right"/>
    </xf>
    <xf numFmtId="0" fontId="12" fillId="18" borderId="0" xfId="0" applyNumberFormat="1" applyFont="1" applyFill="1" applyBorder="1" applyAlignment="1">
      <alignment horizontal="center"/>
    </xf>
    <xf numFmtId="0" fontId="12" fillId="18" borderId="27" xfId="0" applyNumberFormat="1" applyFont="1" applyFill="1" applyBorder="1" applyAlignment="1">
      <alignment horizontal="center"/>
    </xf>
    <xf numFmtId="164" fontId="12" fillId="18" borderId="27" xfId="0" applyNumberFormat="1" applyFont="1" applyFill="1" applyBorder="1" applyAlignment="1">
      <alignment horizontal="center"/>
    </xf>
    <xf numFmtId="164" fontId="12" fillId="18" borderId="0" xfId="0" applyNumberFormat="1" applyFont="1" applyFill="1" applyBorder="1" applyAlignment="1">
      <alignment horizontal="center"/>
    </xf>
    <xf numFmtId="166" fontId="12" fillId="18" borderId="0" xfId="0" applyNumberFormat="1" applyFont="1" applyFill="1" applyBorder="1" applyAlignment="1"/>
    <xf numFmtId="168" fontId="12" fillId="18" borderId="0" xfId="0" applyNumberFormat="1" applyFont="1" applyFill="1" applyBorder="1" applyAlignment="1"/>
    <xf numFmtId="168" fontId="12" fillId="18" borderId="0" xfId="0" applyNumberFormat="1" applyFont="1" applyFill="1" applyBorder="1" applyAlignment="1">
      <alignment horizontal="center"/>
    </xf>
    <xf numFmtId="164" fontId="12" fillId="18" borderId="0" xfId="0" applyNumberFormat="1" applyFont="1" applyFill="1" applyBorder="1" applyAlignment="1"/>
    <xf numFmtId="166" fontId="12" fillId="18" borderId="31" xfId="0" applyNumberFormat="1" applyFont="1" applyFill="1" applyBorder="1" applyAlignment="1">
      <alignment vertical="center"/>
    </xf>
    <xf numFmtId="168" fontId="12" fillId="18" borderId="26" xfId="0" applyNumberFormat="1" applyFont="1" applyFill="1" applyBorder="1" applyAlignment="1">
      <alignment vertical="center"/>
    </xf>
    <xf numFmtId="168" fontId="12" fillId="18" borderId="33" xfId="0" applyNumberFormat="1" applyFont="1" applyFill="1" applyBorder="1" applyAlignment="1">
      <alignment vertical="center"/>
    </xf>
    <xf numFmtId="166" fontId="12" fillId="18" borderId="33" xfId="0" applyNumberFormat="1" applyFont="1" applyFill="1" applyBorder="1" applyAlignment="1">
      <alignment vertical="center"/>
    </xf>
    <xf numFmtId="166" fontId="20" fillId="18" borderId="0" xfId="0" applyNumberFormat="1" applyFont="1" applyFill="1"/>
    <xf numFmtId="165" fontId="12" fillId="18" borderId="27" xfId="0" applyNumberFormat="1" applyFont="1" applyFill="1" applyBorder="1" applyAlignment="1"/>
    <xf numFmtId="173" fontId="36" fillId="18" borderId="0" xfId="0" applyNumberFormat="1" applyFont="1" applyFill="1"/>
    <xf numFmtId="167" fontId="38" fillId="18" borderId="0" xfId="0" applyNumberFormat="1" applyFont="1" applyFill="1" applyBorder="1" applyAlignment="1"/>
    <xf numFmtId="177" fontId="12" fillId="18" borderId="0" xfId="0" applyNumberFormat="1" applyFont="1" applyFill="1" applyBorder="1" applyAlignment="1"/>
    <xf numFmtId="166" fontId="12" fillId="18" borderId="33" xfId="0" applyNumberFormat="1" applyFont="1" applyFill="1" applyBorder="1" applyAlignment="1"/>
    <xf numFmtId="0" fontId="36" fillId="18" borderId="0" xfId="0" applyFont="1" applyFill="1"/>
    <xf numFmtId="42" fontId="4" fillId="18" borderId="0" xfId="0" applyNumberFormat="1" applyFont="1" applyFill="1" applyBorder="1" applyAlignment="1"/>
    <xf numFmtId="169" fontId="4" fillId="18" borderId="0" xfId="0" applyNumberFormat="1" applyFont="1" applyFill="1" applyBorder="1" applyAlignment="1"/>
    <xf numFmtId="167" fontId="18" fillId="18" borderId="0" xfId="0" applyNumberFormat="1" applyFont="1" applyFill="1" applyBorder="1" applyAlignment="1">
      <alignment horizontal="center"/>
    </xf>
    <xf numFmtId="0" fontId="18" fillId="18" borderId="0" xfId="0" applyNumberFormat="1" applyFont="1" applyFill="1" applyBorder="1" applyAlignment="1">
      <alignment horizontal="center"/>
    </xf>
    <xf numFmtId="167" fontId="18" fillId="18" borderId="0" xfId="0" applyNumberFormat="1" applyFont="1" applyFill="1" applyBorder="1" applyAlignment="1">
      <alignment horizontal="centerContinuous"/>
    </xf>
    <xf numFmtId="0" fontId="4" fillId="18" borderId="0" xfId="0" applyNumberFormat="1" applyFont="1" applyFill="1" applyBorder="1" applyAlignment="1">
      <alignment horizontal="centerContinuous"/>
    </xf>
    <xf numFmtId="168" fontId="4" fillId="18" borderId="0" xfId="0" applyNumberFormat="1" applyFont="1" applyFill="1" applyBorder="1" applyAlignment="1"/>
    <xf numFmtId="168" fontId="12" fillId="18" borderId="33" xfId="0" applyNumberFormat="1" applyFont="1" applyFill="1" applyBorder="1" applyAlignment="1"/>
    <xf numFmtId="168" fontId="12" fillId="18" borderId="27" xfId="0" applyNumberFormat="1" applyFont="1" applyFill="1" applyBorder="1" applyAlignment="1"/>
    <xf numFmtId="173" fontId="12" fillId="18" borderId="0" xfId="0" applyNumberFormat="1" applyFont="1" applyFill="1"/>
    <xf numFmtId="0" fontId="15" fillId="18" borderId="0" xfId="0" applyNumberFormat="1" applyFont="1" applyFill="1" applyAlignment="1">
      <alignment vertical="top"/>
    </xf>
    <xf numFmtId="41" fontId="19" fillId="18" borderId="0" xfId="0" applyNumberFormat="1" applyFont="1" applyFill="1" applyAlignment="1"/>
    <xf numFmtId="0" fontId="15" fillId="0" borderId="0" xfId="0" applyNumberFormat="1" applyFont="1" applyFill="1" applyAlignment="1">
      <alignment vertical="top"/>
    </xf>
    <xf numFmtId="41" fontId="19" fillId="0" borderId="0" xfId="0" applyNumberFormat="1" applyFont="1" applyFill="1" applyAlignment="1"/>
    <xf numFmtId="2" fontId="21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left"/>
    </xf>
    <xf numFmtId="0" fontId="73" fillId="0" borderId="0" xfId="0" applyFont="1" applyAlignment="1"/>
    <xf numFmtId="0" fontId="40" fillId="0" borderId="0" xfId="0" applyFont="1" applyAlignment="1"/>
    <xf numFmtId="166" fontId="12" fillId="0" borderId="0" xfId="1" applyNumberFormat="1" applyFont="1" applyFill="1" applyBorder="1" applyAlignment="1"/>
    <xf numFmtId="168" fontId="12" fillId="0" borderId="33" xfId="0" applyNumberFormat="1" applyFont="1" applyFill="1" applyBorder="1" applyAlignment="1"/>
    <xf numFmtId="175" fontId="4" fillId="0" borderId="0" xfId="0" applyNumberFormat="1" applyFont="1" applyFill="1"/>
    <xf numFmtId="167" fontId="7" fillId="0" borderId="0" xfId="0" applyNumberFormat="1" applyFont="1" applyFill="1" applyBorder="1" applyAlignment="1"/>
    <xf numFmtId="166" fontId="12" fillId="0" borderId="0" xfId="0" applyNumberFormat="1" applyFont="1" applyFill="1"/>
    <xf numFmtId="179" fontId="4" fillId="0" borderId="0" xfId="0" applyNumberFormat="1" applyFont="1" applyFill="1" applyAlignment="1">
      <alignment horizontal="center"/>
    </xf>
    <xf numFmtId="42" fontId="72" fillId="0" borderId="0" xfId="0" applyNumberFormat="1" applyFont="1" applyFill="1"/>
    <xf numFmtId="41" fontId="72" fillId="0" borderId="0" xfId="0" applyNumberFormat="1" applyFont="1" applyFill="1"/>
    <xf numFmtId="41" fontId="72" fillId="0" borderId="27" xfId="0" applyNumberFormat="1" applyFont="1" applyFill="1" applyBorder="1"/>
    <xf numFmtId="42" fontId="72" fillId="0" borderId="23" xfId="0" applyNumberFormat="1" applyFont="1" applyFill="1" applyBorder="1"/>
    <xf numFmtId="0" fontId="44" fillId="0" borderId="0" xfId="0" applyFont="1" applyFill="1" applyAlignment="1" applyProtection="1">
      <alignment horizontal="center"/>
      <protection locked="0"/>
    </xf>
    <xf numFmtId="42" fontId="0" fillId="0" borderId="16" xfId="0" applyNumberFormat="1" applyBorder="1"/>
    <xf numFmtId="0" fontId="74" fillId="0" borderId="0" xfId="0" applyFont="1" applyFill="1"/>
    <xf numFmtId="176" fontId="74" fillId="0" borderId="0" xfId="0" applyNumberFormat="1" applyFont="1" applyFill="1" applyBorder="1" applyAlignment="1" applyProtection="1">
      <alignment horizontal="left"/>
      <protection locked="0"/>
    </xf>
    <xf numFmtId="0" fontId="74" fillId="0" borderId="0" xfId="0" applyNumberFormat="1" applyFont="1" applyFill="1" applyAlignment="1">
      <alignment horizontal="left"/>
    </xf>
    <xf numFmtId="188" fontId="0" fillId="0" borderId="0" xfId="0" applyNumberFormat="1"/>
    <xf numFmtId="41" fontId="12" fillId="6" borderId="0" xfId="0" applyNumberFormat="1" applyFont="1" applyFill="1" applyBorder="1" applyAlignment="1"/>
    <xf numFmtId="167" fontId="18" fillId="6" borderId="0" xfId="0" applyNumberFormat="1" applyFont="1" applyFill="1" applyBorder="1" applyAlignment="1">
      <alignment horizontal="center"/>
    </xf>
    <xf numFmtId="0" fontId="18" fillId="6" borderId="0" xfId="0" applyNumberFormat="1" applyFont="1" applyFill="1" applyBorder="1" applyAlignment="1">
      <alignment horizontal="center"/>
    </xf>
    <xf numFmtId="167" fontId="18" fillId="6" borderId="0" xfId="0" applyNumberFormat="1" applyFont="1" applyFill="1" applyBorder="1" applyAlignment="1">
      <alignment horizontal="centerContinuous"/>
    </xf>
    <xf numFmtId="0" fontId="4" fillId="6" borderId="0" xfId="0" applyNumberFormat="1" applyFont="1" applyFill="1" applyBorder="1" applyAlignment="1">
      <alignment horizontal="centerContinuous"/>
    </xf>
    <xf numFmtId="168" fontId="12" fillId="6" borderId="0" xfId="0" applyNumberFormat="1" applyFont="1" applyFill="1" applyBorder="1" applyAlignment="1"/>
    <xf numFmtId="168" fontId="12" fillId="6" borderId="33" xfId="0" applyNumberFormat="1" applyFont="1" applyFill="1" applyBorder="1" applyAlignment="1"/>
    <xf numFmtId="43" fontId="3" fillId="0" borderId="0" xfId="0" applyNumberFormat="1" applyFont="1"/>
    <xf numFmtId="41" fontId="13" fillId="6" borderId="0" xfId="0" applyNumberFormat="1" applyFont="1" applyFill="1" applyBorder="1" applyAlignment="1"/>
    <xf numFmtId="0" fontId="0" fillId="0" borderId="29" xfId="0" applyBorder="1"/>
    <xf numFmtId="164" fontId="0" fillId="0" borderId="65" xfId="12" applyNumberFormat="1" applyFont="1" applyBorder="1"/>
    <xf numFmtId="168" fontId="12" fillId="16" borderId="3" xfId="0" applyNumberFormat="1" applyFont="1" applyFill="1" applyBorder="1" applyAlignment="1"/>
    <xf numFmtId="44" fontId="3" fillId="0" borderId="0" xfId="0" applyNumberFormat="1" applyFont="1"/>
    <xf numFmtId="41" fontId="3" fillId="0" borderId="0" xfId="0" applyNumberFormat="1" applyFont="1"/>
    <xf numFmtId="166" fontId="4" fillId="6" borderId="6" xfId="0" applyNumberFormat="1" applyFont="1" applyFill="1" applyBorder="1"/>
    <xf numFmtId="166" fontId="4" fillId="19" borderId="3" xfId="0" applyNumberFormat="1" applyFont="1" applyFill="1" applyBorder="1"/>
    <xf numFmtId="0" fontId="0" fillId="0" borderId="0" xfId="0" applyFill="1" applyAlignment="1"/>
    <xf numFmtId="166" fontId="4" fillId="20" borderId="3" xfId="0" applyNumberFormat="1" applyFont="1" applyFill="1" applyBorder="1"/>
    <xf numFmtId="175" fontId="4" fillId="7" borderId="0" xfId="0" applyNumberFormat="1" applyFont="1" applyFill="1"/>
    <xf numFmtId="0" fontId="4" fillId="7" borderId="52" xfId="0" applyFont="1" applyFill="1" applyBorder="1"/>
    <xf numFmtId="166" fontId="4" fillId="7" borderId="66" xfId="0" applyNumberFormat="1" applyFont="1" applyFill="1" applyBorder="1"/>
    <xf numFmtId="175" fontId="4" fillId="2" borderId="0" xfId="13" applyNumberFormat="1" applyFont="1" applyFill="1" applyBorder="1"/>
    <xf numFmtId="9" fontId="0" fillId="0" borderId="0" xfId="13" applyNumberFormat="1" applyFont="1" applyAlignment="1"/>
    <xf numFmtId="0" fontId="75" fillId="0" borderId="0" xfId="0" applyFont="1" applyAlignment="1">
      <alignment horizontal="center"/>
    </xf>
    <xf numFmtId="166" fontId="75" fillId="0" borderId="0" xfId="1" applyNumberFormat="1" applyFont="1"/>
    <xf numFmtId="44" fontId="75" fillId="0" borderId="0" xfId="1" applyNumberFormat="1" applyFont="1"/>
    <xf numFmtId="0" fontId="21" fillId="2" borderId="40" xfId="0" applyFont="1" applyFill="1" applyBorder="1" applyAlignment="1">
      <alignment horizontal="left"/>
    </xf>
    <xf numFmtId="0" fontId="0" fillId="0" borderId="28" xfId="0" applyBorder="1" applyAlignment="1"/>
    <xf numFmtId="164" fontId="0" fillId="0" borderId="29" xfId="11" applyNumberFormat="1" applyFont="1" applyBorder="1"/>
    <xf numFmtId="0" fontId="0" fillId="0" borderId="0" xfId="0" applyBorder="1" applyAlignment="1"/>
    <xf numFmtId="164" fontId="0" fillId="0" borderId="16" xfId="11" applyNumberFormat="1" applyFont="1" applyBorder="1"/>
    <xf numFmtId="0" fontId="0" fillId="0" borderId="1" xfId="0" applyBorder="1" applyAlignment="1"/>
    <xf numFmtId="187" fontId="0" fillId="0" borderId="16" xfId="4" applyNumberFormat="1" applyFont="1" applyBorder="1"/>
    <xf numFmtId="166" fontId="0" fillId="0" borderId="65" xfId="4" applyNumberFormat="1" applyFont="1" applyBorder="1"/>
    <xf numFmtId="2" fontId="76" fillId="0" borderId="0" xfId="0" applyNumberFormat="1" applyFont="1" applyFill="1" applyBorder="1" applyAlignment="1">
      <alignment horizontal="center"/>
    </xf>
    <xf numFmtId="2" fontId="76" fillId="0" borderId="0" xfId="0" applyNumberFormat="1" applyFont="1" applyFill="1" applyBorder="1" applyAlignment="1">
      <alignment horizontal="left"/>
    </xf>
    <xf numFmtId="44" fontId="4" fillId="6" borderId="0" xfId="0" applyNumberFormat="1" applyFont="1" applyFill="1" applyBorder="1" applyAlignment="1">
      <alignment horizontal="centerContinuous"/>
    </xf>
    <xf numFmtId="166" fontId="12" fillId="18" borderId="0" xfId="1" applyNumberFormat="1" applyFont="1" applyFill="1" applyBorder="1" applyAlignment="1"/>
    <xf numFmtId="167" fontId="7" fillId="18" borderId="0" xfId="0" applyNumberFormat="1" applyFont="1" applyFill="1" applyBorder="1" applyAlignment="1"/>
    <xf numFmtId="41" fontId="12" fillId="18" borderId="0" xfId="0" applyNumberFormat="1" applyFont="1" applyFill="1" applyBorder="1" applyAlignment="1"/>
    <xf numFmtId="41" fontId="13" fillId="18" borderId="0" xfId="0" applyNumberFormat="1" applyFont="1" applyFill="1" applyBorder="1" applyAlignment="1"/>
    <xf numFmtId="44" fontId="4" fillId="18" borderId="0" xfId="0" applyNumberFormat="1" applyFont="1" applyFill="1" applyBorder="1" applyAlignment="1">
      <alignment horizontal="centerContinuous"/>
    </xf>
    <xf numFmtId="168" fontId="12" fillId="18" borderId="3" xfId="0" applyNumberFormat="1" applyFont="1" applyFill="1" applyBorder="1" applyAlignment="1"/>
    <xf numFmtId="0" fontId="15" fillId="2" borderId="0" xfId="0" applyFont="1" applyFill="1" applyBorder="1" applyAlignment="1">
      <alignment horizontal="left"/>
    </xf>
    <xf numFmtId="0" fontId="43" fillId="18" borderId="0" xfId="0" applyFont="1" applyFill="1" applyAlignment="1">
      <alignment horizontal="center"/>
    </xf>
    <xf numFmtId="0" fontId="43" fillId="18" borderId="0" xfId="0" applyFont="1" applyFill="1" applyAlignment="1">
      <alignment horizontal="left"/>
    </xf>
    <xf numFmtId="164" fontId="43" fillId="18" borderId="0" xfId="0" applyNumberFormat="1" applyFont="1" applyFill="1"/>
    <xf numFmtId="166" fontId="43" fillId="18" borderId="0" xfId="0" applyNumberFormat="1" applyFont="1" applyFill="1"/>
    <xf numFmtId="176" fontId="43" fillId="18" borderId="0" xfId="0" applyNumberFormat="1" applyFont="1" applyFill="1"/>
    <xf numFmtId="166" fontId="43" fillId="18" borderId="0" xfId="0" applyNumberFormat="1" applyFont="1" applyFill="1" applyBorder="1"/>
    <xf numFmtId="176" fontId="43" fillId="18" borderId="0" xfId="0" applyNumberFormat="1" applyFont="1" applyFill="1" applyBorder="1"/>
    <xf numFmtId="164" fontId="43" fillId="18" borderId="0" xfId="0" applyNumberFormat="1" applyFont="1" applyFill="1" applyBorder="1"/>
    <xf numFmtId="0" fontId="43" fillId="18" borderId="0" xfId="0" applyFont="1" applyFill="1"/>
    <xf numFmtId="42" fontId="43" fillId="18" borderId="33" xfId="0" applyNumberFormat="1" applyFont="1" applyFill="1" applyBorder="1"/>
    <xf numFmtId="0" fontId="43" fillId="18" borderId="33" xfId="0" applyFont="1" applyFill="1" applyBorder="1"/>
    <xf numFmtId="0" fontId="43" fillId="18" borderId="0" xfId="0" applyFont="1" applyFill="1" applyBorder="1" applyAlignment="1">
      <alignment horizontal="left"/>
    </xf>
    <xf numFmtId="42" fontId="43" fillId="18" borderId="23" xfId="0" applyNumberFormat="1" applyFont="1" applyFill="1" applyBorder="1"/>
    <xf numFmtId="0" fontId="59" fillId="18" borderId="0" xfId="0" applyFont="1" applyFill="1" applyBorder="1" applyAlignment="1">
      <alignment horizontal="right"/>
    </xf>
    <xf numFmtId="164" fontId="59" fillId="18" borderId="0" xfId="0" applyNumberFormat="1" applyFont="1" applyFill="1"/>
    <xf numFmtId="0" fontId="16" fillId="0" borderId="0" xfId="0" applyFont="1" applyAlignment="1">
      <alignment horizontal="left"/>
    </xf>
    <xf numFmtId="42" fontId="16" fillId="0" borderId="0" xfId="0" applyNumberFormat="1" applyFont="1" applyAlignment="1"/>
    <xf numFmtId="166" fontId="4" fillId="0" borderId="0" xfId="0" applyNumberFormat="1" applyFont="1" applyFill="1" applyAlignment="1">
      <alignment vertical="center"/>
    </xf>
    <xf numFmtId="42" fontId="0" fillId="0" borderId="29" xfId="0" applyNumberFormat="1" applyBorder="1"/>
    <xf numFmtId="42" fontId="0" fillId="0" borderId="31" xfId="0" applyNumberFormat="1" applyBorder="1"/>
    <xf numFmtId="164" fontId="0" fillId="0" borderId="0" xfId="12" applyNumberFormat="1" applyFont="1" applyAlignment="1"/>
    <xf numFmtId="0" fontId="0" fillId="0" borderId="12" xfId="0" applyFill="1" applyBorder="1" applyAlignment="1"/>
    <xf numFmtId="164" fontId="0" fillId="0" borderId="29" xfId="12" applyNumberFormat="1" applyFont="1" applyBorder="1" applyAlignment="1"/>
    <xf numFmtId="0" fontId="0" fillId="0" borderId="15" xfId="0" applyFill="1" applyBorder="1" applyAlignment="1"/>
    <xf numFmtId="164" fontId="0" fillId="0" borderId="16" xfId="12" applyNumberFormat="1" applyFont="1" applyBorder="1" applyAlignment="1"/>
    <xf numFmtId="0" fontId="78" fillId="0" borderId="2" xfId="0" applyFont="1" applyFill="1" applyBorder="1"/>
    <xf numFmtId="0" fontId="44" fillId="18" borderId="0" xfId="0" applyNumberFormat="1" applyFont="1" applyFill="1" applyAlignment="1">
      <alignment horizontal="left"/>
    </xf>
    <xf numFmtId="181" fontId="43" fillId="18" borderId="0" xfId="0" quotePrefix="1" applyNumberFormat="1" applyFont="1" applyFill="1" applyBorder="1" applyAlignment="1">
      <alignment horizontal="left"/>
    </xf>
    <xf numFmtId="42" fontId="43" fillId="18" borderId="0" xfId="0" applyNumberFormat="1" applyFont="1" applyFill="1" applyBorder="1"/>
    <xf numFmtId="0" fontId="43" fillId="18" borderId="0" xfId="0" applyNumberFormat="1" applyFont="1" applyFill="1" applyAlignment="1">
      <alignment horizontal="left"/>
    </xf>
    <xf numFmtId="0" fontId="42" fillId="18" borderId="0" xfId="0" applyNumberFormat="1" applyFont="1" applyFill="1" applyAlignment="1">
      <alignment horizontal="left"/>
    </xf>
    <xf numFmtId="164" fontId="43" fillId="18" borderId="33" xfId="0" applyNumberFormat="1" applyFont="1" applyFill="1" applyBorder="1"/>
    <xf numFmtId="182" fontId="43" fillId="18" borderId="0" xfId="0" applyNumberFormat="1" applyFont="1" applyFill="1" applyAlignment="1">
      <alignment horizontal="left"/>
    </xf>
    <xf numFmtId="164" fontId="43" fillId="18" borderId="0" xfId="0" applyNumberFormat="1" applyFont="1" applyFill="1" applyBorder="1" applyAlignment="1">
      <alignment horizontal="center"/>
    </xf>
    <xf numFmtId="0" fontId="43" fillId="18" borderId="0" xfId="0" applyNumberFormat="1" applyFont="1" applyFill="1"/>
    <xf numFmtId="0" fontId="80" fillId="0" borderId="0" xfId="0" applyFont="1"/>
    <xf numFmtId="0" fontId="77" fillId="0" borderId="0" xfId="0" applyFont="1" applyAlignment="1"/>
    <xf numFmtId="0" fontId="19" fillId="0" borderId="0" xfId="0" applyFont="1"/>
    <xf numFmtId="42" fontId="0" fillId="0" borderId="0" xfId="0" applyNumberFormat="1" applyAlignment="1"/>
    <xf numFmtId="44" fontId="0" fillId="0" borderId="0" xfId="0" applyNumberFormat="1" applyAlignment="1"/>
    <xf numFmtId="42" fontId="4" fillId="0" borderId="33" xfId="0" applyNumberFormat="1" applyFont="1" applyFill="1" applyBorder="1" applyAlignment="1">
      <alignment vertical="center"/>
    </xf>
    <xf numFmtId="43" fontId="14" fillId="0" borderId="0" xfId="0" applyNumberFormat="1" applyFont="1" applyAlignment="1">
      <alignment horizontal="left"/>
    </xf>
    <xf numFmtId="43" fontId="0" fillId="0" borderId="0" xfId="0" applyNumberFormat="1" applyAlignment="1"/>
    <xf numFmtId="0" fontId="17" fillId="0" borderId="0" xfId="0" applyFont="1" applyFill="1" applyBorder="1" applyAlignment="1">
      <alignment horizontal="centerContinuous" vertical="center"/>
    </xf>
    <xf numFmtId="41" fontId="4" fillId="0" borderId="0" xfId="0" applyNumberFormat="1" applyFont="1" applyFill="1" applyBorder="1" applyAlignment="1">
      <alignment horizontal="center" wrapText="1"/>
    </xf>
    <xf numFmtId="42" fontId="4" fillId="0" borderId="0" xfId="0" applyNumberFormat="1" applyFont="1" applyFill="1" applyBorder="1" applyAlignment="1">
      <alignment vertical="center"/>
    </xf>
    <xf numFmtId="3" fontId="14" fillId="0" borderId="0" xfId="0" applyNumberFormat="1" applyFont="1" applyAlignment="1">
      <alignment horizontal="left"/>
    </xf>
    <xf numFmtId="3" fontId="81" fillId="0" borderId="0" xfId="0" applyNumberFormat="1" applyFont="1" applyAlignment="1">
      <alignment horizontal="left"/>
    </xf>
    <xf numFmtId="0" fontId="47" fillId="0" borderId="27" xfId="0" applyFont="1" applyFill="1" applyBorder="1" applyAlignment="1">
      <alignment horizontal="center" wrapText="1"/>
    </xf>
    <xf numFmtId="0" fontId="47" fillId="0" borderId="27" xfId="0" quotePrefix="1" applyFont="1" applyFill="1" applyBorder="1" applyAlignment="1">
      <alignment horizontal="center" wrapText="1"/>
    </xf>
    <xf numFmtId="166" fontId="7" fillId="0" borderId="30" xfId="0" applyNumberFormat="1" applyFont="1" applyFill="1" applyBorder="1"/>
    <xf numFmtId="0" fontId="73" fillId="0" borderId="29" xfId="0" applyFont="1" applyBorder="1" applyAlignment="1"/>
    <xf numFmtId="0" fontId="47" fillId="0" borderId="18" xfId="0" quotePrefix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166" fontId="7" fillId="0" borderId="0" xfId="0" applyNumberFormat="1" applyFont="1" applyFill="1" applyBorder="1"/>
    <xf numFmtId="166" fontId="7" fillId="0" borderId="16" xfId="0" applyNumberFormat="1" applyFont="1" applyFill="1" applyBorder="1"/>
    <xf numFmtId="0" fontId="7" fillId="0" borderId="0" xfId="0" applyFont="1" applyFill="1" applyBorder="1"/>
    <xf numFmtId="166" fontId="7" fillId="0" borderId="67" xfId="0" applyNumberFormat="1" applyFont="1" applyFill="1" applyBorder="1"/>
    <xf numFmtId="0" fontId="7" fillId="0" borderId="0" xfId="0" quotePrefix="1" applyFont="1" applyFill="1" applyBorder="1" applyAlignment="1">
      <alignment horizontal="left"/>
    </xf>
    <xf numFmtId="0" fontId="7" fillId="0" borderId="15" xfId="0" applyFont="1" applyFill="1" applyBorder="1"/>
    <xf numFmtId="166" fontId="7" fillId="0" borderId="68" xfId="4" applyNumberFormat="1" applyFont="1" applyFill="1" applyBorder="1"/>
    <xf numFmtId="166" fontId="7" fillId="0" borderId="65" xfId="4" applyNumberFormat="1" applyFont="1" applyFill="1" applyBorder="1"/>
    <xf numFmtId="0" fontId="73" fillId="0" borderId="28" xfId="0" applyFont="1" applyBorder="1" applyAlignment="1"/>
    <xf numFmtId="0" fontId="47" fillId="0" borderId="17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0" fontId="7" fillId="0" borderId="15" xfId="0" quotePrefix="1" applyFont="1" applyFill="1" applyBorder="1" applyAlignment="1">
      <alignment horizontal="center"/>
    </xf>
    <xf numFmtId="0" fontId="0" fillId="0" borderId="15" xfId="0" applyBorder="1" applyAlignment="1"/>
    <xf numFmtId="0" fontId="7" fillId="0" borderId="19" xfId="0" quotePrefix="1" applyFont="1" applyFill="1" applyBorder="1" applyAlignment="1">
      <alignment horizontal="left"/>
    </xf>
    <xf numFmtId="43" fontId="26" fillId="0" borderId="0" xfId="0" applyNumberFormat="1" applyFont="1" applyFill="1"/>
    <xf numFmtId="189" fontId="0" fillId="0" borderId="0" xfId="0" applyNumberFormat="1" applyAlignment="1"/>
    <xf numFmtId="190" fontId="0" fillId="0" borderId="0" xfId="0" applyNumberFormat="1" applyAlignment="1"/>
    <xf numFmtId="0" fontId="2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27" xfId="0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center"/>
    </xf>
    <xf numFmtId="0" fontId="44" fillId="0" borderId="0" xfId="0" applyFont="1" applyFill="1" applyAlignment="1" applyProtection="1">
      <alignment horizontal="center"/>
      <protection locked="0"/>
    </xf>
    <xf numFmtId="0" fontId="59" fillId="0" borderId="0" xfId="0" applyFont="1" applyFill="1" applyAlignment="1" applyProtection="1">
      <alignment horizontal="center"/>
      <protection locked="0"/>
    </xf>
  </cellXfs>
  <cellStyles count="14">
    <cellStyle name="Comma" xfId="12" builtinId="3"/>
    <cellStyle name="Comma 10 2 2 2" xfId="11"/>
    <cellStyle name="Comma 2" xfId="9"/>
    <cellStyle name="Comma 36" xfId="10"/>
    <cellStyle name="Comma 39" xfId="3"/>
    <cellStyle name="Currency" xfId="1" builtinId="4"/>
    <cellStyle name="Currency 2" xfId="6"/>
    <cellStyle name="Currency 23" xfId="4"/>
    <cellStyle name="Normal" xfId="0" builtinId="0"/>
    <cellStyle name="Normal 121" xfId="5"/>
    <cellStyle name="Normal 123" xfId="2"/>
    <cellStyle name="Normal 4 2" xfId="8"/>
    <cellStyle name="Percent" xfId="13" builtinId="5"/>
    <cellStyle name="Percent 92" xfId="7"/>
  </cellStyles>
  <dxfs count="80">
    <dxf>
      <font>
        <b/>
        <i val="0"/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CCFF33"/>
      <color rgb="FFFF6699"/>
      <color rgb="FFCCCCFF"/>
      <color rgb="FFFF0066"/>
      <color rgb="FFFF5050"/>
      <color rgb="FF00FFFF"/>
      <color rgb="FF99CCFF"/>
      <color rgb="FF0EF234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customXml" Target="../customXml/item3.xml"/><Relationship Id="rId21" Type="http://schemas.openxmlformats.org/officeDocument/2006/relationships/externalLink" Target="externalLinks/externalLink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190499</xdr:colOff>
      <xdr:row>2</xdr:row>
      <xdr:rowOff>169668</xdr:rowOff>
    </xdr:from>
    <xdr:to>
      <xdr:col>17</xdr:col>
      <xdr:colOff>209551</xdr:colOff>
      <xdr:row>27</xdr:row>
      <xdr:rowOff>128332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799" y="579243"/>
          <a:ext cx="6191252" cy="4530664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638175</xdr:colOff>
      <xdr:row>0</xdr:row>
      <xdr:rowOff>207646</xdr:rowOff>
    </xdr:from>
    <xdr:to>
      <xdr:col>15</xdr:col>
      <xdr:colOff>314890</xdr:colOff>
      <xdr:row>9</xdr:row>
      <xdr:rowOff>113794</xdr:rowOff>
    </xdr:to>
    <xdr:cxnSp macro="">
      <xdr:nvCxnSpPr>
        <xdr:cNvPr id="3" name="Straight Arrow Connector 2"/>
        <xdr:cNvCxnSpPr>
          <a:stCxn id="4" idx="1"/>
        </xdr:cNvCxnSpPr>
      </xdr:nvCxnSpPr>
      <xdr:spPr>
        <a:xfrm flipH="1" flipV="1">
          <a:off x="6162675" y="207646"/>
          <a:ext cx="3372415" cy="1649223"/>
        </a:xfrm>
        <a:prstGeom prst="straightConnector1">
          <a:avLst/>
        </a:prstGeom>
        <a:ln w="31750">
          <a:solidFill>
            <a:schemeClr val="accent1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590550</xdr:colOff>
      <xdr:row>8</xdr:row>
      <xdr:rowOff>102870</xdr:rowOff>
    </xdr:from>
    <xdr:to>
      <xdr:col>18</xdr:col>
      <xdr:colOff>432434</xdr:colOff>
      <xdr:row>15</xdr:row>
      <xdr:rowOff>144780</xdr:rowOff>
    </xdr:to>
    <xdr:sp macro="" textlink="">
      <xdr:nvSpPr>
        <xdr:cNvPr id="4" name="Oval 3"/>
        <xdr:cNvSpPr/>
      </xdr:nvSpPr>
      <xdr:spPr>
        <a:xfrm>
          <a:off x="9201150" y="1655445"/>
          <a:ext cx="2280284" cy="137541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5.01-PowerCosts-SUPP-20PCORC-2-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5.13-Remove%20Smartburn%20Deprec-20PCORC-3-202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5.12-SPI-BIOMASS-PPA-SUPP-20PCORC-2-2021(C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8-RegAssetLiabitlities-20PCORC-12-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0-ConversionFactor-20PCORC-12-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9-Colstrip-1-2-RegAsset-20PCORC-12-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4-DeprecAMAtoEOP-20PCORC-12-20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0-Colstrip-3-4-DeprecStudy-20PCORC-12-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8-ProdFctrOvrvw-12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5.02-MontanaTax-SUPP-20PCORC-2-2021(C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-5.00-SCH139-20PCORC-12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-4.00-PROD-ADJ-20PCORC-12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-8.00-RATE-IMPACTS-20PCORC-12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0-TransmissonRB-20PCORC-12-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0-ProdRateBase-20PCORC-12-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0-TYPwrCosts-20PCORC-12-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7-PropertyInsurance-20PCORC-1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Cost Lead"/>
      <sheetName val="PKW"/>
      <sheetName val="Production O&amp;M Summary RJR"/>
      <sheetName val="OATT Trans Rev"/>
      <sheetName val="Pwrex"/>
      <sheetName val="Centralia Equity Kicker"/>
      <sheetName val="ProdFctr"/>
    </sheetNames>
    <sheetDataSet>
      <sheetData sheetId="0">
        <row r="13">
          <cell r="K13">
            <v>1.01684</v>
          </cell>
        </row>
        <row r="19">
          <cell r="E19">
            <v>81044146.280000001</v>
          </cell>
          <cell r="H19">
            <v>41753818.174172081</v>
          </cell>
          <cell r="I19">
            <v>0</v>
          </cell>
        </row>
        <row r="20">
          <cell r="E20">
            <v>183617976.11000001</v>
          </cell>
          <cell r="H20">
            <v>155199110.16607291</v>
          </cell>
        </row>
        <row r="21">
          <cell r="E21">
            <v>535009174.27999997</v>
          </cell>
          <cell r="H21">
            <v>527924986.96588749</v>
          </cell>
          <cell r="I21">
            <v>0</v>
          </cell>
        </row>
        <row r="22">
          <cell r="E22">
            <v>-21224501.000000004</v>
          </cell>
          <cell r="F22">
            <v>-2297906.31</v>
          </cell>
          <cell r="H22">
            <v>14232892.090000004</v>
          </cell>
          <cell r="I22">
            <v>-2297906.31</v>
          </cell>
        </row>
        <row r="23">
          <cell r="E23">
            <v>489609.01</v>
          </cell>
          <cell r="H23">
            <v>489609.01</v>
          </cell>
        </row>
        <row r="24">
          <cell r="E24">
            <v>123883050.72</v>
          </cell>
          <cell r="H24">
            <v>128266358.05674571</v>
          </cell>
          <cell r="I24">
            <v>0</v>
          </cell>
        </row>
        <row r="25">
          <cell r="E25">
            <v>-189780073.88</v>
          </cell>
          <cell r="H25">
            <v>-46206031.410176471</v>
          </cell>
        </row>
        <row r="26">
          <cell r="E26">
            <v>-9520817.3900000006</v>
          </cell>
          <cell r="H26">
            <v>-57639705.130644865</v>
          </cell>
          <cell r="I26">
            <v>0</v>
          </cell>
        </row>
        <row r="30">
          <cell r="E30">
            <v>128319985.64999999</v>
          </cell>
          <cell r="F30">
            <v>-7602656.5</v>
          </cell>
          <cell r="H30">
            <v>112114857.94835338</v>
          </cell>
          <cell r="I30">
            <v>-7602656.5</v>
          </cell>
        </row>
        <row r="31">
          <cell r="E31">
            <v>728609.68</v>
          </cell>
          <cell r="H31">
            <v>728609.68</v>
          </cell>
        </row>
        <row r="32">
          <cell r="E32">
            <v>-6480453.6300000008</v>
          </cell>
          <cell r="H32">
            <v>-6515420.6045234576</v>
          </cell>
          <cell r="I32">
            <v>0</v>
          </cell>
        </row>
        <row r="33">
          <cell r="E33">
            <v>0</v>
          </cell>
          <cell r="H33">
            <v>4094424</v>
          </cell>
        </row>
        <row r="34">
          <cell r="E34">
            <v>826086705.83000004</v>
          </cell>
          <cell r="F34">
            <v>-9900562.8100000005</v>
          </cell>
          <cell r="G34">
            <v>816186143.01999998</v>
          </cell>
          <cell r="H34">
            <v>874443508.94588673</v>
          </cell>
          <cell r="I34">
            <v>-9900562.8100000005</v>
          </cell>
          <cell r="J34">
            <v>864542946.13588655</v>
          </cell>
          <cell r="K34">
            <v>877238328.61185849</v>
          </cell>
        </row>
      </sheetData>
      <sheetData sheetId="1">
        <row r="17">
          <cell r="C17">
            <v>764021.03792205686</v>
          </cell>
          <cell r="D17">
            <v>758856.96288050048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25">
          <cell r="F25">
            <v>19685486546.09016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DR 61 SmartBurn Depr Exp"/>
      <sheetName val="DR 61 SmartBurn JE"/>
    </sheetNames>
    <sheetDataSet>
      <sheetData sheetId="0">
        <row r="15">
          <cell r="D15">
            <v>321546.88008670002</v>
          </cell>
          <cell r="F15">
            <v>-321546.88008670002</v>
          </cell>
        </row>
        <row r="16">
          <cell r="D16">
            <v>0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Lead Sheet"/>
      <sheetName val="SPI Biomass PPA"/>
      <sheetName val="Updated 10.19.2020 (C)"/>
      <sheetName val="40C Energy prices (C)"/>
      <sheetName val="12C Aurora total (C)"/>
      <sheetName val="Contract Detail (C)"/>
    </sheetNames>
    <sheetDataSet>
      <sheetData sheetId="0"/>
      <sheetData sheetId="1">
        <row r="17">
          <cell r="D17">
            <v>0</v>
          </cell>
          <cell r="E17">
            <v>919072.07222625264</v>
          </cell>
        </row>
        <row r="18">
          <cell r="D18"/>
          <cell r="E18">
            <v>-193005.13516751316</v>
          </cell>
        </row>
        <row r="22">
          <cell r="D22"/>
          <cell r="E22">
            <v>612714.71481750195</v>
          </cell>
        </row>
        <row r="23">
          <cell r="C23"/>
          <cell r="E23"/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PPXLSaveData0"/>
      <sheetName val="PPXLOpen"/>
      <sheetName val="Lead E"/>
      <sheetName val="Mint Farm Def"/>
      <sheetName val="BNP"/>
      <sheetName val="TY Reg Assets RB"/>
      <sheetName val="WC &amp; AIC to CRB"/>
      <sheetName val="TY Reg Assets Amort"/>
      <sheetName val="Jun20 BS"/>
      <sheetName val="EDIT"/>
      <sheetName val="EDIT Amort"/>
      <sheetName val="RB-IS by FERC"/>
      <sheetName val="WRPC 2004 GRC"/>
      <sheetName val="LSR Prepaid BPA interest"/>
      <sheetName val="LSR Prepaid Principal"/>
      <sheetName val="LSR Prepaid Bill Credits"/>
      <sheetName val="LSR Prepaid carrying charges "/>
      <sheetName val="Snoq"/>
      <sheetName val="$89M Chelan PUD"/>
      <sheetName val="T-Grant Baker Deferral"/>
      <sheetName val="T-Grant Snoq Deferral"/>
      <sheetName val="Baker"/>
      <sheetName val="Electron Deferral"/>
      <sheetName val="FB Energy"/>
      <sheetName val="Ferndale"/>
      <sheetName val="BPA Statement"/>
      <sheetName val="Colstrip 1&amp;2 Prepaid"/>
      <sheetName val="$18.5M Chelan"/>
    </sheetNames>
    <sheetDataSet>
      <sheetData sheetId="0"/>
      <sheetData sheetId="1"/>
      <sheetData sheetId="2"/>
      <sheetData sheetId="3">
        <row r="13">
          <cell r="D13">
            <v>62500.000000000466</v>
          </cell>
          <cell r="E13">
            <v>0</v>
          </cell>
        </row>
        <row r="14">
          <cell r="D14">
            <v>45753.118444445863</v>
          </cell>
          <cell r="E14">
            <v>-0.20155555414385162</v>
          </cell>
        </row>
        <row r="15">
          <cell r="D15">
            <v>62723.058252429</v>
          </cell>
          <cell r="E15">
            <v>-0.32174757100438001</v>
          </cell>
        </row>
        <row r="16">
          <cell r="D16">
            <v>8929369.2699999958</v>
          </cell>
          <cell r="E16">
            <v>7465974.1908618575</v>
          </cell>
        </row>
        <row r="17">
          <cell r="D17">
            <v>72210989.068333358</v>
          </cell>
          <cell r="E17">
            <v>64796327.29774306</v>
          </cell>
        </row>
        <row r="18">
          <cell r="D18">
            <v>18500000</v>
          </cell>
          <cell r="E18">
            <v>18500000</v>
          </cell>
        </row>
        <row r="19">
          <cell r="D19">
            <v>55678656.244999997</v>
          </cell>
          <cell r="E19">
            <v>47760710.165185846</v>
          </cell>
        </row>
        <row r="20">
          <cell r="D20">
            <v>7603989</v>
          </cell>
          <cell r="E20">
            <v>8434836.8844743464</v>
          </cell>
        </row>
        <row r="21">
          <cell r="D21">
            <v>-78555.810000000012</v>
          </cell>
          <cell r="E21">
            <v>0</v>
          </cell>
        </row>
        <row r="22">
          <cell r="D22">
            <v>-308479.03999999998</v>
          </cell>
          <cell r="E22">
            <v>5.95245425356552E-2</v>
          </cell>
        </row>
        <row r="23">
          <cell r="D23">
            <v>-961846.34124999982</v>
          </cell>
          <cell r="E23">
            <v>0.46279960731044412</v>
          </cell>
        </row>
        <row r="24">
          <cell r="D24">
            <v>56004.06</v>
          </cell>
          <cell r="E24">
            <v>-0.15212960774078965</v>
          </cell>
        </row>
        <row r="25">
          <cell r="D25">
            <v>193459.84</v>
          </cell>
          <cell r="E25">
            <v>0</v>
          </cell>
        </row>
        <row r="26">
          <cell r="D26">
            <v>-530083.09</v>
          </cell>
          <cell r="E26">
            <v>0.16050000127870589</v>
          </cell>
        </row>
        <row r="27">
          <cell r="D27">
            <v>2321315.9145833328</v>
          </cell>
          <cell r="E27">
            <v>3.6183103919029236E-2</v>
          </cell>
        </row>
        <row r="28">
          <cell r="D28">
            <v>0</v>
          </cell>
          <cell r="E28">
            <v>-8650215.1470986065</v>
          </cell>
        </row>
        <row r="37">
          <cell r="D37">
            <v>2885052</v>
          </cell>
          <cell r="E37">
            <v>2885052</v>
          </cell>
        </row>
        <row r="41">
          <cell r="D41">
            <v>687420</v>
          </cell>
          <cell r="E41">
            <v>687420</v>
          </cell>
        </row>
        <row r="42">
          <cell r="D42">
            <v>0</v>
          </cell>
          <cell r="E42">
            <v>0</v>
          </cell>
        </row>
        <row r="43">
          <cell r="D43">
            <v>0</v>
          </cell>
          <cell r="E43">
            <v>0</v>
          </cell>
        </row>
        <row r="44">
          <cell r="D44">
            <v>1506807.5028576592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6553640.5199999996</v>
          </cell>
          <cell r="E47">
            <v>0</v>
          </cell>
        </row>
        <row r="48">
          <cell r="D48">
            <v>0</v>
          </cell>
          <cell r="E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Bad Debts-Elec"/>
      <sheetName val="2020 Filing Fee"/>
      <sheetName val="2020 Pub Util Tax"/>
    </sheetNames>
    <sheetDataSet>
      <sheetData sheetId="0">
        <row r="14">
          <cell r="E14">
            <v>8.4790000000000004E-3</v>
          </cell>
        </row>
        <row r="15">
          <cell r="E15">
            <v>2E-3</v>
          </cell>
        </row>
        <row r="16">
          <cell r="D16">
            <v>3.8733999999999998E-2</v>
          </cell>
          <cell r="E16">
            <v>3.8406000000000003E-2</v>
          </cell>
        </row>
      </sheetData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Detail"/>
      <sheetName val="Colstrip Reg Asset AMA"/>
    </sheetNames>
    <sheetDataSet>
      <sheetData sheetId="0">
        <row r="18">
          <cell r="C18">
            <v>24694365.932500001</v>
          </cell>
          <cell r="E18">
            <v>-150652868.28645569</v>
          </cell>
        </row>
        <row r="19">
          <cell r="C19">
            <v>-5185816.8458333332</v>
          </cell>
          <cell r="E19">
            <v>31637102.340155691</v>
          </cell>
        </row>
        <row r="20">
          <cell r="C20">
            <v>19508549.086666666</v>
          </cell>
          <cell r="D20">
            <v>87609121.241750002</v>
          </cell>
          <cell r="E20">
            <v>-119015765.9463</v>
          </cell>
          <cell r="F20">
            <v>-31406644.704549998</v>
          </cell>
          <cell r="G20">
            <v>-119015765.9463</v>
          </cell>
        </row>
        <row r="24">
          <cell r="C24">
            <v>9250000.0199999996</v>
          </cell>
          <cell r="D24">
            <v>0</v>
          </cell>
          <cell r="E24">
            <v>0</v>
          </cell>
          <cell r="F24">
            <v>0</v>
          </cell>
          <cell r="G24">
            <v>-9250000.0199999996</v>
          </cell>
        </row>
      </sheetData>
      <sheetData sheetId="1">
        <row r="6">
          <cell r="D6">
            <v>110897621.825</v>
          </cell>
        </row>
        <row r="25">
          <cell r="D25">
            <v>-23288500.583250001</v>
          </cell>
        </row>
      </sheetData>
      <sheetData sheetId="2">
        <row r="18">
          <cell r="C18">
            <v>24694365.932500001</v>
          </cell>
        </row>
        <row r="41">
          <cell r="C41">
            <v>-5185816.8458333332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Production Plant"/>
      <sheetName val="Transmission Plant"/>
      <sheetName val="Software"/>
      <sheetName val="EOP Elec DFIT Depr Restatement"/>
      <sheetName val="Accretion 12ME 6-2020"/>
      <sheetName val="Accr 2019-2020"/>
      <sheetName val="Software Amort"/>
    </sheetNames>
    <sheetDataSet>
      <sheetData sheetId="0">
        <row r="13">
          <cell r="D13">
            <v>129583081.42000031</v>
          </cell>
          <cell r="E13">
            <v>121228083.29346541</v>
          </cell>
        </row>
        <row r="14">
          <cell r="D14">
            <v>1201842.0499999998</v>
          </cell>
          <cell r="E14">
            <v>1193954.9999999995</v>
          </cell>
        </row>
        <row r="15">
          <cell r="D15">
            <v>130784923.47000031</v>
          </cell>
          <cell r="E15">
            <v>122422038.29346541</v>
          </cell>
          <cell r="F15">
            <v>-8362885.1765349098</v>
          </cell>
        </row>
        <row r="16">
          <cell r="D16">
            <v>7464653.5799999991</v>
          </cell>
          <cell r="E16">
            <v>7646709.719999996</v>
          </cell>
        </row>
        <row r="17">
          <cell r="D17">
            <v>3553168.6199999996</v>
          </cell>
          <cell r="E17">
            <v>3487179.4151999997</v>
          </cell>
        </row>
        <row r="18">
          <cell r="D18">
            <v>2608551.2440000013</v>
          </cell>
          <cell r="E18">
            <v>2608551.2440000013</v>
          </cell>
        </row>
        <row r="19">
          <cell r="D19">
            <v>9121496.040000001</v>
          </cell>
          <cell r="E19">
            <v>9121496.040000001</v>
          </cell>
        </row>
        <row r="25">
          <cell r="F25">
            <v>431.08832811797038</v>
          </cell>
        </row>
        <row r="31">
          <cell r="D31">
            <v>3510506.9600000023</v>
          </cell>
          <cell r="E31">
            <v>3433556.0410089949</v>
          </cell>
        </row>
        <row r="32">
          <cell r="D32">
            <v>248122.91400000011</v>
          </cell>
          <cell r="E32">
            <v>248122.91400000011</v>
          </cell>
        </row>
      </sheetData>
      <sheetData sheetId="1">
        <row r="2229">
          <cell r="K2229">
            <v>151524.216976</v>
          </cell>
        </row>
        <row r="2606">
          <cell r="K2606">
            <v>51792.308974000014</v>
          </cell>
        </row>
      </sheetData>
      <sheetData sheetId="2">
        <row r="426">
          <cell r="E426">
            <v>3510506.9600000004</v>
          </cell>
        </row>
      </sheetData>
      <sheetData sheetId="3"/>
      <sheetData sheetId="4"/>
      <sheetData sheetId="5"/>
      <sheetData sheetId="6"/>
      <sheetData sheetId="7">
        <row r="4">
          <cell r="D4">
            <v>2163401.5100000007</v>
          </cell>
        </row>
        <row r="5">
          <cell r="D5">
            <v>22733.194</v>
          </cell>
        </row>
        <row r="6">
          <cell r="D6">
            <v>0.54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Depr Exp 2020 PCORC Annual"/>
      <sheetName val="Colstrip Depn Update"/>
      <sheetName val="ARAM Colstrip"/>
      <sheetName val="PT RPT 257A"/>
    </sheetNames>
    <sheetDataSet>
      <sheetData sheetId="0">
        <row r="16">
          <cell r="D16">
            <v>24173718.963481996</v>
          </cell>
          <cell r="E16">
            <v>41096273.81753172</v>
          </cell>
        </row>
        <row r="22">
          <cell r="D22">
            <v>-24173718.963481996</v>
          </cell>
          <cell r="E22">
            <v>-41096273.81753172</v>
          </cell>
          <cell r="F22">
            <v>-16922554.854049724</v>
          </cell>
        </row>
        <row r="23">
          <cell r="D23">
            <v>5076480.9823312191</v>
          </cell>
          <cell r="E23">
            <v>8630217.5016816612</v>
          </cell>
          <cell r="F23">
            <v>3553736.5193504421</v>
          </cell>
        </row>
        <row r="24">
          <cell r="D24">
            <v>2900846.2756178402</v>
          </cell>
          <cell r="E24">
            <v>2900846.2756178402</v>
          </cell>
          <cell r="F24">
            <v>0</v>
          </cell>
        </row>
        <row r="25">
          <cell r="D25">
            <v>-16196391.705532936</v>
          </cell>
          <cell r="E25">
            <v>-29565210.040232215</v>
          </cell>
          <cell r="F25">
            <v>-13368818.334699281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-8 Table 1"/>
      <sheetName val="SEF-8 Table 2"/>
      <sheetName val="Support"/>
      <sheetName val="190529 PC Bridge"/>
      <sheetName val="190529 Prod Fctr"/>
    </sheetNames>
    <sheetDataSet>
      <sheetData sheetId="0"/>
      <sheetData sheetId="1">
        <row r="9">
          <cell r="E9">
            <v>1.0168402571848718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Lead"/>
      <sheetName val="Rate Yr"/>
      <sheetName val="Rate Year Generation"/>
      <sheetName val="Montana Energy Tax"/>
    </sheetNames>
    <sheetDataSet>
      <sheetData sheetId="0"/>
      <sheetData sheetId="1">
        <row r="10">
          <cell r="D10">
            <v>1116935.45</v>
          </cell>
          <cell r="E10">
            <v>807842.00838059699</v>
          </cell>
        </row>
        <row r="11">
          <cell r="E11">
            <v>807842.00838059699</v>
          </cell>
        </row>
        <row r="17">
          <cell r="E17">
            <v>797064.36743651982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BDJ-5 p1"/>
      <sheetName val="WP====&gt;"/>
      <sheetName val="Sch 139 Eff 7-1-2021"/>
      <sheetName val="Sch 139 Eff 1-1-2021"/>
      <sheetName val="Sch 139 Eff 10-15-2020"/>
      <sheetName val="Temp Adj Diff"/>
      <sheetName val="Sch 139 Credit Calculation"/>
    </sheetNames>
    <sheetDataSet>
      <sheetData sheetId="0">
        <row r="7">
          <cell r="D7">
            <v>-26942538.304544251</v>
          </cell>
        </row>
      </sheetData>
      <sheetData sheetId="1"/>
      <sheetData sheetId="2">
        <row r="10">
          <cell r="H10">
            <v>1137</v>
          </cell>
        </row>
        <row r="17">
          <cell r="H17">
            <v>1414778</v>
          </cell>
        </row>
        <row r="24">
          <cell r="H24">
            <v>394434</v>
          </cell>
        </row>
        <row r="31">
          <cell r="H31">
            <v>412425</v>
          </cell>
        </row>
        <row r="37">
          <cell r="H37">
            <v>335835</v>
          </cell>
        </row>
        <row r="39">
          <cell r="H39">
            <v>7360</v>
          </cell>
        </row>
        <row r="41">
          <cell r="H41">
            <v>58665</v>
          </cell>
        </row>
        <row r="44">
          <cell r="H44">
            <v>609547</v>
          </cell>
        </row>
        <row r="46">
          <cell r="H46">
            <v>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Factor===&gt;"/>
      <sheetName val="Exh BDJ-4 p1 (Prod Factor)"/>
      <sheetName val="GPI (F2020)"/>
      <sheetName val="Temperature Adjust Excl 139"/>
      <sheetName val="Schedule 139 Load"/>
      <sheetName val="UE-190529 LR - Energy"/>
    </sheetNames>
    <sheetDataSet>
      <sheetData sheetId="0"/>
      <sheetData sheetId="1">
        <row r="6">
          <cell r="G6">
            <v>22535857020.00946</v>
          </cell>
        </row>
        <row r="10">
          <cell r="I10">
            <v>20365544557.714779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BDJ-8 p1-2 (Rate Impacts)"/>
      <sheetName val="Exh BDJ-8 p3 (Typ Res Bill)"/>
      <sheetName val="Controls"/>
      <sheetName val="Schedule_RateImpacts"/>
      <sheetName val="Forecast-&gt;"/>
      <sheetName val="TY June 2020 Proforma Rev"/>
      <sheetName val="F2020 Sch Level Delivered Load"/>
      <sheetName val="F2020 Customers"/>
      <sheetName val="Rider Revenue Impacts-&gt;"/>
      <sheetName val="Sch 95"/>
      <sheetName val="Sch 95a"/>
      <sheetName val="Sch 120"/>
      <sheetName val="Sch 129"/>
      <sheetName val="Sch 137"/>
      <sheetName val="Sch 139"/>
      <sheetName val="Sch 140"/>
      <sheetName val="Sch 141X"/>
      <sheetName val="Sch 141Y"/>
      <sheetName val="Sch 141Z"/>
      <sheetName val="Sch 142 Deferral"/>
      <sheetName val="Sch 194"/>
      <sheetName val="Compliance Eff 7-1-21=&gt;"/>
      <sheetName val="UE-200980 Sch 95 PCORC Complian"/>
      <sheetName val="Compliance Filings-&gt;"/>
      <sheetName val="UE-200893 Sch 95 Eff 12-01-2020"/>
      <sheetName val="UE-200897 Sch 95A"/>
      <sheetName val="UE-210140 Sch 120"/>
      <sheetName val="UE-200770 Sch 129"/>
      <sheetName val="UE-200967 Sch 137"/>
      <sheetName val="UE-210217 Sch 140"/>
      <sheetName val="UE-180899 141X"/>
      <sheetName val="UE-190529 Sch 141X &amp; 141Z"/>
      <sheetName val="UE-200661 Sch 141Y"/>
      <sheetName val="UE-190529-210214 Sch 142"/>
      <sheetName val="UE-190753 Sch 194"/>
    </sheetNames>
    <sheetDataSet>
      <sheetData sheetId="0">
        <row r="34">
          <cell r="R34">
            <v>2146017976.4585011</v>
          </cell>
        </row>
        <row r="40">
          <cell r="X40">
            <v>3580506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PowerPlant Detail"/>
      <sheetName val="Total RB w PCORC Trans"/>
      <sheetName val="Cols 1&amp;2"/>
    </sheetNames>
    <sheetDataSet>
      <sheetData sheetId="0">
        <row r="5">
          <cell r="E5">
            <v>5279586.5900000036</v>
          </cell>
          <cell r="I5">
            <v>5065600.7699999996</v>
          </cell>
        </row>
        <row r="6">
          <cell r="E6">
            <v>19415724.881249972</v>
          </cell>
          <cell r="I6">
            <v>19182493.089999981</v>
          </cell>
        </row>
        <row r="7">
          <cell r="E7">
            <v>46917070.179166645</v>
          </cell>
          <cell r="I7">
            <v>46135121.500000015</v>
          </cell>
        </row>
        <row r="8">
          <cell r="E8">
            <v>10904834</v>
          </cell>
          <cell r="I8">
            <v>10733560.999999996</v>
          </cell>
        </row>
        <row r="9">
          <cell r="E9">
            <v>950655.03000004741</v>
          </cell>
          <cell r="I9">
            <v>843839.97000004747</v>
          </cell>
        </row>
        <row r="10">
          <cell r="E10">
            <v>154673.60649999997</v>
          </cell>
          <cell r="I10">
            <v>137427.20949999997</v>
          </cell>
        </row>
        <row r="11">
          <cell r="E11">
            <v>-3691890.6687500007</v>
          </cell>
          <cell r="I11">
            <v>-2650429.8050000002</v>
          </cell>
        </row>
        <row r="14">
          <cell r="E14">
            <v>79930653.618166655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Total RB w Prod Sep"/>
      <sheetName val="PowerPlant Detail"/>
      <sheetName val="DFIT"/>
      <sheetName val="EIM Summary"/>
      <sheetName val="WH Jun 20 PP Report"/>
      <sheetName val="Green Direct"/>
      <sheetName val="Cols 1&amp;2"/>
      <sheetName val="6-2020 Qtrly Rpt UE-200743"/>
    </sheetNames>
    <sheetDataSet>
      <sheetData sheetId="0">
        <row r="7">
          <cell r="E7">
            <v>418626650.62125003</v>
          </cell>
          <cell r="I7">
            <v>336350908.62000006</v>
          </cell>
        </row>
        <row r="8">
          <cell r="E8">
            <v>532612048.31958318</v>
          </cell>
          <cell r="I8">
            <v>524035174.56000006</v>
          </cell>
        </row>
        <row r="9">
          <cell r="E9">
            <v>1116884837.384584</v>
          </cell>
          <cell r="I9">
            <v>1095820012.71</v>
          </cell>
        </row>
        <row r="10">
          <cell r="E10">
            <v>2207007</v>
          </cell>
          <cell r="G10">
            <v>4539303</v>
          </cell>
          <cell r="H10">
            <v>-2438000</v>
          </cell>
          <cell r="I10">
            <v>2101303</v>
          </cell>
        </row>
        <row r="11">
          <cell r="E11">
            <v>1173209.1928333351</v>
          </cell>
          <cell r="G11">
            <v>2683622.25</v>
          </cell>
          <cell r="H11">
            <v>-1777545.5254166669</v>
          </cell>
          <cell r="I11">
            <v>906076.72458333313</v>
          </cell>
        </row>
        <row r="12">
          <cell r="E12">
            <v>340636.73</v>
          </cell>
          <cell r="G12">
            <v>340637.09</v>
          </cell>
          <cell r="H12">
            <v>-0.54</v>
          </cell>
          <cell r="I12">
            <v>340636.55000000005</v>
          </cell>
        </row>
        <row r="13">
          <cell r="E13">
            <v>401648</v>
          </cell>
          <cell r="I13">
            <v>179711.19999999984</v>
          </cell>
        </row>
        <row r="14">
          <cell r="E14">
            <v>40925231</v>
          </cell>
          <cell r="I14">
            <v>40373437.299999997</v>
          </cell>
        </row>
        <row r="15">
          <cell r="E15">
            <v>1578274.6299999158</v>
          </cell>
          <cell r="I15">
            <v>1400940.2499999157</v>
          </cell>
        </row>
        <row r="16">
          <cell r="E16">
            <v>467755.39350000006</v>
          </cell>
          <cell r="I16">
            <v>415599.7905</v>
          </cell>
        </row>
        <row r="17">
          <cell r="E17">
            <v>136296380.04000002</v>
          </cell>
          <cell r="I17">
            <v>132089183.46000004</v>
          </cell>
        </row>
        <row r="18">
          <cell r="E18">
            <v>-150654882.25291669</v>
          </cell>
          <cell r="I18">
            <v>-150865209.69</v>
          </cell>
        </row>
        <row r="19">
          <cell r="E19">
            <v>-488477983.55321652</v>
          </cell>
          <cell r="I19">
            <v>-464140049.55676377</v>
          </cell>
        </row>
        <row r="20">
          <cell r="E20">
            <v>-85376773.737916663</v>
          </cell>
          <cell r="I20">
            <v>-77559257.430000007</v>
          </cell>
        </row>
        <row r="22">
          <cell r="E22">
            <v>1527004038.7677004</v>
          </cell>
        </row>
      </sheetData>
      <sheetData sheetId="1"/>
      <sheetData sheetId="2"/>
      <sheetData sheetId="3">
        <row r="76">
          <cell r="R76">
            <v>847014.5392203785</v>
          </cell>
        </row>
        <row r="186">
          <cell r="R186">
            <v>0</v>
          </cell>
        </row>
        <row r="276">
          <cell r="I276">
            <v>699320.98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ummary"/>
      <sheetName val="TY"/>
      <sheetName val="Prod Exp Power Costs by Order"/>
      <sheetName val="Prod Exp O&amp;M by Order"/>
      <sheetName val="Revenue and Montana Tax"/>
      <sheetName val="500KV"/>
      <sheetName val="PTAX &amp; BENEFITS"/>
      <sheetName val="ZRW_ZTP6"/>
    </sheetNames>
    <sheetDataSet>
      <sheetData sheetId="0"/>
      <sheetData sheetId="1">
        <row r="3">
          <cell r="B3">
            <v>81044146.280000001</v>
          </cell>
        </row>
        <row r="5">
          <cell r="B5">
            <v>535009174.27999997</v>
          </cell>
        </row>
        <row r="7">
          <cell r="B7">
            <v>-23522407.310000002</v>
          </cell>
        </row>
        <row r="8">
          <cell r="B8">
            <v>489609.01</v>
          </cell>
        </row>
        <row r="14">
          <cell r="C14">
            <v>7746401.1699999999</v>
          </cell>
        </row>
        <row r="16">
          <cell r="C16">
            <v>1116935.45</v>
          </cell>
        </row>
        <row r="20">
          <cell r="C20">
            <v>2154161.64</v>
          </cell>
        </row>
        <row r="23">
          <cell r="B23">
            <v>183617976.11000001</v>
          </cell>
        </row>
        <row r="29">
          <cell r="B29">
            <v>123883050.72</v>
          </cell>
        </row>
        <row r="32">
          <cell r="C32">
            <v>-6480453.6300000008</v>
          </cell>
        </row>
        <row r="34">
          <cell r="C34">
            <v>120717329.15000001</v>
          </cell>
        </row>
        <row r="38">
          <cell r="B38">
            <v>-189780073.88</v>
          </cell>
        </row>
        <row r="45">
          <cell r="B45">
            <v>-9520817.3900000006</v>
          </cell>
        </row>
        <row r="47">
          <cell r="C47">
            <v>728609.68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Prop Ins "/>
    </sheetNames>
    <sheetDataSet>
      <sheetData sheetId="0">
        <row r="11">
          <cell r="C11">
            <v>3549801.75</v>
          </cell>
          <cell r="D11">
            <v>3609732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1:T85"/>
  <sheetViews>
    <sheetView tabSelected="1" zoomScaleNormal="100" workbookViewId="0">
      <pane xSplit="2" ySplit="7" topLeftCell="I8" activePane="bottomRight" state="frozen"/>
      <selection activeCell="G28" sqref="G28"/>
      <selection pane="topRight" activeCell="G28" sqref="G28"/>
      <selection pane="bottomLeft" activeCell="G28" sqref="G28"/>
      <selection pane="bottomRight" activeCell="J16" sqref="J16"/>
    </sheetView>
  </sheetViews>
  <sheetFormatPr defaultColWidth="9.140625" defaultRowHeight="12.75" x14ac:dyDescent="0.2"/>
  <cols>
    <col min="1" max="1" width="9.140625" style="804"/>
    <col min="2" max="2" width="68.140625" style="804" bestFit="1" customWidth="1"/>
    <col min="3" max="3" width="15.42578125" style="804" bestFit="1" customWidth="1"/>
    <col min="4" max="5" width="14.85546875" style="804" customWidth="1"/>
    <col min="6" max="8" width="15.42578125" style="804" bestFit="1" customWidth="1"/>
    <col min="9" max="9" width="14.85546875" style="804" customWidth="1"/>
    <col min="10" max="12" width="16.5703125" style="804" customWidth="1"/>
    <col min="13" max="13" width="26.42578125" style="804" bestFit="1" customWidth="1"/>
    <col min="14" max="14" width="14" style="804" bestFit="1" customWidth="1"/>
    <col min="15" max="15" width="9.140625" style="804"/>
    <col min="16" max="16" width="61.28515625" style="804" bestFit="1" customWidth="1"/>
    <col min="17" max="17" width="9.85546875" style="804" bestFit="1" customWidth="1"/>
    <col min="18" max="18" width="7.85546875" style="804" bestFit="1" customWidth="1"/>
    <col min="19" max="19" width="8.140625" style="804" bestFit="1" customWidth="1"/>
    <col min="20" max="16384" width="9.140625" style="804"/>
  </cols>
  <sheetData>
    <row r="1" spans="1:17" ht="16.5" thickBot="1" x14ac:dyDescent="0.3">
      <c r="A1" s="968" t="s">
        <v>823</v>
      </c>
      <c r="B1" s="813"/>
      <c r="C1" s="813"/>
      <c r="D1" s="813"/>
      <c r="E1" s="813"/>
      <c r="F1" s="813"/>
      <c r="G1" s="813"/>
      <c r="H1" s="813"/>
      <c r="I1" s="813"/>
      <c r="J1" s="813"/>
      <c r="K1" s="813"/>
      <c r="L1" s="813"/>
      <c r="M1" s="813"/>
      <c r="N1" s="404"/>
      <c r="O1" s="813"/>
      <c r="P1" s="813"/>
      <c r="Q1" s="813"/>
    </row>
    <row r="2" spans="1:17" ht="24" thickBot="1" x14ac:dyDescent="0.25">
      <c r="A2" s="776" t="s">
        <v>22</v>
      </c>
      <c r="B2" s="10"/>
      <c r="C2" s="821"/>
      <c r="D2" s="803"/>
      <c r="E2" s="802"/>
      <c r="F2" s="801"/>
      <c r="G2" s="801"/>
      <c r="H2" s="801"/>
      <c r="I2" s="801"/>
      <c r="J2" s="800"/>
      <c r="K2" s="975"/>
      <c r="L2" s="975"/>
      <c r="M2" s="820" t="s">
        <v>770</v>
      </c>
      <c r="N2" s="799" t="s">
        <v>9</v>
      </c>
      <c r="P2"/>
      <c r="Q2"/>
    </row>
    <row r="3" spans="1:17" x14ac:dyDescent="0.2">
      <c r="A3" s="776" t="s">
        <v>776</v>
      </c>
      <c r="B3" s="10"/>
      <c r="C3" s="798" t="s">
        <v>773</v>
      </c>
      <c r="D3" s="798"/>
      <c r="E3" s="798"/>
      <c r="F3" s="797"/>
      <c r="G3" s="797"/>
      <c r="H3" s="797"/>
      <c r="I3" s="797"/>
      <c r="J3" s="797"/>
      <c r="K3" s="797"/>
      <c r="L3" s="796"/>
      <c r="M3" s="819" t="s">
        <v>758</v>
      </c>
      <c r="N3" s="818">
        <f>'2019 GRC A-1 UE-200907'!C38</f>
        <v>1228927881.9413571</v>
      </c>
      <c r="O3" s="910"/>
      <c r="P3"/>
      <c r="Q3"/>
    </row>
    <row r="4" spans="1:17" x14ac:dyDescent="0.2">
      <c r="A4" s="776" t="s">
        <v>772</v>
      </c>
      <c r="B4" s="10"/>
      <c r="C4" s="795" t="s">
        <v>756</v>
      </c>
      <c r="D4" s="795"/>
      <c r="E4" s="795"/>
      <c r="F4" s="794"/>
      <c r="G4" s="794"/>
      <c r="H4" s="794"/>
      <c r="I4" s="794"/>
      <c r="J4" s="794"/>
      <c r="K4" s="794"/>
      <c r="L4" s="793"/>
      <c r="M4" s="775" t="s">
        <v>757</v>
      </c>
      <c r="N4" s="817">
        <f>'2019 GRC A-1 UE-200907'!C39</f>
        <v>20535748.503355935</v>
      </c>
      <c r="P4"/>
      <c r="Q4"/>
    </row>
    <row r="5" spans="1:17" ht="13.5" thickBot="1" x14ac:dyDescent="0.25">
      <c r="A5" s="776"/>
      <c r="B5" s="10"/>
      <c r="C5" s="816">
        <f>C26</f>
        <v>0</v>
      </c>
      <c r="D5" s="813"/>
      <c r="E5" s="816">
        <f t="shared" ref="E5:L5" si="0">E26</f>
        <v>0</v>
      </c>
      <c r="F5" s="816">
        <f t="shared" si="0"/>
        <v>0</v>
      </c>
      <c r="G5" s="816">
        <f t="shared" si="0"/>
        <v>0</v>
      </c>
      <c r="H5" s="816">
        <f t="shared" si="0"/>
        <v>0</v>
      </c>
      <c r="I5" s="777">
        <f t="shared" si="0"/>
        <v>0</v>
      </c>
      <c r="J5" s="816">
        <f t="shared" si="0"/>
        <v>0</v>
      </c>
      <c r="K5" s="777">
        <f t="shared" si="0"/>
        <v>0</v>
      </c>
      <c r="L5" s="816">
        <f t="shared" si="0"/>
        <v>0</v>
      </c>
      <c r="M5" s="815" t="s">
        <v>758</v>
      </c>
      <c r="N5" s="814">
        <f>+Deficiency!F36+Deficiency!F22</f>
        <v>59.843999999999994</v>
      </c>
      <c r="P5"/>
      <c r="Q5"/>
    </row>
    <row r="6" spans="1:17" ht="13.5" thickBot="1" x14ac:dyDescent="0.25">
      <c r="A6" s="776"/>
      <c r="B6" s="10"/>
      <c r="C6" s="777"/>
      <c r="D6" s="813"/>
      <c r="E6" s="777"/>
      <c r="F6" s="777"/>
      <c r="G6" s="777"/>
      <c r="H6" s="777"/>
      <c r="I6" s="777"/>
      <c r="J6" s="777"/>
      <c r="K6" s="777"/>
      <c r="L6" s="777"/>
      <c r="M6" s="812" t="s">
        <v>759</v>
      </c>
      <c r="N6" s="792">
        <v>0.95111500000000004</v>
      </c>
    </row>
    <row r="7" spans="1:17" ht="51" x14ac:dyDescent="0.2">
      <c r="A7" s="718" t="s">
        <v>760</v>
      </c>
      <c r="B7" s="718" t="s">
        <v>24</v>
      </c>
      <c r="C7" s="789" t="s">
        <v>761</v>
      </c>
      <c r="D7" s="791" t="s">
        <v>762</v>
      </c>
      <c r="E7" s="789" t="s">
        <v>763</v>
      </c>
      <c r="F7" s="789" t="s">
        <v>764</v>
      </c>
      <c r="G7" s="789" t="s">
        <v>765</v>
      </c>
      <c r="H7" s="789" t="s">
        <v>766</v>
      </c>
      <c r="I7" s="790" t="s">
        <v>767</v>
      </c>
      <c r="J7" s="789" t="s">
        <v>775</v>
      </c>
      <c r="K7" s="976" t="s">
        <v>821</v>
      </c>
      <c r="L7" s="976" t="s">
        <v>820</v>
      </c>
    </row>
    <row r="9" spans="1:17" x14ac:dyDescent="0.2">
      <c r="A9" s="778">
        <f>ROW()</f>
        <v>9</v>
      </c>
      <c r="B9" s="804" t="s">
        <v>815</v>
      </c>
      <c r="C9" s="786">
        <v>1613413769.0457892</v>
      </c>
      <c r="D9" s="787">
        <v>6.8000000000000005E-2</v>
      </c>
      <c r="E9" s="811">
        <f>C9*$D$9/0.79</f>
        <v>138876121.89254895</v>
      </c>
      <c r="F9" s="786">
        <v>1053424346.500491</v>
      </c>
      <c r="G9" s="811">
        <f>SUM(E9:F9)</f>
        <v>1192300468.3930399</v>
      </c>
      <c r="H9" s="811">
        <f>+G9/N6</f>
        <v>1253581815.4408667</v>
      </c>
      <c r="I9" s="783">
        <f>+Deficiency!D20</f>
        <v>20365544.557714779</v>
      </c>
      <c r="J9" s="786">
        <f>((H9/I9)-N5)*I9+N9</f>
        <v>34825080.928983577</v>
      </c>
      <c r="K9" s="786"/>
      <c r="L9" s="786">
        <f>SUM(J9:K9)</f>
        <v>34825080.928983577</v>
      </c>
      <c r="M9" s="947" t="s">
        <v>771</v>
      </c>
      <c r="N9" s="948">
        <v>-1086</v>
      </c>
    </row>
    <row r="10" spans="1:17" x14ac:dyDescent="0.2">
      <c r="A10" s="778">
        <f>ROW()</f>
        <v>10</v>
      </c>
      <c r="B10" s="776" t="s">
        <v>819</v>
      </c>
      <c r="C10" s="786"/>
      <c r="D10" s="787"/>
      <c r="E10" s="811"/>
      <c r="F10" s="786"/>
      <c r="G10" s="811"/>
      <c r="H10" s="811"/>
      <c r="I10" s="783"/>
      <c r="J10" s="786">
        <f>+Deficiency!N42</f>
        <v>26757562.525382351</v>
      </c>
      <c r="K10" s="977">
        <f>Deficiency!N46</f>
        <v>3765483</v>
      </c>
      <c r="L10" s="786">
        <f>SUM(J10:K10)</f>
        <v>30523045.525382351</v>
      </c>
      <c r="M10" s="947"/>
      <c r="N10" s="948"/>
    </row>
    <row r="11" spans="1:17" x14ac:dyDescent="0.2">
      <c r="A11" s="778">
        <f>ROW()</f>
        <v>11</v>
      </c>
      <c r="B11" s="804" t="s">
        <v>818</v>
      </c>
      <c r="C11" s="786"/>
      <c r="D11" s="787"/>
      <c r="E11" s="811"/>
      <c r="F11" s="786"/>
      <c r="G11" s="811"/>
      <c r="H11" s="811"/>
      <c r="I11" s="783"/>
      <c r="J11" s="972">
        <f>SUM(J9:J10)</f>
        <v>61582643.454365924</v>
      </c>
      <c r="K11" s="972">
        <f t="shared" ref="K11:L11" si="1">SUM(K9:K10)</f>
        <v>3765483</v>
      </c>
      <c r="L11" s="972">
        <f t="shared" si="1"/>
        <v>65348126.454365924</v>
      </c>
      <c r="M11" s="947"/>
      <c r="N11" s="948"/>
    </row>
    <row r="12" spans="1:17" x14ac:dyDescent="0.2">
      <c r="A12" s="778">
        <f>ROW()</f>
        <v>12</v>
      </c>
      <c r="B12" s="824" t="s">
        <v>798</v>
      </c>
      <c r="C12" s="825"/>
      <c r="D12" s="826"/>
      <c r="E12" s="825">
        <f>C12*$D$12/0.79</f>
        <v>0</v>
      </c>
      <c r="F12" s="825"/>
      <c r="G12" s="825">
        <f>SUM(E12:F12)</f>
        <v>0</v>
      </c>
      <c r="H12" s="825">
        <f>G12/$N$6</f>
        <v>0</v>
      </c>
      <c r="I12" s="827"/>
      <c r="J12" s="825"/>
      <c r="K12" s="825"/>
      <c r="L12" s="825"/>
      <c r="M12" s="952"/>
    </row>
    <row r="13" spans="1:17" x14ac:dyDescent="0.2">
      <c r="A13" s="778">
        <f>ROW()</f>
        <v>13</v>
      </c>
      <c r="B13" s="776" t="s">
        <v>808</v>
      </c>
      <c r="C13" s="786"/>
      <c r="D13" s="787"/>
      <c r="E13" s="811">
        <f>C13*$D$9/0.79</f>
        <v>0</v>
      </c>
      <c r="F13" s="786">
        <v>5251038.0652562883</v>
      </c>
      <c r="G13" s="811">
        <f>SUM(E13:F13)</f>
        <v>5251038.0652562883</v>
      </c>
      <c r="H13" s="811">
        <f>G13/$N$6</f>
        <v>5520928.6629443215</v>
      </c>
      <c r="I13" s="783"/>
      <c r="J13" s="949">
        <f>(((ROUND(SUM($H$9:H13)/SUM($I$9:I13),3)-$N$5)*SUM($I$9:I13))-$J$9)</f>
        <v>5519062.8398495764</v>
      </c>
      <c r="K13" s="949"/>
      <c r="L13" s="786">
        <f t="shared" ref="L13:L15" si="2">SUM(J13:K13)</f>
        <v>5519062.8398495764</v>
      </c>
      <c r="M13" s="1001"/>
    </row>
    <row r="14" spans="1:17" x14ac:dyDescent="0.2">
      <c r="A14" s="778">
        <f>ROW()</f>
        <v>14</v>
      </c>
      <c r="B14" s="776" t="s">
        <v>809</v>
      </c>
      <c r="C14" s="786"/>
      <c r="D14" s="787"/>
      <c r="E14" s="811">
        <f>C14*$D$9/0.79</f>
        <v>0</v>
      </c>
      <c r="F14" s="786">
        <v>10959.136417575426</v>
      </c>
      <c r="G14" s="811">
        <f>SUM(E14:F14)</f>
        <v>10959.136417575426</v>
      </c>
      <c r="H14" s="811">
        <f>G14/$N$6</f>
        <v>11522.409401150677</v>
      </c>
      <c r="I14" s="783"/>
      <c r="J14" s="949">
        <f>(((ROUND(SUM($H$9:H14)/SUM($I$9:I14),3)-$N$5)*SUM($I$9:I14))-$J$9-J13)</f>
        <v>20365.544557668269</v>
      </c>
      <c r="K14" s="949"/>
      <c r="L14" s="786">
        <f t="shared" si="2"/>
        <v>20365.544557668269</v>
      </c>
      <c r="M14" s="1001"/>
    </row>
    <row r="15" spans="1:17" x14ac:dyDescent="0.2">
      <c r="A15" s="778">
        <f>ROW()</f>
        <v>15</v>
      </c>
      <c r="B15" s="788" t="s">
        <v>814</v>
      </c>
      <c r="C15" s="786"/>
      <c r="D15" s="787"/>
      <c r="E15" s="811">
        <f t="shared" ref="E15:E17" si="3">C15*$D$9/0.79</f>
        <v>0</v>
      </c>
      <c r="F15" s="786"/>
      <c r="G15" s="811">
        <f t="shared" ref="G15:G17" si="4">SUM(E15:F15)</f>
        <v>0</v>
      </c>
      <c r="H15" s="811">
        <f t="shared" ref="H15:H17" si="5">G15/$N$6</f>
        <v>0</v>
      </c>
      <c r="I15" s="783"/>
      <c r="J15" s="786">
        <f>+Deficiency!S42</f>
        <v>184975.77916190028</v>
      </c>
      <c r="K15" s="786">
        <f>+Deficiency!S46</f>
        <v>-184977</v>
      </c>
      <c r="L15" s="786">
        <f t="shared" si="2"/>
        <v>-1.2208380997180939</v>
      </c>
      <c r="M15" s="1002"/>
    </row>
    <row r="16" spans="1:17" x14ac:dyDescent="0.2">
      <c r="A16" s="778">
        <f>ROW()</f>
        <v>16</v>
      </c>
      <c r="B16" s="788"/>
      <c r="C16" s="786"/>
      <c r="D16" s="786"/>
      <c r="E16" s="811">
        <f t="shared" ref="E16" si="6">C16*$D$9/0.79</f>
        <v>0</v>
      </c>
      <c r="F16" s="786"/>
      <c r="G16" s="811">
        <f t="shared" ref="G16" si="7">SUM(E16:F16)</f>
        <v>0</v>
      </c>
      <c r="H16" s="811">
        <f t="shared" ref="H16" si="8">G16/$N$6</f>
        <v>0</v>
      </c>
      <c r="I16" s="783"/>
      <c r="J16" s="786"/>
      <c r="K16" s="786"/>
      <c r="L16" s="786"/>
      <c r="M16" s="971"/>
    </row>
    <row r="17" spans="1:20" x14ac:dyDescent="0.2">
      <c r="A17" s="778">
        <f>ROW()</f>
        <v>17</v>
      </c>
      <c r="B17" s="810" t="s">
        <v>771</v>
      </c>
      <c r="C17" s="785"/>
      <c r="D17" s="784"/>
      <c r="E17" s="811">
        <f t="shared" si="3"/>
        <v>0</v>
      </c>
      <c r="F17" s="783"/>
      <c r="G17" s="811">
        <f t="shared" si="4"/>
        <v>0</v>
      </c>
      <c r="H17" s="811">
        <f t="shared" si="5"/>
        <v>0</v>
      </c>
      <c r="I17" s="779"/>
      <c r="J17" s="786"/>
      <c r="K17" s="786"/>
      <c r="L17" s="786"/>
      <c r="M17" s="973"/>
    </row>
    <row r="18" spans="1:20" x14ac:dyDescent="0.2">
      <c r="A18" s="778">
        <f>ROW()</f>
        <v>18</v>
      </c>
      <c r="B18" s="780"/>
      <c r="C18" s="782"/>
      <c r="D18" s="782"/>
      <c r="E18" s="782"/>
      <c r="F18" s="782"/>
      <c r="G18" s="782"/>
      <c r="H18" s="782"/>
      <c r="I18" s="782"/>
      <c r="J18" s="782"/>
      <c r="K18" s="782"/>
      <c r="L18" s="782"/>
      <c r="M18" s="970"/>
    </row>
    <row r="19" spans="1:20" x14ac:dyDescent="0.2">
      <c r="A19" s="778">
        <f>ROW()</f>
        <v>19</v>
      </c>
      <c r="B19" s="780" t="s">
        <v>847</v>
      </c>
      <c r="C19" s="779">
        <f>SUM(C12:C18)</f>
        <v>0</v>
      </c>
      <c r="D19" s="809">
        <f>SUM(D9:D18)</f>
        <v>6.8000000000000005E-2</v>
      </c>
      <c r="E19" s="779">
        <f>SUM(E12:E18)</f>
        <v>0</v>
      </c>
      <c r="F19" s="779">
        <f>SUM(F12:F18)</f>
        <v>5261997.2016738635</v>
      </c>
      <c r="G19" s="779">
        <f>SUM(G12:G18)</f>
        <v>5261997.2016738635</v>
      </c>
      <c r="H19" s="779">
        <f>SUM(H12:H18)</f>
        <v>5532451.0723454719</v>
      </c>
      <c r="I19" s="779">
        <f>SUM(I12:I17)</f>
        <v>0</v>
      </c>
      <c r="J19" s="779">
        <f>SUM(J12:J18)</f>
        <v>5724404.1635691449</v>
      </c>
      <c r="K19" s="779">
        <f t="shared" ref="K19:L19" si="9">SUM(K12:K18)</f>
        <v>-184977</v>
      </c>
      <c r="L19" s="779">
        <f t="shared" si="9"/>
        <v>5539427.1635691449</v>
      </c>
      <c r="M19" s="974"/>
    </row>
    <row r="20" spans="1:20" x14ac:dyDescent="0.2">
      <c r="A20" s="778">
        <f>ROW()</f>
        <v>20</v>
      </c>
      <c r="B20" s="780"/>
      <c r="C20" s="781"/>
      <c r="D20" s="779"/>
      <c r="E20" s="781"/>
      <c r="F20" s="781"/>
      <c r="G20" s="781"/>
      <c r="H20" s="781"/>
      <c r="I20" s="781"/>
      <c r="J20" s="781"/>
      <c r="K20" s="781"/>
      <c r="L20" s="781"/>
      <c r="M20" s="970"/>
    </row>
    <row r="21" spans="1:20" x14ac:dyDescent="0.2">
      <c r="A21" s="778">
        <f>ROW()</f>
        <v>21</v>
      </c>
      <c r="B21" s="780" t="s">
        <v>817</v>
      </c>
      <c r="C21" s="807">
        <f>C9+C19</f>
        <v>1613413769.0457892</v>
      </c>
      <c r="D21" s="808"/>
      <c r="E21" s="807">
        <f t="shared" ref="E21:I21" si="10">E9+E19</f>
        <v>138876121.89254895</v>
      </c>
      <c r="F21" s="807">
        <f t="shared" si="10"/>
        <v>1058686343.7021649</v>
      </c>
      <c r="G21" s="807">
        <f t="shared" si="10"/>
        <v>1197562465.5947137</v>
      </c>
      <c r="H21" s="807">
        <f t="shared" si="10"/>
        <v>1259114266.5132122</v>
      </c>
      <c r="I21" s="779">
        <f t="shared" si="10"/>
        <v>20365544.557714779</v>
      </c>
      <c r="J21" s="807">
        <f>J11+J19</f>
        <v>67307047.617935061</v>
      </c>
      <c r="K21" s="807">
        <f t="shared" ref="K21:L21" si="11">K11+K19</f>
        <v>3580506</v>
      </c>
      <c r="L21" s="807">
        <f t="shared" si="11"/>
        <v>70887553.617935061</v>
      </c>
      <c r="M21" s="807"/>
    </row>
    <row r="22" spans="1:20" x14ac:dyDescent="0.2">
      <c r="A22" s="778">
        <f>ROW()</f>
        <v>22</v>
      </c>
      <c r="B22" s="780"/>
      <c r="C22" s="779"/>
      <c r="D22" s="779"/>
      <c r="E22" s="779"/>
      <c r="F22" s="779"/>
      <c r="G22" s="779"/>
      <c r="H22" s="779"/>
      <c r="I22" s="779"/>
      <c r="J22" s="779"/>
      <c r="K22" s="779"/>
      <c r="L22" s="779"/>
      <c r="M22" s="971"/>
    </row>
    <row r="23" spans="1:20" x14ac:dyDescent="0.2">
      <c r="A23" s="778">
        <f>ROW()</f>
        <v>23</v>
      </c>
      <c r="B23" s="780"/>
      <c r="C23" s="779"/>
      <c r="D23" s="779"/>
      <c r="E23" s="779"/>
      <c r="F23" s="779"/>
      <c r="G23" s="779"/>
      <c r="H23" s="779"/>
      <c r="I23" s="779"/>
      <c r="J23" s="779"/>
      <c r="K23" s="779"/>
      <c r="L23" s="779"/>
    </row>
    <row r="24" spans="1:20" x14ac:dyDescent="0.2">
      <c r="A24" s="778">
        <f>ROW()</f>
        <v>24</v>
      </c>
      <c r="B24" s="780" t="s">
        <v>768</v>
      </c>
      <c r="C24" s="805">
        <f>+'SEF-16 2020 PCORC A-1'!C9</f>
        <v>1613413769.0457892</v>
      </c>
      <c r="D24" s="779"/>
      <c r="E24" s="805">
        <f>SUM('SEF-16 2020 PCORC A-1'!C14,'SEF-16 2020 PCORC A-1'!C16:C17)</f>
        <v>138876121.89254895</v>
      </c>
      <c r="F24" s="805">
        <f>SUM('SEF-16 2020 PCORC A-1'!C15,'SEF-16 2020 PCORC A-1'!C18:C35)</f>
        <v>1058686343.7021648</v>
      </c>
      <c r="G24" s="805">
        <f>'SEF-16 2020 PCORC A-1'!C36</f>
        <v>1197562465.5947134</v>
      </c>
      <c r="H24" s="805">
        <f>'SEF-16 2020 PCORC A-1'!C38</f>
        <v>1259114266.5132117</v>
      </c>
      <c r="I24" s="806">
        <f>Deficiency!D20</f>
        <v>20365544.557714779</v>
      </c>
      <c r="J24" s="805">
        <f>Deficiency!G44</f>
        <v>67307047.617934942</v>
      </c>
      <c r="K24" s="805">
        <f>Deficiency!G46</f>
        <v>3580506</v>
      </c>
      <c r="L24" s="805">
        <f>Deficiency!G48</f>
        <v>70887553.617934942</v>
      </c>
    </row>
    <row r="25" spans="1:20" x14ac:dyDescent="0.2">
      <c r="A25" s="778">
        <f>ROW()</f>
        <v>25</v>
      </c>
      <c r="B25" s="776"/>
      <c r="C25" s="777"/>
      <c r="D25" s="777"/>
      <c r="E25" s="777"/>
      <c r="F25" s="777"/>
      <c r="G25" s="777"/>
      <c r="H25" s="777"/>
      <c r="I25" s="777"/>
      <c r="J25" s="777"/>
      <c r="K25" s="777"/>
      <c r="L25" s="777"/>
    </row>
    <row r="26" spans="1:20" x14ac:dyDescent="0.2">
      <c r="A26" s="778">
        <f>ROW()</f>
        <v>26</v>
      </c>
      <c r="B26" s="864" t="s">
        <v>769</v>
      </c>
      <c r="C26" s="865">
        <f>ROUND(C21-C24,-1)</f>
        <v>0</v>
      </c>
      <c r="D26" s="865"/>
      <c r="E26" s="865">
        <f t="shared" ref="E26:L26" si="12">ROUND(E21-E24,-1)</f>
        <v>0</v>
      </c>
      <c r="F26" s="865">
        <f t="shared" si="12"/>
        <v>0</v>
      </c>
      <c r="G26" s="865">
        <f t="shared" si="12"/>
        <v>0</v>
      </c>
      <c r="H26" s="865">
        <f t="shared" si="12"/>
        <v>0</v>
      </c>
      <c r="I26" s="865">
        <f t="shared" si="12"/>
        <v>0</v>
      </c>
      <c r="J26" s="865">
        <f t="shared" si="12"/>
        <v>0</v>
      </c>
      <c r="K26" s="865">
        <f t="shared" si="12"/>
        <v>0</v>
      </c>
      <c r="L26" s="865">
        <f t="shared" si="12"/>
        <v>0</v>
      </c>
      <c r="N26"/>
      <c r="O26"/>
      <c r="P26"/>
      <c r="Q26"/>
      <c r="R26"/>
      <c r="S26"/>
      <c r="T26"/>
    </row>
    <row r="27" spans="1:20" x14ac:dyDescent="0.2">
      <c r="A27" s="778"/>
      <c r="B27" s="866"/>
      <c r="C27" s="867"/>
      <c r="D27" s="867"/>
      <c r="E27" s="867"/>
      <c r="F27" s="867"/>
      <c r="G27" s="867"/>
      <c r="H27" s="867"/>
      <c r="I27" s="867"/>
      <c r="J27" s="867"/>
      <c r="K27" s="867"/>
      <c r="L27" s="867"/>
      <c r="N27"/>
      <c r="O27"/>
      <c r="P27"/>
      <c r="Q27"/>
      <c r="R27"/>
      <c r="S27"/>
      <c r="T27"/>
    </row>
    <row r="28" spans="1:20" ht="16.5" thickBot="1" x14ac:dyDescent="0.3">
      <c r="B28"/>
      <c r="C28"/>
      <c r="E28" s="968" t="s">
        <v>822</v>
      </c>
      <c r="F28" s="969"/>
      <c r="G28" s="969"/>
      <c r="H28"/>
      <c r="N28"/>
      <c r="O28"/>
      <c r="P28"/>
      <c r="Q28"/>
      <c r="R28"/>
      <c r="S28"/>
      <c r="T28"/>
    </row>
    <row r="29" spans="1:20" x14ac:dyDescent="0.2">
      <c r="B29"/>
      <c r="C29"/>
      <c r="D29" s="804" t="s">
        <v>843</v>
      </c>
      <c r="E29" s="74" t="s">
        <v>803</v>
      </c>
      <c r="F29" s="75"/>
      <c r="G29" s="950">
        <f>+[1]PKW!$D$17*1000</f>
        <v>758856962.88050044</v>
      </c>
      <c r="H29"/>
      <c r="N29"/>
      <c r="O29"/>
      <c r="P29"/>
      <c r="Q29"/>
      <c r="R29"/>
      <c r="S29"/>
      <c r="T29"/>
    </row>
    <row r="30" spans="1:20" x14ac:dyDescent="0.2">
      <c r="B30"/>
      <c r="C30"/>
      <c r="D30"/>
      <c r="E30" s="76" t="s">
        <v>804</v>
      </c>
      <c r="F30" s="77"/>
      <c r="G30" s="883">
        <f>+[1]PKW!$C$17*1000</f>
        <v>764021037.92205691</v>
      </c>
      <c r="H30"/>
      <c r="N30"/>
      <c r="O30"/>
      <c r="P30"/>
      <c r="Q30"/>
      <c r="R30"/>
      <c r="S30"/>
      <c r="T30"/>
    </row>
    <row r="31" spans="1:20" x14ac:dyDescent="0.2">
      <c r="B31"/>
      <c r="C31"/>
      <c r="D31"/>
      <c r="E31" s="76" t="s">
        <v>805</v>
      </c>
      <c r="F31" s="77"/>
      <c r="G31" s="951">
        <f>+G30-G29</f>
        <v>5164075.0415564775</v>
      </c>
      <c r="H31"/>
      <c r="N31"/>
      <c r="O31"/>
      <c r="P31"/>
      <c r="Q31"/>
      <c r="R31"/>
      <c r="S31"/>
      <c r="T31"/>
    </row>
    <row r="32" spans="1:20" x14ac:dyDescent="0.2">
      <c r="B32"/>
      <c r="C32"/>
      <c r="D32" s="913"/>
      <c r="E32" s="76" t="s">
        <v>806</v>
      </c>
      <c r="F32" s="77"/>
      <c r="G32" s="78">
        <f>+'[1]Power Cost Lead'!$K$13</f>
        <v>1.01684</v>
      </c>
      <c r="H32"/>
      <c r="I32" s="904"/>
      <c r="J32" s="904"/>
      <c r="K32" s="904"/>
      <c r="L32" s="904"/>
      <c r="M32" s="904"/>
      <c r="N32"/>
      <c r="O32"/>
      <c r="P32"/>
      <c r="Q32"/>
      <c r="R32"/>
      <c r="S32"/>
      <c r="T32"/>
    </row>
    <row r="33" spans="2:20" ht="13.5" thickBot="1" x14ac:dyDescent="0.25">
      <c r="B33"/>
      <c r="C33"/>
      <c r="D33"/>
      <c r="E33" s="79" t="s">
        <v>807</v>
      </c>
      <c r="F33" s="80"/>
      <c r="G33" s="898">
        <f>+G31*G32</f>
        <v>5251038.0652562883</v>
      </c>
      <c r="H33" s="978">
        <f>F13-G33</f>
        <v>0</v>
      </c>
      <c r="I33" s="904"/>
      <c r="J33" s="904"/>
      <c r="K33" s="904"/>
      <c r="L33" s="904"/>
      <c r="M33" s="904"/>
      <c r="N33"/>
      <c r="O33"/>
      <c r="P33"/>
      <c r="Q33"/>
      <c r="R33"/>
      <c r="S33"/>
      <c r="T33"/>
    </row>
    <row r="34" spans="2:20" ht="15.75" customHeight="1" thickBot="1" x14ac:dyDescent="0.25">
      <c r="B34"/>
      <c r="C34"/>
      <c r="D34" s="911"/>
      <c r="H34" s="978"/>
      <c r="N34"/>
      <c r="O34"/>
      <c r="P34"/>
      <c r="Q34"/>
      <c r="R34"/>
      <c r="S34"/>
      <c r="T34"/>
    </row>
    <row r="35" spans="2:20" x14ac:dyDescent="0.2">
      <c r="B35"/>
      <c r="C35"/>
      <c r="D35" s="804" t="s">
        <v>844</v>
      </c>
      <c r="E35" s="953" t="s">
        <v>810</v>
      </c>
      <c r="F35" s="915"/>
      <c r="G35" s="954">
        <f>+[2]Lead!$E$17</f>
        <v>797064.36743651982</v>
      </c>
      <c r="H35" s="978"/>
      <c r="N35"/>
      <c r="O35"/>
      <c r="P35"/>
      <c r="Q35"/>
      <c r="R35"/>
      <c r="S35"/>
      <c r="T35"/>
    </row>
    <row r="36" spans="2:20" x14ac:dyDescent="0.2">
      <c r="B36"/>
      <c r="C36"/>
      <c r="D36" s="912"/>
      <c r="E36" s="955" t="s">
        <v>811</v>
      </c>
      <c r="F36" s="917"/>
      <c r="G36" s="956">
        <f>+[2]Lead!$E$11</f>
        <v>807842.00838059699</v>
      </c>
      <c r="H36" s="978"/>
      <c r="N36"/>
      <c r="O36"/>
      <c r="P36"/>
      <c r="Q36"/>
      <c r="R36"/>
      <c r="S36"/>
      <c r="T36"/>
    </row>
    <row r="37" spans="2:20" x14ac:dyDescent="0.2">
      <c r="B37"/>
      <c r="C37"/>
      <c r="D37" s="912"/>
      <c r="E37" s="76" t="s">
        <v>805</v>
      </c>
      <c r="F37" s="917"/>
      <c r="G37" s="951">
        <f>+G36-G35</f>
        <v>10777.640944077168</v>
      </c>
      <c r="H37" s="978"/>
      <c r="N37"/>
      <c r="O37"/>
      <c r="P37"/>
      <c r="Q37"/>
      <c r="R37"/>
      <c r="S37"/>
      <c r="T37"/>
    </row>
    <row r="38" spans="2:20" ht="15.75" x14ac:dyDescent="0.25">
      <c r="B38"/>
      <c r="C38"/>
      <c r="D38" s="912"/>
      <c r="E38" s="76" t="s">
        <v>806</v>
      </c>
      <c r="F38" s="77"/>
      <c r="G38" s="78">
        <f>+G32</f>
        <v>1.01684</v>
      </c>
      <c r="H38" s="979"/>
      <c r="I38" s="870"/>
      <c r="J38" s="870"/>
      <c r="K38" s="870"/>
      <c r="L38" s="870"/>
      <c r="M38" s="870"/>
      <c r="N38"/>
      <c r="O38"/>
      <c r="P38"/>
      <c r="Q38"/>
      <c r="R38"/>
      <c r="S38"/>
      <c r="T38"/>
    </row>
    <row r="39" spans="2:20" ht="16.5" thickBot="1" x14ac:dyDescent="0.3">
      <c r="B39"/>
      <c r="C39"/>
      <c r="D39" s="912"/>
      <c r="E39" s="79" t="s">
        <v>812</v>
      </c>
      <c r="F39" s="919"/>
      <c r="G39" s="898">
        <f>+G37*G38</f>
        <v>10959.136417575426</v>
      </c>
      <c r="H39" s="979">
        <f>G39-F14</f>
        <v>0</v>
      </c>
      <c r="I39" s="870"/>
      <c r="J39" s="870"/>
      <c r="K39" s="870"/>
      <c r="L39" s="870"/>
      <c r="M39" s="870"/>
      <c r="N39"/>
      <c r="O39"/>
      <c r="P39"/>
      <c r="Q39"/>
      <c r="R39"/>
      <c r="S39"/>
      <c r="T39"/>
    </row>
    <row r="40" spans="2:20" ht="16.5" thickBot="1" x14ac:dyDescent="0.3">
      <c r="B40"/>
      <c r="C40"/>
      <c r="D40" s="912"/>
      <c r="E40"/>
      <c r="F40"/>
      <c r="G40"/>
      <c r="H40" s="979"/>
      <c r="I40" s="870"/>
      <c r="J40" s="870"/>
      <c r="K40" s="870"/>
      <c r="L40" s="870"/>
      <c r="M40" s="870"/>
      <c r="N40"/>
      <c r="O40"/>
      <c r="P40"/>
      <c r="Q40"/>
      <c r="R40"/>
      <c r="S40"/>
      <c r="T40"/>
    </row>
    <row r="41" spans="2:20" ht="15.75" x14ac:dyDescent="0.25">
      <c r="B41"/>
      <c r="C41"/>
      <c r="D41" s="804" t="s">
        <v>845</v>
      </c>
      <c r="E41" s="822" t="s">
        <v>824</v>
      </c>
      <c r="F41" s="916"/>
      <c r="G41" s="897"/>
      <c r="H41" s="979"/>
      <c r="I41" s="870"/>
      <c r="J41" s="870"/>
      <c r="K41" s="870"/>
      <c r="L41" s="870"/>
      <c r="M41" s="870"/>
      <c r="N41"/>
      <c r="O41"/>
      <c r="P41"/>
      <c r="Q41"/>
      <c r="R41"/>
      <c r="S41"/>
      <c r="T41"/>
    </row>
    <row r="42" spans="2:20" ht="15.75" x14ac:dyDescent="0.25">
      <c r="B42"/>
      <c r="C42"/>
      <c r="D42"/>
      <c r="E42" s="76" t="s">
        <v>799</v>
      </c>
      <c r="F42" s="917"/>
      <c r="G42" s="918">
        <f>680058011.624621/1000</f>
        <v>680058.01162462099</v>
      </c>
      <c r="H42" s="979"/>
      <c r="I42" s="870"/>
      <c r="J42" s="870"/>
      <c r="K42" s="870"/>
      <c r="L42" s="870"/>
      <c r="M42" s="870"/>
      <c r="N42"/>
      <c r="O42"/>
      <c r="P42"/>
      <c r="Q42"/>
      <c r="R42"/>
      <c r="S42"/>
      <c r="T42"/>
    </row>
    <row r="43" spans="2:20" ht="15.75" x14ac:dyDescent="0.25">
      <c r="B43"/>
      <c r="C43"/>
      <c r="D43"/>
      <c r="E43" s="76" t="s">
        <v>800</v>
      </c>
      <c r="F43" s="917"/>
      <c r="G43" s="920">
        <f>+Deficiency!D22-Deficiency!K22</f>
        <v>0.27200000000000557</v>
      </c>
      <c r="H43" s="979"/>
      <c r="I43" s="870"/>
      <c r="J43" s="870"/>
      <c r="K43" s="870"/>
      <c r="L43" s="870"/>
      <c r="M43" s="870"/>
      <c r="N43"/>
      <c r="O43"/>
      <c r="P43"/>
      <c r="Q43"/>
      <c r="R43"/>
      <c r="S43"/>
      <c r="T43"/>
    </row>
    <row r="44" spans="2:20" ht="16.5" thickBot="1" x14ac:dyDescent="0.3">
      <c r="B44"/>
      <c r="C44"/>
      <c r="D44"/>
      <c r="E44" s="79" t="s">
        <v>816</v>
      </c>
      <c r="F44" s="919"/>
      <c r="G44" s="921">
        <f>+G42*G43</f>
        <v>184975.77916190069</v>
      </c>
      <c r="H44" s="979">
        <f>G44-J15</f>
        <v>4.0745362639427185E-10</v>
      </c>
      <c r="I44" s="870"/>
      <c r="J44" s="870"/>
      <c r="K44" s="870"/>
      <c r="L44" s="870"/>
      <c r="M44" s="870"/>
      <c r="N44"/>
      <c r="O44"/>
      <c r="P44"/>
      <c r="Q44"/>
      <c r="R44"/>
      <c r="S44"/>
      <c r="T44"/>
    </row>
    <row r="45" spans="2:20" ht="16.5" thickBot="1" x14ac:dyDescent="0.3">
      <c r="B45"/>
      <c r="C45"/>
      <c r="D45"/>
      <c r="E45"/>
      <c r="F45"/>
      <c r="G45"/>
      <c r="H45" s="870"/>
      <c r="I45" s="870"/>
      <c r="J45" s="870"/>
      <c r="K45" s="870"/>
      <c r="L45" s="870"/>
      <c r="M45" s="870"/>
      <c r="N45"/>
      <c r="O45"/>
      <c r="P45"/>
      <c r="Q45"/>
      <c r="R45"/>
      <c r="S45"/>
      <c r="T45"/>
    </row>
    <row r="46" spans="2:20" ht="15.75" x14ac:dyDescent="0.25">
      <c r="B46"/>
      <c r="C46"/>
      <c r="D46" s="804" t="s">
        <v>846</v>
      </c>
      <c r="E46" s="822" t="s">
        <v>825</v>
      </c>
      <c r="F46" s="75"/>
      <c r="G46" s="75"/>
      <c r="H46" s="994"/>
      <c r="I46" s="983"/>
      <c r="J46" s="870"/>
      <c r="K46" s="870"/>
      <c r="L46" s="870"/>
      <c r="M46" s="870"/>
      <c r="N46"/>
      <c r="O46"/>
      <c r="P46"/>
      <c r="Q46"/>
      <c r="R46"/>
      <c r="S46"/>
      <c r="T46"/>
    </row>
    <row r="47" spans="2:20" ht="71.25" customHeight="1" x14ac:dyDescent="0.25">
      <c r="B47"/>
      <c r="C47"/>
      <c r="D47"/>
      <c r="E47" s="995" t="s">
        <v>826</v>
      </c>
      <c r="F47" s="980" t="s">
        <v>24</v>
      </c>
      <c r="G47" s="981" t="s">
        <v>841</v>
      </c>
      <c r="H47" s="981" t="s">
        <v>842</v>
      </c>
      <c r="I47" s="984" t="s">
        <v>802</v>
      </c>
      <c r="J47" s="870"/>
      <c r="K47" s="870"/>
      <c r="L47" s="870"/>
      <c r="M47" s="870"/>
      <c r="N47"/>
      <c r="O47"/>
      <c r="P47"/>
      <c r="Q47"/>
      <c r="R47"/>
      <c r="S47"/>
      <c r="T47"/>
    </row>
    <row r="48" spans="2:20" ht="15.75" x14ac:dyDescent="0.25">
      <c r="B48"/>
      <c r="C48"/>
      <c r="D48"/>
      <c r="E48" s="996">
        <v>7</v>
      </c>
      <c r="F48" s="917"/>
      <c r="G48" s="986">
        <f>+'[3]Sch 139 Eff 7-1-2021'!$H$10</f>
        <v>1137</v>
      </c>
      <c r="H48" s="986">
        <v>1200</v>
      </c>
      <c r="I48" s="987">
        <f>+G48-H48</f>
        <v>-63</v>
      </c>
      <c r="J48" s="870"/>
      <c r="K48" s="870"/>
      <c r="L48" s="870"/>
      <c r="M48" s="870"/>
      <c r="N48"/>
      <c r="O48"/>
      <c r="P48"/>
      <c r="Q48"/>
      <c r="R48"/>
      <c r="S48"/>
      <c r="T48"/>
    </row>
    <row r="49" spans="2:20" ht="15.75" x14ac:dyDescent="0.25">
      <c r="B49"/>
      <c r="C49"/>
      <c r="D49"/>
      <c r="E49" s="997" t="s">
        <v>827</v>
      </c>
      <c r="F49" s="917"/>
      <c r="G49" s="986">
        <v>0</v>
      </c>
      <c r="H49" s="986">
        <v>0</v>
      </c>
      <c r="I49" s="987">
        <f>+G49-H49</f>
        <v>0</v>
      </c>
      <c r="J49" s="870"/>
      <c r="K49" s="870"/>
      <c r="L49" s="870"/>
      <c r="M49" s="870"/>
      <c r="N49"/>
      <c r="O49"/>
      <c r="P49"/>
      <c r="Q49"/>
      <c r="R49"/>
      <c r="S49"/>
      <c r="T49"/>
    </row>
    <row r="50" spans="2:20" ht="15.75" x14ac:dyDescent="0.25">
      <c r="B50"/>
      <c r="C50"/>
      <c r="D50"/>
      <c r="E50" s="998"/>
      <c r="F50" s="988" t="s">
        <v>828</v>
      </c>
      <c r="G50" s="982">
        <f>SUM(G48:G49)</f>
        <v>1137</v>
      </c>
      <c r="H50" s="982">
        <f>SUM(H48:H49)</f>
        <v>1200</v>
      </c>
      <c r="I50" s="989">
        <f>SUM(I48:I49)</f>
        <v>-63</v>
      </c>
      <c r="J50" s="870"/>
      <c r="K50" s="870"/>
      <c r="L50" s="870"/>
      <c r="M50" s="870"/>
      <c r="N50"/>
      <c r="O50"/>
      <c r="P50"/>
      <c r="Q50"/>
      <c r="R50"/>
      <c r="S50"/>
      <c r="T50"/>
    </row>
    <row r="51" spans="2:20" ht="15" x14ac:dyDescent="0.2">
      <c r="B51"/>
      <c r="C51"/>
      <c r="D51"/>
      <c r="E51" s="996"/>
      <c r="F51" s="917"/>
      <c r="G51" s="986"/>
      <c r="H51" s="986"/>
      <c r="I51" s="987"/>
      <c r="J51" s="871"/>
      <c r="K51" s="871"/>
      <c r="L51" s="871"/>
      <c r="M51" s="871"/>
      <c r="N51"/>
      <c r="O51"/>
      <c r="P51"/>
      <c r="Q51"/>
      <c r="R51"/>
      <c r="S51"/>
      <c r="T51"/>
    </row>
    <row r="52" spans="2:20" ht="15" x14ac:dyDescent="0.2">
      <c r="B52"/>
      <c r="C52"/>
      <c r="D52"/>
      <c r="E52" s="996">
        <v>8</v>
      </c>
      <c r="F52" s="917"/>
      <c r="G52" s="986">
        <v>0</v>
      </c>
      <c r="H52" s="986">
        <v>0</v>
      </c>
      <c r="I52" s="987">
        <v>0</v>
      </c>
      <c r="J52" s="871"/>
      <c r="K52" s="871"/>
      <c r="L52" s="871"/>
      <c r="M52" s="871"/>
      <c r="N52"/>
      <c r="O52"/>
      <c r="P52"/>
      <c r="Q52"/>
      <c r="R52"/>
      <c r="S52"/>
      <c r="T52"/>
    </row>
    <row r="53" spans="2:20" ht="15" x14ac:dyDescent="0.2">
      <c r="B53"/>
      <c r="C53"/>
      <c r="D53"/>
      <c r="E53" s="996">
        <v>24</v>
      </c>
      <c r="F53" s="917"/>
      <c r="G53" s="986">
        <f>+'[3]Sch 139 Eff 7-1-2021'!$H$17</f>
        <v>1414778</v>
      </c>
      <c r="H53" s="986">
        <v>1496555</v>
      </c>
      <c r="I53" s="987">
        <f t="shared" ref="I53:I58" si="13">+G53-H53</f>
        <v>-81777</v>
      </c>
      <c r="J53" s="871"/>
      <c r="K53" s="871"/>
      <c r="L53" s="871"/>
      <c r="M53" s="871"/>
      <c r="N53"/>
      <c r="O53"/>
      <c r="P53"/>
      <c r="Q53"/>
      <c r="R53"/>
      <c r="S53"/>
      <c r="T53"/>
    </row>
    <row r="54" spans="2:20" x14ac:dyDescent="0.2">
      <c r="B54"/>
      <c r="C54"/>
      <c r="D54"/>
      <c r="E54" s="997">
        <v>11</v>
      </c>
      <c r="F54" s="917"/>
      <c r="G54" s="986">
        <v>0</v>
      </c>
      <c r="H54" s="986">
        <v>0</v>
      </c>
      <c r="I54" s="987">
        <f t="shared" si="13"/>
        <v>0</v>
      </c>
      <c r="N54"/>
      <c r="O54"/>
      <c r="P54"/>
      <c r="Q54"/>
      <c r="R54"/>
      <c r="S54"/>
      <c r="T54"/>
    </row>
    <row r="55" spans="2:20" x14ac:dyDescent="0.2">
      <c r="B55"/>
      <c r="C55"/>
      <c r="D55"/>
      <c r="E55" s="997">
        <v>25</v>
      </c>
      <c r="F55" s="917"/>
      <c r="G55" s="986">
        <f>+'[3]Sch 139 Eff 7-1-2021'!$H$24</f>
        <v>394434</v>
      </c>
      <c r="H55" s="986">
        <v>416979</v>
      </c>
      <c r="I55" s="987">
        <f t="shared" si="13"/>
        <v>-22545</v>
      </c>
      <c r="N55"/>
      <c r="O55"/>
      <c r="P55"/>
      <c r="Q55"/>
      <c r="R55"/>
      <c r="S55"/>
      <c r="T55"/>
    </row>
    <row r="56" spans="2:20" x14ac:dyDescent="0.2">
      <c r="B56"/>
      <c r="C56"/>
      <c r="D56"/>
      <c r="E56" s="996">
        <v>12</v>
      </c>
      <c r="F56" s="917"/>
      <c r="G56" s="986">
        <v>0</v>
      </c>
      <c r="H56" s="986">
        <v>0</v>
      </c>
      <c r="I56" s="987">
        <f t="shared" si="13"/>
        <v>0</v>
      </c>
      <c r="N56"/>
      <c r="O56"/>
      <c r="P56"/>
      <c r="Q56"/>
      <c r="R56"/>
      <c r="S56"/>
      <c r="T56"/>
    </row>
    <row r="57" spans="2:20" x14ac:dyDescent="0.2">
      <c r="B57"/>
      <c r="C57"/>
      <c r="D57"/>
      <c r="E57" s="996" t="s">
        <v>829</v>
      </c>
      <c r="F57" s="917"/>
      <c r="G57" s="986">
        <f>+'[3]Sch 139 Eff 7-1-2021'!$H$31</f>
        <v>412425</v>
      </c>
      <c r="H57" s="986">
        <v>435521</v>
      </c>
      <c r="I57" s="987">
        <f t="shared" si="13"/>
        <v>-23096</v>
      </c>
      <c r="N57"/>
      <c r="O57"/>
      <c r="P57"/>
      <c r="Q57"/>
      <c r="R57"/>
      <c r="S57"/>
      <c r="T57"/>
    </row>
    <row r="58" spans="2:20" x14ac:dyDescent="0.2">
      <c r="B58"/>
      <c r="C58"/>
      <c r="D58"/>
      <c r="E58" s="996">
        <v>29</v>
      </c>
      <c r="F58" s="917"/>
      <c r="G58" s="986">
        <v>0</v>
      </c>
      <c r="H58" s="986">
        <v>0</v>
      </c>
      <c r="I58" s="987">
        <f t="shared" si="13"/>
        <v>0</v>
      </c>
    </row>
    <row r="59" spans="2:20" x14ac:dyDescent="0.2">
      <c r="B59"/>
      <c r="C59"/>
      <c r="D59"/>
      <c r="E59" s="998"/>
      <c r="F59" s="990" t="s">
        <v>830</v>
      </c>
      <c r="G59" s="982">
        <f>SUM(G52:G58)</f>
        <v>2221637</v>
      </c>
      <c r="H59" s="982">
        <f>SUM(H52:H58)</f>
        <v>2349055</v>
      </c>
      <c r="I59" s="989">
        <f>SUM(I52:I58)</f>
        <v>-127418</v>
      </c>
    </row>
    <row r="60" spans="2:20" x14ac:dyDescent="0.2">
      <c r="B60"/>
      <c r="C60"/>
      <c r="D60"/>
      <c r="E60" s="996"/>
      <c r="F60" s="917"/>
      <c r="G60" s="986"/>
      <c r="H60" s="986"/>
      <c r="I60" s="987"/>
    </row>
    <row r="61" spans="2:20" x14ac:dyDescent="0.2">
      <c r="B61"/>
      <c r="C61"/>
      <c r="D61"/>
      <c r="E61" s="996">
        <v>10</v>
      </c>
      <c r="F61" s="917"/>
      <c r="G61" s="986">
        <v>0</v>
      </c>
      <c r="H61" s="986">
        <v>0</v>
      </c>
      <c r="I61" s="987">
        <f t="shared" ref="I61:I64" si="14">+G61-H61</f>
        <v>0</v>
      </c>
    </row>
    <row r="62" spans="2:20" x14ac:dyDescent="0.2">
      <c r="B62"/>
      <c r="C62"/>
      <c r="D62"/>
      <c r="E62" s="996">
        <v>31</v>
      </c>
      <c r="F62" s="917"/>
      <c r="G62" s="986">
        <f>+'[3]Sch 139 Eff 7-1-2021'!$H$37</f>
        <v>335835</v>
      </c>
      <c r="H62" s="986">
        <v>354988</v>
      </c>
      <c r="I62" s="987">
        <f t="shared" si="14"/>
        <v>-19153</v>
      </c>
    </row>
    <row r="63" spans="2:20" x14ac:dyDescent="0.2">
      <c r="B63"/>
      <c r="C63"/>
      <c r="D63"/>
      <c r="E63" s="996">
        <v>35</v>
      </c>
      <c r="F63" s="917"/>
      <c r="G63" s="986">
        <v>0</v>
      </c>
      <c r="H63" s="986">
        <v>0</v>
      </c>
      <c r="I63" s="987">
        <f t="shared" si="14"/>
        <v>0</v>
      </c>
    </row>
    <row r="64" spans="2:20" x14ac:dyDescent="0.2">
      <c r="B64"/>
      <c r="C64"/>
      <c r="D64"/>
      <c r="E64" s="996">
        <v>43</v>
      </c>
      <c r="F64" s="917"/>
      <c r="G64" s="986">
        <f>+'[3]Sch 139 Eff 7-1-2021'!$H$39</f>
        <v>7360</v>
      </c>
      <c r="H64" s="986">
        <v>7767</v>
      </c>
      <c r="I64" s="987">
        <f t="shared" si="14"/>
        <v>-407</v>
      </c>
    </row>
    <row r="65" spans="2:10" x14ac:dyDescent="0.2">
      <c r="B65"/>
      <c r="C65"/>
      <c r="D65"/>
      <c r="E65" s="998"/>
      <c r="F65" s="988" t="s">
        <v>831</v>
      </c>
      <c r="G65" s="982">
        <f>SUM(G61:G64)</f>
        <v>343195</v>
      </c>
      <c r="H65" s="982">
        <f>SUM(H61:H64)</f>
        <v>362755</v>
      </c>
      <c r="I65" s="989">
        <f>SUM(I61:I64)</f>
        <v>-19560</v>
      </c>
    </row>
    <row r="66" spans="2:10" x14ac:dyDescent="0.2">
      <c r="B66"/>
      <c r="C66"/>
      <c r="D66"/>
      <c r="E66" s="996"/>
      <c r="F66" s="917"/>
      <c r="G66" s="986"/>
      <c r="H66" s="986"/>
      <c r="I66" s="987"/>
    </row>
    <row r="67" spans="2:10" x14ac:dyDescent="0.2">
      <c r="B67"/>
      <c r="C67"/>
      <c r="D67"/>
      <c r="E67" s="996">
        <v>46</v>
      </c>
      <c r="F67" s="917"/>
      <c r="G67" s="986">
        <f>+'[3]Sch 139 Eff 7-1-2021'!$H$41</f>
        <v>58665</v>
      </c>
      <c r="H67" s="986">
        <v>62233</v>
      </c>
      <c r="I67" s="987">
        <f t="shared" ref="I67:I68" si="15">+G67-H67</f>
        <v>-3568</v>
      </c>
    </row>
    <row r="68" spans="2:10" x14ac:dyDescent="0.2">
      <c r="B68"/>
      <c r="C68"/>
      <c r="D68"/>
      <c r="E68" s="996">
        <v>49</v>
      </c>
      <c r="F68" s="917"/>
      <c r="G68" s="986">
        <f>+'[3]Sch 139 Eff 7-1-2021'!$H$44</f>
        <v>609547</v>
      </c>
      <c r="H68" s="986">
        <v>643915</v>
      </c>
      <c r="I68" s="987">
        <f t="shared" si="15"/>
        <v>-34368</v>
      </c>
    </row>
    <row r="69" spans="2:10" x14ac:dyDescent="0.2">
      <c r="B69"/>
      <c r="C69"/>
      <c r="D69"/>
      <c r="E69" s="998"/>
      <c r="F69" s="988" t="s">
        <v>832</v>
      </c>
      <c r="G69" s="982">
        <f>SUM(G67:G68)</f>
        <v>668212</v>
      </c>
      <c r="H69" s="982">
        <f>SUM(H67:H68)</f>
        <v>706148</v>
      </c>
      <c r="I69" s="989">
        <f>SUM(I67:I68)</f>
        <v>-37936</v>
      </c>
    </row>
    <row r="70" spans="2:10" x14ac:dyDescent="0.2">
      <c r="B70"/>
      <c r="C70"/>
      <c r="D70"/>
      <c r="E70" s="998"/>
      <c r="F70" s="985"/>
      <c r="G70" s="986"/>
      <c r="H70" s="986"/>
      <c r="I70" s="987"/>
    </row>
    <row r="71" spans="2:10" x14ac:dyDescent="0.2">
      <c r="B71"/>
      <c r="C71"/>
      <c r="D71"/>
      <c r="E71" s="991" t="s">
        <v>834</v>
      </c>
      <c r="F71" s="985" t="s">
        <v>833</v>
      </c>
      <c r="G71" s="986">
        <f>+'[3]Sch 139 Eff 7-1-2021'!$H$46</f>
        <v>5</v>
      </c>
      <c r="H71" s="986">
        <v>5</v>
      </c>
      <c r="I71" s="987">
        <f t="shared" ref="I71:I74" si="16">+G71-H71</f>
        <v>0</v>
      </c>
    </row>
    <row r="72" spans="2:10" x14ac:dyDescent="0.2">
      <c r="B72"/>
      <c r="C72"/>
      <c r="D72"/>
      <c r="E72" s="991" t="s">
        <v>836</v>
      </c>
      <c r="F72" s="985" t="s">
        <v>835</v>
      </c>
      <c r="G72" s="986">
        <v>0</v>
      </c>
      <c r="H72" s="986">
        <v>0</v>
      </c>
      <c r="I72" s="987">
        <f t="shared" si="16"/>
        <v>0</v>
      </c>
    </row>
    <row r="73" spans="2:10" x14ac:dyDescent="0.2">
      <c r="B73"/>
      <c r="C73"/>
      <c r="D73"/>
      <c r="E73" s="991" t="s">
        <v>838</v>
      </c>
      <c r="F73" s="985" t="s">
        <v>837</v>
      </c>
      <c r="G73" s="986">
        <v>0</v>
      </c>
      <c r="H73" s="986">
        <v>0</v>
      </c>
      <c r="I73" s="987">
        <f t="shared" si="16"/>
        <v>0</v>
      </c>
    </row>
    <row r="74" spans="2:10" x14ac:dyDescent="0.2">
      <c r="B74"/>
      <c r="C74"/>
      <c r="D74"/>
      <c r="E74" s="991" t="s">
        <v>839</v>
      </c>
      <c r="F74" s="985">
        <v>5</v>
      </c>
      <c r="G74" s="986">
        <v>0</v>
      </c>
      <c r="H74" s="986">
        <v>0</v>
      </c>
      <c r="I74" s="987">
        <f t="shared" si="16"/>
        <v>0</v>
      </c>
    </row>
    <row r="75" spans="2:10" x14ac:dyDescent="0.2">
      <c r="B75"/>
      <c r="C75"/>
      <c r="D75"/>
      <c r="E75" s="996"/>
      <c r="F75" s="917"/>
      <c r="G75" s="986"/>
      <c r="H75" s="986"/>
      <c r="I75" s="987"/>
    </row>
    <row r="76" spans="2:10" ht="16.5" thickBot="1" x14ac:dyDescent="0.3">
      <c r="B76"/>
      <c r="C76"/>
      <c r="E76" s="999" t="s">
        <v>840</v>
      </c>
      <c r="F76" s="919"/>
      <c r="G76" s="992">
        <f>SUM(G71:G74,G69,G65,G59,G50)</f>
        <v>3234186</v>
      </c>
      <c r="H76" s="992">
        <f>SUM(H71:H74,H69,H65,H59,H50)</f>
        <v>3419163</v>
      </c>
      <c r="I76" s="993">
        <f>SUM(I71:I74,I69,I65,I59,I50)</f>
        <v>-184977</v>
      </c>
      <c r="J76" s="979">
        <f>+I76-K15</f>
        <v>0</v>
      </c>
    </row>
    <row r="77" spans="2:10" x14ac:dyDescent="0.2">
      <c r="B77"/>
      <c r="C77"/>
      <c r="D77"/>
      <c r="E77"/>
      <c r="F77"/>
      <c r="G77"/>
    </row>
    <row r="78" spans="2:10" x14ac:dyDescent="0.2">
      <c r="B78"/>
      <c r="C78"/>
      <c r="D78"/>
      <c r="E78"/>
      <c r="F78"/>
      <c r="G78"/>
    </row>
    <row r="79" spans="2:10" x14ac:dyDescent="0.2">
      <c r="B79"/>
      <c r="C79"/>
      <c r="D79"/>
      <c r="E79"/>
      <c r="F79"/>
      <c r="G79"/>
    </row>
    <row r="80" spans="2:10" x14ac:dyDescent="0.2">
      <c r="B80"/>
      <c r="C80"/>
      <c r="D80"/>
      <c r="E80"/>
      <c r="F80"/>
      <c r="G80"/>
    </row>
    <row r="81" spans="2:7" x14ac:dyDescent="0.2">
      <c r="B81"/>
      <c r="C81"/>
      <c r="D81"/>
      <c r="E81"/>
      <c r="F81"/>
      <c r="G81"/>
    </row>
    <row r="82" spans="2:7" x14ac:dyDescent="0.2">
      <c r="B82"/>
      <c r="C82"/>
      <c r="D82"/>
      <c r="E82"/>
      <c r="F82"/>
      <c r="G82"/>
    </row>
    <row r="83" spans="2:7" x14ac:dyDescent="0.2">
      <c r="B83"/>
      <c r="C83"/>
      <c r="D83"/>
      <c r="E83"/>
      <c r="F83"/>
      <c r="G83"/>
    </row>
    <row r="84" spans="2:7" x14ac:dyDescent="0.2">
      <c r="B84"/>
      <c r="C84"/>
      <c r="D84"/>
      <c r="E84"/>
      <c r="F84"/>
      <c r="G84"/>
    </row>
    <row r="85" spans="2:7" x14ac:dyDescent="0.2">
      <c r="B85"/>
      <c r="C85"/>
      <c r="D85"/>
      <c r="E85"/>
      <c r="F85"/>
      <c r="G85"/>
    </row>
  </sheetData>
  <conditionalFormatting sqref="C5:L6">
    <cfRule type="cellIs" dxfId="79" priority="11" operator="notEqual">
      <formula>0</formula>
    </cfRule>
  </conditionalFormatting>
  <conditionalFormatting sqref="C5">
    <cfRule type="cellIs" dxfId="78" priority="10" operator="equal">
      <formula>0</formula>
    </cfRule>
  </conditionalFormatting>
  <conditionalFormatting sqref="E5:I5 K5">
    <cfRule type="cellIs" dxfId="77" priority="9" operator="equal">
      <formula>0</formula>
    </cfRule>
  </conditionalFormatting>
  <conditionalFormatting sqref="E5:G5">
    <cfRule type="cellIs" dxfId="76" priority="8" operator="equal">
      <formula>0</formula>
    </cfRule>
  </conditionalFormatting>
  <conditionalFormatting sqref="H5">
    <cfRule type="cellIs" dxfId="75" priority="7" operator="equal">
      <formula>0</formula>
    </cfRule>
  </conditionalFormatting>
  <conditionalFormatting sqref="J5 L5">
    <cfRule type="cellIs" dxfId="74" priority="6" operator="equal">
      <formula>0</formula>
    </cfRule>
  </conditionalFormatting>
  <conditionalFormatting sqref="J5 L5">
    <cfRule type="cellIs" dxfId="73" priority="5" operator="equal">
      <formula>0</formula>
    </cfRule>
  </conditionalFormatting>
  <conditionalFormatting sqref="E2">
    <cfRule type="cellIs" dxfId="72" priority="3" operator="equal">
      <formula>"THIS IS A SAFEKEEP"</formula>
    </cfRule>
    <cfRule type="cellIs" dxfId="71" priority="4" operator="equal">
      <formula>"THIS IS THE LIVE MODEL"</formula>
    </cfRule>
  </conditionalFormatting>
  <conditionalFormatting sqref="E5:H5">
    <cfRule type="cellIs" dxfId="70" priority="2" operator="equal">
      <formula>0</formula>
    </cfRule>
  </conditionalFormatting>
  <conditionalFormatting sqref="J5 L5">
    <cfRule type="cellIs" dxfId="69" priority="1" operator="equal">
      <formula>0</formula>
    </cfRule>
  </conditionalFormatting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zoomScale="110" zoomScaleNormal="110" workbookViewId="0">
      <pane xSplit="1" ySplit="4" topLeftCell="B116" activePane="bottomRight" state="frozen"/>
      <selection activeCell="V3" sqref="V3"/>
      <selection pane="topRight" activeCell="V3" sqref="V3"/>
      <selection pane="bottomLeft" activeCell="V3" sqref="V3"/>
      <selection pane="bottomRight" activeCell="E43" sqref="E43"/>
    </sheetView>
  </sheetViews>
  <sheetFormatPr defaultRowHeight="12.75" x14ac:dyDescent="0.2"/>
  <cols>
    <col min="1" max="1" width="50.28515625" style="361" bestFit="1" customWidth="1"/>
    <col min="2" max="5" width="15.28515625" style="361" bestFit="1" customWidth="1"/>
    <col min="6" max="6" width="15.28515625" style="361" customWidth="1"/>
    <col min="7" max="7" width="12.5703125" bestFit="1" customWidth="1"/>
    <col min="8" max="8" width="38" bestFit="1" customWidth="1"/>
    <col min="9" max="9" width="15.28515625" bestFit="1" customWidth="1"/>
    <col min="10" max="10" width="13.7109375" bestFit="1" customWidth="1"/>
    <col min="11" max="11" width="15.28515625" bestFit="1" customWidth="1"/>
  </cols>
  <sheetData>
    <row r="1" spans="1:11" x14ac:dyDescent="0.2">
      <c r="A1" s="374" t="s">
        <v>552</v>
      </c>
      <c r="B1" s="754">
        <v>0.66269843402512063</v>
      </c>
      <c r="C1" s="754">
        <v>0.66273532345843744</v>
      </c>
      <c r="E1" s="375"/>
      <c r="F1" s="375"/>
      <c r="H1" s="296"/>
      <c r="I1" s="297"/>
      <c r="J1" s="297"/>
      <c r="K1" s="298"/>
    </row>
    <row r="2" spans="1:11" x14ac:dyDescent="0.2">
      <c r="A2" s="374" t="s">
        <v>553</v>
      </c>
      <c r="B2" s="754">
        <v>0.33730156597487942</v>
      </c>
      <c r="C2" s="754">
        <v>0.33726467654156267</v>
      </c>
      <c r="D2" s="375"/>
      <c r="E2" s="375"/>
      <c r="F2" s="375"/>
      <c r="H2" s="372"/>
      <c r="I2" s="77"/>
      <c r="J2" s="77"/>
      <c r="K2" s="373"/>
    </row>
    <row r="3" spans="1:11" x14ac:dyDescent="0.2">
      <c r="H3" s="372"/>
      <c r="I3" s="77"/>
      <c r="J3" s="77"/>
      <c r="K3" s="373"/>
    </row>
    <row r="4" spans="1:11" ht="15" x14ac:dyDescent="0.25">
      <c r="A4" s="365" t="s">
        <v>459</v>
      </c>
      <c r="B4" s="366" t="s">
        <v>460</v>
      </c>
      <c r="C4" s="366" t="s">
        <v>554</v>
      </c>
      <c r="D4" s="366" t="s">
        <v>555</v>
      </c>
      <c r="E4" s="366" t="s">
        <v>556</v>
      </c>
      <c r="F4" s="366" t="s">
        <v>255</v>
      </c>
      <c r="H4" s="329" t="s">
        <v>288</v>
      </c>
      <c r="I4" s="330"/>
      <c r="J4" s="330"/>
      <c r="K4" s="331"/>
    </row>
    <row r="5" spans="1:11" x14ac:dyDescent="0.2">
      <c r="A5" s="367" t="s">
        <v>461</v>
      </c>
      <c r="B5" s="376">
        <v>36465210.560000002</v>
      </c>
      <c r="C5" s="376" t="s">
        <v>585</v>
      </c>
      <c r="D5" s="376"/>
      <c r="E5" s="376"/>
      <c r="F5" s="376"/>
      <c r="G5" s="292"/>
      <c r="H5" s="332" t="s">
        <v>22</v>
      </c>
      <c r="I5" s="82"/>
      <c r="J5" s="82"/>
      <c r="K5" s="333"/>
    </row>
    <row r="6" spans="1:11" x14ac:dyDescent="0.2">
      <c r="A6" s="367" t="s">
        <v>462</v>
      </c>
      <c r="B6" s="376">
        <v>957230.2</v>
      </c>
      <c r="C6" s="376"/>
      <c r="D6" s="376"/>
      <c r="E6" s="376"/>
      <c r="F6" s="376"/>
      <c r="G6" s="292"/>
      <c r="H6" s="332" t="s">
        <v>250</v>
      </c>
      <c r="I6" s="82"/>
      <c r="J6" s="82"/>
      <c r="K6" s="333"/>
    </row>
    <row r="7" spans="1:11" x14ac:dyDescent="0.2">
      <c r="A7" s="367" t="s">
        <v>463</v>
      </c>
      <c r="B7" s="376">
        <v>1444749.6</v>
      </c>
      <c r="C7" s="376"/>
      <c r="D7" s="376"/>
      <c r="E7" s="376"/>
      <c r="F7" s="376"/>
      <c r="G7" s="292"/>
      <c r="H7" s="334" t="s">
        <v>251</v>
      </c>
      <c r="I7" s="335"/>
      <c r="J7" s="335"/>
      <c r="K7" s="336"/>
    </row>
    <row r="8" spans="1:11" ht="15" x14ac:dyDescent="0.25">
      <c r="A8" s="367" t="s">
        <v>464</v>
      </c>
      <c r="B8" s="376">
        <v>1050775.3999999999</v>
      </c>
      <c r="C8" s="376"/>
      <c r="D8" s="376"/>
      <c r="E8" s="376"/>
      <c r="F8" s="376"/>
      <c r="G8" s="292"/>
      <c r="H8" s="337"/>
      <c r="I8" s="82"/>
      <c r="J8" s="82"/>
      <c r="K8" s="333"/>
    </row>
    <row r="9" spans="1:11" x14ac:dyDescent="0.2">
      <c r="A9" s="367" t="s">
        <v>465</v>
      </c>
      <c r="B9" s="376">
        <v>2037533.85</v>
      </c>
      <c r="C9" s="376"/>
      <c r="D9" s="376"/>
      <c r="E9" s="376"/>
      <c r="F9" s="376"/>
      <c r="G9" s="292"/>
      <c r="H9" s="338" t="s">
        <v>252</v>
      </c>
      <c r="I9" s="339"/>
      <c r="J9" s="339"/>
      <c r="K9" s="340"/>
    </row>
    <row r="10" spans="1:11" x14ac:dyDescent="0.2">
      <c r="A10" s="367" t="s">
        <v>466</v>
      </c>
      <c r="B10" s="376">
        <v>1694072.86</v>
      </c>
      <c r="C10" s="376"/>
      <c r="D10" s="376"/>
      <c r="E10" s="376"/>
      <c r="F10" s="376"/>
      <c r="G10" s="292"/>
      <c r="H10" s="338" t="s">
        <v>253</v>
      </c>
      <c r="I10" s="339"/>
      <c r="J10" s="339"/>
      <c r="K10" s="340"/>
    </row>
    <row r="11" spans="1:11" x14ac:dyDescent="0.2">
      <c r="A11" s="367" t="s">
        <v>467</v>
      </c>
      <c r="B11" s="376">
        <v>575076.63</v>
      </c>
      <c r="C11" s="376"/>
      <c r="D11" s="376"/>
      <c r="E11" s="376"/>
      <c r="F11" s="376"/>
      <c r="G11" s="292"/>
      <c r="H11" s="272"/>
      <c r="I11" s="273" t="s">
        <v>254</v>
      </c>
      <c r="J11" s="274" t="s">
        <v>255</v>
      </c>
      <c r="K11" s="275" t="s">
        <v>256</v>
      </c>
    </row>
    <row r="12" spans="1:11" x14ac:dyDescent="0.2">
      <c r="A12" s="369" t="s">
        <v>468</v>
      </c>
      <c r="B12" s="377">
        <v>44224649.100000001</v>
      </c>
      <c r="C12" s="377">
        <f>B12</f>
        <v>44224649.100000001</v>
      </c>
      <c r="D12" s="377"/>
      <c r="E12" s="377">
        <f>SUM(C12:D12)</f>
        <v>44224649.100000001</v>
      </c>
      <c r="F12" s="377"/>
      <c r="G12" s="451">
        <f>B12-E12-F12</f>
        <v>0</v>
      </c>
      <c r="H12" s="276" t="s">
        <v>456</v>
      </c>
      <c r="I12" s="67"/>
      <c r="J12" s="67"/>
      <c r="K12" s="277"/>
    </row>
    <row r="13" spans="1:11" x14ac:dyDescent="0.2">
      <c r="A13" s="367" t="s">
        <v>469</v>
      </c>
      <c r="B13" s="376">
        <v>19373549.440000001</v>
      </c>
      <c r="C13" s="376"/>
      <c r="D13" s="376"/>
      <c r="E13" s="376"/>
      <c r="F13" s="376"/>
      <c r="G13" s="451"/>
      <c r="H13" s="278" t="s">
        <v>258</v>
      </c>
      <c r="I13" s="98">
        <v>2064593541.5999999</v>
      </c>
      <c r="J13" s="98">
        <v>949160646.39999986</v>
      </c>
      <c r="K13" s="12">
        <v>3013754188</v>
      </c>
    </row>
    <row r="14" spans="1:11" x14ac:dyDescent="0.2">
      <c r="A14" s="371" t="s">
        <v>470</v>
      </c>
      <c r="B14" s="378">
        <f>SUM(B13)</f>
        <v>19373549.440000001</v>
      </c>
      <c r="C14" s="378">
        <f>B14</f>
        <v>19373549.440000001</v>
      </c>
      <c r="D14" s="378"/>
      <c r="E14" s="377">
        <f>SUM(C14:D14)</f>
        <v>19373549.440000001</v>
      </c>
      <c r="F14" s="377"/>
      <c r="G14" s="451">
        <f>B14-E14-F14</f>
        <v>0</v>
      </c>
      <c r="H14" s="278" t="s">
        <v>259</v>
      </c>
      <c r="I14" s="65">
        <v>351214.45</v>
      </c>
      <c r="J14" s="65">
        <v>0</v>
      </c>
      <c r="K14" s="277">
        <v>351214.45</v>
      </c>
    </row>
    <row r="15" spans="1:11" x14ac:dyDescent="0.2">
      <c r="A15" s="370" t="s">
        <v>471</v>
      </c>
      <c r="B15" s="379">
        <v>3024555.57</v>
      </c>
      <c r="C15" s="379"/>
      <c r="D15" s="379"/>
      <c r="E15" s="379"/>
      <c r="F15" s="379"/>
      <c r="G15" s="451"/>
      <c r="H15" s="278" t="s">
        <v>260</v>
      </c>
      <c r="I15" s="65">
        <v>189780073.88</v>
      </c>
      <c r="J15" s="65">
        <v>0</v>
      </c>
      <c r="K15" s="277">
        <v>189780073.88</v>
      </c>
    </row>
    <row r="16" spans="1:11" x14ac:dyDescent="0.2">
      <c r="A16" s="367" t="s">
        <v>472</v>
      </c>
      <c r="B16" s="376">
        <v>7096516.0800000001</v>
      </c>
      <c r="C16" s="376"/>
      <c r="D16" s="376"/>
      <c r="E16" s="376"/>
      <c r="F16" s="376"/>
      <c r="G16" s="451"/>
      <c r="H16" s="278" t="s">
        <v>261</v>
      </c>
      <c r="I16" s="39">
        <v>116671946.33999999</v>
      </c>
      <c r="J16" s="66">
        <v>16725305.34</v>
      </c>
      <c r="K16" s="279">
        <v>133397251.67999999</v>
      </c>
    </row>
    <row r="17" spans="1:11" x14ac:dyDescent="0.2">
      <c r="A17" s="367" t="s">
        <v>473</v>
      </c>
      <c r="B17" s="376">
        <v>2801907.28</v>
      </c>
      <c r="C17" s="376"/>
      <c r="D17" s="376"/>
      <c r="E17" s="376"/>
      <c r="F17" s="376"/>
      <c r="G17" s="451"/>
      <c r="H17" s="278" t="s">
        <v>262</v>
      </c>
      <c r="I17" s="98">
        <v>2371396776.27</v>
      </c>
      <c r="J17" s="98">
        <v>965885951.73999989</v>
      </c>
      <c r="K17" s="12">
        <v>3337282728.0099998</v>
      </c>
    </row>
    <row r="18" spans="1:11" x14ac:dyDescent="0.2">
      <c r="A18" s="367" t="s">
        <v>474</v>
      </c>
      <c r="B18" s="376">
        <v>18046438.989999998</v>
      </c>
      <c r="C18" s="376"/>
      <c r="D18" s="376"/>
      <c r="E18" s="376"/>
      <c r="F18" s="376"/>
      <c r="G18" s="451"/>
      <c r="H18" s="276" t="s">
        <v>263</v>
      </c>
      <c r="I18" s="67"/>
      <c r="J18" s="67"/>
      <c r="K18" s="277"/>
    </row>
    <row r="19" spans="1:11" x14ac:dyDescent="0.2">
      <c r="A19" s="367" t="s">
        <v>475</v>
      </c>
      <c r="B19" s="376">
        <v>939532.33</v>
      </c>
      <c r="C19" s="376"/>
      <c r="D19" s="376"/>
      <c r="E19" s="376"/>
      <c r="F19" s="376"/>
      <c r="G19" s="451"/>
      <c r="H19" s="276" t="s">
        <v>457</v>
      </c>
      <c r="I19" s="67"/>
      <c r="J19" s="67"/>
      <c r="K19" s="277"/>
    </row>
    <row r="20" spans="1:11" x14ac:dyDescent="0.2">
      <c r="A20" s="367" t="s">
        <v>476</v>
      </c>
      <c r="B20" s="376">
        <v>1042502.23</v>
      </c>
      <c r="C20" s="376"/>
      <c r="D20" s="376"/>
      <c r="E20" s="376"/>
      <c r="F20" s="376"/>
      <c r="G20" s="451"/>
      <c r="H20" s="276" t="s">
        <v>265</v>
      </c>
      <c r="I20" s="67"/>
      <c r="J20" s="67"/>
      <c r="K20" s="277"/>
    </row>
    <row r="21" spans="1:11" x14ac:dyDescent="0.2">
      <c r="A21" s="367" t="s">
        <v>477</v>
      </c>
      <c r="B21" s="376">
        <v>1877189.84</v>
      </c>
      <c r="C21" s="376"/>
      <c r="D21" s="376"/>
      <c r="E21" s="376"/>
      <c r="F21" s="376"/>
      <c r="G21" s="451"/>
      <c r="H21" s="276" t="s">
        <v>458</v>
      </c>
      <c r="I21" s="67"/>
      <c r="J21" s="67"/>
      <c r="K21" s="277"/>
    </row>
    <row r="22" spans="1:11" x14ac:dyDescent="0.2">
      <c r="A22" s="367" t="s">
        <v>478</v>
      </c>
      <c r="B22" s="376">
        <v>7737619.1600000001</v>
      </c>
      <c r="C22" s="376"/>
      <c r="D22" s="376"/>
      <c r="E22" s="376"/>
      <c r="F22" s="376"/>
      <c r="G22" s="451"/>
      <c r="H22" s="278" t="s">
        <v>267</v>
      </c>
      <c r="I22" s="98">
        <v>264662122.39000002</v>
      </c>
      <c r="J22" s="98">
        <v>0</v>
      </c>
      <c r="K22" s="12">
        <v>264662122.39000002</v>
      </c>
    </row>
    <row r="23" spans="1:11" x14ac:dyDescent="0.2">
      <c r="A23" s="367" t="s">
        <v>479</v>
      </c>
      <c r="B23" s="376">
        <v>3945272.46</v>
      </c>
      <c r="C23" s="376"/>
      <c r="D23" s="376"/>
      <c r="E23" s="376"/>
      <c r="F23" s="376"/>
      <c r="G23" s="451"/>
      <c r="H23" s="278" t="s">
        <v>268</v>
      </c>
      <c r="I23" s="65">
        <v>511976375.97999996</v>
      </c>
      <c r="J23" s="65">
        <v>366605648.86000001</v>
      </c>
      <c r="K23" s="35">
        <v>878582024.83999991</v>
      </c>
    </row>
    <row r="24" spans="1:11" x14ac:dyDescent="0.2">
      <c r="A24" s="367" t="s">
        <v>480</v>
      </c>
      <c r="B24" s="376">
        <v>473604.03</v>
      </c>
      <c r="C24" s="376"/>
      <c r="D24" s="376"/>
      <c r="E24" s="376"/>
      <c r="F24" s="376"/>
      <c r="G24" s="451"/>
      <c r="H24" s="278" t="s">
        <v>269</v>
      </c>
      <c r="I24" s="65">
        <v>123883050.72</v>
      </c>
      <c r="J24" s="65">
        <v>0</v>
      </c>
      <c r="K24" s="35">
        <v>123883050.72</v>
      </c>
    </row>
    <row r="25" spans="1:11" x14ac:dyDescent="0.2">
      <c r="A25" s="367" t="s">
        <v>481</v>
      </c>
      <c r="B25" s="376">
        <v>173854.16</v>
      </c>
      <c r="C25" s="376"/>
      <c r="D25" s="376"/>
      <c r="E25" s="376"/>
      <c r="F25" s="376"/>
      <c r="G25" s="451"/>
      <c r="H25" s="278" t="s">
        <v>270</v>
      </c>
      <c r="I25" s="39">
        <v>-78853312.420000002</v>
      </c>
      <c r="J25" s="66">
        <v>0</v>
      </c>
      <c r="K25" s="40">
        <v>-78853312.420000002</v>
      </c>
    </row>
    <row r="26" spans="1:11" x14ac:dyDescent="0.2">
      <c r="A26" s="367" t="s">
        <v>482</v>
      </c>
      <c r="B26" s="376">
        <v>28075890.77</v>
      </c>
      <c r="C26" s="376"/>
      <c r="D26" s="376"/>
      <c r="E26" s="376"/>
      <c r="F26" s="376"/>
      <c r="G26" s="451"/>
      <c r="H26" s="278" t="s">
        <v>271</v>
      </c>
      <c r="I26" s="98">
        <v>821668236.67000008</v>
      </c>
      <c r="J26" s="98">
        <v>366605648.86000001</v>
      </c>
      <c r="K26" s="12">
        <v>1188273885.53</v>
      </c>
    </row>
    <row r="27" spans="1:11" x14ac:dyDescent="0.2">
      <c r="A27" s="369" t="s">
        <v>483</v>
      </c>
      <c r="B27" s="377">
        <f>SUM(B15:B26)</f>
        <v>75234882.900000006</v>
      </c>
      <c r="C27" s="377">
        <f>B27</f>
        <v>75234882.900000006</v>
      </c>
      <c r="D27" s="377"/>
      <c r="E27" s="377">
        <f>SUM(C27:D27)</f>
        <v>75234882.900000006</v>
      </c>
      <c r="F27" s="377"/>
      <c r="G27" s="451">
        <f>B27-E27-F27</f>
        <v>0</v>
      </c>
      <c r="H27" s="280" t="s">
        <v>272</v>
      </c>
      <c r="I27" s="281"/>
      <c r="J27" s="281"/>
      <c r="K27" s="282"/>
    </row>
    <row r="28" spans="1:11" x14ac:dyDescent="0.2">
      <c r="A28" s="367" t="s">
        <v>484</v>
      </c>
      <c r="B28" s="376">
        <v>880772.28</v>
      </c>
      <c r="C28" s="376"/>
      <c r="D28" s="376"/>
      <c r="E28" s="376"/>
      <c r="F28" s="376"/>
      <c r="G28" s="451"/>
      <c r="H28" s="278" t="s">
        <v>273</v>
      </c>
      <c r="I28" s="98">
        <v>120717329.14999999</v>
      </c>
      <c r="J28" s="98">
        <v>6538618.8400000008</v>
      </c>
      <c r="K28" s="12">
        <v>127255947.98999999</v>
      </c>
    </row>
    <row r="29" spans="1:11" x14ac:dyDescent="0.2">
      <c r="A29" s="367" t="s">
        <v>485</v>
      </c>
      <c r="B29" s="376">
        <v>537983.72</v>
      </c>
      <c r="C29" s="376"/>
      <c r="D29" s="376"/>
      <c r="E29" s="376"/>
      <c r="F29" s="376"/>
      <c r="G29" s="451"/>
      <c r="H29" s="278" t="s">
        <v>274</v>
      </c>
      <c r="I29" s="99">
        <v>22605208.919999998</v>
      </c>
      <c r="J29" s="99">
        <v>0</v>
      </c>
      <c r="K29" s="35">
        <v>22605208.919999998</v>
      </c>
    </row>
    <row r="30" spans="1:11" x14ac:dyDescent="0.2">
      <c r="A30" s="367" t="s">
        <v>486</v>
      </c>
      <c r="B30" s="376">
        <v>158593.56</v>
      </c>
      <c r="C30" s="376"/>
      <c r="D30" s="376"/>
      <c r="E30" s="376"/>
      <c r="F30" s="376"/>
      <c r="G30" s="451"/>
      <c r="H30" s="278" t="s">
        <v>275</v>
      </c>
      <c r="I30" s="99">
        <v>82423054.329999998</v>
      </c>
      <c r="J30" s="99">
        <v>54776144.879999995</v>
      </c>
      <c r="K30" s="35">
        <v>137199199.20999998</v>
      </c>
    </row>
    <row r="31" spans="1:11" x14ac:dyDescent="0.2">
      <c r="A31" s="367" t="s">
        <v>487</v>
      </c>
      <c r="B31" s="376">
        <v>33068476.07</v>
      </c>
      <c r="C31" s="376"/>
      <c r="D31" s="376"/>
      <c r="E31" s="376"/>
      <c r="F31" s="376"/>
      <c r="G31" s="451"/>
      <c r="H31" s="278" t="s">
        <v>276</v>
      </c>
      <c r="I31" s="99">
        <v>50242169.629999995</v>
      </c>
      <c r="J31" s="99">
        <v>28603120.590000004</v>
      </c>
      <c r="K31" s="35">
        <v>78845290.219999999</v>
      </c>
    </row>
    <row r="32" spans="1:11" x14ac:dyDescent="0.2">
      <c r="A32" s="367" t="s">
        <v>488</v>
      </c>
      <c r="B32" s="376">
        <v>117071.03999999999</v>
      </c>
      <c r="C32" s="376"/>
      <c r="D32" s="376"/>
      <c r="E32" s="376"/>
      <c r="F32" s="376"/>
      <c r="G32" s="451"/>
      <c r="H32" s="278" t="s">
        <v>277</v>
      </c>
      <c r="I32" s="99">
        <v>23447356.580000002</v>
      </c>
      <c r="J32" s="99">
        <v>6815798.96</v>
      </c>
      <c r="K32" s="35">
        <v>30263155.540000003</v>
      </c>
    </row>
    <row r="33" spans="1:11" x14ac:dyDescent="0.2">
      <c r="A33" s="367" t="s">
        <v>489</v>
      </c>
      <c r="B33" s="376">
        <v>112591.92</v>
      </c>
      <c r="C33" s="376"/>
      <c r="D33" s="376"/>
      <c r="E33" s="376"/>
      <c r="F33" s="376"/>
      <c r="G33" s="451"/>
      <c r="H33" s="278" t="s">
        <v>278</v>
      </c>
      <c r="I33" s="99">
        <v>74607188.019999996</v>
      </c>
      <c r="J33" s="99">
        <v>16362228.15</v>
      </c>
      <c r="K33" s="35">
        <v>90969416.170000002</v>
      </c>
    </row>
    <row r="34" spans="1:11" x14ac:dyDescent="0.2">
      <c r="A34" s="367" t="s">
        <v>490</v>
      </c>
      <c r="B34" s="376">
        <v>142483.44</v>
      </c>
      <c r="C34" s="376"/>
      <c r="D34" s="376"/>
      <c r="E34" s="376"/>
      <c r="F34" s="376"/>
      <c r="G34" s="451"/>
      <c r="H34" s="278" t="s">
        <v>279</v>
      </c>
      <c r="I34" s="99">
        <v>130370063.31000002</v>
      </c>
      <c r="J34" s="99">
        <v>59064725.75</v>
      </c>
      <c r="K34" s="35">
        <v>189434789.06</v>
      </c>
    </row>
    <row r="35" spans="1:11" x14ac:dyDescent="0.2">
      <c r="A35" s="367" t="s">
        <v>491</v>
      </c>
      <c r="B35" s="376">
        <v>8550.1200000000008</v>
      </c>
      <c r="C35" s="376"/>
      <c r="D35" s="376"/>
      <c r="E35" s="376"/>
      <c r="F35" s="376"/>
      <c r="G35" s="451"/>
      <c r="H35" s="278" t="s">
        <v>280</v>
      </c>
      <c r="I35" s="99">
        <v>358781056.63</v>
      </c>
      <c r="J35" s="99">
        <v>129257771.81999999</v>
      </c>
      <c r="K35" s="35">
        <v>488038828.44999999</v>
      </c>
    </row>
    <row r="36" spans="1:11" x14ac:dyDescent="0.2">
      <c r="A36" s="367" t="s">
        <v>492</v>
      </c>
      <c r="B36" s="376">
        <v>39397.68</v>
      </c>
      <c r="C36" s="376"/>
      <c r="D36" s="376"/>
      <c r="E36" s="376"/>
      <c r="F36" s="376"/>
      <c r="G36" s="451"/>
      <c r="H36" s="278" t="s">
        <v>281</v>
      </c>
      <c r="I36" s="99">
        <v>101756083.26000001</v>
      </c>
      <c r="J36" s="99">
        <v>40672495.5</v>
      </c>
      <c r="K36" s="35">
        <v>142428578.75999999</v>
      </c>
    </row>
    <row r="37" spans="1:11" x14ac:dyDescent="0.2">
      <c r="A37" s="367" t="s">
        <v>493</v>
      </c>
      <c r="B37" s="376">
        <v>90296.76</v>
      </c>
      <c r="C37" s="376"/>
      <c r="D37" s="376"/>
      <c r="E37" s="376"/>
      <c r="F37" s="376"/>
      <c r="G37" s="451"/>
      <c r="H37" s="278" t="s">
        <v>282</v>
      </c>
      <c r="I37" s="99">
        <v>31876556.52</v>
      </c>
      <c r="J37" s="99">
        <v>0</v>
      </c>
      <c r="K37" s="35">
        <v>31876556.52</v>
      </c>
    </row>
    <row r="38" spans="1:11" x14ac:dyDescent="0.2">
      <c r="A38" s="367" t="s">
        <v>494</v>
      </c>
      <c r="B38" s="376">
        <v>1065886.56</v>
      </c>
      <c r="C38" s="376"/>
      <c r="D38" s="376"/>
      <c r="E38" s="376"/>
      <c r="F38" s="376"/>
      <c r="G38" s="451"/>
      <c r="H38" s="283" t="s">
        <v>283</v>
      </c>
      <c r="I38" s="99">
        <v>-82382578.529999986</v>
      </c>
      <c r="J38" s="99">
        <v>-9504349.1700000018</v>
      </c>
      <c r="K38" s="284">
        <v>-91886927.699999988</v>
      </c>
    </row>
    <row r="39" spans="1:11" x14ac:dyDescent="0.2">
      <c r="A39" s="369" t="s">
        <v>495</v>
      </c>
      <c r="B39" s="377">
        <f>SUM(B28:B38)</f>
        <v>36222103.149999999</v>
      </c>
      <c r="C39" s="377">
        <f>'[15]Transmission Plant'!$E$426</f>
        <v>3510506.9600000004</v>
      </c>
      <c r="D39" s="377">
        <f>B39-C39</f>
        <v>32711596.189999998</v>
      </c>
      <c r="E39" s="377">
        <f>SUM(C39:D39)</f>
        <v>36222103.149999999</v>
      </c>
      <c r="F39" s="377"/>
      <c r="G39" s="451">
        <f>B39-E39-F39</f>
        <v>0</v>
      </c>
      <c r="H39" s="283" t="s">
        <v>284</v>
      </c>
      <c r="I39" s="99">
        <v>224985851.35999998</v>
      </c>
      <c r="J39" s="99">
        <v>103681635.63</v>
      </c>
      <c r="K39" s="284">
        <v>328667486.99000001</v>
      </c>
    </row>
    <row r="40" spans="1:11" x14ac:dyDescent="0.2">
      <c r="A40" s="367" t="s">
        <v>496</v>
      </c>
      <c r="B40" s="376">
        <v>143498848.97</v>
      </c>
      <c r="C40" s="376"/>
      <c r="D40" s="376"/>
      <c r="E40" s="376"/>
      <c r="F40" s="376"/>
      <c r="G40" s="451"/>
      <c r="H40" s="283" t="s">
        <v>285</v>
      </c>
      <c r="I40" s="99">
        <v>40037496.210000001</v>
      </c>
      <c r="J40" s="99">
        <v>29239527.760000002</v>
      </c>
      <c r="K40" s="284">
        <v>69277023.969999999</v>
      </c>
    </row>
    <row r="41" spans="1:11" x14ac:dyDescent="0.2">
      <c r="A41" s="367" t="s">
        <v>497</v>
      </c>
      <c r="B41" s="376">
        <v>1.3</v>
      </c>
      <c r="C41" s="376"/>
      <c r="D41" s="376"/>
      <c r="E41" s="376"/>
      <c r="F41" s="376"/>
      <c r="G41" s="451"/>
      <c r="H41" s="283" t="s">
        <v>286</v>
      </c>
      <c r="I41" s="285">
        <v>18928553.430000007</v>
      </c>
      <c r="J41" s="286">
        <v>94783.429999999702</v>
      </c>
      <c r="K41" s="287">
        <v>19023336.860000007</v>
      </c>
    </row>
    <row r="42" spans="1:11" x14ac:dyDescent="0.2">
      <c r="A42" s="369" t="s">
        <v>498</v>
      </c>
      <c r="B42" s="377">
        <f>SUM(B40:B41)</f>
        <v>143498850.27000001</v>
      </c>
      <c r="C42" s="377"/>
      <c r="D42" s="377">
        <f>B42</f>
        <v>143498850.27000001</v>
      </c>
      <c r="E42" s="377">
        <f>SUM(C42:D42)</f>
        <v>143498850.27000001</v>
      </c>
      <c r="F42" s="377"/>
      <c r="G42" s="451">
        <f>B42-E42-F42</f>
        <v>0</v>
      </c>
      <c r="H42" s="280" t="s">
        <v>287</v>
      </c>
      <c r="I42" s="98">
        <v>2020063625.4899998</v>
      </c>
      <c r="J42" s="98">
        <v>832208150.99999988</v>
      </c>
      <c r="K42" s="12">
        <v>2852271776.4900007</v>
      </c>
    </row>
    <row r="43" spans="1:11" x14ac:dyDescent="0.2">
      <c r="A43" s="367" t="s">
        <v>499</v>
      </c>
      <c r="B43" s="376">
        <v>166960.44</v>
      </c>
      <c r="C43" s="376"/>
      <c r="D43" s="376"/>
      <c r="E43" s="376"/>
      <c r="F43" s="376"/>
      <c r="G43" s="451"/>
      <c r="H43" s="283"/>
      <c r="I43" s="281"/>
      <c r="J43" s="281"/>
      <c r="K43" s="282"/>
    </row>
    <row r="44" spans="1:11" ht="15" x14ac:dyDescent="0.35">
      <c r="A44" s="367" t="s">
        <v>500</v>
      </c>
      <c r="B44" s="376">
        <v>10934.04</v>
      </c>
      <c r="C44" s="376"/>
      <c r="D44" s="376"/>
      <c r="E44" s="376"/>
      <c r="F44" s="376"/>
      <c r="G44" s="451"/>
      <c r="H44" s="288" t="s">
        <v>218</v>
      </c>
      <c r="I44" s="289">
        <v>351333150.78000021</v>
      </c>
      <c r="J44" s="289">
        <v>133677800.74000001</v>
      </c>
      <c r="K44" s="290">
        <v>485010951.51999903</v>
      </c>
    </row>
    <row r="45" spans="1:11" x14ac:dyDescent="0.2">
      <c r="A45" s="367" t="s">
        <v>501</v>
      </c>
      <c r="B45" s="376">
        <v>188731.63</v>
      </c>
      <c r="C45" s="376"/>
      <c r="D45" s="376"/>
      <c r="E45" s="376"/>
      <c r="F45" s="376"/>
      <c r="G45" s="451"/>
      <c r="H45" s="301"/>
      <c r="I45" s="302"/>
      <c r="J45" s="302"/>
      <c r="K45" s="303"/>
    </row>
    <row r="46" spans="1:11" x14ac:dyDescent="0.2">
      <c r="A46" s="367" t="s">
        <v>502</v>
      </c>
      <c r="B46" s="376">
        <v>12110358.48</v>
      </c>
      <c r="C46" s="376"/>
      <c r="D46" s="376"/>
      <c r="E46" s="376"/>
      <c r="F46" s="376"/>
      <c r="G46" s="451"/>
    </row>
    <row r="47" spans="1:11" x14ac:dyDescent="0.2">
      <c r="A47" s="367" t="s">
        <v>503</v>
      </c>
      <c r="B47" s="376">
        <v>6952.27</v>
      </c>
      <c r="C47" s="376"/>
      <c r="D47" s="376"/>
      <c r="E47" s="376"/>
      <c r="F47" s="376"/>
      <c r="G47" s="451"/>
    </row>
    <row r="48" spans="1:11" x14ac:dyDescent="0.2">
      <c r="A48" s="367" t="s">
        <v>504</v>
      </c>
      <c r="B48" s="376">
        <v>43735.83</v>
      </c>
      <c r="C48" s="376"/>
      <c r="D48" s="376"/>
      <c r="E48" s="376"/>
      <c r="F48" s="376"/>
      <c r="G48" s="451"/>
    </row>
    <row r="49" spans="1:7" x14ac:dyDescent="0.2">
      <c r="A49" s="367" t="s">
        <v>505</v>
      </c>
      <c r="B49" s="376">
        <v>26209.8</v>
      </c>
      <c r="C49" s="376"/>
      <c r="D49" s="376"/>
      <c r="E49" s="376"/>
      <c r="F49" s="376"/>
      <c r="G49" s="451"/>
    </row>
    <row r="50" spans="1:7" x14ac:dyDescent="0.2">
      <c r="A50" s="367" t="s">
        <v>506</v>
      </c>
      <c r="B50" s="376">
        <v>15367.8</v>
      </c>
      <c r="C50" s="376"/>
      <c r="D50" s="376"/>
      <c r="E50" s="376"/>
      <c r="F50" s="376"/>
      <c r="G50" s="451"/>
    </row>
    <row r="51" spans="1:7" x14ac:dyDescent="0.2">
      <c r="A51" s="367" t="s">
        <v>507</v>
      </c>
      <c r="B51" s="376">
        <v>1101541.56</v>
      </c>
      <c r="C51" s="376"/>
      <c r="D51" s="376"/>
      <c r="E51" s="376"/>
      <c r="F51" s="376"/>
      <c r="G51" s="451"/>
    </row>
    <row r="52" spans="1:7" x14ac:dyDescent="0.2">
      <c r="A52" s="369" t="s">
        <v>508</v>
      </c>
      <c r="B52" s="377">
        <f>SUM(B43:B51)</f>
        <v>13670791.850000001</v>
      </c>
      <c r="C52" s="377">
        <f>'Prod Rel GP'!D5</f>
        <v>22733.194</v>
      </c>
      <c r="D52" s="377">
        <f>B52-C52</f>
        <v>13648058.656000001</v>
      </c>
      <c r="E52" s="377">
        <f>SUM(C52:D52)</f>
        <v>13670791.850000001</v>
      </c>
      <c r="F52" s="377"/>
      <c r="G52" s="451">
        <f>B52-E52-F52</f>
        <v>0</v>
      </c>
    </row>
    <row r="53" spans="1:7" x14ac:dyDescent="0.2">
      <c r="A53" s="369" t="s">
        <v>509</v>
      </c>
      <c r="B53" s="377">
        <f>SUM(B12,B14,B27,B39,B42,B52)</f>
        <v>332224826.71000004</v>
      </c>
      <c r="C53" s="377">
        <f t="shared" ref="C53:F53" si="0">SUM(C12,C14,C27,C39,C42,C52)</f>
        <v>142366321.59400001</v>
      </c>
      <c r="D53" s="377">
        <f t="shared" si="0"/>
        <v>189858505.116</v>
      </c>
      <c r="E53" s="377">
        <f t="shared" si="0"/>
        <v>332224826.71000004</v>
      </c>
      <c r="F53" s="377">
        <f t="shared" si="0"/>
        <v>0</v>
      </c>
      <c r="G53" s="451">
        <f>B53-E53-F53</f>
        <v>0</v>
      </c>
    </row>
    <row r="54" spans="1:7" x14ac:dyDescent="0.2">
      <c r="A54" s="367" t="s">
        <v>510</v>
      </c>
      <c r="B54" s="376">
        <v>0</v>
      </c>
      <c r="C54" s="376"/>
      <c r="D54" s="376"/>
      <c r="E54" s="376"/>
      <c r="F54" s="376"/>
      <c r="G54" s="451"/>
    </row>
    <row r="55" spans="1:7" x14ac:dyDescent="0.2">
      <c r="A55" s="367" t="s">
        <v>511</v>
      </c>
      <c r="B55" s="376">
        <v>1241883.3799999999</v>
      </c>
      <c r="C55" s="376"/>
      <c r="D55" s="376"/>
      <c r="E55" s="376"/>
      <c r="F55" s="376"/>
      <c r="G55" s="451"/>
    </row>
    <row r="56" spans="1:7" x14ac:dyDescent="0.2">
      <c r="A56" s="367" t="s">
        <v>512</v>
      </c>
      <c r="B56" s="376">
        <v>336846.24</v>
      </c>
      <c r="C56" s="376"/>
      <c r="D56" s="376"/>
      <c r="E56" s="376"/>
      <c r="F56" s="376"/>
      <c r="G56" s="451"/>
    </row>
    <row r="57" spans="1:7" x14ac:dyDescent="0.2">
      <c r="A57" s="367" t="s">
        <v>513</v>
      </c>
      <c r="B57" s="376">
        <v>22517.52</v>
      </c>
      <c r="C57" s="376"/>
      <c r="D57" s="376"/>
      <c r="E57" s="376"/>
      <c r="F57" s="376"/>
      <c r="G57" s="451"/>
    </row>
    <row r="58" spans="1:7" x14ac:dyDescent="0.2">
      <c r="A58" s="367" t="s">
        <v>514</v>
      </c>
      <c r="B58" s="376">
        <v>115843740.81999999</v>
      </c>
      <c r="C58" s="376"/>
      <c r="D58" s="376"/>
      <c r="E58" s="376"/>
      <c r="F58" s="376"/>
      <c r="G58" s="451"/>
    </row>
    <row r="59" spans="1:7" x14ac:dyDescent="0.2">
      <c r="A59" s="367" t="s">
        <v>515</v>
      </c>
      <c r="B59" s="376">
        <v>2015166.61</v>
      </c>
      <c r="C59" s="376"/>
      <c r="D59" s="376"/>
      <c r="E59" s="376"/>
      <c r="F59" s="376"/>
      <c r="G59" s="451"/>
    </row>
    <row r="60" spans="1:7" x14ac:dyDescent="0.2">
      <c r="A60" s="369" t="s">
        <v>516</v>
      </c>
      <c r="B60" s="377">
        <f>SUM(B54:B59)</f>
        <v>119460154.56999999</v>
      </c>
      <c r="C60" s="377"/>
      <c r="D60" s="377"/>
      <c r="E60" s="377">
        <f>SUM(C60:D60)</f>
        <v>0</v>
      </c>
      <c r="F60" s="377">
        <f>B60</f>
        <v>119460154.56999999</v>
      </c>
      <c r="G60" s="451">
        <f>B60-E60-F60</f>
        <v>0</v>
      </c>
    </row>
    <row r="61" spans="1:7" x14ac:dyDescent="0.2">
      <c r="A61" s="367" t="s">
        <v>517</v>
      </c>
      <c r="B61" s="376">
        <v>28572861.920000002</v>
      </c>
      <c r="C61" s="376"/>
      <c r="D61" s="376"/>
      <c r="E61" s="376"/>
      <c r="F61" s="376"/>
      <c r="G61" s="451"/>
    </row>
    <row r="62" spans="1:7" x14ac:dyDescent="0.2">
      <c r="A62" s="369" t="s">
        <v>518</v>
      </c>
      <c r="B62" s="377">
        <f>SUM(B61)</f>
        <v>28572861.920000002</v>
      </c>
      <c r="C62" s="377"/>
      <c r="D62" s="377">
        <f>B62*B1</f>
        <v>18935190.850000001</v>
      </c>
      <c r="E62" s="377">
        <f>SUM(C62:D62)</f>
        <v>18935190.850000001</v>
      </c>
      <c r="F62" s="377">
        <f>B62*B2</f>
        <v>9637671.0700000003</v>
      </c>
      <c r="G62" s="451">
        <f>B62-E62-F62</f>
        <v>0</v>
      </c>
    </row>
    <row r="63" spans="1:7" x14ac:dyDescent="0.2">
      <c r="A63" s="369" t="s">
        <v>519</v>
      </c>
      <c r="B63" s="377">
        <f>B53+B60+B62</f>
        <v>480257843.20000005</v>
      </c>
      <c r="C63" s="377">
        <f t="shared" ref="C63:F63" si="1">C53+C60+C62</f>
        <v>142366321.59400001</v>
      </c>
      <c r="D63" s="377">
        <f t="shared" si="1"/>
        <v>208793695.96599999</v>
      </c>
      <c r="E63" s="377">
        <f t="shared" si="1"/>
        <v>351160017.56000006</v>
      </c>
      <c r="F63" s="377">
        <f t="shared" si="1"/>
        <v>129097825.63999999</v>
      </c>
      <c r="G63" s="451">
        <f>B63-E63-F63</f>
        <v>0</v>
      </c>
    </row>
    <row r="64" spans="1:7" x14ac:dyDescent="0.2">
      <c r="A64" s="367" t="s">
        <v>520</v>
      </c>
      <c r="B64" s="376">
        <v>34108605.479999997</v>
      </c>
      <c r="C64" s="376"/>
      <c r="D64" s="376"/>
      <c r="E64" s="376"/>
      <c r="F64" s="376"/>
      <c r="G64" s="451"/>
    </row>
    <row r="65" spans="1:7" x14ac:dyDescent="0.2">
      <c r="A65" s="367" t="s">
        <v>521</v>
      </c>
      <c r="B65" s="376">
        <v>-26522075.489999998</v>
      </c>
      <c r="C65" s="376" t="s">
        <v>586</v>
      </c>
      <c r="D65" s="376"/>
      <c r="E65" s="376"/>
      <c r="F65" s="376"/>
      <c r="G65" s="451"/>
    </row>
    <row r="66" spans="1:7" x14ac:dyDescent="0.2">
      <c r="A66" s="369" t="s">
        <v>572</v>
      </c>
      <c r="B66" s="377">
        <f>SUM(B64:B65)</f>
        <v>7586529.9899999984</v>
      </c>
      <c r="C66" s="377">
        <f>'ARC Dep-ARO Accr'!B19</f>
        <v>7464653.5599999987</v>
      </c>
      <c r="D66" s="377">
        <f>'ARC Dep-ARO Accr'!C19</f>
        <v>121876.43</v>
      </c>
      <c r="E66" s="377">
        <f>SUM(C66:D66)</f>
        <v>7586529.9899999984</v>
      </c>
      <c r="F66" s="377"/>
      <c r="G66" s="451">
        <f>B66-E66-F66</f>
        <v>0</v>
      </c>
    </row>
    <row r="67" spans="1:7" x14ac:dyDescent="0.2">
      <c r="A67" s="367" t="s">
        <v>522</v>
      </c>
      <c r="B67" s="376">
        <v>142383.41</v>
      </c>
      <c r="C67" s="376"/>
      <c r="D67" s="376"/>
      <c r="E67" s="376"/>
      <c r="F67" s="376"/>
      <c r="G67" s="451"/>
    </row>
    <row r="68" spans="1:7" x14ac:dyDescent="0.2">
      <c r="A68" s="369" t="s">
        <v>573</v>
      </c>
      <c r="B68" s="377">
        <f>SUM(B67)</f>
        <v>142383.41</v>
      </c>
      <c r="C68" s="377"/>
      <c r="D68" s="377"/>
      <c r="E68" s="377">
        <f>SUM(C68:D68)</f>
        <v>0</v>
      </c>
      <c r="F68" s="377">
        <f>B68</f>
        <v>142383.41</v>
      </c>
      <c r="G68" s="451">
        <f>B68-E68-F68</f>
        <v>0</v>
      </c>
    </row>
    <row r="69" spans="1:7" x14ac:dyDescent="0.2">
      <c r="A69" s="367" t="s">
        <v>523</v>
      </c>
      <c r="B69" s="376">
        <v>52071.85</v>
      </c>
      <c r="C69" s="376"/>
      <c r="D69" s="376"/>
      <c r="E69" s="376"/>
      <c r="F69" s="376"/>
      <c r="G69" s="451"/>
    </row>
    <row r="70" spans="1:7" x14ac:dyDescent="0.2">
      <c r="A70" s="369" t="s">
        <v>574</v>
      </c>
      <c r="B70" s="377">
        <f>SUM(B69)</f>
        <v>52071.85</v>
      </c>
      <c r="C70" s="377"/>
      <c r="D70" s="377">
        <f>B70*B1</f>
        <v>34507.933451790974</v>
      </c>
      <c r="E70" s="377">
        <f>SUM(C70:D70)</f>
        <v>34507.933451790974</v>
      </c>
      <c r="F70" s="377">
        <f>B70*B2</f>
        <v>17563.916548209025</v>
      </c>
      <c r="G70" s="451">
        <f>B70-E70-F70</f>
        <v>0</v>
      </c>
    </row>
    <row r="71" spans="1:7" x14ac:dyDescent="0.2">
      <c r="A71" s="369" t="s">
        <v>575</v>
      </c>
      <c r="B71" s="377">
        <f>B66+B68+B70</f>
        <v>7780985.2499999981</v>
      </c>
      <c r="C71" s="377">
        <f t="shared" ref="C71:F71" si="2">C66+C68+C70</f>
        <v>7464653.5599999987</v>
      </c>
      <c r="D71" s="377">
        <f t="shared" si="2"/>
        <v>156384.36345179097</v>
      </c>
      <c r="E71" s="377">
        <f t="shared" si="2"/>
        <v>7621037.9234517897</v>
      </c>
      <c r="F71" s="377">
        <f t="shared" si="2"/>
        <v>159947.32654820904</v>
      </c>
      <c r="G71" s="451">
        <f>ROUND(B71-E71-F71,0)</f>
        <v>0</v>
      </c>
    </row>
    <row r="72" spans="1:7" x14ac:dyDescent="0.2">
      <c r="A72" s="368" t="s">
        <v>524</v>
      </c>
      <c r="B72" s="380">
        <f>B63+B71</f>
        <v>488038828.45000005</v>
      </c>
      <c r="C72" s="380">
        <f t="shared" ref="C72:F72" si="3">C63+C71</f>
        <v>149830975.15400001</v>
      </c>
      <c r="D72" s="380">
        <f t="shared" si="3"/>
        <v>208950080.32945177</v>
      </c>
      <c r="E72" s="380">
        <f t="shared" si="3"/>
        <v>358781055.48345184</v>
      </c>
      <c r="F72" s="380">
        <f t="shared" si="3"/>
        <v>129257772.96654819</v>
      </c>
      <c r="G72" s="451">
        <f>B72-E72-F72</f>
        <v>0</v>
      </c>
    </row>
    <row r="73" spans="1:7" x14ac:dyDescent="0.2">
      <c r="B73" s="381">
        <f>K35</f>
        <v>488038828.44999999</v>
      </c>
      <c r="C73" s="381"/>
      <c r="D73" s="381"/>
      <c r="E73" s="381">
        <f>I35</f>
        <v>358781056.63</v>
      </c>
      <c r="F73" s="381">
        <f>J35</f>
        <v>129257771.81999999</v>
      </c>
      <c r="G73" s="451"/>
    </row>
    <row r="74" spans="1:7" x14ac:dyDescent="0.2">
      <c r="B74" s="381">
        <f>B72-B73</f>
        <v>0</v>
      </c>
      <c r="C74" s="381"/>
      <c r="D74" s="381"/>
      <c r="E74" s="381">
        <f>E72-E73</f>
        <v>-1.1465481519699097</v>
      </c>
      <c r="F74" s="381">
        <f>F72-F73</f>
        <v>1.1465481966733932</v>
      </c>
      <c r="G74" s="451"/>
    </row>
    <row r="75" spans="1:7" x14ac:dyDescent="0.2">
      <c r="B75" s="381"/>
      <c r="C75" s="381"/>
      <c r="D75" s="381"/>
      <c r="E75" s="381"/>
      <c r="F75" s="381"/>
      <c r="G75" s="451"/>
    </row>
    <row r="76" spans="1:7" ht="15" x14ac:dyDescent="0.25">
      <c r="A76" s="365" t="s">
        <v>459</v>
      </c>
      <c r="B76" s="382" t="s">
        <v>460</v>
      </c>
      <c r="C76" s="382"/>
      <c r="D76" s="382"/>
      <c r="E76" s="382"/>
      <c r="F76" s="382"/>
      <c r="G76" s="451"/>
    </row>
    <row r="77" spans="1:7" x14ac:dyDescent="0.2">
      <c r="A77" s="367" t="s">
        <v>525</v>
      </c>
      <c r="B77" s="376">
        <v>258712.81</v>
      </c>
      <c r="C77" s="376"/>
      <c r="D77" s="376"/>
      <c r="E77" s="376"/>
      <c r="F77" s="376"/>
      <c r="G77" s="451"/>
    </row>
    <row r="78" spans="1:7" x14ac:dyDescent="0.2">
      <c r="A78" s="367" t="s">
        <v>526</v>
      </c>
      <c r="B78" s="376">
        <v>1192801.67</v>
      </c>
      <c r="C78" s="376"/>
      <c r="D78" s="376"/>
      <c r="E78" s="376"/>
      <c r="F78" s="376"/>
      <c r="G78" s="451"/>
    </row>
    <row r="79" spans="1:7" x14ac:dyDescent="0.2">
      <c r="A79" s="367" t="s">
        <v>527</v>
      </c>
      <c r="B79" s="376">
        <v>9040.3799999999992</v>
      </c>
      <c r="C79" s="376"/>
      <c r="D79" s="376"/>
      <c r="E79" s="376"/>
      <c r="F79" s="376"/>
      <c r="G79" s="451"/>
    </row>
    <row r="80" spans="1:7" x14ac:dyDescent="0.2">
      <c r="A80" s="367" t="s">
        <v>528</v>
      </c>
      <c r="B80" s="376">
        <v>12496539.720000001</v>
      </c>
      <c r="C80" s="376"/>
      <c r="D80" s="376"/>
      <c r="E80" s="376"/>
      <c r="F80" s="376"/>
      <c r="G80" s="451"/>
    </row>
    <row r="81" spans="1:10" x14ac:dyDescent="0.2">
      <c r="A81" s="369" t="s">
        <v>529</v>
      </c>
      <c r="B81" s="377">
        <f>SUM(B77:B80)</f>
        <v>13957094.58</v>
      </c>
      <c r="C81" s="377">
        <f>'Prod Rel GP'!D12-'Prod Rel GP'!D5+B78</f>
        <v>3787660.100000001</v>
      </c>
      <c r="D81" s="377">
        <f>B81-C81</f>
        <v>10169434.479999999</v>
      </c>
      <c r="E81" s="377">
        <f>SUM(C81:D81)</f>
        <v>13957094.58</v>
      </c>
      <c r="F81" s="377"/>
      <c r="G81" s="451">
        <f>B81-E81-F81</f>
        <v>0</v>
      </c>
      <c r="H81" s="292"/>
      <c r="I81" s="292"/>
    </row>
    <row r="82" spans="1:10" x14ac:dyDescent="0.2">
      <c r="A82" s="367" t="s">
        <v>530</v>
      </c>
      <c r="B82" s="376">
        <v>41486.620000000003</v>
      </c>
      <c r="C82" s="376"/>
      <c r="D82" s="376"/>
      <c r="E82" s="376"/>
      <c r="F82" s="376"/>
      <c r="G82" s="451"/>
      <c r="I82" s="292"/>
    </row>
    <row r="83" spans="1:10" x14ac:dyDescent="0.2">
      <c r="A83" s="367" t="s">
        <v>531</v>
      </c>
      <c r="B83" s="376">
        <v>3593755.81</v>
      </c>
      <c r="C83" s="376"/>
      <c r="D83" s="376"/>
      <c r="E83" s="376"/>
      <c r="F83" s="376"/>
      <c r="G83" s="451"/>
      <c r="I83" s="292"/>
    </row>
    <row r="84" spans="1:10" x14ac:dyDescent="0.2">
      <c r="A84" s="369" t="s">
        <v>532</v>
      </c>
      <c r="B84" s="377">
        <f>SUM(B82:B83)</f>
        <v>3635242.43</v>
      </c>
      <c r="C84" s="377"/>
      <c r="D84" s="377"/>
      <c r="E84" s="377">
        <f>SUM(C84:D84)</f>
        <v>0</v>
      </c>
      <c r="F84" s="377">
        <f>B84</f>
        <v>3635242.43</v>
      </c>
      <c r="G84" s="451">
        <f>B84-E84-F84</f>
        <v>0</v>
      </c>
    </row>
    <row r="85" spans="1:10" x14ac:dyDescent="0.2">
      <c r="A85" s="367" t="s">
        <v>533</v>
      </c>
      <c r="B85" s="376">
        <v>47165.66</v>
      </c>
      <c r="C85" s="376"/>
      <c r="D85" s="376"/>
      <c r="E85" s="376"/>
      <c r="F85" s="376"/>
      <c r="G85" s="451"/>
    </row>
    <row r="86" spans="1:10" x14ac:dyDescent="0.2">
      <c r="A86" s="367" t="s">
        <v>534</v>
      </c>
      <c r="B86" s="376">
        <v>2247247.19</v>
      </c>
      <c r="C86" s="376"/>
      <c r="D86" s="376"/>
      <c r="E86" s="376"/>
      <c r="F86" s="376"/>
      <c r="G86" s="451"/>
    </row>
    <row r="87" spans="1:10" x14ac:dyDescent="0.2">
      <c r="A87" s="367" t="s">
        <v>535</v>
      </c>
      <c r="B87" s="376">
        <v>823097.49</v>
      </c>
      <c r="C87" s="376"/>
      <c r="D87" s="376"/>
      <c r="E87" s="376"/>
      <c r="F87" s="376"/>
      <c r="G87" s="451"/>
    </row>
    <row r="88" spans="1:10" x14ac:dyDescent="0.2">
      <c r="A88" s="367" t="s">
        <v>536</v>
      </c>
      <c r="B88" s="376">
        <v>105997027.34999999</v>
      </c>
      <c r="C88" s="376"/>
      <c r="D88" s="376"/>
      <c r="E88" s="376"/>
      <c r="F88" s="376"/>
      <c r="G88" s="451"/>
    </row>
    <row r="89" spans="1:10" x14ac:dyDescent="0.2">
      <c r="A89" s="369" t="s">
        <v>537</v>
      </c>
      <c r="B89" s="377">
        <f>SUM(B85:B88)</f>
        <v>109114537.69</v>
      </c>
      <c r="C89" s="377"/>
      <c r="D89" s="377">
        <f>B89*C1</f>
        <v>72314058.430000007</v>
      </c>
      <c r="E89" s="377">
        <f>SUM(C89:D89)</f>
        <v>72314058.430000007</v>
      </c>
      <c r="F89" s="377">
        <f>B89*C2</f>
        <v>36800479.259999998</v>
      </c>
      <c r="G89" s="451">
        <f>B89-E89-F89</f>
        <v>0</v>
      </c>
    </row>
    <row r="90" spans="1:10" x14ac:dyDescent="0.2">
      <c r="A90" s="367" t="s">
        <v>538</v>
      </c>
      <c r="B90" s="376">
        <v>0</v>
      </c>
      <c r="C90" s="376"/>
      <c r="D90" s="376"/>
      <c r="E90" s="376"/>
      <c r="F90" s="376"/>
      <c r="G90" s="451"/>
    </row>
    <row r="91" spans="1:10" x14ac:dyDescent="0.2">
      <c r="A91" s="367" t="s">
        <v>539</v>
      </c>
      <c r="B91" s="376">
        <v>715282.68</v>
      </c>
      <c r="C91" s="376"/>
      <c r="D91" s="376"/>
      <c r="E91" s="376"/>
      <c r="F91" s="376"/>
      <c r="G91" s="451"/>
    </row>
    <row r="92" spans="1:10" x14ac:dyDescent="0.2">
      <c r="A92" s="367" t="s">
        <v>540</v>
      </c>
      <c r="B92" s="376">
        <v>2726056.87</v>
      </c>
      <c r="C92" s="376"/>
      <c r="D92" s="376"/>
      <c r="E92" s="376"/>
      <c r="F92" s="376"/>
      <c r="G92" s="451"/>
    </row>
    <row r="93" spans="1:10" x14ac:dyDescent="0.2">
      <c r="A93" s="367" t="s">
        <v>541</v>
      </c>
      <c r="B93" s="376">
        <v>2652900</v>
      </c>
      <c r="C93" s="376"/>
      <c r="D93" s="376"/>
      <c r="E93" s="376"/>
      <c r="F93" s="376"/>
      <c r="G93" s="451"/>
    </row>
    <row r="94" spans="1:10" x14ac:dyDescent="0.2">
      <c r="A94" s="367" t="s">
        <v>542</v>
      </c>
      <c r="B94" s="376">
        <v>4616499.3600000003</v>
      </c>
      <c r="C94" s="376"/>
      <c r="D94" s="376"/>
      <c r="E94" s="376"/>
      <c r="F94" s="376"/>
      <c r="G94" s="451"/>
    </row>
    <row r="95" spans="1:10" x14ac:dyDescent="0.2">
      <c r="A95" s="367" t="s">
        <v>543</v>
      </c>
      <c r="B95" s="376">
        <v>1144993.8</v>
      </c>
      <c r="C95" s="376"/>
      <c r="D95" s="376"/>
      <c r="E95" s="376"/>
      <c r="F95" s="376"/>
      <c r="G95" s="451"/>
      <c r="I95" s="293" t="s">
        <v>562</v>
      </c>
      <c r="J95" s="293" t="s">
        <v>563</v>
      </c>
    </row>
    <row r="96" spans="1:10" x14ac:dyDescent="0.2">
      <c r="A96" s="369" t="s">
        <v>544</v>
      </c>
      <c r="B96" s="377">
        <f>SUM(B90:B95)</f>
        <v>11855732.710000001</v>
      </c>
      <c r="C96" s="377">
        <f>+B94+B95+B93+I98+J98</f>
        <v>9121496.040000001</v>
      </c>
      <c r="D96" s="377">
        <f>B91-I98-J98+B92</f>
        <v>2734236.6700000004</v>
      </c>
      <c r="E96" s="377">
        <f>SUM(C96:D96)</f>
        <v>11855732.710000001</v>
      </c>
      <c r="F96" s="377"/>
      <c r="G96" s="451">
        <f>B96-E96-F96</f>
        <v>0</v>
      </c>
      <c r="H96" s="385" t="s">
        <v>564</v>
      </c>
      <c r="I96" s="381">
        <f>'Col Depr Adj'!J303</f>
        <v>354668.75999999978</v>
      </c>
      <c r="J96" s="292">
        <f>'Col Depr Adj'!K303</f>
        <v>213630.12000000011</v>
      </c>
    </row>
    <row r="97" spans="1:10" x14ac:dyDescent="0.2">
      <c r="A97" s="367" t="s">
        <v>551</v>
      </c>
      <c r="B97" s="376">
        <v>5345629.22</v>
      </c>
      <c r="C97" s="376"/>
      <c r="D97" s="376"/>
      <c r="E97" s="376"/>
      <c r="F97" s="376"/>
      <c r="G97" s="451"/>
      <c r="H97" s="385" t="s">
        <v>565</v>
      </c>
      <c r="I97" s="381">
        <f>-'Col Acq Adj'!D21</f>
        <v>104311.20600000001</v>
      </c>
      <c r="J97" s="292">
        <f>-'Col Acq Adj'!D22</f>
        <v>34492.793999999994</v>
      </c>
    </row>
    <row r="98" spans="1:10" x14ac:dyDescent="0.2">
      <c r="A98" s="367" t="s">
        <v>545</v>
      </c>
      <c r="B98" s="376">
        <v>-1730427.95</v>
      </c>
      <c r="C98" s="376"/>
      <c r="D98" s="376"/>
      <c r="E98" s="376"/>
      <c r="F98" s="376"/>
      <c r="G98" s="451"/>
      <c r="I98" s="292">
        <f>SUM(I96:I97)</f>
        <v>458979.96599999978</v>
      </c>
      <c r="J98" s="381">
        <f>SUM(J96:J97)</f>
        <v>248122.91400000011</v>
      </c>
    </row>
    <row r="99" spans="1:10" x14ac:dyDescent="0.2">
      <c r="A99" s="369" t="s">
        <v>546</v>
      </c>
      <c r="B99" s="377">
        <f>SUM(B97:B98)</f>
        <v>3615201.2699999996</v>
      </c>
      <c r="C99" s="377">
        <f>'ARC Dep-ARO Accr'!I19</f>
        <v>3553168.62</v>
      </c>
      <c r="D99" s="377">
        <f>'ARC Dep-ARO Accr'!J19</f>
        <v>62032.639999999992</v>
      </c>
      <c r="E99" s="377">
        <f>SUM(C99:D99)</f>
        <v>3615201.2600000002</v>
      </c>
      <c r="F99" s="377"/>
      <c r="G99" s="451">
        <f>ROUND(B99-E99-F99,0)</f>
        <v>0</v>
      </c>
    </row>
    <row r="100" spans="1:10" x14ac:dyDescent="0.2">
      <c r="A100" s="367" t="s">
        <v>547</v>
      </c>
      <c r="B100" s="376">
        <v>229650.64</v>
      </c>
      <c r="C100" s="376"/>
      <c r="D100" s="376"/>
      <c r="E100" s="376"/>
      <c r="F100" s="376"/>
      <c r="G100" s="451"/>
    </row>
    <row r="101" spans="1:10" x14ac:dyDescent="0.2">
      <c r="A101" s="369" t="s">
        <v>548</v>
      </c>
      <c r="B101" s="377">
        <f>SUM(B100)</f>
        <v>229650.64</v>
      </c>
      <c r="C101" s="377"/>
      <c r="D101" s="377"/>
      <c r="E101" s="377">
        <f>SUM(C101:D101)</f>
        <v>0</v>
      </c>
      <c r="F101" s="377">
        <f>B101</f>
        <v>229650.64</v>
      </c>
      <c r="G101" s="451">
        <f>B101-E101-F101</f>
        <v>0</v>
      </c>
    </row>
    <row r="102" spans="1:10" x14ac:dyDescent="0.2">
      <c r="A102" s="367" t="s">
        <v>549</v>
      </c>
      <c r="B102" s="376">
        <v>21119.439999999999</v>
      </c>
      <c r="C102" s="376"/>
      <c r="D102" s="376"/>
      <c r="E102" s="376"/>
      <c r="F102" s="376"/>
      <c r="G102" s="451"/>
    </row>
    <row r="103" spans="1:10" x14ac:dyDescent="0.2">
      <c r="A103" s="369" t="s">
        <v>550</v>
      </c>
      <c r="B103" s="377">
        <f>SUM(B102)</f>
        <v>21119.439999999999</v>
      </c>
      <c r="C103" s="377"/>
      <c r="D103" s="377">
        <f>B103*B1</f>
        <v>13995.819815487494</v>
      </c>
      <c r="E103" s="377">
        <f>SUM(C103:D103)</f>
        <v>13995.819815487494</v>
      </c>
      <c r="F103" s="377">
        <f>B103*B2</f>
        <v>7123.620184512507</v>
      </c>
      <c r="G103" s="451">
        <f>B103-E103-F103</f>
        <v>0</v>
      </c>
    </row>
    <row r="104" spans="1:10" x14ac:dyDescent="0.2">
      <c r="A104" s="368" t="s">
        <v>524</v>
      </c>
      <c r="B104" s="380">
        <f>B81+B84+B89+B96+B99+B101+B103</f>
        <v>142428578.75999999</v>
      </c>
      <c r="C104" s="380">
        <f>C81+C84+C89+C96+C99+C101+C103</f>
        <v>16462324.760000002</v>
      </c>
      <c r="D104" s="380">
        <f t="shared" ref="D104:F104" si="4">D81+D84+D89+D96+D99+D101+D103</f>
        <v>85293758.0398155</v>
      </c>
      <c r="E104" s="380">
        <f t="shared" si="4"/>
        <v>101756082.79981549</v>
      </c>
      <c r="F104" s="380">
        <f t="shared" si="4"/>
        <v>40672495.950184509</v>
      </c>
      <c r="G104" s="451">
        <f>ROUND(B104-E104-F104,0)</f>
        <v>0</v>
      </c>
    </row>
    <row r="105" spans="1:10" x14ac:dyDescent="0.2">
      <c r="B105" s="381">
        <f>K36</f>
        <v>142428578.75999999</v>
      </c>
      <c r="C105" s="381"/>
      <c r="D105" s="381"/>
      <c r="E105" s="381">
        <f>I36</f>
        <v>101756083.26000001</v>
      </c>
      <c r="F105" s="381">
        <f>J36</f>
        <v>40672495.5</v>
      </c>
      <c r="G105" s="453"/>
    </row>
    <row r="106" spans="1:10" x14ac:dyDescent="0.2">
      <c r="B106" s="381">
        <f>B104-B105</f>
        <v>0</v>
      </c>
      <c r="C106" s="381"/>
      <c r="D106" s="381"/>
      <c r="E106" s="452">
        <f>ROUND(E104-E105,0)</f>
        <v>0</v>
      </c>
      <c r="F106" s="452">
        <f>ROUND(F104-F105,0)</f>
        <v>0</v>
      </c>
      <c r="G106" s="292"/>
    </row>
    <row r="107" spans="1:10" x14ac:dyDescent="0.2">
      <c r="A107" s="361" t="s">
        <v>561</v>
      </c>
      <c r="B107" s="381">
        <f>B104+B72</f>
        <v>630467407.21000004</v>
      </c>
      <c r="C107" s="381">
        <f>C104+C72</f>
        <v>166293299.914</v>
      </c>
      <c r="D107" s="381">
        <f>D104+D72</f>
        <v>294243838.36926728</v>
      </c>
      <c r="E107" s="381">
        <f>E104+E72</f>
        <v>460537138.28326732</v>
      </c>
      <c r="F107" s="381">
        <f>F104+F72</f>
        <v>169930268.9167327</v>
      </c>
      <c r="G107" s="292"/>
    </row>
    <row r="108" spans="1:10" x14ac:dyDescent="0.2">
      <c r="B108" s="381"/>
      <c r="C108" s="381"/>
      <c r="D108" s="381"/>
      <c r="E108" s="381"/>
      <c r="F108" s="381"/>
      <c r="G108" s="292"/>
    </row>
    <row r="109" spans="1:10" x14ac:dyDescent="0.2">
      <c r="A109" s="361" t="s">
        <v>559</v>
      </c>
      <c r="C109" s="19" t="s">
        <v>560</v>
      </c>
      <c r="D109" s="19" t="s">
        <v>628</v>
      </c>
      <c r="E109" s="19" t="s">
        <v>629</v>
      </c>
    </row>
    <row r="110" spans="1:10" x14ac:dyDescent="0.2">
      <c r="A110" s="383" t="s">
        <v>557</v>
      </c>
      <c r="C110" s="381">
        <f>C107-C111</f>
        <v>162534670.03999999</v>
      </c>
      <c r="D110" s="381">
        <v>-9250000</v>
      </c>
      <c r="E110" s="381">
        <f>C110+D110</f>
        <v>153284670.03999999</v>
      </c>
    </row>
    <row r="111" spans="1:10" x14ac:dyDescent="0.2">
      <c r="A111" s="383" t="s">
        <v>558</v>
      </c>
      <c r="C111" s="381">
        <f>C39+J98</f>
        <v>3758629.8740000008</v>
      </c>
      <c r="D111" s="381">
        <v>0</v>
      </c>
      <c r="E111" s="381">
        <f>C111+D111</f>
        <v>3758629.8740000008</v>
      </c>
    </row>
    <row r="112" spans="1:10" x14ac:dyDescent="0.2">
      <c r="A112" s="361" t="s">
        <v>13</v>
      </c>
      <c r="C112" s="396">
        <f>SUM(C110:C111)</f>
        <v>166293299.914</v>
      </c>
      <c r="D112" s="396">
        <f>SUM(D110:D111)</f>
        <v>-9250000</v>
      </c>
      <c r="E112" s="396">
        <f>SUM(E110:E111)</f>
        <v>157043299.914</v>
      </c>
    </row>
    <row r="113" spans="1:9" x14ac:dyDescent="0.2">
      <c r="A113" s="397" t="s">
        <v>587</v>
      </c>
      <c r="C113" s="94"/>
      <c r="D113" s="344">
        <v>0</v>
      </c>
      <c r="E113" s="381">
        <f>C113+D113</f>
        <v>0</v>
      </c>
    </row>
    <row r="114" spans="1:9" ht="13.5" thickBot="1" x14ac:dyDescent="0.25">
      <c r="A114" s="398" t="s">
        <v>588</v>
      </c>
      <c r="C114" s="384">
        <f>SUM(C112:C113)</f>
        <v>166293299.914</v>
      </c>
      <c r="D114" s="384">
        <f t="shared" ref="D114:E114" si="5">SUM(D112:D113)</f>
        <v>-9250000</v>
      </c>
      <c r="E114" s="384">
        <f t="shared" si="5"/>
        <v>157043299.914</v>
      </c>
    </row>
    <row r="115" spans="1:9" ht="13.5" thickTop="1" x14ac:dyDescent="0.2">
      <c r="C115" s="452">
        <f>C112-C107</f>
        <v>0</v>
      </c>
    </row>
    <row r="116" spans="1:9" x14ac:dyDescent="0.2">
      <c r="A116" s="361" t="s">
        <v>566</v>
      </c>
      <c r="C116" s="19" t="s">
        <v>567</v>
      </c>
    </row>
    <row r="117" spans="1:9" x14ac:dyDescent="0.2">
      <c r="B117" s="374" t="s">
        <v>562</v>
      </c>
      <c r="C117" s="399">
        <v>34974649.079999991</v>
      </c>
    </row>
    <row r="118" spans="1:9" x14ac:dyDescent="0.2">
      <c r="B118" s="374" t="s">
        <v>589</v>
      </c>
      <c r="C118" s="381">
        <v>9250000.0199999996</v>
      </c>
    </row>
    <row r="119" spans="1:9" x14ac:dyDescent="0.2">
      <c r="B119" s="374" t="s">
        <v>468</v>
      </c>
      <c r="C119" s="400">
        <f>B12</f>
        <v>44224649.100000001</v>
      </c>
      <c r="G119" s="361"/>
      <c r="H119" s="361"/>
    </row>
    <row r="120" spans="1:9" x14ac:dyDescent="0.2">
      <c r="B120" s="374" t="s">
        <v>470</v>
      </c>
      <c r="C120" s="381">
        <f>B14</f>
        <v>19373549.440000001</v>
      </c>
      <c r="G120" s="361"/>
      <c r="H120" s="361"/>
    </row>
    <row r="121" spans="1:9" x14ac:dyDescent="0.2">
      <c r="B121" s="374" t="s">
        <v>483</v>
      </c>
      <c r="C121" s="381">
        <f>B27</f>
        <v>75234882.900000006</v>
      </c>
      <c r="G121" s="361"/>
      <c r="H121" s="361"/>
    </row>
    <row r="122" spans="1:9" x14ac:dyDescent="0.2">
      <c r="B122" s="391" t="s">
        <v>572</v>
      </c>
      <c r="C122" s="381">
        <f>C66</f>
        <v>7464653.5599999987</v>
      </c>
      <c r="G122" s="361"/>
      <c r="H122" s="361"/>
      <c r="I122" s="292"/>
    </row>
    <row r="123" spans="1:9" x14ac:dyDescent="0.2">
      <c r="B123" s="391" t="s">
        <v>546</v>
      </c>
      <c r="C123" s="381">
        <f>C99</f>
        <v>3553168.62</v>
      </c>
      <c r="G123" s="253"/>
    </row>
    <row r="124" spans="1:9" x14ac:dyDescent="0.2">
      <c r="B124" s="391" t="s">
        <v>508</v>
      </c>
      <c r="C124" s="381">
        <f>C52</f>
        <v>22733.194</v>
      </c>
      <c r="G124" s="253"/>
    </row>
    <row r="125" spans="1:9" x14ac:dyDescent="0.2">
      <c r="B125" s="391" t="s">
        <v>529</v>
      </c>
      <c r="C125" s="381">
        <f>C81</f>
        <v>3787660.100000001</v>
      </c>
    </row>
    <row r="126" spans="1:9" x14ac:dyDescent="0.2">
      <c r="B126" s="391" t="s">
        <v>544</v>
      </c>
      <c r="C126" s="381">
        <f>C96-J98</f>
        <v>8873373.1260000002</v>
      </c>
    </row>
    <row r="127" spans="1:9" ht="13.5" thickBot="1" x14ac:dyDescent="0.25">
      <c r="C127" s="384">
        <f>SUM(C119:C126)</f>
        <v>162534670.03999999</v>
      </c>
      <c r="G127" s="292"/>
    </row>
    <row r="128" spans="1:9" ht="13.5" thickTop="1" x14ac:dyDescent="0.2">
      <c r="C128" s="452">
        <f>C127-C110</f>
        <v>0</v>
      </c>
      <c r="D128" s="381"/>
    </row>
    <row r="129" spans="2:9" x14ac:dyDescent="0.2">
      <c r="C129" s="19" t="s">
        <v>567</v>
      </c>
    </row>
    <row r="130" spans="2:9" x14ac:dyDescent="0.2">
      <c r="B130" s="361">
        <v>3171</v>
      </c>
      <c r="C130" s="381">
        <f>SUM('ARC Dep-ARO Accr'!B37:D37)</f>
        <v>4245937.8500000015</v>
      </c>
      <c r="G130" s="361"/>
      <c r="H130" s="361"/>
      <c r="I130" s="361"/>
    </row>
    <row r="131" spans="2:9" x14ac:dyDescent="0.2">
      <c r="B131" s="361">
        <v>347</v>
      </c>
      <c r="C131" s="381">
        <f>'ARC Dep-ARO Accr'!F37</f>
        <v>3218715.76</v>
      </c>
      <c r="G131" s="361"/>
      <c r="H131" s="361"/>
      <c r="I131" s="361"/>
    </row>
    <row r="132" spans="2:9" ht="13.5" thickBot="1" x14ac:dyDescent="0.25">
      <c r="B132" s="374" t="s">
        <v>582</v>
      </c>
      <c r="C132" s="384">
        <f>SUM(C130:C131)</f>
        <v>7464653.6100000013</v>
      </c>
      <c r="G132" s="361"/>
      <c r="H132" s="361"/>
      <c r="I132" s="361"/>
    </row>
    <row r="133" spans="2:9" ht="13.5" thickTop="1" x14ac:dyDescent="0.2"/>
    <row r="134" spans="2:9" x14ac:dyDescent="0.2">
      <c r="B134" s="361" t="s">
        <v>590</v>
      </c>
      <c r="C134" s="381">
        <f>C127-C118</f>
        <v>153284670.01999998</v>
      </c>
      <c r="D134" s="451">
        <f>ROUND('SEF-15 Summary'!D40-C134,0)</f>
        <v>0</v>
      </c>
    </row>
    <row r="135" spans="2:9" x14ac:dyDescent="0.2">
      <c r="B135" s="361" t="s">
        <v>591</v>
      </c>
      <c r="C135" s="381">
        <f>C118</f>
        <v>9250000.0199999996</v>
      </c>
      <c r="D135" s="451">
        <f>'SEF-15 Summary'!D43-C135</f>
        <v>0</v>
      </c>
    </row>
    <row r="136" spans="2:9" ht="13.5" thickBot="1" x14ac:dyDescent="0.25">
      <c r="C136" s="384">
        <f>SUM(C134:C135)</f>
        <v>162534670.03999999</v>
      </c>
    </row>
    <row r="137" spans="2:9" ht="13.5" thickTop="1" x14ac:dyDescent="0.2"/>
  </sheetData>
  <conditionalFormatting sqref="D134:D135">
    <cfRule type="cellIs" dxfId="4" priority="5" operator="notEqual">
      <formula>0</formula>
    </cfRule>
  </conditionalFormatting>
  <conditionalFormatting sqref="E106:F106">
    <cfRule type="cellIs" dxfId="3" priority="4" operator="notEqual">
      <formula>0</formula>
    </cfRule>
  </conditionalFormatting>
  <conditionalFormatting sqref="G12:G104">
    <cfRule type="cellIs" dxfId="2" priority="3" operator="notEqual">
      <formula>0</formula>
    </cfRule>
  </conditionalFormatting>
  <conditionalFormatting sqref="C115">
    <cfRule type="cellIs" dxfId="1" priority="2" operator="notEqual">
      <formula>0</formula>
    </cfRule>
  </conditionalFormatting>
  <conditionalFormatting sqref="C128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P65" sqref="P65"/>
    </sheetView>
  </sheetViews>
  <sheetFormatPr defaultRowHeight="12.75" x14ac:dyDescent="0.2"/>
  <cols>
    <col min="1" max="1" width="13" bestFit="1" customWidth="1"/>
    <col min="2" max="7" width="13.7109375" bestFit="1" customWidth="1"/>
    <col min="8" max="8" width="5.28515625" bestFit="1" customWidth="1"/>
    <col min="9" max="14" width="13.7109375" bestFit="1" customWidth="1"/>
    <col min="15" max="15" width="4" bestFit="1" customWidth="1"/>
  </cols>
  <sheetData>
    <row r="1" spans="1:14" ht="15" x14ac:dyDescent="0.25">
      <c r="B1" s="386" t="s">
        <v>568</v>
      </c>
      <c r="C1" s="386"/>
      <c r="D1" s="386"/>
      <c r="E1" s="386"/>
      <c r="F1" s="386"/>
      <c r="G1" s="386"/>
      <c r="I1" s="386" t="s">
        <v>569</v>
      </c>
      <c r="J1" s="386"/>
      <c r="K1" s="386"/>
      <c r="L1" s="386"/>
      <c r="M1" s="386"/>
      <c r="N1" s="386"/>
    </row>
    <row r="2" spans="1:14" ht="15" x14ac:dyDescent="0.25">
      <c r="B2" s="387"/>
      <c r="C2" s="387"/>
      <c r="D2" s="387">
        <v>40310001</v>
      </c>
      <c r="E2" s="387"/>
      <c r="F2" s="387"/>
      <c r="G2" s="387"/>
      <c r="I2" s="387"/>
      <c r="J2" s="387"/>
      <c r="K2" s="387">
        <v>41113001</v>
      </c>
      <c r="L2" s="387"/>
      <c r="M2" s="387"/>
      <c r="N2" s="387"/>
    </row>
    <row r="3" spans="1:14" ht="15" x14ac:dyDescent="0.25">
      <c r="B3" s="387"/>
      <c r="C3" s="387"/>
      <c r="D3" s="387">
        <v>40310002</v>
      </c>
      <c r="E3" s="387">
        <v>40310301</v>
      </c>
      <c r="F3" s="387">
        <v>40310601</v>
      </c>
      <c r="G3" s="387"/>
      <c r="I3" s="387"/>
      <c r="J3" s="387"/>
      <c r="K3" s="387">
        <v>41113002</v>
      </c>
      <c r="L3" s="387">
        <v>41113301</v>
      </c>
      <c r="M3" s="387">
        <v>41113601</v>
      </c>
      <c r="N3" s="387"/>
    </row>
    <row r="4" spans="1:14" ht="15" x14ac:dyDescent="0.25">
      <c r="A4" s="388" t="s">
        <v>570</v>
      </c>
      <c r="B4" s="388" t="s">
        <v>554</v>
      </c>
      <c r="C4" s="388" t="s">
        <v>555</v>
      </c>
      <c r="D4" s="388" t="s">
        <v>556</v>
      </c>
      <c r="E4" s="388" t="s">
        <v>255</v>
      </c>
      <c r="F4" s="388" t="s">
        <v>571</v>
      </c>
      <c r="G4" s="388" t="s">
        <v>9</v>
      </c>
      <c r="I4" s="388" t="s">
        <v>554</v>
      </c>
      <c r="J4" s="388" t="s">
        <v>555</v>
      </c>
      <c r="K4" s="388" t="s">
        <v>556</v>
      </c>
      <c r="L4" s="388" t="s">
        <v>255</v>
      </c>
      <c r="M4" s="388" t="s">
        <v>571</v>
      </c>
      <c r="N4" s="388" t="s">
        <v>9</v>
      </c>
    </row>
    <row r="6" spans="1:14" x14ac:dyDescent="0.2">
      <c r="A6" s="389">
        <v>43677</v>
      </c>
      <c r="B6" s="401">
        <f>5047658.13-4420346-3424.63-8073.48</f>
        <v>615814.0199999999</v>
      </c>
      <c r="C6" s="401">
        <f>3424.63+8073.48</f>
        <v>11498.11</v>
      </c>
      <c r="D6" s="401">
        <f>SUM(B6:C6)</f>
        <v>627312.12999999989</v>
      </c>
      <c r="E6" s="401">
        <v>12787.01</v>
      </c>
      <c r="F6" s="401">
        <v>4211.57</v>
      </c>
      <c r="G6" s="401">
        <f t="shared" ref="G6:G17" si="0">SUM(D6:F6)</f>
        <v>644310.70999999985</v>
      </c>
      <c r="I6" s="401">
        <f>449825.03-3103.78-150402.29-1627.48</f>
        <v>294691.48</v>
      </c>
      <c r="J6" s="401">
        <f>3103.78+1627.48</f>
        <v>4731.26</v>
      </c>
      <c r="K6" s="401">
        <f>SUM(I6:J6)</f>
        <v>299422.74</v>
      </c>
      <c r="L6" s="401">
        <v>18863.09</v>
      </c>
      <c r="M6" s="401">
        <v>1701.68</v>
      </c>
      <c r="N6" s="401">
        <f>SUM(K6:M6)</f>
        <v>319987.51</v>
      </c>
    </row>
    <row r="7" spans="1:14" x14ac:dyDescent="0.2">
      <c r="A7" s="389">
        <v>43708</v>
      </c>
      <c r="B7" s="292">
        <f>5047658-8073.4-4420345.9-3424.64</f>
        <v>615814.05999999924</v>
      </c>
      <c r="C7" s="292">
        <f>3424.64+8073.4</f>
        <v>11498.039999999999</v>
      </c>
      <c r="D7" s="401">
        <f>SUM(B7:C7)</f>
        <v>627312.09999999928</v>
      </c>
      <c r="E7" s="292">
        <v>12787.02</v>
      </c>
      <c r="F7" s="292">
        <v>4211.57</v>
      </c>
      <c r="G7" s="292">
        <f t="shared" si="0"/>
        <v>644310.68999999925</v>
      </c>
      <c r="I7" s="292">
        <f>451581.55-3106.22-150800.09-1628.1</f>
        <v>296047.14</v>
      </c>
      <c r="J7" s="292">
        <f>3106.22+1628.1</f>
        <v>4734.32</v>
      </c>
      <c r="K7" s="401">
        <f>SUM(I7:J7)</f>
        <v>300781.46000000002</v>
      </c>
      <c r="L7" s="292">
        <v>18916.68</v>
      </c>
      <c r="M7" s="292">
        <v>1707.34</v>
      </c>
      <c r="N7" s="292">
        <f>SUM(K7:M7)</f>
        <v>321405.48000000004</v>
      </c>
    </row>
    <row r="8" spans="1:14" x14ac:dyDescent="0.2">
      <c r="A8" s="389">
        <v>43738</v>
      </c>
      <c r="B8" s="292">
        <f>5047658.08-3424.63-8073.43-4420345.9</f>
        <v>615814.12000000011</v>
      </c>
      <c r="C8" s="292">
        <f>8073.43+3424.63</f>
        <v>11498.060000000001</v>
      </c>
      <c r="D8" s="292">
        <f>SUM(B8:C8)</f>
        <v>627312.18000000017</v>
      </c>
      <c r="E8" s="292">
        <f>12787.04</f>
        <v>12787.04</v>
      </c>
      <c r="F8" s="292">
        <v>4212.57</v>
      </c>
      <c r="G8" s="292">
        <f t="shared" si="0"/>
        <v>644311.79000000015</v>
      </c>
      <c r="I8" s="292">
        <f>452653.63-3108.53-151199.04-1628.62</f>
        <v>296717.43999999994</v>
      </c>
      <c r="J8" s="292">
        <f>3108.53+1628.62</f>
        <v>4737.1499999999996</v>
      </c>
      <c r="K8" s="292">
        <f>SUM(I8:J8)</f>
        <v>301454.58999999997</v>
      </c>
      <c r="L8" s="292">
        <v>18970.37</v>
      </c>
      <c r="M8" s="292">
        <v>1713.02</v>
      </c>
      <c r="N8" s="292">
        <f t="shared" ref="N8:N17" si="1">SUM(K8:M8)</f>
        <v>322137.98</v>
      </c>
    </row>
    <row r="9" spans="1:14" x14ac:dyDescent="0.2">
      <c r="A9" s="389">
        <v>43769</v>
      </c>
      <c r="B9" s="292">
        <f>5047658.06-3424.63-4420345.85-8073.4</f>
        <v>615814.18000000005</v>
      </c>
      <c r="C9" s="292">
        <f>3424.63+8073.4</f>
        <v>11498.029999999999</v>
      </c>
      <c r="D9" s="292">
        <f>SUM(B9:C9)</f>
        <v>627312.21000000008</v>
      </c>
      <c r="E9" s="292">
        <v>12787.03</v>
      </c>
      <c r="F9" s="292">
        <v>4211.57</v>
      </c>
      <c r="G9" s="292">
        <f t="shared" si="0"/>
        <v>644310.81000000006</v>
      </c>
      <c r="I9" s="292">
        <f>453014.11-3110.88-151599.02-1629.21</f>
        <v>296674.99999999994</v>
      </c>
      <c r="J9" s="292">
        <f>3110.88+1629.21</f>
        <v>4740.09</v>
      </c>
      <c r="K9" s="292">
        <f>SUM(I9:J9)</f>
        <v>301415.08999999997</v>
      </c>
      <c r="L9" s="292">
        <v>19163.189999999999</v>
      </c>
      <c r="M9" s="292">
        <v>1718.72</v>
      </c>
      <c r="N9" s="292">
        <f t="shared" si="1"/>
        <v>322296.99999999994</v>
      </c>
    </row>
    <row r="10" spans="1:14" x14ac:dyDescent="0.2">
      <c r="A10" s="389">
        <v>43799</v>
      </c>
      <c r="B10" s="292">
        <f>5047658.02-3424.63-8073.43-4420345.92</f>
        <v>615814.04</v>
      </c>
      <c r="C10" s="292">
        <f>3424.63+8073.43</f>
        <v>11498.060000000001</v>
      </c>
      <c r="D10" s="292">
        <f>SUM(B10:C10)</f>
        <v>627312.10000000009</v>
      </c>
      <c r="E10" s="292">
        <v>12787.04</v>
      </c>
      <c r="F10" s="292">
        <v>4211.57</v>
      </c>
      <c r="G10" s="292">
        <f t="shared" si="0"/>
        <v>644310.71000000008</v>
      </c>
      <c r="I10" s="292">
        <f>454281.8-3113.18-152000.08-1629.74</f>
        <v>297538.80000000005</v>
      </c>
      <c r="J10" s="292">
        <f>3113.18+1629.74</f>
        <v>4742.92</v>
      </c>
      <c r="K10" s="292">
        <f>SUM(I10:J10)</f>
        <v>302281.72000000003</v>
      </c>
      <c r="L10" s="292">
        <v>19217.87</v>
      </c>
      <c r="M10" s="292">
        <v>1724.45</v>
      </c>
      <c r="N10" s="292">
        <f t="shared" si="1"/>
        <v>323224.04000000004</v>
      </c>
    </row>
    <row r="11" spans="1:14" x14ac:dyDescent="0.2">
      <c r="A11" s="389">
        <v>43830</v>
      </c>
      <c r="B11" s="292">
        <f>5046420.92-4250.96-4420345.92-6009.8</f>
        <v>615814.24</v>
      </c>
      <c r="C11" s="292">
        <f>4250.96+6009.8</f>
        <v>10260.76</v>
      </c>
      <c r="D11" s="292">
        <f t="shared" ref="D11:D17" si="2">SUM(B11:C11)</f>
        <v>626075</v>
      </c>
      <c r="E11" s="292">
        <v>11936.74</v>
      </c>
      <c r="F11" s="292">
        <v>4334.5200000000004</v>
      </c>
      <c r="G11" s="292">
        <f t="shared" si="0"/>
        <v>642346.26</v>
      </c>
      <c r="I11" s="292">
        <f>455531.84-3115.43-152402.24-1630.4</f>
        <v>298383.77</v>
      </c>
      <c r="J11" s="292">
        <f>3115.43+1630.4</f>
        <v>4745.83</v>
      </c>
      <c r="K11" s="292">
        <f t="shared" ref="K11:K17" si="3">SUM(I11:J11)</f>
        <v>303129.60000000003</v>
      </c>
      <c r="L11" s="292">
        <v>19272.7</v>
      </c>
      <c r="M11" s="292">
        <v>1730.19</v>
      </c>
      <c r="N11" s="292">
        <f t="shared" si="1"/>
        <v>324132.49000000005</v>
      </c>
    </row>
    <row r="12" spans="1:14" x14ac:dyDescent="0.2">
      <c r="A12" s="389">
        <v>43861</v>
      </c>
      <c r="B12" s="292">
        <f>624835.07-5078.84-3942.05</f>
        <v>615814.17999999993</v>
      </c>
      <c r="C12" s="292">
        <f>5078.84+3942.05</f>
        <v>9020.89</v>
      </c>
      <c r="D12" s="292">
        <f t="shared" si="2"/>
        <v>624835.06999999995</v>
      </c>
      <c r="E12" s="292">
        <v>11085.27</v>
      </c>
      <c r="F12" s="292">
        <v>4446.58</v>
      </c>
      <c r="G12" s="292">
        <f t="shared" si="0"/>
        <v>640366.91999999993</v>
      </c>
      <c r="I12" s="292">
        <f>436997.83-4697.13-139140.72-890.22</f>
        <v>292269.76</v>
      </c>
      <c r="J12" s="292">
        <f>4697.13+890.22</f>
        <v>5587.35</v>
      </c>
      <c r="K12" s="292">
        <f t="shared" si="3"/>
        <v>297857.11</v>
      </c>
      <c r="L12" s="292">
        <v>19347.830000000002</v>
      </c>
      <c r="M12" s="292">
        <v>1789.2</v>
      </c>
      <c r="N12" s="292">
        <f t="shared" si="1"/>
        <v>318994.14</v>
      </c>
    </row>
    <row r="13" spans="1:14" x14ac:dyDescent="0.2">
      <c r="A13" s="389">
        <v>43890</v>
      </c>
      <c r="B13" s="292">
        <f>624835.14-5078.85-3942.05</f>
        <v>615814.24</v>
      </c>
      <c r="C13" s="292">
        <f>5078.85+3942.05</f>
        <v>9020.9000000000015</v>
      </c>
      <c r="D13" s="292">
        <f t="shared" si="2"/>
        <v>624835.14</v>
      </c>
      <c r="E13" s="292">
        <v>11085.25</v>
      </c>
      <c r="F13" s="292">
        <v>4446.58</v>
      </c>
      <c r="G13" s="292">
        <f t="shared" si="0"/>
        <v>640366.97</v>
      </c>
      <c r="I13" s="292">
        <f>433312.21-4701.94-136300.06-890.6</f>
        <v>291419.61000000004</v>
      </c>
      <c r="J13" s="292">
        <f>4701.94+890.6</f>
        <v>5592.54</v>
      </c>
      <c r="K13" s="292">
        <f t="shared" si="3"/>
        <v>297012.15000000002</v>
      </c>
      <c r="L13" s="292">
        <v>19404.580000000002</v>
      </c>
      <c r="M13" s="292">
        <v>1795.1</v>
      </c>
      <c r="N13" s="292">
        <f t="shared" si="1"/>
        <v>318211.83</v>
      </c>
    </row>
    <row r="14" spans="1:14" x14ac:dyDescent="0.2">
      <c r="A14" s="389">
        <v>43921</v>
      </c>
      <c r="B14" s="292">
        <f>635483.68-5078.84-3942.06</f>
        <v>626462.78</v>
      </c>
      <c r="C14" s="292">
        <f>5078.84+3942.06</f>
        <v>9020.9</v>
      </c>
      <c r="D14" s="292">
        <f t="shared" si="2"/>
        <v>635483.68000000005</v>
      </c>
      <c r="E14" s="292">
        <v>11085.25</v>
      </c>
      <c r="F14" s="292">
        <v>4446.58</v>
      </c>
      <c r="G14" s="292">
        <f t="shared" si="0"/>
        <v>651015.51</v>
      </c>
      <c r="I14" s="292">
        <f>434367.61-4706.7-136558.22-890.93</f>
        <v>292211.75999999995</v>
      </c>
      <c r="J14" s="292">
        <f>4706.7+890.93</f>
        <v>5597.63</v>
      </c>
      <c r="K14" s="292">
        <f t="shared" si="3"/>
        <v>297809.38999999996</v>
      </c>
      <c r="L14" s="292">
        <v>19461.439999999999</v>
      </c>
      <c r="M14" s="292">
        <v>1801.01</v>
      </c>
      <c r="N14" s="292">
        <f t="shared" si="1"/>
        <v>319071.83999999997</v>
      </c>
    </row>
    <row r="15" spans="1:14" x14ac:dyDescent="0.2">
      <c r="A15" s="389">
        <v>43951</v>
      </c>
      <c r="B15" s="292">
        <f>646246.82-5078.83-3942.06</f>
        <v>637225.92999999993</v>
      </c>
      <c r="C15" s="292">
        <f>5078.83+3942.06</f>
        <v>9020.89</v>
      </c>
      <c r="D15" s="292">
        <f t="shared" si="2"/>
        <v>646246.81999999995</v>
      </c>
      <c r="E15" s="292">
        <v>11085.24</v>
      </c>
      <c r="F15" s="292">
        <v>4446.58</v>
      </c>
      <c r="G15" s="292">
        <f t="shared" si="0"/>
        <v>661778.6399999999</v>
      </c>
      <c r="I15" s="292">
        <f>440815.88-4711.45-136726.61-891.28</f>
        <v>298486.53999999998</v>
      </c>
      <c r="J15" s="292">
        <f>4711.45+891.28</f>
        <v>5602.73</v>
      </c>
      <c r="K15" s="292">
        <f t="shared" si="3"/>
        <v>304089.26999999996</v>
      </c>
      <c r="L15" s="292">
        <v>18955.71</v>
      </c>
      <c r="M15" s="292">
        <v>1806.95</v>
      </c>
      <c r="N15" s="292">
        <f t="shared" si="1"/>
        <v>324851.93</v>
      </c>
    </row>
    <row r="16" spans="1:14" x14ac:dyDescent="0.2">
      <c r="A16" s="389">
        <v>43982</v>
      </c>
      <c r="B16" s="292">
        <f>646246.86-5078.84-3942.06</f>
        <v>637225.96</v>
      </c>
      <c r="C16" s="292">
        <f>5078.84+3942.06</f>
        <v>9020.9</v>
      </c>
      <c r="D16" s="292">
        <f t="shared" si="2"/>
        <v>646246.86</v>
      </c>
      <c r="E16" s="292">
        <v>11085.27</v>
      </c>
      <c r="F16" s="292">
        <v>4446.58</v>
      </c>
      <c r="G16" s="292">
        <f t="shared" si="0"/>
        <v>661778.71</v>
      </c>
      <c r="I16" s="292">
        <f>441201.46-4716.31-136601.92-891.59</f>
        <v>298991.63999999996</v>
      </c>
      <c r="J16" s="292">
        <f>4716.3+891.59</f>
        <v>5607.89</v>
      </c>
      <c r="K16" s="292">
        <f t="shared" si="3"/>
        <v>304599.52999999997</v>
      </c>
      <c r="L16" s="292">
        <v>19010.919999999998</v>
      </c>
      <c r="M16" s="292">
        <v>1812.9</v>
      </c>
      <c r="N16" s="292">
        <f t="shared" si="1"/>
        <v>325423.34999999998</v>
      </c>
    </row>
    <row r="17" spans="1:15" x14ac:dyDescent="0.2">
      <c r="A17" s="389">
        <v>44012</v>
      </c>
      <c r="B17" s="292">
        <f>646246.7-5078.84-3942.05</f>
        <v>637225.80999999994</v>
      </c>
      <c r="C17" s="292">
        <f>5078.84+3942.05</f>
        <v>9020.89</v>
      </c>
      <c r="D17" s="292">
        <f t="shared" si="2"/>
        <v>646246.69999999995</v>
      </c>
      <c r="E17" s="292">
        <v>11085.25</v>
      </c>
      <c r="F17" s="292">
        <v>4446.58</v>
      </c>
      <c r="G17" s="292">
        <f t="shared" si="0"/>
        <v>661778.52999999991</v>
      </c>
      <c r="I17" s="292">
        <f>442046.27-4721.08-136697.66-891.85</f>
        <v>299735.68000000005</v>
      </c>
      <c r="J17" s="292">
        <f>4721.08+891.85</f>
        <v>5612.93</v>
      </c>
      <c r="K17" s="292">
        <f t="shared" si="3"/>
        <v>305348.61000000004</v>
      </c>
      <c r="L17" s="292">
        <v>19066.259999999998</v>
      </c>
      <c r="M17" s="292">
        <v>1818.88</v>
      </c>
      <c r="N17" s="292">
        <f t="shared" si="1"/>
        <v>326233.75000000006</v>
      </c>
    </row>
    <row r="18" spans="1:15" x14ac:dyDescent="0.2">
      <c r="B18" s="297"/>
      <c r="C18" s="297"/>
      <c r="D18" s="297"/>
      <c r="E18" s="297"/>
      <c r="F18" s="297"/>
      <c r="G18" s="297"/>
      <c r="I18" s="297"/>
      <c r="J18" s="297"/>
      <c r="K18" s="297"/>
      <c r="L18" s="297"/>
      <c r="M18" s="297"/>
      <c r="N18" s="297"/>
    </row>
    <row r="19" spans="1:15" ht="13.5" thickBot="1" x14ac:dyDescent="0.25">
      <c r="A19" t="s">
        <v>40</v>
      </c>
      <c r="B19" s="390">
        <f>SUM(B6:B18)</f>
        <v>7464653.5599999987</v>
      </c>
      <c r="C19" s="390">
        <f t="shared" ref="C19:G19" si="4">SUM(C6:C18)</f>
        <v>121876.43</v>
      </c>
      <c r="D19" s="390">
        <f t="shared" si="4"/>
        <v>7586529.9899999993</v>
      </c>
      <c r="E19" s="390">
        <f t="shared" si="4"/>
        <v>142383.41</v>
      </c>
      <c r="F19" s="390">
        <f t="shared" si="4"/>
        <v>52072.850000000006</v>
      </c>
      <c r="G19" s="390">
        <f t="shared" si="4"/>
        <v>7780986.2499999981</v>
      </c>
      <c r="I19" s="390">
        <f>SUM(I6:I18)</f>
        <v>3553168.62</v>
      </c>
      <c r="J19" s="390">
        <f t="shared" ref="J19:N19" si="5">SUM(J6:J18)</f>
        <v>62032.639999999992</v>
      </c>
      <c r="K19" s="390">
        <f t="shared" si="5"/>
        <v>3615201.26</v>
      </c>
      <c r="L19" s="390">
        <f t="shared" si="5"/>
        <v>229650.64</v>
      </c>
      <c r="M19" s="390">
        <f t="shared" si="5"/>
        <v>21119.440000000006</v>
      </c>
      <c r="N19" s="390">
        <f t="shared" si="5"/>
        <v>3865971.3400000003</v>
      </c>
    </row>
    <row r="20" spans="1:15" ht="13.5" thickTop="1" x14ac:dyDescent="0.2">
      <c r="D20" s="392">
        <f>'Recon Depr'!B66-D19</f>
        <v>0</v>
      </c>
      <c r="E20" s="15" t="s">
        <v>581</v>
      </c>
      <c r="K20" s="392">
        <f>'Recon Depr'!B99-K19</f>
        <v>9.9999997764825821E-3</v>
      </c>
      <c r="L20" s="15" t="s">
        <v>581</v>
      </c>
    </row>
    <row r="22" spans="1:15" x14ac:dyDescent="0.2">
      <c r="A22" t="s">
        <v>577</v>
      </c>
    </row>
    <row r="23" spans="1:15" ht="15" x14ac:dyDescent="0.25">
      <c r="A23" t="s">
        <v>576</v>
      </c>
      <c r="B23" s="388" t="s">
        <v>578</v>
      </c>
      <c r="C23" s="388" t="s">
        <v>579</v>
      </c>
      <c r="D23" s="388" t="s">
        <v>580</v>
      </c>
      <c r="E23" s="388">
        <v>317.10000000000002</v>
      </c>
      <c r="F23" s="388">
        <v>347</v>
      </c>
      <c r="G23" s="388" t="s">
        <v>9</v>
      </c>
      <c r="I23" s="388" t="s">
        <v>578</v>
      </c>
      <c r="J23" s="388" t="s">
        <v>579</v>
      </c>
      <c r="K23" s="388" t="s">
        <v>580</v>
      </c>
      <c r="L23" s="388">
        <v>317.10000000000002</v>
      </c>
      <c r="M23" s="388">
        <v>347</v>
      </c>
      <c r="N23" s="388" t="s">
        <v>9</v>
      </c>
    </row>
    <row r="24" spans="1:15" x14ac:dyDescent="0.2">
      <c r="A24" s="389">
        <v>43677</v>
      </c>
      <c r="B24" s="401">
        <v>4420346</v>
      </c>
      <c r="C24" s="401">
        <f>347169.95+417.79</f>
        <v>347587.74</v>
      </c>
      <c r="D24" s="401">
        <f>-B24</f>
        <v>-4420346</v>
      </c>
      <c r="E24" s="401">
        <f>SUM(B24:D24)</f>
        <v>347587.74000000022</v>
      </c>
      <c r="F24" s="401">
        <f>5047658.13-3424.63-4420346-347169.95-8073.43-417.79</f>
        <v>268226.33</v>
      </c>
      <c r="G24" s="401">
        <f t="shared" ref="G24:G32" si="6">SUM(E24:F24)</f>
        <v>615814.0700000003</v>
      </c>
      <c r="H24" s="292">
        <f t="shared" ref="H24:H35" si="7">B6-G24</f>
        <v>-5.0000000395812094E-2</v>
      </c>
      <c r="I24" s="401">
        <v>150402.29</v>
      </c>
      <c r="J24" s="401">
        <v>105081.35</v>
      </c>
      <c r="K24" s="401">
        <f>-I24</f>
        <v>-150402.29</v>
      </c>
      <c r="L24" s="401">
        <f>SUM(I24:K24)</f>
        <v>105081.35</v>
      </c>
      <c r="M24" s="401">
        <f>449825.03-3103.78-150402.29-105081.35-1627.48</f>
        <v>189610.12999999995</v>
      </c>
      <c r="N24" s="401">
        <f>SUM(L24:M24)</f>
        <v>294691.48</v>
      </c>
      <c r="O24" s="292">
        <f>I6-N24</f>
        <v>0</v>
      </c>
    </row>
    <row r="25" spans="1:15" x14ac:dyDescent="0.2">
      <c r="A25" s="389">
        <v>43708</v>
      </c>
      <c r="B25" s="292">
        <v>4420345.9000000004</v>
      </c>
      <c r="C25" s="292">
        <f>347170+417.79</f>
        <v>347587.79</v>
      </c>
      <c r="D25" s="401">
        <f t="shared" ref="D25:D35" si="8">-B25</f>
        <v>-4420345.9000000004</v>
      </c>
      <c r="E25" s="292">
        <f t="shared" ref="E25:E35" si="9">SUM(B25:D25)</f>
        <v>347587.79000000004</v>
      </c>
      <c r="F25" s="292">
        <f>5047658-3424.64-4420345.9-347170-8073.4-417.79</f>
        <v>268226.26999999996</v>
      </c>
      <c r="G25" s="292">
        <f t="shared" si="6"/>
        <v>615814.06000000006</v>
      </c>
      <c r="H25" s="292">
        <f t="shared" si="7"/>
        <v>0</v>
      </c>
      <c r="I25" s="292">
        <v>150800.09</v>
      </c>
      <c r="J25" s="292">
        <v>105860.34</v>
      </c>
      <c r="K25" s="401">
        <f t="shared" ref="K25:K35" si="10">-I25</f>
        <v>-150800.09</v>
      </c>
      <c r="L25" s="292">
        <f t="shared" ref="L25:L35" si="11">SUM(I25:K25)</f>
        <v>105860.34</v>
      </c>
      <c r="M25" s="292">
        <f>451581.55-3106.22-150800.09-105860.34-1628.1</f>
        <v>190186.8</v>
      </c>
      <c r="N25" s="292">
        <f t="shared" ref="N25:N35" si="12">SUM(L25:M25)</f>
        <v>296047.14</v>
      </c>
      <c r="O25" s="292">
        <f t="shared" ref="O25:O35" si="13">I7-N25</f>
        <v>0</v>
      </c>
    </row>
    <row r="26" spans="1:15" x14ac:dyDescent="0.2">
      <c r="A26" s="389">
        <v>43738</v>
      </c>
      <c r="B26" s="292">
        <v>4420345.9000000004</v>
      </c>
      <c r="C26" s="292">
        <f>347170.01+417.79</f>
        <v>347587.8</v>
      </c>
      <c r="D26" s="292">
        <f t="shared" si="8"/>
        <v>-4420345.9000000004</v>
      </c>
      <c r="E26" s="292">
        <f t="shared" si="9"/>
        <v>347587.79999999981</v>
      </c>
      <c r="F26" s="292">
        <f>5047658.08-B26-C26-C8</f>
        <v>268226.31999999972</v>
      </c>
      <c r="G26" s="292">
        <f t="shared" si="6"/>
        <v>615814.11999999953</v>
      </c>
      <c r="H26" s="292">
        <f t="shared" si="7"/>
        <v>0</v>
      </c>
      <c r="I26" s="292">
        <v>151199.04000000001</v>
      </c>
      <c r="J26" s="292">
        <f>105952.16</f>
        <v>105952.16</v>
      </c>
      <c r="K26" s="292">
        <f t="shared" si="10"/>
        <v>-151199.04000000001</v>
      </c>
      <c r="L26" s="292">
        <f t="shared" si="11"/>
        <v>105952.16</v>
      </c>
      <c r="M26" s="292">
        <f>452653.63-3108.53-151199.04-105952.16-1628.62</f>
        <v>190765.27999999994</v>
      </c>
      <c r="N26" s="292">
        <f t="shared" si="12"/>
        <v>296717.43999999994</v>
      </c>
      <c r="O26" s="292">
        <f t="shared" si="13"/>
        <v>0</v>
      </c>
    </row>
    <row r="27" spans="1:15" x14ac:dyDescent="0.2">
      <c r="A27" s="389">
        <v>43769</v>
      </c>
      <c r="B27" s="292">
        <v>4420345.8499999996</v>
      </c>
      <c r="C27" s="292">
        <f>347170+417.79</f>
        <v>347587.79</v>
      </c>
      <c r="D27" s="292">
        <f t="shared" si="8"/>
        <v>-4420345.8499999996</v>
      </c>
      <c r="E27" s="292">
        <f t="shared" si="9"/>
        <v>347587.79000000004</v>
      </c>
      <c r="F27" s="292">
        <f>5047658.06-3424.63-4420345.85-347170-8073.4-417.79</f>
        <v>268226.39000000007</v>
      </c>
      <c r="G27" s="292">
        <f t="shared" si="6"/>
        <v>615814.18000000017</v>
      </c>
      <c r="H27" s="292">
        <f t="shared" si="7"/>
        <v>0</v>
      </c>
      <c r="I27" s="292">
        <v>151599.01999999999</v>
      </c>
      <c r="J27" s="292">
        <v>105329.49</v>
      </c>
      <c r="K27" s="292">
        <f t="shared" si="10"/>
        <v>-151599.01999999999</v>
      </c>
      <c r="L27" s="292">
        <f t="shared" si="11"/>
        <v>105329.49000000002</v>
      </c>
      <c r="M27" s="292">
        <f>453014.11-I27-J27-J9</f>
        <v>191345.50999999998</v>
      </c>
      <c r="N27" s="292">
        <f t="shared" si="12"/>
        <v>296675</v>
      </c>
      <c r="O27" s="292">
        <f t="shared" si="13"/>
        <v>0</v>
      </c>
    </row>
    <row r="28" spans="1:15" x14ac:dyDescent="0.2">
      <c r="A28" s="389">
        <v>43799</v>
      </c>
      <c r="B28" s="292">
        <v>4420345.92</v>
      </c>
      <c r="C28" s="292">
        <f>347169.95+417.79</f>
        <v>347587.74</v>
      </c>
      <c r="D28" s="292">
        <f t="shared" si="8"/>
        <v>-4420345.92</v>
      </c>
      <c r="E28" s="292">
        <f t="shared" si="9"/>
        <v>347587.74000000022</v>
      </c>
      <c r="F28" s="292">
        <f>5047658.02-B28-C28-C10</f>
        <v>268226.29999999964</v>
      </c>
      <c r="G28" s="292">
        <f t="shared" si="6"/>
        <v>615814.0399999998</v>
      </c>
      <c r="H28" s="292">
        <f t="shared" si="7"/>
        <v>0</v>
      </c>
      <c r="I28" s="292">
        <v>152000.07999999999</v>
      </c>
      <c r="J28" s="292">
        <v>105611.23</v>
      </c>
      <c r="K28" s="292">
        <f t="shared" si="10"/>
        <v>-152000.07999999999</v>
      </c>
      <c r="L28" s="292">
        <f t="shared" si="11"/>
        <v>105611.23000000001</v>
      </c>
      <c r="M28" s="292">
        <f>454281.8-I28-J28-J10</f>
        <v>191927.56999999998</v>
      </c>
      <c r="N28" s="292">
        <f t="shared" si="12"/>
        <v>297538.8</v>
      </c>
      <c r="O28" s="292">
        <f t="shared" si="13"/>
        <v>0</v>
      </c>
    </row>
    <row r="29" spans="1:15" x14ac:dyDescent="0.2">
      <c r="A29" s="389">
        <v>43830</v>
      </c>
      <c r="B29" s="292">
        <v>4420345.92</v>
      </c>
      <c r="C29" s="292">
        <f>347170.06+417.79</f>
        <v>347587.85</v>
      </c>
      <c r="D29" s="292">
        <f t="shared" si="8"/>
        <v>-4420345.92</v>
      </c>
      <c r="E29" s="292">
        <f t="shared" si="9"/>
        <v>347587.84999999963</v>
      </c>
      <c r="F29" s="292">
        <f>5046420.92-B29-C29-C11</f>
        <v>268226.39</v>
      </c>
      <c r="G29" s="292">
        <f t="shared" si="6"/>
        <v>615814.23999999964</v>
      </c>
      <c r="H29" s="292">
        <f t="shared" si="7"/>
        <v>0</v>
      </c>
      <c r="I29" s="292">
        <v>152402.23999999999</v>
      </c>
      <c r="J29" s="292">
        <v>105872.32000000001</v>
      </c>
      <c r="K29" s="292">
        <f t="shared" si="10"/>
        <v>-152402.23999999999</v>
      </c>
      <c r="L29" s="292">
        <f t="shared" si="11"/>
        <v>105872.32000000001</v>
      </c>
      <c r="M29" s="292">
        <f>455531.84-I29-J29-J11</f>
        <v>192511.45000000004</v>
      </c>
      <c r="N29" s="292">
        <f t="shared" si="12"/>
        <v>298383.77</v>
      </c>
      <c r="O29" s="292">
        <f t="shared" si="13"/>
        <v>0</v>
      </c>
    </row>
    <row r="30" spans="1:15" x14ac:dyDescent="0.2">
      <c r="A30" s="389">
        <v>43861</v>
      </c>
      <c r="B30" s="292">
        <v>0</v>
      </c>
      <c r="C30" s="292">
        <f>347170.12+417.79</f>
        <v>347587.91</v>
      </c>
      <c r="D30" s="292">
        <f t="shared" si="8"/>
        <v>0</v>
      </c>
      <c r="E30" s="292">
        <f t="shared" si="9"/>
        <v>347587.91</v>
      </c>
      <c r="F30" s="292">
        <f>624835.07-C30-C12</f>
        <v>268226.26999999996</v>
      </c>
      <c r="G30" s="292">
        <f t="shared" si="6"/>
        <v>615814.17999999993</v>
      </c>
      <c r="H30" s="292">
        <f t="shared" si="7"/>
        <v>0</v>
      </c>
      <c r="I30" s="292">
        <v>139140.72</v>
      </c>
      <c r="J30" s="292">
        <v>99172.62</v>
      </c>
      <c r="K30" s="292">
        <f t="shared" si="10"/>
        <v>-139140.72</v>
      </c>
      <c r="L30" s="292">
        <f>SUM(I30:K30)</f>
        <v>99172.62</v>
      </c>
      <c r="M30" s="292">
        <f>436997.83-I30-J30-J12</f>
        <v>193097.13999999998</v>
      </c>
      <c r="N30" s="292">
        <f t="shared" si="12"/>
        <v>292269.76</v>
      </c>
      <c r="O30" s="292">
        <f t="shared" si="13"/>
        <v>0</v>
      </c>
    </row>
    <row r="31" spans="1:15" x14ac:dyDescent="0.2">
      <c r="A31" s="389">
        <v>43890</v>
      </c>
      <c r="B31" s="292">
        <v>0</v>
      </c>
      <c r="C31" s="292">
        <f>347170.14+417.79</f>
        <v>347587.93</v>
      </c>
      <c r="D31" s="292">
        <f t="shared" si="8"/>
        <v>0</v>
      </c>
      <c r="E31" s="292">
        <f t="shared" si="9"/>
        <v>347587.93</v>
      </c>
      <c r="F31" s="292">
        <f>624835.14-C31-C13</f>
        <v>268226.31</v>
      </c>
      <c r="G31" s="292">
        <f t="shared" si="6"/>
        <v>615814.24</v>
      </c>
      <c r="H31" s="292">
        <f t="shared" si="7"/>
        <v>0</v>
      </c>
      <c r="I31" s="292">
        <v>136300.06</v>
      </c>
      <c r="J31" s="292">
        <v>97735.03</v>
      </c>
      <c r="K31" s="292">
        <f t="shared" si="10"/>
        <v>-136300.06</v>
      </c>
      <c r="L31" s="292">
        <f t="shared" si="11"/>
        <v>97735.03</v>
      </c>
      <c r="M31" s="292">
        <f>433312.21-I31-J31-J13</f>
        <v>193684.58000000002</v>
      </c>
      <c r="N31" s="292">
        <f t="shared" si="12"/>
        <v>291419.61</v>
      </c>
      <c r="O31" s="292">
        <f t="shared" si="13"/>
        <v>0</v>
      </c>
    </row>
    <row r="32" spans="1:15" x14ac:dyDescent="0.2">
      <c r="A32" s="389">
        <v>43921</v>
      </c>
      <c r="B32" s="292">
        <v>0</v>
      </c>
      <c r="C32" s="292">
        <f>357818.7+417.79</f>
        <v>358236.49</v>
      </c>
      <c r="D32" s="292">
        <f t="shared" si="8"/>
        <v>0</v>
      </c>
      <c r="E32" s="292">
        <f t="shared" si="9"/>
        <v>358236.49</v>
      </c>
      <c r="F32" s="292">
        <f>635483.68-C32-C14</f>
        <v>268226.29000000004</v>
      </c>
      <c r="G32" s="292">
        <f t="shared" si="6"/>
        <v>626462.78</v>
      </c>
      <c r="H32" s="292">
        <f t="shared" si="7"/>
        <v>0</v>
      </c>
      <c r="I32" s="292">
        <v>136558.22</v>
      </c>
      <c r="J32" s="292">
        <v>97937.89</v>
      </c>
      <c r="K32" s="292">
        <f t="shared" si="10"/>
        <v>-136558.22</v>
      </c>
      <c r="L32" s="292">
        <f t="shared" si="11"/>
        <v>97937.889999999985</v>
      </c>
      <c r="M32" s="292">
        <f>434367.61-I32-J32-J14</f>
        <v>194273.87</v>
      </c>
      <c r="N32" s="292">
        <f t="shared" si="12"/>
        <v>292211.76</v>
      </c>
      <c r="O32" s="292">
        <f t="shared" si="13"/>
        <v>0</v>
      </c>
    </row>
    <row r="33" spans="1:15" x14ac:dyDescent="0.2">
      <c r="A33" s="389">
        <v>43951</v>
      </c>
      <c r="B33" s="292">
        <v>0</v>
      </c>
      <c r="C33" s="292">
        <f>368581.81+417.79</f>
        <v>368999.6</v>
      </c>
      <c r="D33" s="292">
        <f t="shared" si="8"/>
        <v>0</v>
      </c>
      <c r="E33" s="292">
        <f t="shared" si="9"/>
        <v>368999.6</v>
      </c>
      <c r="F33" s="292">
        <f>646246.82-C33-C15</f>
        <v>268226.32999999996</v>
      </c>
      <c r="G33" s="292">
        <f t="shared" ref="G33:G35" si="14">SUM(E33:F33)</f>
        <v>637225.92999999993</v>
      </c>
      <c r="H33" s="292">
        <f t="shared" si="7"/>
        <v>0</v>
      </c>
      <c r="I33" s="292">
        <v>136726.60999999999</v>
      </c>
      <c r="J33" s="292">
        <v>103621.51</v>
      </c>
      <c r="K33" s="292">
        <f t="shared" si="10"/>
        <v>-136726.60999999999</v>
      </c>
      <c r="L33" s="292">
        <f t="shared" si="11"/>
        <v>103621.51000000001</v>
      </c>
      <c r="M33" s="292">
        <f>440815.88-I33-J33-J15</f>
        <v>194865.03</v>
      </c>
      <c r="N33" s="292">
        <f t="shared" si="12"/>
        <v>298486.54000000004</v>
      </c>
      <c r="O33" s="292">
        <f t="shared" si="13"/>
        <v>0</v>
      </c>
    </row>
    <row r="34" spans="1:15" x14ac:dyDescent="0.2">
      <c r="A34" s="389">
        <v>43982</v>
      </c>
      <c r="B34" s="292">
        <v>0</v>
      </c>
      <c r="C34" s="292">
        <f>368581.91+417.79</f>
        <v>368999.69999999995</v>
      </c>
      <c r="D34" s="292">
        <f t="shared" si="8"/>
        <v>0</v>
      </c>
      <c r="E34" s="292">
        <f t="shared" si="9"/>
        <v>368999.69999999995</v>
      </c>
      <c r="F34" s="292">
        <f>646246.86-C34-C16</f>
        <v>268226.26</v>
      </c>
      <c r="G34" s="292">
        <f t="shared" si="14"/>
        <v>637225.96</v>
      </c>
      <c r="H34" s="292">
        <f t="shared" si="7"/>
        <v>0</v>
      </c>
      <c r="I34" s="292">
        <v>136601.92000000001</v>
      </c>
      <c r="J34" s="292">
        <v>103533.66</v>
      </c>
      <c r="K34" s="292">
        <f t="shared" si="10"/>
        <v>-136601.92000000001</v>
      </c>
      <c r="L34" s="292">
        <f t="shared" si="11"/>
        <v>103533.66</v>
      </c>
      <c r="M34" s="292">
        <f>441201.46-I34-J34-J16</f>
        <v>195457.99000000002</v>
      </c>
      <c r="N34" s="292">
        <f t="shared" si="12"/>
        <v>298991.65000000002</v>
      </c>
      <c r="O34" s="292">
        <f t="shared" si="13"/>
        <v>-1.0000000067520887E-2</v>
      </c>
    </row>
    <row r="35" spans="1:15" x14ac:dyDescent="0.2">
      <c r="A35" s="389">
        <v>44012</v>
      </c>
      <c r="B35" s="292">
        <v>0</v>
      </c>
      <c r="C35" s="292">
        <f>368581.72+417.79</f>
        <v>368999.50999999995</v>
      </c>
      <c r="D35" s="292">
        <f t="shared" si="8"/>
        <v>0</v>
      </c>
      <c r="E35" s="292">
        <f t="shared" si="9"/>
        <v>368999.50999999995</v>
      </c>
      <c r="F35" s="292">
        <f>646246.7-C35-C17</f>
        <v>268226.3</v>
      </c>
      <c r="G35" s="292">
        <f t="shared" si="14"/>
        <v>637225.80999999994</v>
      </c>
      <c r="H35" s="292">
        <f t="shared" si="7"/>
        <v>0</v>
      </c>
      <c r="I35" s="292">
        <v>136697.66</v>
      </c>
      <c r="J35" s="292">
        <v>103682.86</v>
      </c>
      <c r="K35" s="292">
        <f t="shared" si="10"/>
        <v>-136697.66</v>
      </c>
      <c r="L35" s="292">
        <f t="shared" si="11"/>
        <v>103682.86000000002</v>
      </c>
      <c r="M35" s="292">
        <f>442046.27-I35-J35-J17</f>
        <v>196052.82</v>
      </c>
      <c r="N35" s="292">
        <f t="shared" si="12"/>
        <v>299735.68000000005</v>
      </c>
      <c r="O35" s="292">
        <f t="shared" si="13"/>
        <v>0</v>
      </c>
    </row>
    <row r="36" spans="1:15" x14ac:dyDescent="0.2">
      <c r="A36" s="389"/>
      <c r="B36" s="297"/>
      <c r="C36" s="297"/>
      <c r="D36" s="297"/>
      <c r="E36" s="297"/>
      <c r="F36" s="297"/>
      <c r="G36" s="297"/>
      <c r="I36" s="297"/>
      <c r="J36" s="297"/>
      <c r="K36" s="297"/>
      <c r="L36" s="297"/>
      <c r="M36" s="297"/>
      <c r="N36" s="297"/>
    </row>
    <row r="37" spans="1:15" ht="13.5" thickBot="1" x14ac:dyDescent="0.25">
      <c r="A37" t="s">
        <v>40</v>
      </c>
      <c r="B37" s="390">
        <f>SUM(B24:B36)</f>
        <v>26522075.490000002</v>
      </c>
      <c r="C37" s="390">
        <f t="shared" ref="C37:G37" si="15">SUM(C24:C36)</f>
        <v>4245937.8499999996</v>
      </c>
      <c r="D37" s="390">
        <f t="shared" si="15"/>
        <v>-26522075.490000002</v>
      </c>
      <c r="E37" s="390">
        <f t="shared" si="15"/>
        <v>4245937.8499999996</v>
      </c>
      <c r="F37" s="390">
        <f t="shared" si="15"/>
        <v>3218715.76</v>
      </c>
      <c r="G37" s="390">
        <f t="shared" si="15"/>
        <v>7464653.6099999994</v>
      </c>
      <c r="I37" s="390">
        <f>SUM(I24:I36)</f>
        <v>1730427.95</v>
      </c>
      <c r="J37" s="390">
        <f t="shared" ref="J37:N37" si="16">SUM(J24:J36)</f>
        <v>1239390.46</v>
      </c>
      <c r="K37" s="390">
        <f t="shared" si="16"/>
        <v>-1730427.95</v>
      </c>
      <c r="L37" s="390">
        <f t="shared" si="16"/>
        <v>1239390.46</v>
      </c>
      <c r="M37" s="390">
        <f t="shared" si="16"/>
        <v>2313778.1699999995</v>
      </c>
      <c r="N37" s="390">
        <f t="shared" si="16"/>
        <v>3553168.63</v>
      </c>
    </row>
    <row r="38" spans="1:15" ht="13.5" thickTop="1" x14ac:dyDescent="0.2"/>
    <row r="42" spans="1:15" x14ac:dyDescent="0.2">
      <c r="A42">
        <v>40310001</v>
      </c>
      <c r="B42" s="253">
        <f>B37+D19</f>
        <v>34108605.480000004</v>
      </c>
      <c r="C42" s="292">
        <f>'Recon Depr'!B64</f>
        <v>34108605.479999997</v>
      </c>
    </row>
    <row r="43" spans="1:15" x14ac:dyDescent="0.2">
      <c r="A43">
        <v>40310002</v>
      </c>
      <c r="B43" s="253">
        <f>D37</f>
        <v>-26522075.490000002</v>
      </c>
      <c r="C43" s="292">
        <f>'Recon Depr'!B65</f>
        <v>-26522075.489999998</v>
      </c>
    </row>
    <row r="44" spans="1:15" x14ac:dyDescent="0.2">
      <c r="B44" s="253">
        <f>SUM(B42:B43)</f>
        <v>7586529.9900000021</v>
      </c>
      <c r="C44" s="253">
        <f>SUM(C42:C43)</f>
        <v>7586529.9899999984</v>
      </c>
    </row>
  </sheetData>
  <pageMargins left="0.7" right="0.7" top="0.75" bottom="0.75" header="0.3" footer="0.3"/>
  <customProperties>
    <customPr name="_pios_id" r:id="rId1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63"/>
  <sheetViews>
    <sheetView workbookViewId="0">
      <pane xSplit="1" ySplit="6" topLeftCell="B118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 x14ac:dyDescent="0.2"/>
  <cols>
    <col min="1" max="1" width="23.7109375" bestFit="1" customWidth="1"/>
    <col min="2" max="2" width="14.28515625" bestFit="1" customWidth="1"/>
    <col min="3" max="3" width="14.5703125" bestFit="1" customWidth="1"/>
    <col min="4" max="4" width="11.42578125" bestFit="1" customWidth="1"/>
    <col min="5" max="5" width="14.28515625" bestFit="1" customWidth="1"/>
    <col min="6" max="6" width="11.42578125" bestFit="1" customWidth="1"/>
    <col min="7" max="7" width="12.7109375" bestFit="1" customWidth="1"/>
    <col min="8" max="8" width="14.5703125" bestFit="1" customWidth="1"/>
    <col min="9" max="9" width="19.5703125" bestFit="1" customWidth="1"/>
    <col min="10" max="10" width="10.28515625" bestFit="1" customWidth="1"/>
    <col min="11" max="11" width="12" bestFit="1" customWidth="1"/>
  </cols>
  <sheetData>
    <row r="3" spans="1:8" x14ac:dyDescent="0.2">
      <c r="A3" s="402" t="s">
        <v>593</v>
      </c>
      <c r="B3" s="402"/>
      <c r="C3" s="402"/>
      <c r="D3" s="402"/>
      <c r="E3" s="402"/>
      <c r="F3" s="402"/>
      <c r="G3" s="402"/>
      <c r="H3" s="403"/>
    </row>
    <row r="4" spans="1:8" x14ac:dyDescent="0.2">
      <c r="A4" s="403"/>
      <c r="B4" s="404" t="s">
        <v>110</v>
      </c>
      <c r="C4" s="404" t="s">
        <v>111</v>
      </c>
      <c r="D4" s="404" t="s">
        <v>112</v>
      </c>
      <c r="E4" s="404" t="s">
        <v>594</v>
      </c>
      <c r="F4" s="404" t="s">
        <v>595</v>
      </c>
      <c r="G4" s="404" t="s">
        <v>596</v>
      </c>
      <c r="H4" s="404" t="s">
        <v>597</v>
      </c>
    </row>
    <row r="5" spans="1:8" x14ac:dyDescent="0.2">
      <c r="A5" s="403"/>
      <c r="B5" s="405" t="s">
        <v>598</v>
      </c>
      <c r="C5" s="405" t="s">
        <v>599</v>
      </c>
      <c r="D5" s="405" t="s">
        <v>600</v>
      </c>
      <c r="E5" s="405" t="s">
        <v>74</v>
      </c>
      <c r="F5" s="406" t="s">
        <v>74</v>
      </c>
      <c r="G5" s="406" t="s">
        <v>598</v>
      </c>
      <c r="H5" s="406" t="s">
        <v>599</v>
      </c>
    </row>
    <row r="6" spans="1:8" x14ac:dyDescent="0.2">
      <c r="A6" s="403"/>
      <c r="B6" s="407" t="s">
        <v>601</v>
      </c>
      <c r="C6" s="407" t="s">
        <v>601</v>
      </c>
      <c r="D6" s="407" t="s">
        <v>601</v>
      </c>
      <c r="E6" s="407" t="s">
        <v>601</v>
      </c>
      <c r="F6" s="407" t="s">
        <v>602</v>
      </c>
      <c r="G6" s="407" t="s">
        <v>602</v>
      </c>
      <c r="H6" s="407" t="s">
        <v>602</v>
      </c>
    </row>
    <row r="7" spans="1:8" x14ac:dyDescent="0.2">
      <c r="A7" s="403"/>
      <c r="B7" s="406"/>
      <c r="C7" s="406"/>
      <c r="D7" s="406"/>
      <c r="E7" s="406"/>
      <c r="F7" s="406"/>
      <c r="G7" s="406"/>
      <c r="H7" s="403"/>
    </row>
    <row r="8" spans="1:8" x14ac:dyDescent="0.2">
      <c r="A8" s="408">
        <v>31777</v>
      </c>
      <c r="B8" s="409">
        <v>13325303.640000001</v>
      </c>
      <c r="C8" s="409">
        <v>7944337.8899999997</v>
      </c>
      <c r="D8" s="409">
        <v>319635.46999999997</v>
      </c>
      <c r="E8" s="409">
        <f>SUM(B8:D8)</f>
        <v>21589277</v>
      </c>
      <c r="F8" s="406"/>
      <c r="G8" s="406"/>
      <c r="H8" s="403"/>
    </row>
    <row r="9" spans="1:8" x14ac:dyDescent="0.2">
      <c r="A9" s="408" t="s">
        <v>603</v>
      </c>
      <c r="B9" s="409">
        <v>-397628.69</v>
      </c>
      <c r="C9" s="409">
        <v>-157519.01999999999</v>
      </c>
      <c r="D9" s="409">
        <v>-21479.5</v>
      </c>
      <c r="E9" s="409">
        <f>SUM(B9:D9)</f>
        <v>-576627.21</v>
      </c>
      <c r="F9" s="406"/>
      <c r="G9" s="406"/>
      <c r="H9" s="403"/>
    </row>
    <row r="10" spans="1:8" x14ac:dyDescent="0.2">
      <c r="A10" s="408">
        <v>32142</v>
      </c>
      <c r="B10" s="410">
        <f>SUM(B8:B9)</f>
        <v>12927674.950000001</v>
      </c>
      <c r="C10" s="410">
        <f>SUM(C8:C9)</f>
        <v>7786818.8700000001</v>
      </c>
      <c r="D10" s="410">
        <f>SUM(D8:D9)</f>
        <v>298155.96999999997</v>
      </c>
      <c r="E10" s="410">
        <f>SUM(E8:E9)</f>
        <v>21012649.789999999</v>
      </c>
      <c r="F10" s="406"/>
      <c r="G10" s="406"/>
      <c r="H10" s="403"/>
    </row>
    <row r="11" spans="1:8" x14ac:dyDescent="0.2">
      <c r="A11" s="408" t="s">
        <v>604</v>
      </c>
      <c r="B11" s="406">
        <v>36.450000000000003</v>
      </c>
      <c r="C11" s="406">
        <v>36.450000000000003</v>
      </c>
      <c r="D11" s="406">
        <v>36.450000000000003</v>
      </c>
      <c r="E11" s="406"/>
      <c r="F11" s="406"/>
      <c r="G11" s="406"/>
      <c r="H11" s="403"/>
    </row>
    <row r="12" spans="1:8" x14ac:dyDescent="0.2">
      <c r="A12" s="408" t="s">
        <v>605</v>
      </c>
      <c r="B12" s="410">
        <f>ROUND(B10/B11,2)</f>
        <v>354668.72</v>
      </c>
      <c r="C12" s="410">
        <f>ROUND(C10/C11,2)</f>
        <v>213630.15</v>
      </c>
      <c r="D12" s="410">
        <f>ROUND(D10/D11,2)</f>
        <v>8179.86</v>
      </c>
      <c r="E12" s="409">
        <f>SUM(B12:D12)</f>
        <v>576478.73</v>
      </c>
      <c r="F12" s="406"/>
      <c r="G12" s="406"/>
      <c r="H12" s="403"/>
    </row>
    <row r="13" spans="1:8" x14ac:dyDescent="0.2">
      <c r="A13" s="408" t="s">
        <v>606</v>
      </c>
      <c r="B13" s="410">
        <f>ROUND(B12/12,2)</f>
        <v>29555.73</v>
      </c>
      <c r="C13" s="410">
        <f>ROUND(C12/12,2)</f>
        <v>17802.509999999998</v>
      </c>
      <c r="D13" s="410">
        <f>ROUND(D12/12,2)</f>
        <v>681.66</v>
      </c>
      <c r="E13" s="410">
        <f>ROUND(E12/12,2)</f>
        <v>48039.89</v>
      </c>
      <c r="F13" s="406"/>
      <c r="G13" s="406"/>
      <c r="H13" s="403"/>
    </row>
    <row r="14" spans="1:8" x14ac:dyDescent="0.2">
      <c r="A14" s="411"/>
      <c r="B14" s="406"/>
      <c r="C14" s="406"/>
      <c r="D14" s="406"/>
      <c r="E14" s="406"/>
      <c r="F14" s="406"/>
      <c r="G14" s="406"/>
      <c r="H14" s="403"/>
    </row>
    <row r="15" spans="1:8" x14ac:dyDescent="0.2">
      <c r="A15" s="412">
        <v>35246</v>
      </c>
      <c r="B15" s="409">
        <v>9912990.4900000002</v>
      </c>
      <c r="C15" s="409">
        <v>5970962.8499999996</v>
      </c>
      <c r="D15" s="409">
        <v>228626.65</v>
      </c>
      <c r="E15" s="409">
        <f t="shared" ref="E15:E46" si="0">SUM(B15:D15)</f>
        <v>16112579.99</v>
      </c>
      <c r="F15" s="402" t="s">
        <v>607</v>
      </c>
      <c r="G15" s="402"/>
      <c r="H15" s="402"/>
    </row>
    <row r="16" spans="1:8" x14ac:dyDescent="0.2">
      <c r="A16" s="412">
        <v>35277</v>
      </c>
      <c r="B16" s="409">
        <f t="shared" ref="B16:B79" si="1">B15-$B$13</f>
        <v>9883434.7599999998</v>
      </c>
      <c r="C16" s="409">
        <f t="shared" ref="C16:C79" si="2">C15-$C$13</f>
        <v>5953160.3399999999</v>
      </c>
      <c r="D16" s="409">
        <f t="shared" ref="D16:D79" si="3">D15-$D$13</f>
        <v>227944.99</v>
      </c>
      <c r="E16" s="409">
        <f t="shared" si="0"/>
        <v>16064540.09</v>
      </c>
      <c r="F16" s="402" t="s">
        <v>607</v>
      </c>
      <c r="G16" s="402"/>
      <c r="H16" s="402"/>
    </row>
    <row r="17" spans="1:8" x14ac:dyDescent="0.2">
      <c r="A17" s="412">
        <v>35308</v>
      </c>
      <c r="B17" s="409">
        <f t="shared" si="1"/>
        <v>9853879.0299999993</v>
      </c>
      <c r="C17" s="409">
        <f t="shared" si="2"/>
        <v>5935357.8300000001</v>
      </c>
      <c r="D17" s="409">
        <f t="shared" si="3"/>
        <v>227263.33</v>
      </c>
      <c r="E17" s="409">
        <f t="shared" si="0"/>
        <v>16016500.189999999</v>
      </c>
      <c r="F17" s="402" t="s">
        <v>607</v>
      </c>
      <c r="G17" s="402"/>
      <c r="H17" s="402"/>
    </row>
    <row r="18" spans="1:8" x14ac:dyDescent="0.2">
      <c r="A18" s="412">
        <v>35338</v>
      </c>
      <c r="B18" s="409">
        <f t="shared" si="1"/>
        <v>9824323.2999999989</v>
      </c>
      <c r="C18" s="409">
        <f t="shared" si="2"/>
        <v>5917555.3200000003</v>
      </c>
      <c r="D18" s="409">
        <f t="shared" si="3"/>
        <v>226581.66999999998</v>
      </c>
      <c r="E18" s="409">
        <f t="shared" si="0"/>
        <v>15968460.289999999</v>
      </c>
      <c r="F18" s="402" t="s">
        <v>607</v>
      </c>
      <c r="G18" s="402"/>
      <c r="H18" s="402"/>
    </row>
    <row r="19" spans="1:8" x14ac:dyDescent="0.2">
      <c r="A19" s="412">
        <v>35369</v>
      </c>
      <c r="B19" s="409">
        <f t="shared" si="1"/>
        <v>9794767.5699999984</v>
      </c>
      <c r="C19" s="409">
        <f t="shared" si="2"/>
        <v>5899752.8100000005</v>
      </c>
      <c r="D19" s="409">
        <f t="shared" si="3"/>
        <v>225900.00999999998</v>
      </c>
      <c r="E19" s="409">
        <f t="shared" si="0"/>
        <v>15920420.389999999</v>
      </c>
      <c r="F19" s="402" t="s">
        <v>607</v>
      </c>
      <c r="G19" s="402"/>
      <c r="H19" s="402"/>
    </row>
    <row r="20" spans="1:8" x14ac:dyDescent="0.2">
      <c r="A20" s="412">
        <v>35399</v>
      </c>
      <c r="B20" s="409">
        <f t="shared" si="1"/>
        <v>9765211.839999998</v>
      </c>
      <c r="C20" s="409">
        <f t="shared" si="2"/>
        <v>5881950.3000000007</v>
      </c>
      <c r="D20" s="409">
        <f t="shared" si="3"/>
        <v>225218.34999999998</v>
      </c>
      <c r="E20" s="409">
        <f t="shared" si="0"/>
        <v>15872380.489999998</v>
      </c>
      <c r="F20" s="402" t="s">
        <v>607</v>
      </c>
      <c r="G20" s="402"/>
      <c r="H20" s="402"/>
    </row>
    <row r="21" spans="1:8" x14ac:dyDescent="0.2">
      <c r="A21" s="412">
        <v>35430</v>
      </c>
      <c r="B21" s="409">
        <f t="shared" si="1"/>
        <v>9735656.1099999975</v>
      </c>
      <c r="C21" s="409">
        <f t="shared" si="2"/>
        <v>5864147.790000001</v>
      </c>
      <c r="D21" s="409">
        <f t="shared" si="3"/>
        <v>224536.68999999997</v>
      </c>
      <c r="E21" s="409">
        <f t="shared" si="0"/>
        <v>15824340.589999998</v>
      </c>
      <c r="F21" s="402" t="s">
        <v>607</v>
      </c>
      <c r="G21" s="402"/>
      <c r="H21" s="402"/>
    </row>
    <row r="22" spans="1:8" x14ac:dyDescent="0.2">
      <c r="A22" s="412">
        <v>35461</v>
      </c>
      <c r="B22" s="409">
        <f t="shared" si="1"/>
        <v>9706100.3799999971</v>
      </c>
      <c r="C22" s="409">
        <f t="shared" si="2"/>
        <v>5846345.2800000012</v>
      </c>
      <c r="D22" s="409">
        <f t="shared" si="3"/>
        <v>223855.02999999997</v>
      </c>
      <c r="E22" s="409">
        <f t="shared" si="0"/>
        <v>15776300.689999998</v>
      </c>
      <c r="F22" s="402" t="s">
        <v>607</v>
      </c>
      <c r="G22" s="402"/>
      <c r="H22" s="402"/>
    </row>
    <row r="23" spans="1:8" x14ac:dyDescent="0.2">
      <c r="A23" s="412">
        <v>35489</v>
      </c>
      <c r="B23" s="409">
        <f t="shared" si="1"/>
        <v>9676544.6499999966</v>
      </c>
      <c r="C23" s="409">
        <f t="shared" si="2"/>
        <v>5828542.7700000014</v>
      </c>
      <c r="D23" s="409">
        <f t="shared" si="3"/>
        <v>223173.36999999997</v>
      </c>
      <c r="E23" s="409">
        <f t="shared" si="0"/>
        <v>15728260.789999997</v>
      </c>
      <c r="F23" s="402" t="s">
        <v>607</v>
      </c>
      <c r="G23" s="402"/>
      <c r="H23" s="402"/>
    </row>
    <row r="24" spans="1:8" x14ac:dyDescent="0.2">
      <c r="A24" s="412">
        <v>35520</v>
      </c>
      <c r="B24" s="409">
        <f t="shared" si="1"/>
        <v>9646988.9199999962</v>
      </c>
      <c r="C24" s="409">
        <f t="shared" si="2"/>
        <v>5810740.2600000016</v>
      </c>
      <c r="D24" s="409">
        <f t="shared" si="3"/>
        <v>222491.70999999996</v>
      </c>
      <c r="E24" s="409">
        <f t="shared" si="0"/>
        <v>15680220.889999997</v>
      </c>
      <c r="F24" s="402" t="s">
        <v>607</v>
      </c>
      <c r="G24" s="402"/>
      <c r="H24" s="402"/>
    </row>
    <row r="25" spans="1:8" x14ac:dyDescent="0.2">
      <c r="A25" s="412">
        <v>35550</v>
      </c>
      <c r="B25" s="409">
        <f t="shared" si="1"/>
        <v>9617433.1899999958</v>
      </c>
      <c r="C25" s="409">
        <f t="shared" si="2"/>
        <v>5792937.7500000019</v>
      </c>
      <c r="D25" s="409">
        <f t="shared" si="3"/>
        <v>221810.04999999996</v>
      </c>
      <c r="E25" s="409">
        <f t="shared" si="0"/>
        <v>15632180.989999998</v>
      </c>
      <c r="F25" s="402" t="s">
        <v>607</v>
      </c>
      <c r="G25" s="402"/>
      <c r="H25" s="402"/>
    </row>
    <row r="26" spans="1:8" x14ac:dyDescent="0.2">
      <c r="A26" s="412">
        <v>35581</v>
      </c>
      <c r="B26" s="409">
        <f t="shared" si="1"/>
        <v>9587877.4599999953</v>
      </c>
      <c r="C26" s="409">
        <f t="shared" si="2"/>
        <v>5775135.2400000021</v>
      </c>
      <c r="D26" s="409">
        <f t="shared" si="3"/>
        <v>221128.38999999996</v>
      </c>
      <c r="E26" s="409">
        <f t="shared" si="0"/>
        <v>15584141.089999998</v>
      </c>
      <c r="F26" s="402" t="s">
        <v>607</v>
      </c>
      <c r="G26" s="402"/>
      <c r="H26" s="402"/>
    </row>
    <row r="27" spans="1:8" x14ac:dyDescent="0.2">
      <c r="A27" s="412">
        <v>35611</v>
      </c>
      <c r="B27" s="409">
        <f t="shared" si="1"/>
        <v>9558321.7299999949</v>
      </c>
      <c r="C27" s="409">
        <f t="shared" si="2"/>
        <v>5757332.7300000023</v>
      </c>
      <c r="D27" s="409">
        <f t="shared" si="3"/>
        <v>220446.72999999995</v>
      </c>
      <c r="E27" s="409">
        <f t="shared" si="0"/>
        <v>15536101.189999998</v>
      </c>
      <c r="F27" s="413">
        <f>(E15+E27+SUM(E16:E26)*2)/24</f>
        <v>15824340.590000002</v>
      </c>
      <c r="G27" s="413">
        <f>(B15+B27+SUM(B16:B26)*2)/24</f>
        <v>9735656.1099999975</v>
      </c>
      <c r="H27" s="413">
        <f>(C15+C27+SUM(C16:C26)*2)/24</f>
        <v>5864147.7900000019</v>
      </c>
    </row>
    <row r="28" spans="1:8" x14ac:dyDescent="0.2">
      <c r="A28" s="412">
        <v>35642</v>
      </c>
      <c r="B28" s="409">
        <f t="shared" si="1"/>
        <v>9528765.9999999944</v>
      </c>
      <c r="C28" s="409">
        <f t="shared" si="2"/>
        <v>5739530.2200000025</v>
      </c>
      <c r="D28" s="409">
        <f t="shared" si="3"/>
        <v>219765.06999999995</v>
      </c>
      <c r="E28" s="409">
        <f t="shared" si="0"/>
        <v>15488061.289999997</v>
      </c>
      <c r="F28" s="413">
        <f t="shared" ref="F28:F91" si="4">(E16+E28+SUM(E17:E27)*2)/24</f>
        <v>15776300.689999999</v>
      </c>
      <c r="G28" s="413">
        <f>(B16+B28+SUM(B17:B27)*2)/24</f>
        <v>9706100.3799999971</v>
      </c>
      <c r="H28" s="413">
        <f t="shared" ref="H28:H91" si="5">(C16+C28+SUM(C17:C27)*2)/24</f>
        <v>5846345.2800000012</v>
      </c>
    </row>
    <row r="29" spans="1:8" x14ac:dyDescent="0.2">
      <c r="A29" s="412">
        <v>35672</v>
      </c>
      <c r="B29" s="409">
        <f t="shared" si="1"/>
        <v>9499210.269999994</v>
      </c>
      <c r="C29" s="409">
        <f t="shared" si="2"/>
        <v>5721727.7100000028</v>
      </c>
      <c r="D29" s="409">
        <f t="shared" si="3"/>
        <v>219083.40999999995</v>
      </c>
      <c r="E29" s="409">
        <f t="shared" si="0"/>
        <v>15440021.389999997</v>
      </c>
      <c r="F29" s="413">
        <f t="shared" si="4"/>
        <v>15728260.789999997</v>
      </c>
      <c r="G29" s="413">
        <f t="shared" ref="G29:H92" si="6">(B17+B29+SUM(B18:B28)*2)/24</f>
        <v>9676544.6499999966</v>
      </c>
      <c r="H29" s="413">
        <f t="shared" si="5"/>
        <v>5828542.7700000005</v>
      </c>
    </row>
    <row r="30" spans="1:8" x14ac:dyDescent="0.2">
      <c r="A30" s="412">
        <v>35703</v>
      </c>
      <c r="B30" s="409">
        <f t="shared" si="1"/>
        <v>9469654.5399999935</v>
      </c>
      <c r="C30" s="409">
        <f t="shared" si="2"/>
        <v>5703925.200000003</v>
      </c>
      <c r="D30" s="409">
        <f t="shared" si="3"/>
        <v>218401.74999999994</v>
      </c>
      <c r="E30" s="409">
        <f t="shared" si="0"/>
        <v>15391981.489999996</v>
      </c>
      <c r="F30" s="413">
        <f t="shared" si="4"/>
        <v>15680220.889999995</v>
      </c>
      <c r="G30" s="413">
        <f t="shared" si="6"/>
        <v>9646988.9199999962</v>
      </c>
      <c r="H30" s="413">
        <f t="shared" si="5"/>
        <v>5810740.2600000016</v>
      </c>
    </row>
    <row r="31" spans="1:8" x14ac:dyDescent="0.2">
      <c r="A31" s="412">
        <v>35734</v>
      </c>
      <c r="B31" s="409">
        <f t="shared" si="1"/>
        <v>9440098.8099999931</v>
      </c>
      <c r="C31" s="409">
        <f t="shared" si="2"/>
        <v>5686122.6900000032</v>
      </c>
      <c r="D31" s="409">
        <f t="shared" si="3"/>
        <v>217720.08999999994</v>
      </c>
      <c r="E31" s="409">
        <f t="shared" si="0"/>
        <v>15343941.589999996</v>
      </c>
      <c r="F31" s="413">
        <f t="shared" si="4"/>
        <v>15632180.99</v>
      </c>
      <c r="G31" s="413">
        <f t="shared" si="6"/>
        <v>9617433.1899999958</v>
      </c>
      <c r="H31" s="413">
        <f t="shared" si="5"/>
        <v>5792937.7500000028</v>
      </c>
    </row>
    <row r="32" spans="1:8" x14ac:dyDescent="0.2">
      <c r="A32" s="412">
        <v>35764</v>
      </c>
      <c r="B32" s="409">
        <f t="shared" si="1"/>
        <v>9410543.0799999926</v>
      </c>
      <c r="C32" s="409">
        <f t="shared" si="2"/>
        <v>5668320.1800000034</v>
      </c>
      <c r="D32" s="409">
        <f t="shared" si="3"/>
        <v>217038.42999999993</v>
      </c>
      <c r="E32" s="409">
        <f t="shared" si="0"/>
        <v>15295901.689999996</v>
      </c>
      <c r="F32" s="413">
        <f t="shared" si="4"/>
        <v>15584141.089999998</v>
      </c>
      <c r="G32" s="413">
        <f t="shared" si="6"/>
        <v>9587877.4599999953</v>
      </c>
      <c r="H32" s="413">
        <f t="shared" si="5"/>
        <v>5775135.2400000021</v>
      </c>
    </row>
    <row r="33" spans="1:8" x14ac:dyDescent="0.2">
      <c r="A33" s="412">
        <v>35795</v>
      </c>
      <c r="B33" s="409">
        <f t="shared" si="1"/>
        <v>9380987.3499999922</v>
      </c>
      <c r="C33" s="409">
        <f t="shared" si="2"/>
        <v>5650517.6700000037</v>
      </c>
      <c r="D33" s="409">
        <f t="shared" si="3"/>
        <v>216356.76999999993</v>
      </c>
      <c r="E33" s="409">
        <f t="shared" si="0"/>
        <v>15247861.789999995</v>
      </c>
      <c r="F33" s="413">
        <f t="shared" si="4"/>
        <v>15536101.189999998</v>
      </c>
      <c r="G33" s="413">
        <f t="shared" si="6"/>
        <v>9558321.7299999949</v>
      </c>
      <c r="H33" s="413">
        <f t="shared" si="5"/>
        <v>5757332.7300000032</v>
      </c>
    </row>
    <row r="34" spans="1:8" x14ac:dyDescent="0.2">
      <c r="A34" s="412">
        <v>35826</v>
      </c>
      <c r="B34" s="409">
        <f t="shared" si="1"/>
        <v>9351431.6199999917</v>
      </c>
      <c r="C34" s="409">
        <f t="shared" si="2"/>
        <v>5632715.1600000039</v>
      </c>
      <c r="D34" s="409">
        <f t="shared" si="3"/>
        <v>215675.10999999993</v>
      </c>
      <c r="E34" s="409">
        <f t="shared" si="0"/>
        <v>15199821.889999995</v>
      </c>
      <c r="F34" s="413">
        <f t="shared" si="4"/>
        <v>15488061.289999997</v>
      </c>
      <c r="G34" s="413">
        <f t="shared" si="6"/>
        <v>9528765.9999999944</v>
      </c>
      <c r="H34" s="413">
        <f t="shared" si="5"/>
        <v>5739530.2200000025</v>
      </c>
    </row>
    <row r="35" spans="1:8" x14ac:dyDescent="0.2">
      <c r="A35" s="412">
        <v>35854</v>
      </c>
      <c r="B35" s="409">
        <f t="shared" si="1"/>
        <v>9321875.8899999913</v>
      </c>
      <c r="C35" s="409">
        <f t="shared" si="2"/>
        <v>5614912.6500000041</v>
      </c>
      <c r="D35" s="409">
        <f t="shared" si="3"/>
        <v>214993.44999999992</v>
      </c>
      <c r="E35" s="409">
        <f t="shared" si="0"/>
        <v>15151781.989999995</v>
      </c>
      <c r="F35" s="413">
        <f t="shared" si="4"/>
        <v>15440021.389999995</v>
      </c>
      <c r="G35" s="413">
        <f t="shared" si="6"/>
        <v>9499210.269999994</v>
      </c>
      <c r="H35" s="413">
        <f t="shared" si="5"/>
        <v>5721727.7100000037</v>
      </c>
    </row>
    <row r="36" spans="1:8" x14ac:dyDescent="0.2">
      <c r="A36" s="412">
        <v>35885</v>
      </c>
      <c r="B36" s="409">
        <f t="shared" si="1"/>
        <v>9292320.1599999908</v>
      </c>
      <c r="C36" s="409">
        <f t="shared" si="2"/>
        <v>5597110.1400000043</v>
      </c>
      <c r="D36" s="409">
        <f t="shared" si="3"/>
        <v>214311.78999999992</v>
      </c>
      <c r="E36" s="409">
        <f t="shared" si="0"/>
        <v>15103742.089999994</v>
      </c>
      <c r="F36" s="413">
        <f t="shared" si="4"/>
        <v>15391981.489999995</v>
      </c>
      <c r="G36" s="413">
        <f t="shared" si="6"/>
        <v>9469654.5399999935</v>
      </c>
      <c r="H36" s="413">
        <f t="shared" si="5"/>
        <v>5703925.200000003</v>
      </c>
    </row>
    <row r="37" spans="1:8" x14ac:dyDescent="0.2">
      <c r="A37" s="412">
        <v>35915</v>
      </c>
      <c r="B37" s="409">
        <f t="shared" si="1"/>
        <v>9262764.4299999904</v>
      </c>
      <c r="C37" s="409">
        <f t="shared" si="2"/>
        <v>5579307.6300000045</v>
      </c>
      <c r="D37" s="409">
        <f t="shared" si="3"/>
        <v>213630.12999999992</v>
      </c>
      <c r="E37" s="409">
        <f t="shared" si="0"/>
        <v>15055702.189999996</v>
      </c>
      <c r="F37" s="413">
        <f t="shared" si="4"/>
        <v>15343941.589999998</v>
      </c>
      <c r="G37" s="413">
        <f t="shared" si="6"/>
        <v>9440098.8099999931</v>
      </c>
      <c r="H37" s="413">
        <f t="shared" si="5"/>
        <v>5686122.6900000023</v>
      </c>
    </row>
    <row r="38" spans="1:8" x14ac:dyDescent="0.2">
      <c r="A38" s="412">
        <v>35946</v>
      </c>
      <c r="B38" s="409">
        <f t="shared" si="1"/>
        <v>9233208.6999999899</v>
      </c>
      <c r="C38" s="409">
        <f t="shared" si="2"/>
        <v>5561505.1200000048</v>
      </c>
      <c r="D38" s="409">
        <f t="shared" si="3"/>
        <v>212948.46999999991</v>
      </c>
      <c r="E38" s="409">
        <f t="shared" si="0"/>
        <v>15007662.289999995</v>
      </c>
      <c r="F38" s="413">
        <f t="shared" si="4"/>
        <v>15295901.689999998</v>
      </c>
      <c r="G38" s="413">
        <f t="shared" si="6"/>
        <v>9410543.0799999926</v>
      </c>
      <c r="H38" s="413">
        <f t="shared" si="5"/>
        <v>5668320.1800000034</v>
      </c>
    </row>
    <row r="39" spans="1:8" x14ac:dyDescent="0.2">
      <c r="A39" s="412">
        <v>35976</v>
      </c>
      <c r="B39" s="409">
        <f t="shared" si="1"/>
        <v>9203652.9699999895</v>
      </c>
      <c r="C39" s="409">
        <f t="shared" si="2"/>
        <v>5543702.610000005</v>
      </c>
      <c r="D39" s="409">
        <f t="shared" si="3"/>
        <v>212266.80999999991</v>
      </c>
      <c r="E39" s="409">
        <f t="shared" si="0"/>
        <v>14959622.389999995</v>
      </c>
      <c r="F39" s="413">
        <f t="shared" si="4"/>
        <v>15247861.789999994</v>
      </c>
      <c r="G39" s="413">
        <f t="shared" si="6"/>
        <v>9380987.3499999922</v>
      </c>
      <c r="H39" s="413">
        <f t="shared" si="5"/>
        <v>5650517.6700000046</v>
      </c>
    </row>
    <row r="40" spans="1:8" x14ac:dyDescent="0.2">
      <c r="A40" s="412">
        <v>36007</v>
      </c>
      <c r="B40" s="409">
        <f t="shared" si="1"/>
        <v>9174097.239999989</v>
      </c>
      <c r="C40" s="409">
        <f t="shared" si="2"/>
        <v>5525900.1000000052</v>
      </c>
      <c r="D40" s="409">
        <f t="shared" si="3"/>
        <v>211585.14999999991</v>
      </c>
      <c r="E40" s="409">
        <f t="shared" si="0"/>
        <v>14911582.489999995</v>
      </c>
      <c r="F40" s="413">
        <f t="shared" si="4"/>
        <v>15199821.889999993</v>
      </c>
      <c r="G40" s="413">
        <f t="shared" si="6"/>
        <v>9351431.6199999917</v>
      </c>
      <c r="H40" s="413">
        <f t="shared" si="5"/>
        <v>5632715.1600000039</v>
      </c>
    </row>
    <row r="41" spans="1:8" x14ac:dyDescent="0.2">
      <c r="A41" s="412">
        <v>36038</v>
      </c>
      <c r="B41" s="409">
        <f t="shared" si="1"/>
        <v>9144541.5099999886</v>
      </c>
      <c r="C41" s="409">
        <f t="shared" si="2"/>
        <v>5508097.5900000054</v>
      </c>
      <c r="D41" s="409">
        <f t="shared" si="3"/>
        <v>210903.4899999999</v>
      </c>
      <c r="E41" s="409">
        <f t="shared" si="0"/>
        <v>14863542.589999994</v>
      </c>
      <c r="F41" s="413">
        <f t="shared" si="4"/>
        <v>15151781.989999995</v>
      </c>
      <c r="G41" s="413">
        <f t="shared" si="6"/>
        <v>9321875.8899999913</v>
      </c>
      <c r="H41" s="413">
        <f t="shared" si="5"/>
        <v>5614912.650000005</v>
      </c>
    </row>
    <row r="42" spans="1:8" x14ac:dyDescent="0.2">
      <c r="A42" s="412">
        <v>36068</v>
      </c>
      <c r="B42" s="409">
        <f t="shared" si="1"/>
        <v>9114985.7799999882</v>
      </c>
      <c r="C42" s="409">
        <f t="shared" si="2"/>
        <v>5490295.0800000057</v>
      </c>
      <c r="D42" s="409">
        <f t="shared" si="3"/>
        <v>210221.8299999999</v>
      </c>
      <c r="E42" s="409">
        <f t="shared" si="0"/>
        <v>14815502.689999994</v>
      </c>
      <c r="F42" s="413">
        <f t="shared" si="4"/>
        <v>15103742.089999998</v>
      </c>
      <c r="G42" s="413">
        <f t="shared" si="6"/>
        <v>9292320.1599999908</v>
      </c>
      <c r="H42" s="413">
        <f t="shared" si="5"/>
        <v>5597110.1400000043</v>
      </c>
    </row>
    <row r="43" spans="1:8" x14ac:dyDescent="0.2">
      <c r="A43" s="412">
        <v>36099</v>
      </c>
      <c r="B43" s="409">
        <f t="shared" si="1"/>
        <v>9085430.0499999877</v>
      </c>
      <c r="C43" s="409">
        <f t="shared" si="2"/>
        <v>5472492.5700000059</v>
      </c>
      <c r="D43" s="409">
        <f t="shared" si="3"/>
        <v>209540.1699999999</v>
      </c>
      <c r="E43" s="409">
        <f t="shared" si="0"/>
        <v>14767462.789999994</v>
      </c>
      <c r="F43" s="413">
        <f t="shared" si="4"/>
        <v>15055702.189999996</v>
      </c>
      <c r="G43" s="413">
        <f t="shared" si="6"/>
        <v>9262764.4299999904</v>
      </c>
      <c r="H43" s="413">
        <f t="shared" si="5"/>
        <v>5579307.6300000055</v>
      </c>
    </row>
    <row r="44" spans="1:8" x14ac:dyDescent="0.2">
      <c r="A44" s="412">
        <v>36129</v>
      </c>
      <c r="B44" s="409">
        <f t="shared" si="1"/>
        <v>9055874.3199999873</v>
      </c>
      <c r="C44" s="409">
        <f t="shared" si="2"/>
        <v>5454690.0600000061</v>
      </c>
      <c r="D44" s="409">
        <f t="shared" si="3"/>
        <v>208858.50999999989</v>
      </c>
      <c r="E44" s="409">
        <f t="shared" si="0"/>
        <v>14719422.889999993</v>
      </c>
      <c r="F44" s="413">
        <f t="shared" si="4"/>
        <v>15007662.289999994</v>
      </c>
      <c r="G44" s="413">
        <f t="shared" si="6"/>
        <v>9233208.6999999899</v>
      </c>
      <c r="H44" s="413">
        <f t="shared" si="5"/>
        <v>5561505.1200000057</v>
      </c>
    </row>
    <row r="45" spans="1:8" x14ac:dyDescent="0.2">
      <c r="A45" s="412">
        <v>36160</v>
      </c>
      <c r="B45" s="409">
        <f t="shared" si="1"/>
        <v>9026318.5899999868</v>
      </c>
      <c r="C45" s="409">
        <f t="shared" si="2"/>
        <v>5436887.5500000063</v>
      </c>
      <c r="D45" s="409">
        <f t="shared" si="3"/>
        <v>208176.84999999989</v>
      </c>
      <c r="E45" s="409">
        <f t="shared" si="0"/>
        <v>14671382.989999993</v>
      </c>
      <c r="F45" s="413">
        <f t="shared" si="4"/>
        <v>14959622.389999993</v>
      </c>
      <c r="G45" s="413">
        <f t="shared" si="6"/>
        <v>9203652.9699999895</v>
      </c>
      <c r="H45" s="413">
        <f t="shared" si="5"/>
        <v>5543702.610000005</v>
      </c>
    </row>
    <row r="46" spans="1:8" x14ac:dyDescent="0.2">
      <c r="A46" s="412">
        <v>36191</v>
      </c>
      <c r="B46" s="409">
        <f t="shared" si="1"/>
        <v>8996762.8599999864</v>
      </c>
      <c r="C46" s="409">
        <f t="shared" si="2"/>
        <v>5419085.0400000066</v>
      </c>
      <c r="D46" s="409">
        <f t="shared" si="3"/>
        <v>207495.18999999989</v>
      </c>
      <c r="E46" s="409">
        <f t="shared" si="0"/>
        <v>14623343.089999992</v>
      </c>
      <c r="F46" s="413">
        <f t="shared" si="4"/>
        <v>14911582.489999995</v>
      </c>
      <c r="G46" s="413">
        <f t="shared" si="6"/>
        <v>9174097.239999989</v>
      </c>
      <c r="H46" s="413">
        <f t="shared" si="5"/>
        <v>5525900.1000000052</v>
      </c>
    </row>
    <row r="47" spans="1:8" x14ac:dyDescent="0.2">
      <c r="A47" s="412">
        <v>36219</v>
      </c>
      <c r="B47" s="409">
        <f t="shared" si="1"/>
        <v>8967207.1299999859</v>
      </c>
      <c r="C47" s="409">
        <f t="shared" si="2"/>
        <v>5401282.5300000068</v>
      </c>
      <c r="D47" s="409">
        <f t="shared" si="3"/>
        <v>206813.52999999988</v>
      </c>
      <c r="E47" s="409">
        <f t="shared" ref="E47:E78" si="7">SUM(B47:D47)</f>
        <v>14575303.189999992</v>
      </c>
      <c r="F47" s="413">
        <f t="shared" si="4"/>
        <v>14863542.589999994</v>
      </c>
      <c r="G47" s="413">
        <f t="shared" si="6"/>
        <v>9144541.5099999886</v>
      </c>
      <c r="H47" s="413">
        <f t="shared" si="5"/>
        <v>5508097.5900000054</v>
      </c>
    </row>
    <row r="48" spans="1:8" x14ac:dyDescent="0.2">
      <c r="A48" s="412">
        <v>36250</v>
      </c>
      <c r="B48" s="409">
        <f t="shared" si="1"/>
        <v>8937651.3999999855</v>
      </c>
      <c r="C48" s="409">
        <f t="shared" si="2"/>
        <v>5383480.020000007</v>
      </c>
      <c r="D48" s="409">
        <f t="shared" si="3"/>
        <v>206131.86999999988</v>
      </c>
      <c r="E48" s="409">
        <f t="shared" si="7"/>
        <v>14527263.289999992</v>
      </c>
      <c r="F48" s="413">
        <f t="shared" si="4"/>
        <v>14815502.689999996</v>
      </c>
      <c r="G48" s="413">
        <f t="shared" si="6"/>
        <v>9114985.7799999882</v>
      </c>
      <c r="H48" s="413">
        <f t="shared" si="5"/>
        <v>5490295.0800000066</v>
      </c>
    </row>
    <row r="49" spans="1:8" x14ac:dyDescent="0.2">
      <c r="A49" s="412">
        <v>36280</v>
      </c>
      <c r="B49" s="409">
        <f t="shared" si="1"/>
        <v>8908095.669999985</v>
      </c>
      <c r="C49" s="409">
        <f t="shared" si="2"/>
        <v>5365677.5100000072</v>
      </c>
      <c r="D49" s="409">
        <f t="shared" si="3"/>
        <v>205450.20999999988</v>
      </c>
      <c r="E49" s="409">
        <f t="shared" si="7"/>
        <v>14479223.389999991</v>
      </c>
      <c r="F49" s="413">
        <f t="shared" si="4"/>
        <v>14767462.789999994</v>
      </c>
      <c r="G49" s="413">
        <f t="shared" si="6"/>
        <v>9085430.0499999877</v>
      </c>
      <c r="H49" s="413">
        <f t="shared" si="5"/>
        <v>5472492.5700000068</v>
      </c>
    </row>
    <row r="50" spans="1:8" x14ac:dyDescent="0.2">
      <c r="A50" s="412">
        <v>36311</v>
      </c>
      <c r="B50" s="409">
        <f t="shared" si="1"/>
        <v>8878539.9399999846</v>
      </c>
      <c r="C50" s="409">
        <f t="shared" si="2"/>
        <v>5347875.0000000075</v>
      </c>
      <c r="D50" s="409">
        <f t="shared" si="3"/>
        <v>204768.54999999987</v>
      </c>
      <c r="E50" s="409">
        <f t="shared" si="7"/>
        <v>14431183.489999993</v>
      </c>
      <c r="F50" s="413">
        <f t="shared" si="4"/>
        <v>14719422.889999993</v>
      </c>
      <c r="G50" s="413">
        <f t="shared" si="6"/>
        <v>9055874.3199999873</v>
      </c>
      <c r="H50" s="413">
        <f t="shared" si="5"/>
        <v>5454690.0600000061</v>
      </c>
    </row>
    <row r="51" spans="1:8" x14ac:dyDescent="0.2">
      <c r="A51" s="412">
        <v>36341</v>
      </c>
      <c r="B51" s="409">
        <f t="shared" si="1"/>
        <v>8848984.2099999841</v>
      </c>
      <c r="C51" s="409">
        <f t="shared" si="2"/>
        <v>5330072.4900000077</v>
      </c>
      <c r="D51" s="409">
        <f t="shared" si="3"/>
        <v>204086.88999999987</v>
      </c>
      <c r="E51" s="409">
        <f t="shared" si="7"/>
        <v>14383143.589999992</v>
      </c>
      <c r="F51" s="413">
        <f t="shared" si="4"/>
        <v>14671382.989999989</v>
      </c>
      <c r="G51" s="413">
        <f t="shared" si="6"/>
        <v>9026318.5899999868</v>
      </c>
      <c r="H51" s="413">
        <f t="shared" si="5"/>
        <v>5436887.5500000054</v>
      </c>
    </row>
    <row r="52" spans="1:8" x14ac:dyDescent="0.2">
      <c r="A52" s="412">
        <v>36372</v>
      </c>
      <c r="B52" s="409">
        <f t="shared" si="1"/>
        <v>8819428.4799999837</v>
      </c>
      <c r="C52" s="409">
        <f t="shared" si="2"/>
        <v>5312269.9800000079</v>
      </c>
      <c r="D52" s="409">
        <f t="shared" si="3"/>
        <v>203405.22999999986</v>
      </c>
      <c r="E52" s="409">
        <f t="shared" si="7"/>
        <v>14335103.689999992</v>
      </c>
      <c r="F52" s="413">
        <f t="shared" si="4"/>
        <v>14623343.089999994</v>
      </c>
      <c r="G52" s="413">
        <f t="shared" si="6"/>
        <v>8996762.8599999864</v>
      </c>
      <c r="H52" s="413">
        <f t="shared" si="5"/>
        <v>5419085.0400000075</v>
      </c>
    </row>
    <row r="53" spans="1:8" x14ac:dyDescent="0.2">
      <c r="A53" s="412">
        <v>36403</v>
      </c>
      <c r="B53" s="409">
        <f t="shared" si="1"/>
        <v>8789872.7499999832</v>
      </c>
      <c r="C53" s="409">
        <f t="shared" si="2"/>
        <v>5294467.4700000081</v>
      </c>
      <c r="D53" s="409">
        <f t="shared" si="3"/>
        <v>202723.56999999986</v>
      </c>
      <c r="E53" s="409">
        <f t="shared" si="7"/>
        <v>14287063.789999992</v>
      </c>
      <c r="F53" s="413">
        <f t="shared" si="4"/>
        <v>14575303.189999996</v>
      </c>
      <c r="G53" s="413">
        <f t="shared" si="6"/>
        <v>8967207.1299999859</v>
      </c>
      <c r="H53" s="413">
        <f t="shared" si="5"/>
        <v>5401282.5300000068</v>
      </c>
    </row>
    <row r="54" spans="1:8" x14ac:dyDescent="0.2">
      <c r="A54" s="412">
        <v>36433</v>
      </c>
      <c r="B54" s="409">
        <f t="shared" si="1"/>
        <v>8760317.0199999828</v>
      </c>
      <c r="C54" s="409">
        <f t="shared" si="2"/>
        <v>5276664.9600000083</v>
      </c>
      <c r="D54" s="409">
        <f t="shared" si="3"/>
        <v>202041.90999999986</v>
      </c>
      <c r="E54" s="409">
        <f t="shared" si="7"/>
        <v>14239023.889999991</v>
      </c>
      <c r="F54" s="413">
        <f t="shared" si="4"/>
        <v>14527263.289999992</v>
      </c>
      <c r="G54" s="413">
        <f t="shared" si="6"/>
        <v>8937651.3999999855</v>
      </c>
      <c r="H54" s="413">
        <f t="shared" si="5"/>
        <v>5383480.020000007</v>
      </c>
    </row>
    <row r="55" spans="1:8" x14ac:dyDescent="0.2">
      <c r="A55" s="412">
        <v>36464</v>
      </c>
      <c r="B55" s="409">
        <f t="shared" si="1"/>
        <v>8730761.2899999823</v>
      </c>
      <c r="C55" s="409">
        <f t="shared" si="2"/>
        <v>5258862.4500000086</v>
      </c>
      <c r="D55" s="409">
        <f t="shared" si="3"/>
        <v>201360.24999999985</v>
      </c>
      <c r="E55" s="409">
        <f t="shared" si="7"/>
        <v>14190983.989999991</v>
      </c>
      <c r="F55" s="413">
        <f t="shared" si="4"/>
        <v>14479223.389999991</v>
      </c>
      <c r="G55" s="413">
        <f t="shared" si="6"/>
        <v>8908095.669999985</v>
      </c>
      <c r="H55" s="413">
        <f t="shared" si="5"/>
        <v>5365677.5100000072</v>
      </c>
    </row>
    <row r="56" spans="1:8" x14ac:dyDescent="0.2">
      <c r="A56" s="412">
        <v>36494</v>
      </c>
      <c r="B56" s="409">
        <f t="shared" si="1"/>
        <v>8701205.5599999819</v>
      </c>
      <c r="C56" s="409">
        <f t="shared" si="2"/>
        <v>5241059.9400000088</v>
      </c>
      <c r="D56" s="409">
        <f t="shared" si="3"/>
        <v>200678.58999999985</v>
      </c>
      <c r="E56" s="409">
        <f t="shared" si="7"/>
        <v>14142944.089999991</v>
      </c>
      <c r="F56" s="413">
        <f t="shared" si="4"/>
        <v>14431183.489999989</v>
      </c>
      <c r="G56" s="413">
        <f t="shared" si="6"/>
        <v>8878539.9399999846</v>
      </c>
      <c r="H56" s="413">
        <f t="shared" si="5"/>
        <v>5347875.0000000084</v>
      </c>
    </row>
    <row r="57" spans="1:8" x14ac:dyDescent="0.2">
      <c r="A57" s="412">
        <v>36525</v>
      </c>
      <c r="B57" s="409">
        <f t="shared" si="1"/>
        <v>8671649.8299999814</v>
      </c>
      <c r="C57" s="409">
        <f t="shared" si="2"/>
        <v>5223257.430000009</v>
      </c>
      <c r="D57" s="409">
        <f t="shared" si="3"/>
        <v>199996.92999999985</v>
      </c>
      <c r="E57" s="409">
        <f t="shared" si="7"/>
        <v>14094904.18999999</v>
      </c>
      <c r="F57" s="413">
        <f t="shared" si="4"/>
        <v>14383143.589999994</v>
      </c>
      <c r="G57" s="413">
        <f t="shared" si="6"/>
        <v>8848984.2099999841</v>
      </c>
      <c r="H57" s="413">
        <f t="shared" si="5"/>
        <v>5330072.4900000086</v>
      </c>
    </row>
    <row r="58" spans="1:8" x14ac:dyDescent="0.2">
      <c r="A58" s="412">
        <v>36556</v>
      </c>
      <c r="B58" s="409">
        <f t="shared" si="1"/>
        <v>8642094.099999981</v>
      </c>
      <c r="C58" s="409">
        <f t="shared" si="2"/>
        <v>5205454.9200000092</v>
      </c>
      <c r="D58" s="409">
        <f t="shared" si="3"/>
        <v>199315.26999999984</v>
      </c>
      <c r="E58" s="409">
        <f t="shared" si="7"/>
        <v>14046864.28999999</v>
      </c>
      <c r="F58" s="413">
        <f t="shared" si="4"/>
        <v>14335103.689999992</v>
      </c>
      <c r="G58" s="413">
        <f t="shared" si="6"/>
        <v>8819428.4799999837</v>
      </c>
      <c r="H58" s="413">
        <f t="shared" si="5"/>
        <v>5312269.9800000079</v>
      </c>
    </row>
    <row r="59" spans="1:8" x14ac:dyDescent="0.2">
      <c r="A59" s="412">
        <v>36585</v>
      </c>
      <c r="B59" s="409">
        <f t="shared" si="1"/>
        <v>8612538.3699999806</v>
      </c>
      <c r="C59" s="409">
        <f t="shared" si="2"/>
        <v>5187652.4100000095</v>
      </c>
      <c r="D59" s="409">
        <f t="shared" si="3"/>
        <v>198633.60999999984</v>
      </c>
      <c r="E59" s="409">
        <f t="shared" si="7"/>
        <v>13998824.389999989</v>
      </c>
      <c r="F59" s="413">
        <f t="shared" si="4"/>
        <v>14287063.789999992</v>
      </c>
      <c r="G59" s="413">
        <f t="shared" si="6"/>
        <v>8789872.7499999832</v>
      </c>
      <c r="H59" s="413">
        <f t="shared" si="5"/>
        <v>5294467.4700000072</v>
      </c>
    </row>
    <row r="60" spans="1:8" x14ac:dyDescent="0.2">
      <c r="A60" s="412">
        <v>36616</v>
      </c>
      <c r="B60" s="409">
        <f t="shared" si="1"/>
        <v>8582982.6399999801</v>
      </c>
      <c r="C60" s="409">
        <f t="shared" si="2"/>
        <v>5169849.9000000097</v>
      </c>
      <c r="D60" s="409">
        <f t="shared" si="3"/>
        <v>197951.94999999984</v>
      </c>
      <c r="E60" s="409">
        <f t="shared" si="7"/>
        <v>13950784.489999989</v>
      </c>
      <c r="F60" s="413">
        <f t="shared" si="4"/>
        <v>14239023.889999991</v>
      </c>
      <c r="G60" s="413">
        <f t="shared" si="6"/>
        <v>8760317.0199999828</v>
      </c>
      <c r="H60" s="413">
        <f t="shared" si="5"/>
        <v>5276664.9600000093</v>
      </c>
    </row>
    <row r="61" spans="1:8" x14ac:dyDescent="0.2">
      <c r="A61" s="412">
        <v>36646</v>
      </c>
      <c r="B61" s="409">
        <f t="shared" si="1"/>
        <v>8553426.9099999797</v>
      </c>
      <c r="C61" s="409">
        <f t="shared" si="2"/>
        <v>5152047.3900000099</v>
      </c>
      <c r="D61" s="409">
        <f t="shared" si="3"/>
        <v>197270.28999999983</v>
      </c>
      <c r="E61" s="409">
        <f t="shared" si="7"/>
        <v>13902744.589999989</v>
      </c>
      <c r="F61" s="413">
        <f t="shared" si="4"/>
        <v>14190983.989999989</v>
      </c>
      <c r="G61" s="413">
        <f t="shared" si="6"/>
        <v>8730761.2899999823</v>
      </c>
      <c r="H61" s="413">
        <f t="shared" si="5"/>
        <v>5258862.4500000086</v>
      </c>
    </row>
    <row r="62" spans="1:8" x14ac:dyDescent="0.2">
      <c r="A62" s="412">
        <v>36677</v>
      </c>
      <c r="B62" s="409">
        <f t="shared" si="1"/>
        <v>8523871.1799999792</v>
      </c>
      <c r="C62" s="409">
        <f t="shared" si="2"/>
        <v>5134244.8800000101</v>
      </c>
      <c r="D62" s="409">
        <f t="shared" si="3"/>
        <v>196588.62999999983</v>
      </c>
      <c r="E62" s="409">
        <f t="shared" si="7"/>
        <v>13854704.689999988</v>
      </c>
      <c r="F62" s="413">
        <f t="shared" si="4"/>
        <v>14142944.089999991</v>
      </c>
      <c r="G62" s="413">
        <f t="shared" si="6"/>
        <v>8701205.5599999819</v>
      </c>
      <c r="H62" s="413">
        <f t="shared" si="5"/>
        <v>5241059.9400000088</v>
      </c>
    </row>
    <row r="63" spans="1:8" x14ac:dyDescent="0.2">
      <c r="A63" s="412">
        <v>36707</v>
      </c>
      <c r="B63" s="409">
        <f t="shared" si="1"/>
        <v>8494315.4499999788</v>
      </c>
      <c r="C63" s="409">
        <f t="shared" si="2"/>
        <v>5116442.3700000104</v>
      </c>
      <c r="D63" s="409">
        <f t="shared" si="3"/>
        <v>195906.96999999983</v>
      </c>
      <c r="E63" s="409">
        <f t="shared" si="7"/>
        <v>13806664.78999999</v>
      </c>
      <c r="F63" s="413">
        <f t="shared" si="4"/>
        <v>14094904.189999992</v>
      </c>
      <c r="G63" s="413">
        <f t="shared" si="6"/>
        <v>8671649.8299999814</v>
      </c>
      <c r="H63" s="413">
        <f t="shared" si="5"/>
        <v>5223257.430000009</v>
      </c>
    </row>
    <row r="64" spans="1:8" x14ac:dyDescent="0.2">
      <c r="A64" s="412">
        <v>36738</v>
      </c>
      <c r="B64" s="409">
        <f t="shared" si="1"/>
        <v>8464759.7199999783</v>
      </c>
      <c r="C64" s="409">
        <f t="shared" si="2"/>
        <v>5098639.8600000106</v>
      </c>
      <c r="D64" s="409">
        <f t="shared" si="3"/>
        <v>195225.30999999982</v>
      </c>
      <c r="E64" s="409">
        <f t="shared" si="7"/>
        <v>13758624.889999989</v>
      </c>
      <c r="F64" s="413">
        <f t="shared" si="4"/>
        <v>14046864.289999992</v>
      </c>
      <c r="G64" s="413">
        <f t="shared" si="6"/>
        <v>8642094.099999981</v>
      </c>
      <c r="H64" s="413">
        <f t="shared" si="5"/>
        <v>5205454.9200000102</v>
      </c>
    </row>
    <row r="65" spans="1:8" x14ac:dyDescent="0.2">
      <c r="A65" s="412">
        <v>36769</v>
      </c>
      <c r="B65" s="409">
        <f t="shared" si="1"/>
        <v>8435203.9899999779</v>
      </c>
      <c r="C65" s="409">
        <f t="shared" si="2"/>
        <v>5080837.3500000108</v>
      </c>
      <c r="D65" s="409">
        <f t="shared" si="3"/>
        <v>194543.64999999982</v>
      </c>
      <c r="E65" s="409">
        <f t="shared" si="7"/>
        <v>13710584.989999989</v>
      </c>
      <c r="F65" s="413">
        <f t="shared" si="4"/>
        <v>13998824.389999988</v>
      </c>
      <c r="G65" s="413">
        <f t="shared" si="6"/>
        <v>8612538.3699999806</v>
      </c>
      <c r="H65" s="413">
        <f t="shared" si="5"/>
        <v>5187652.4100000104</v>
      </c>
    </row>
    <row r="66" spans="1:8" x14ac:dyDescent="0.2">
      <c r="A66" s="412">
        <v>36799</v>
      </c>
      <c r="B66" s="409">
        <f t="shared" si="1"/>
        <v>8405648.2599999774</v>
      </c>
      <c r="C66" s="409">
        <f t="shared" si="2"/>
        <v>5063034.840000011</v>
      </c>
      <c r="D66" s="409">
        <f t="shared" si="3"/>
        <v>193861.98999999982</v>
      </c>
      <c r="E66" s="409">
        <f t="shared" si="7"/>
        <v>13662545.089999989</v>
      </c>
      <c r="F66" s="413">
        <f t="shared" si="4"/>
        <v>13950784.489999989</v>
      </c>
      <c r="G66" s="413">
        <f t="shared" si="6"/>
        <v>8582982.6399999801</v>
      </c>
      <c r="H66" s="413">
        <f t="shared" si="5"/>
        <v>5169849.9000000097</v>
      </c>
    </row>
    <row r="67" spans="1:8" x14ac:dyDescent="0.2">
      <c r="A67" s="412">
        <v>36830</v>
      </c>
      <c r="B67" s="409">
        <f t="shared" si="1"/>
        <v>8376092.529999977</v>
      </c>
      <c r="C67" s="409">
        <f t="shared" si="2"/>
        <v>5045232.3300000113</v>
      </c>
      <c r="D67" s="409">
        <f t="shared" si="3"/>
        <v>193180.32999999981</v>
      </c>
      <c r="E67" s="409">
        <f t="shared" si="7"/>
        <v>13614505.189999988</v>
      </c>
      <c r="F67" s="413">
        <f t="shared" si="4"/>
        <v>13902744.589999989</v>
      </c>
      <c r="G67" s="413">
        <f t="shared" si="6"/>
        <v>8553426.9099999797</v>
      </c>
      <c r="H67" s="413">
        <f t="shared" si="5"/>
        <v>5152047.390000009</v>
      </c>
    </row>
    <row r="68" spans="1:8" x14ac:dyDescent="0.2">
      <c r="A68" s="412">
        <v>36860</v>
      </c>
      <c r="B68" s="409">
        <f t="shared" si="1"/>
        <v>8346536.7999999765</v>
      </c>
      <c r="C68" s="409">
        <f t="shared" si="2"/>
        <v>5027429.8200000115</v>
      </c>
      <c r="D68" s="409">
        <f t="shared" si="3"/>
        <v>192498.66999999981</v>
      </c>
      <c r="E68" s="409">
        <f t="shared" si="7"/>
        <v>13566465.289999988</v>
      </c>
      <c r="F68" s="413">
        <f t="shared" si="4"/>
        <v>13854704.689999992</v>
      </c>
      <c r="G68" s="413">
        <f t="shared" si="6"/>
        <v>8523871.1799999792</v>
      </c>
      <c r="H68" s="413">
        <f t="shared" si="5"/>
        <v>5134244.8800000111</v>
      </c>
    </row>
    <row r="69" spans="1:8" x14ac:dyDescent="0.2">
      <c r="A69" s="412">
        <v>36891</v>
      </c>
      <c r="B69" s="409">
        <f t="shared" si="1"/>
        <v>8316981.0699999761</v>
      </c>
      <c r="C69" s="409">
        <f t="shared" si="2"/>
        <v>5009627.3100000117</v>
      </c>
      <c r="D69" s="409">
        <f t="shared" si="3"/>
        <v>191817.00999999981</v>
      </c>
      <c r="E69" s="409">
        <f t="shared" si="7"/>
        <v>13518425.389999988</v>
      </c>
      <c r="F69" s="413">
        <f t="shared" si="4"/>
        <v>13806664.78999999</v>
      </c>
      <c r="G69" s="413">
        <f t="shared" si="6"/>
        <v>8494315.4499999788</v>
      </c>
      <c r="H69" s="413">
        <f t="shared" si="5"/>
        <v>5116442.3700000104</v>
      </c>
    </row>
    <row r="70" spans="1:8" x14ac:dyDescent="0.2">
      <c r="A70" s="412">
        <v>36922</v>
      </c>
      <c r="B70" s="409">
        <f t="shared" si="1"/>
        <v>8287425.3399999756</v>
      </c>
      <c r="C70" s="409">
        <f t="shared" si="2"/>
        <v>4991824.8000000119</v>
      </c>
      <c r="D70" s="409">
        <f t="shared" si="3"/>
        <v>191135.3499999998</v>
      </c>
      <c r="E70" s="409">
        <f t="shared" si="7"/>
        <v>13470385.489999987</v>
      </c>
      <c r="F70" s="413">
        <f t="shared" si="4"/>
        <v>13758624.889999988</v>
      </c>
      <c r="G70" s="413">
        <f t="shared" si="6"/>
        <v>8464759.7199999783</v>
      </c>
      <c r="H70" s="413">
        <f t="shared" si="5"/>
        <v>5098639.8600000106</v>
      </c>
    </row>
    <row r="71" spans="1:8" x14ac:dyDescent="0.2">
      <c r="A71" s="412">
        <v>36950</v>
      </c>
      <c r="B71" s="409">
        <f t="shared" si="1"/>
        <v>8257869.6099999752</v>
      </c>
      <c r="C71" s="409">
        <f t="shared" si="2"/>
        <v>4974022.2900000121</v>
      </c>
      <c r="D71" s="409">
        <f t="shared" si="3"/>
        <v>190453.6899999998</v>
      </c>
      <c r="E71" s="409">
        <f t="shared" si="7"/>
        <v>13422345.589999987</v>
      </c>
      <c r="F71" s="413">
        <f t="shared" si="4"/>
        <v>13710584.989999987</v>
      </c>
      <c r="G71" s="413">
        <f t="shared" si="6"/>
        <v>8435203.9899999779</v>
      </c>
      <c r="H71" s="413">
        <f t="shared" si="5"/>
        <v>5080837.3500000108</v>
      </c>
    </row>
    <row r="72" spans="1:8" x14ac:dyDescent="0.2">
      <c r="A72" s="412">
        <v>36981</v>
      </c>
      <c r="B72" s="409">
        <f t="shared" si="1"/>
        <v>8228313.8799999747</v>
      </c>
      <c r="C72" s="409">
        <f t="shared" si="2"/>
        <v>4956219.7800000124</v>
      </c>
      <c r="D72" s="409">
        <f t="shared" si="3"/>
        <v>189772.0299999998</v>
      </c>
      <c r="E72" s="409">
        <f t="shared" si="7"/>
        <v>13374305.689999986</v>
      </c>
      <c r="F72" s="413">
        <f t="shared" si="4"/>
        <v>13662545.089999989</v>
      </c>
      <c r="G72" s="413">
        <f t="shared" si="6"/>
        <v>8405648.2599999774</v>
      </c>
      <c r="H72" s="413">
        <f t="shared" si="5"/>
        <v>5063034.840000012</v>
      </c>
    </row>
    <row r="73" spans="1:8" x14ac:dyDescent="0.2">
      <c r="A73" s="412">
        <v>37011</v>
      </c>
      <c r="B73" s="409">
        <f t="shared" si="1"/>
        <v>8198758.1499999743</v>
      </c>
      <c r="C73" s="409">
        <f t="shared" si="2"/>
        <v>4938417.2700000126</v>
      </c>
      <c r="D73" s="409">
        <f t="shared" si="3"/>
        <v>189090.36999999979</v>
      </c>
      <c r="E73" s="409">
        <f t="shared" si="7"/>
        <v>13326265.789999986</v>
      </c>
      <c r="F73" s="413">
        <f t="shared" si="4"/>
        <v>13614505.189999988</v>
      </c>
      <c r="G73" s="413">
        <f t="shared" si="6"/>
        <v>8376092.529999976</v>
      </c>
      <c r="H73" s="413">
        <f t="shared" si="5"/>
        <v>5045232.3300000122</v>
      </c>
    </row>
    <row r="74" spans="1:8" x14ac:dyDescent="0.2">
      <c r="A74" s="412">
        <v>37042</v>
      </c>
      <c r="B74" s="409">
        <f t="shared" si="1"/>
        <v>8169202.4199999738</v>
      </c>
      <c r="C74" s="409">
        <f t="shared" si="2"/>
        <v>4920614.7600000128</v>
      </c>
      <c r="D74" s="409">
        <f t="shared" si="3"/>
        <v>188408.70999999979</v>
      </c>
      <c r="E74" s="409">
        <f t="shared" si="7"/>
        <v>13278225.889999986</v>
      </c>
      <c r="F74" s="413">
        <f t="shared" si="4"/>
        <v>13566465.28999999</v>
      </c>
      <c r="G74" s="413">
        <f t="shared" si="6"/>
        <v>8346536.7999999775</v>
      </c>
      <c r="H74" s="413">
        <f t="shared" si="5"/>
        <v>5027429.8200000115</v>
      </c>
    </row>
    <row r="75" spans="1:8" x14ac:dyDescent="0.2">
      <c r="A75" s="412">
        <v>37072</v>
      </c>
      <c r="B75" s="409">
        <f t="shared" si="1"/>
        <v>8139646.6899999734</v>
      </c>
      <c r="C75" s="409">
        <f t="shared" si="2"/>
        <v>4902812.250000013</v>
      </c>
      <c r="D75" s="409">
        <f t="shared" si="3"/>
        <v>187727.04999999978</v>
      </c>
      <c r="E75" s="409">
        <f t="shared" si="7"/>
        <v>13230185.989999985</v>
      </c>
      <c r="F75" s="413">
        <f t="shared" si="4"/>
        <v>13518425.389999988</v>
      </c>
      <c r="G75" s="413">
        <f t="shared" si="6"/>
        <v>8316981.069999977</v>
      </c>
      <c r="H75" s="413">
        <f t="shared" si="5"/>
        <v>5009627.3100000108</v>
      </c>
    </row>
    <row r="76" spans="1:8" x14ac:dyDescent="0.2">
      <c r="A76" s="412">
        <v>37103</v>
      </c>
      <c r="B76" s="409">
        <f t="shared" si="1"/>
        <v>8110090.959999973</v>
      </c>
      <c r="C76" s="409">
        <f t="shared" si="2"/>
        <v>4885009.7400000133</v>
      </c>
      <c r="D76" s="409">
        <f t="shared" si="3"/>
        <v>187045.38999999978</v>
      </c>
      <c r="E76" s="409">
        <f t="shared" si="7"/>
        <v>13182146.089999987</v>
      </c>
      <c r="F76" s="413">
        <f t="shared" si="4"/>
        <v>13470385.489999987</v>
      </c>
      <c r="G76" s="413">
        <f t="shared" si="6"/>
        <v>8287425.3399999747</v>
      </c>
      <c r="H76" s="413">
        <f t="shared" si="5"/>
        <v>4991824.8000000129</v>
      </c>
    </row>
    <row r="77" spans="1:8" x14ac:dyDescent="0.2">
      <c r="A77" s="412">
        <v>37134</v>
      </c>
      <c r="B77" s="409">
        <f t="shared" si="1"/>
        <v>8080535.2299999725</v>
      </c>
      <c r="C77" s="409">
        <f t="shared" si="2"/>
        <v>4867207.2300000135</v>
      </c>
      <c r="D77" s="409">
        <f t="shared" si="3"/>
        <v>186363.72999999978</v>
      </c>
      <c r="E77" s="409">
        <f t="shared" si="7"/>
        <v>13134106.189999986</v>
      </c>
      <c r="F77" s="413">
        <f t="shared" si="4"/>
        <v>13422345.589999983</v>
      </c>
      <c r="G77" s="413">
        <f t="shared" si="6"/>
        <v>8257869.6099999743</v>
      </c>
      <c r="H77" s="413">
        <f t="shared" si="5"/>
        <v>4974022.2900000121</v>
      </c>
    </row>
    <row r="78" spans="1:8" x14ac:dyDescent="0.2">
      <c r="A78" s="412">
        <v>37164</v>
      </c>
      <c r="B78" s="409">
        <f t="shared" si="1"/>
        <v>8050979.4999999721</v>
      </c>
      <c r="C78" s="409">
        <f t="shared" si="2"/>
        <v>4849404.7200000137</v>
      </c>
      <c r="D78" s="409">
        <f t="shared" si="3"/>
        <v>185682.06999999977</v>
      </c>
      <c r="E78" s="409">
        <f t="shared" si="7"/>
        <v>13086066.289999986</v>
      </c>
      <c r="F78" s="413">
        <f t="shared" si="4"/>
        <v>13374305.689999988</v>
      </c>
      <c r="G78" s="413">
        <f t="shared" si="6"/>
        <v>8228313.8799999757</v>
      </c>
      <c r="H78" s="413">
        <f t="shared" si="5"/>
        <v>4956219.7800000124</v>
      </c>
    </row>
    <row r="79" spans="1:8" x14ac:dyDescent="0.2">
      <c r="A79" s="412">
        <v>37195</v>
      </c>
      <c r="B79" s="409">
        <f t="shared" si="1"/>
        <v>8021423.7699999716</v>
      </c>
      <c r="C79" s="409">
        <f t="shared" si="2"/>
        <v>4831602.2100000139</v>
      </c>
      <c r="D79" s="409">
        <f t="shared" si="3"/>
        <v>185000.40999999977</v>
      </c>
      <c r="E79" s="409">
        <f t="shared" ref="E79:E110" si="8">SUM(B79:D79)</f>
        <v>13038026.389999986</v>
      </c>
      <c r="F79" s="413">
        <f t="shared" si="4"/>
        <v>13326265.789999986</v>
      </c>
      <c r="G79" s="413">
        <f t="shared" si="6"/>
        <v>8198758.1499999752</v>
      </c>
      <c r="H79" s="413">
        <f t="shared" si="5"/>
        <v>4938417.2700000126</v>
      </c>
    </row>
    <row r="80" spans="1:8" x14ac:dyDescent="0.2">
      <c r="A80" s="412">
        <v>37225</v>
      </c>
      <c r="B80" s="409">
        <f t="shared" ref="B80:B143" si="9">B79-$B$13</f>
        <v>7991868.0399999712</v>
      </c>
      <c r="C80" s="409">
        <f t="shared" ref="C80:C143" si="10">C79-$C$13</f>
        <v>4813799.7000000142</v>
      </c>
      <c r="D80" s="409">
        <f t="shared" ref="D80:D143" si="11">D79-$D$13</f>
        <v>184318.74999999977</v>
      </c>
      <c r="E80" s="409">
        <f t="shared" si="8"/>
        <v>12989986.489999985</v>
      </c>
      <c r="F80" s="413">
        <f t="shared" si="4"/>
        <v>13278225.889999986</v>
      </c>
      <c r="G80" s="413">
        <f t="shared" si="6"/>
        <v>8169202.4199999729</v>
      </c>
      <c r="H80" s="413">
        <f t="shared" si="5"/>
        <v>4920614.7600000137</v>
      </c>
    </row>
    <row r="81" spans="1:8" x14ac:dyDescent="0.2">
      <c r="A81" s="412">
        <v>37256</v>
      </c>
      <c r="B81" s="409">
        <f t="shared" si="9"/>
        <v>7962312.3099999707</v>
      </c>
      <c r="C81" s="409">
        <f t="shared" si="10"/>
        <v>4795997.1900000144</v>
      </c>
      <c r="D81" s="409">
        <f t="shared" si="11"/>
        <v>183637.08999999976</v>
      </c>
      <c r="E81" s="409">
        <f t="shared" si="8"/>
        <v>12941946.589999985</v>
      </c>
      <c r="F81" s="413">
        <f t="shared" si="4"/>
        <v>13230185.989999987</v>
      </c>
      <c r="G81" s="413">
        <f t="shared" si="6"/>
        <v>8139646.6899999725</v>
      </c>
      <c r="H81" s="413">
        <f t="shared" si="5"/>
        <v>4902812.250000014</v>
      </c>
    </row>
    <row r="82" spans="1:8" x14ac:dyDescent="0.2">
      <c r="A82" s="412">
        <v>37287</v>
      </c>
      <c r="B82" s="409">
        <f t="shared" si="9"/>
        <v>7932756.5799999703</v>
      </c>
      <c r="C82" s="409">
        <f t="shared" si="10"/>
        <v>4778194.6800000146</v>
      </c>
      <c r="D82" s="409">
        <f t="shared" si="11"/>
        <v>182955.42999999976</v>
      </c>
      <c r="E82" s="409">
        <f t="shared" si="8"/>
        <v>12893906.689999985</v>
      </c>
      <c r="F82" s="413">
        <f t="shared" si="4"/>
        <v>13182146.089999983</v>
      </c>
      <c r="G82" s="413">
        <f t="shared" si="6"/>
        <v>8110090.9599999739</v>
      </c>
      <c r="H82" s="413">
        <f t="shared" si="5"/>
        <v>4885009.7400000133</v>
      </c>
    </row>
    <row r="83" spans="1:8" x14ac:dyDescent="0.2">
      <c r="A83" s="412">
        <v>37315</v>
      </c>
      <c r="B83" s="409">
        <f t="shared" si="9"/>
        <v>7903200.8499999698</v>
      </c>
      <c r="C83" s="409">
        <f t="shared" si="10"/>
        <v>4760392.1700000148</v>
      </c>
      <c r="D83" s="409">
        <f t="shared" si="11"/>
        <v>182273.76999999976</v>
      </c>
      <c r="E83" s="409">
        <f t="shared" si="8"/>
        <v>12845866.789999984</v>
      </c>
      <c r="F83" s="413">
        <f>(E71+E83+SUM(E72:E82)*2)/24</f>
        <v>13134106.189999988</v>
      </c>
      <c r="G83" s="413">
        <f t="shared" si="6"/>
        <v>8080535.2299999734</v>
      </c>
      <c r="H83" s="413">
        <f t="shared" si="5"/>
        <v>4867207.2300000126</v>
      </c>
    </row>
    <row r="84" spans="1:8" x14ac:dyDescent="0.2">
      <c r="A84" s="412">
        <v>37346</v>
      </c>
      <c r="B84" s="409">
        <f t="shared" si="9"/>
        <v>7873645.1199999694</v>
      </c>
      <c r="C84" s="409">
        <f t="shared" si="10"/>
        <v>4742589.6600000151</v>
      </c>
      <c r="D84" s="409">
        <f t="shared" si="11"/>
        <v>181592.10999999975</v>
      </c>
      <c r="E84" s="409">
        <f t="shared" si="8"/>
        <v>12797826.889999984</v>
      </c>
      <c r="F84" s="413">
        <f t="shared" si="4"/>
        <v>13086066.289999986</v>
      </c>
      <c r="G84" s="413">
        <f t="shared" si="6"/>
        <v>8050979.4999999711</v>
      </c>
      <c r="H84" s="413">
        <f t="shared" si="5"/>
        <v>4849404.7200000146</v>
      </c>
    </row>
    <row r="85" spans="1:8" x14ac:dyDescent="0.2">
      <c r="A85" s="412">
        <v>37376</v>
      </c>
      <c r="B85" s="409">
        <f t="shared" si="9"/>
        <v>7844089.3899999689</v>
      </c>
      <c r="C85" s="409">
        <f t="shared" si="10"/>
        <v>4724787.1500000153</v>
      </c>
      <c r="D85" s="409">
        <f t="shared" si="11"/>
        <v>180910.44999999975</v>
      </c>
      <c r="E85" s="409">
        <f t="shared" si="8"/>
        <v>12749786.989999983</v>
      </c>
      <c r="F85" s="413">
        <f t="shared" si="4"/>
        <v>13038026.389999986</v>
      </c>
      <c r="G85" s="413">
        <f t="shared" si="6"/>
        <v>8021423.7699999707</v>
      </c>
      <c r="H85" s="413">
        <f t="shared" si="5"/>
        <v>4831602.2100000139</v>
      </c>
    </row>
    <row r="86" spans="1:8" x14ac:dyDescent="0.2">
      <c r="A86" s="412">
        <v>37407</v>
      </c>
      <c r="B86" s="409">
        <f t="shared" si="9"/>
        <v>7814533.6599999685</v>
      </c>
      <c r="C86" s="409">
        <f t="shared" si="10"/>
        <v>4706984.6400000155</v>
      </c>
      <c r="D86" s="409">
        <f t="shared" si="11"/>
        <v>180228.78999999975</v>
      </c>
      <c r="E86" s="409">
        <f t="shared" si="8"/>
        <v>12701747.089999983</v>
      </c>
      <c r="F86" s="413">
        <f t="shared" si="4"/>
        <v>12989986.489999985</v>
      </c>
      <c r="G86" s="413">
        <f t="shared" si="6"/>
        <v>7991868.0399999721</v>
      </c>
      <c r="H86" s="413">
        <f t="shared" si="5"/>
        <v>4813799.7000000142</v>
      </c>
    </row>
    <row r="87" spans="1:8" x14ac:dyDescent="0.2">
      <c r="A87" s="412">
        <v>37437</v>
      </c>
      <c r="B87" s="409">
        <f t="shared" si="9"/>
        <v>7784977.929999968</v>
      </c>
      <c r="C87" s="409">
        <f t="shared" si="10"/>
        <v>4689182.1300000157</v>
      </c>
      <c r="D87" s="409">
        <f t="shared" si="11"/>
        <v>179547.12999999974</v>
      </c>
      <c r="E87" s="409">
        <f t="shared" si="8"/>
        <v>12653707.189999983</v>
      </c>
      <c r="F87" s="413">
        <f t="shared" si="4"/>
        <v>12941946.589999983</v>
      </c>
      <c r="G87" s="413">
        <f t="shared" si="6"/>
        <v>7962312.3099999717</v>
      </c>
      <c r="H87" s="413">
        <f t="shared" si="5"/>
        <v>4795997.1900000144</v>
      </c>
    </row>
    <row r="88" spans="1:8" x14ac:dyDescent="0.2">
      <c r="A88" s="412">
        <v>37468</v>
      </c>
      <c r="B88" s="409">
        <f t="shared" si="9"/>
        <v>7755422.1999999676</v>
      </c>
      <c r="C88" s="409">
        <f t="shared" si="10"/>
        <v>4671379.6200000159</v>
      </c>
      <c r="D88" s="409">
        <f t="shared" si="11"/>
        <v>178865.46999999974</v>
      </c>
      <c r="E88" s="409">
        <f t="shared" si="8"/>
        <v>12605667.289999984</v>
      </c>
      <c r="F88" s="413">
        <f t="shared" si="4"/>
        <v>12893906.689999985</v>
      </c>
      <c r="G88" s="413">
        <f t="shared" si="6"/>
        <v>7932756.5799999693</v>
      </c>
      <c r="H88" s="413">
        <f t="shared" si="5"/>
        <v>4778194.6800000155</v>
      </c>
    </row>
    <row r="89" spans="1:8" x14ac:dyDescent="0.2">
      <c r="A89" s="412">
        <v>37499</v>
      </c>
      <c r="B89" s="409">
        <f t="shared" si="9"/>
        <v>7725866.4699999671</v>
      </c>
      <c r="C89" s="409">
        <f t="shared" si="10"/>
        <v>4653577.1100000162</v>
      </c>
      <c r="D89" s="409">
        <f t="shared" si="11"/>
        <v>178183.80999999974</v>
      </c>
      <c r="E89" s="409">
        <f t="shared" si="8"/>
        <v>12557627.389999984</v>
      </c>
      <c r="F89" s="413">
        <f t="shared" si="4"/>
        <v>12845866.789999986</v>
      </c>
      <c r="G89" s="413">
        <f t="shared" si="6"/>
        <v>7903200.8499999689</v>
      </c>
      <c r="H89" s="413">
        <f t="shared" si="5"/>
        <v>4760392.1700000158</v>
      </c>
    </row>
    <row r="90" spans="1:8" x14ac:dyDescent="0.2">
      <c r="A90" s="412">
        <v>37529</v>
      </c>
      <c r="B90" s="409">
        <f t="shared" si="9"/>
        <v>7696310.7399999667</v>
      </c>
      <c r="C90" s="409">
        <f t="shared" si="10"/>
        <v>4635774.6000000164</v>
      </c>
      <c r="D90" s="409">
        <f t="shared" si="11"/>
        <v>177502.14999999973</v>
      </c>
      <c r="E90" s="409">
        <f t="shared" si="8"/>
        <v>12509587.489999983</v>
      </c>
      <c r="F90" s="413">
        <f t="shared" si="4"/>
        <v>12797826.889999984</v>
      </c>
      <c r="G90" s="413">
        <f t="shared" si="6"/>
        <v>7873645.1199999703</v>
      </c>
      <c r="H90" s="413">
        <f t="shared" si="5"/>
        <v>4742589.6600000151</v>
      </c>
    </row>
    <row r="91" spans="1:8" x14ac:dyDescent="0.2">
      <c r="A91" s="412">
        <v>37560</v>
      </c>
      <c r="B91" s="409">
        <f t="shared" si="9"/>
        <v>7666755.0099999662</v>
      </c>
      <c r="C91" s="409">
        <f t="shared" si="10"/>
        <v>4617972.0900000166</v>
      </c>
      <c r="D91" s="409">
        <f t="shared" si="11"/>
        <v>176820.48999999973</v>
      </c>
      <c r="E91" s="409">
        <f t="shared" si="8"/>
        <v>12461547.589999983</v>
      </c>
      <c r="F91" s="413">
        <f t="shared" si="4"/>
        <v>12749786.989999985</v>
      </c>
      <c r="G91" s="413">
        <f t="shared" si="6"/>
        <v>7844089.3899999699</v>
      </c>
      <c r="H91" s="413">
        <f t="shared" si="5"/>
        <v>4724787.1500000143</v>
      </c>
    </row>
    <row r="92" spans="1:8" x14ac:dyDescent="0.2">
      <c r="A92" s="412">
        <v>37590</v>
      </c>
      <c r="B92" s="409">
        <f t="shared" si="9"/>
        <v>7637199.2799999658</v>
      </c>
      <c r="C92" s="409">
        <f t="shared" si="10"/>
        <v>4600169.5800000168</v>
      </c>
      <c r="D92" s="409">
        <f t="shared" si="11"/>
        <v>176138.82999999973</v>
      </c>
      <c r="E92" s="409">
        <f t="shared" si="8"/>
        <v>12413507.689999983</v>
      </c>
      <c r="F92" s="413">
        <f t="shared" ref="F92:F115" si="12">(E80+E92+SUM(E81:E91)*2)/24</f>
        <v>12701747.089999983</v>
      </c>
      <c r="G92" s="413">
        <f t="shared" si="6"/>
        <v>7814533.6599999676</v>
      </c>
      <c r="H92" s="413">
        <f t="shared" si="6"/>
        <v>4706984.6400000164</v>
      </c>
    </row>
    <row r="93" spans="1:8" x14ac:dyDescent="0.2">
      <c r="A93" s="412">
        <v>37621</v>
      </c>
      <c r="B93" s="409">
        <f t="shared" si="9"/>
        <v>7607643.5499999654</v>
      </c>
      <c r="C93" s="409">
        <f t="shared" si="10"/>
        <v>4582367.0700000171</v>
      </c>
      <c r="D93" s="409">
        <f t="shared" si="11"/>
        <v>175457.16999999972</v>
      </c>
      <c r="E93" s="409">
        <f t="shared" si="8"/>
        <v>12365467.789999982</v>
      </c>
      <c r="F93" s="413">
        <f t="shared" si="12"/>
        <v>12653707.189999983</v>
      </c>
      <c r="G93" s="413">
        <f t="shared" ref="G93:H108" si="13">(B81+B93+SUM(B82:B92)*2)/24</f>
        <v>7784977.9299999671</v>
      </c>
      <c r="H93" s="413">
        <f t="shared" si="13"/>
        <v>4689182.1300000157</v>
      </c>
    </row>
    <row r="94" spans="1:8" x14ac:dyDescent="0.2">
      <c r="A94" s="412">
        <v>37652</v>
      </c>
      <c r="B94" s="409">
        <f t="shared" si="9"/>
        <v>7578087.8199999649</v>
      </c>
      <c r="C94" s="409">
        <f t="shared" si="10"/>
        <v>4564564.5600000173</v>
      </c>
      <c r="D94" s="409">
        <f t="shared" si="11"/>
        <v>174775.50999999972</v>
      </c>
      <c r="E94" s="409">
        <f t="shared" si="8"/>
        <v>12317427.889999982</v>
      </c>
      <c r="F94" s="413">
        <f t="shared" si="12"/>
        <v>12605667.289999984</v>
      </c>
      <c r="G94" s="413">
        <f t="shared" si="13"/>
        <v>7755422.1999999685</v>
      </c>
      <c r="H94" s="413">
        <f t="shared" si="13"/>
        <v>4671379.6200000159</v>
      </c>
    </row>
    <row r="95" spans="1:8" x14ac:dyDescent="0.2">
      <c r="A95" s="412">
        <v>37680</v>
      </c>
      <c r="B95" s="409">
        <f t="shared" si="9"/>
        <v>7548532.0899999645</v>
      </c>
      <c r="C95" s="409">
        <f t="shared" si="10"/>
        <v>4546762.0500000175</v>
      </c>
      <c r="D95" s="409">
        <f t="shared" si="11"/>
        <v>174093.84999999971</v>
      </c>
      <c r="E95" s="409">
        <f t="shared" si="8"/>
        <v>12269387.989999982</v>
      </c>
      <c r="F95" s="413">
        <f t="shared" si="12"/>
        <v>12557627.389999984</v>
      </c>
      <c r="G95" s="413">
        <f t="shared" si="13"/>
        <v>7725866.4699999681</v>
      </c>
      <c r="H95" s="413">
        <f t="shared" si="13"/>
        <v>4653577.1100000162</v>
      </c>
    </row>
    <row r="96" spans="1:8" x14ac:dyDescent="0.2">
      <c r="A96" s="412">
        <v>37711</v>
      </c>
      <c r="B96" s="409">
        <f t="shared" si="9"/>
        <v>7518976.359999964</v>
      </c>
      <c r="C96" s="409">
        <f t="shared" si="10"/>
        <v>4528959.5400000177</v>
      </c>
      <c r="D96" s="409">
        <f t="shared" si="11"/>
        <v>173412.18999999971</v>
      </c>
      <c r="E96" s="409">
        <f t="shared" si="8"/>
        <v>12221348.089999981</v>
      </c>
      <c r="F96" s="413">
        <f t="shared" si="12"/>
        <v>12509587.489999985</v>
      </c>
      <c r="G96" s="413">
        <f t="shared" si="13"/>
        <v>7696310.7399999658</v>
      </c>
      <c r="H96" s="413">
        <f t="shared" si="13"/>
        <v>4635774.6000000173</v>
      </c>
    </row>
    <row r="97" spans="1:8" x14ac:dyDescent="0.2">
      <c r="A97" s="412">
        <v>37741</v>
      </c>
      <c r="B97" s="409">
        <f t="shared" si="9"/>
        <v>7489420.6299999636</v>
      </c>
      <c r="C97" s="409">
        <f t="shared" si="10"/>
        <v>4511157.030000018</v>
      </c>
      <c r="D97" s="409">
        <f t="shared" si="11"/>
        <v>172730.52999999971</v>
      </c>
      <c r="E97" s="409">
        <f t="shared" si="8"/>
        <v>12173308.189999981</v>
      </c>
      <c r="F97" s="413">
        <f t="shared" si="12"/>
        <v>12461547.589999981</v>
      </c>
      <c r="G97" s="413">
        <f t="shared" si="13"/>
        <v>7666755.0099999653</v>
      </c>
      <c r="H97" s="413">
        <f t="shared" si="13"/>
        <v>4617972.0900000175</v>
      </c>
    </row>
    <row r="98" spans="1:8" x14ac:dyDescent="0.2">
      <c r="A98" s="412">
        <v>37772</v>
      </c>
      <c r="B98" s="409">
        <f t="shared" si="9"/>
        <v>7459864.8999999631</v>
      </c>
      <c r="C98" s="409">
        <f t="shared" si="10"/>
        <v>4493354.5200000182</v>
      </c>
      <c r="D98" s="409">
        <f t="shared" si="11"/>
        <v>172048.8699999997</v>
      </c>
      <c r="E98" s="409">
        <f t="shared" si="8"/>
        <v>12125268.28999998</v>
      </c>
      <c r="F98" s="413">
        <f t="shared" si="12"/>
        <v>12413507.689999983</v>
      </c>
      <c r="G98" s="413">
        <f t="shared" si="13"/>
        <v>7637199.2799999667</v>
      </c>
      <c r="H98" s="413">
        <f t="shared" si="13"/>
        <v>4600169.5800000168</v>
      </c>
    </row>
    <row r="99" spans="1:8" x14ac:dyDescent="0.2">
      <c r="A99" s="412">
        <v>37802</v>
      </c>
      <c r="B99" s="409">
        <f t="shared" si="9"/>
        <v>7430309.1699999627</v>
      </c>
      <c r="C99" s="409">
        <f t="shared" si="10"/>
        <v>4475552.0100000184</v>
      </c>
      <c r="D99" s="409">
        <f t="shared" si="11"/>
        <v>171367.2099999997</v>
      </c>
      <c r="E99" s="409">
        <f t="shared" si="8"/>
        <v>12077228.38999998</v>
      </c>
      <c r="F99" s="413">
        <f t="shared" si="12"/>
        <v>12365467.789999984</v>
      </c>
      <c r="G99" s="413">
        <f t="shared" si="13"/>
        <v>7607643.5499999663</v>
      </c>
      <c r="H99" s="413">
        <f t="shared" si="13"/>
        <v>4582367.0700000161</v>
      </c>
    </row>
    <row r="100" spans="1:8" x14ac:dyDescent="0.2">
      <c r="A100" s="412">
        <v>37833</v>
      </c>
      <c r="B100" s="409">
        <f t="shared" si="9"/>
        <v>7400753.4399999622</v>
      </c>
      <c r="C100" s="409">
        <f t="shared" si="10"/>
        <v>4457749.5000000186</v>
      </c>
      <c r="D100" s="409">
        <f t="shared" si="11"/>
        <v>170685.5499999997</v>
      </c>
      <c r="E100" s="409">
        <f t="shared" si="8"/>
        <v>12029188.48999998</v>
      </c>
      <c r="F100" s="413">
        <f t="shared" si="12"/>
        <v>12317427.889999984</v>
      </c>
      <c r="G100" s="413">
        <f t="shared" si="13"/>
        <v>7578087.819999964</v>
      </c>
      <c r="H100" s="413">
        <f t="shared" si="13"/>
        <v>4564564.5600000182</v>
      </c>
    </row>
    <row r="101" spans="1:8" x14ac:dyDescent="0.2">
      <c r="A101" s="412">
        <v>37864</v>
      </c>
      <c r="B101" s="409">
        <f t="shared" si="9"/>
        <v>7371197.7099999618</v>
      </c>
      <c r="C101" s="409">
        <f t="shared" si="10"/>
        <v>4439946.9900000188</v>
      </c>
      <c r="D101" s="409">
        <f t="shared" si="11"/>
        <v>170003.88999999969</v>
      </c>
      <c r="E101" s="409">
        <f t="shared" si="8"/>
        <v>11981148.589999981</v>
      </c>
      <c r="F101" s="413">
        <f t="shared" si="12"/>
        <v>12269387.989999982</v>
      </c>
      <c r="G101" s="413">
        <f t="shared" si="13"/>
        <v>7548532.0899999635</v>
      </c>
      <c r="H101" s="413">
        <f t="shared" si="13"/>
        <v>4546762.0500000175</v>
      </c>
    </row>
    <row r="102" spans="1:8" x14ac:dyDescent="0.2">
      <c r="A102" s="412">
        <v>37894</v>
      </c>
      <c r="B102" s="409">
        <f t="shared" si="9"/>
        <v>7341641.9799999613</v>
      </c>
      <c r="C102" s="409">
        <f t="shared" si="10"/>
        <v>4422144.4800000191</v>
      </c>
      <c r="D102" s="409">
        <f t="shared" si="11"/>
        <v>169322.22999999969</v>
      </c>
      <c r="E102" s="409">
        <f t="shared" si="8"/>
        <v>11933108.689999981</v>
      </c>
      <c r="F102" s="413">
        <f t="shared" si="12"/>
        <v>12221348.089999981</v>
      </c>
      <c r="G102" s="413">
        <f t="shared" si="13"/>
        <v>7518976.3599999649</v>
      </c>
      <c r="H102" s="413">
        <f t="shared" si="13"/>
        <v>4528959.5400000177</v>
      </c>
    </row>
    <row r="103" spans="1:8" x14ac:dyDescent="0.2">
      <c r="A103" s="412">
        <v>37925</v>
      </c>
      <c r="B103" s="409">
        <f t="shared" si="9"/>
        <v>7312086.2499999609</v>
      </c>
      <c r="C103" s="409">
        <f t="shared" si="10"/>
        <v>4404341.9700000193</v>
      </c>
      <c r="D103" s="409">
        <f t="shared" si="11"/>
        <v>168640.56999999969</v>
      </c>
      <c r="E103" s="409">
        <f t="shared" si="8"/>
        <v>11885068.78999998</v>
      </c>
      <c r="F103" s="413">
        <f t="shared" si="12"/>
        <v>12173308.189999981</v>
      </c>
      <c r="G103" s="413">
        <f t="shared" si="13"/>
        <v>7489420.6299999645</v>
      </c>
      <c r="H103" s="413">
        <f t="shared" si="13"/>
        <v>4511157.030000018</v>
      </c>
    </row>
    <row r="104" spans="1:8" x14ac:dyDescent="0.2">
      <c r="A104" s="412">
        <v>37955</v>
      </c>
      <c r="B104" s="409">
        <f t="shared" si="9"/>
        <v>7282530.5199999604</v>
      </c>
      <c r="C104" s="409">
        <f t="shared" si="10"/>
        <v>4386539.4600000195</v>
      </c>
      <c r="D104" s="409">
        <f t="shared" si="11"/>
        <v>167958.90999999968</v>
      </c>
      <c r="E104" s="409">
        <f t="shared" si="8"/>
        <v>11837028.88999998</v>
      </c>
      <c r="F104" s="413">
        <f t="shared" si="12"/>
        <v>12125268.289999982</v>
      </c>
      <c r="G104" s="413">
        <f t="shared" si="13"/>
        <v>7459864.8999999622</v>
      </c>
      <c r="H104" s="413">
        <f t="shared" si="13"/>
        <v>4493354.5200000191</v>
      </c>
    </row>
    <row r="105" spans="1:8" x14ac:dyDescent="0.2">
      <c r="A105" s="412">
        <v>37986</v>
      </c>
      <c r="B105" s="409">
        <f t="shared" si="9"/>
        <v>7252974.78999996</v>
      </c>
      <c r="C105" s="409">
        <f t="shared" si="10"/>
        <v>4368736.9500000197</v>
      </c>
      <c r="D105" s="409">
        <f t="shared" si="11"/>
        <v>167277.24999999968</v>
      </c>
      <c r="E105" s="409">
        <f t="shared" si="8"/>
        <v>11788988.98999998</v>
      </c>
      <c r="F105" s="413">
        <f t="shared" si="12"/>
        <v>12077228.389999984</v>
      </c>
      <c r="G105" s="413">
        <f t="shared" si="13"/>
        <v>7430309.1699999617</v>
      </c>
      <c r="H105" s="413">
        <f t="shared" si="13"/>
        <v>4475552.0100000193</v>
      </c>
    </row>
    <row r="106" spans="1:8" x14ac:dyDescent="0.2">
      <c r="A106" s="412">
        <v>38017</v>
      </c>
      <c r="B106" s="409">
        <f t="shared" si="9"/>
        <v>7223419.0599999595</v>
      </c>
      <c r="C106" s="409">
        <f t="shared" si="10"/>
        <v>4350934.44000002</v>
      </c>
      <c r="D106" s="409">
        <f t="shared" si="11"/>
        <v>166595.58999999968</v>
      </c>
      <c r="E106" s="409">
        <f t="shared" si="8"/>
        <v>11740949.089999979</v>
      </c>
      <c r="F106" s="413">
        <f t="shared" si="12"/>
        <v>12029188.48999998</v>
      </c>
      <c r="G106" s="413">
        <f t="shared" si="13"/>
        <v>7400753.4399999632</v>
      </c>
      <c r="H106" s="413">
        <f t="shared" si="13"/>
        <v>4457749.5000000186</v>
      </c>
    </row>
    <row r="107" spans="1:8" x14ac:dyDescent="0.2">
      <c r="A107" s="412">
        <v>38046</v>
      </c>
      <c r="B107" s="409">
        <f t="shared" si="9"/>
        <v>7193863.3299999591</v>
      </c>
      <c r="C107" s="409">
        <f t="shared" si="10"/>
        <v>4333131.9300000202</v>
      </c>
      <c r="D107" s="409">
        <f t="shared" si="11"/>
        <v>165913.92999999967</v>
      </c>
      <c r="E107" s="409">
        <f t="shared" si="8"/>
        <v>11692909.189999979</v>
      </c>
      <c r="F107" s="413">
        <f t="shared" si="12"/>
        <v>11981148.589999981</v>
      </c>
      <c r="G107" s="413">
        <f t="shared" si="13"/>
        <v>7371197.7099999608</v>
      </c>
      <c r="H107" s="413">
        <f t="shared" si="13"/>
        <v>4439946.9900000179</v>
      </c>
    </row>
    <row r="108" spans="1:8" x14ac:dyDescent="0.2">
      <c r="A108" s="412">
        <v>38077</v>
      </c>
      <c r="B108" s="409">
        <f t="shared" si="9"/>
        <v>7164307.5999999586</v>
      </c>
      <c r="C108" s="409">
        <f t="shared" si="10"/>
        <v>4315329.4200000204</v>
      </c>
      <c r="D108" s="409">
        <f t="shared" si="11"/>
        <v>165232.26999999967</v>
      </c>
      <c r="E108" s="409">
        <f t="shared" si="8"/>
        <v>11644869.289999979</v>
      </c>
      <c r="F108" s="413">
        <f t="shared" si="12"/>
        <v>11933108.689999981</v>
      </c>
      <c r="G108" s="413">
        <f t="shared" si="13"/>
        <v>7341641.9799999604</v>
      </c>
      <c r="H108" s="413">
        <f t="shared" si="13"/>
        <v>4422144.48000002</v>
      </c>
    </row>
    <row r="109" spans="1:8" x14ac:dyDescent="0.2">
      <c r="A109" s="412">
        <v>38107</v>
      </c>
      <c r="B109" s="409">
        <f t="shared" si="9"/>
        <v>7134751.8699999582</v>
      </c>
      <c r="C109" s="409">
        <f t="shared" si="10"/>
        <v>4297526.9100000206</v>
      </c>
      <c r="D109" s="409">
        <f t="shared" si="11"/>
        <v>164550.60999999967</v>
      </c>
      <c r="E109" s="409">
        <f t="shared" si="8"/>
        <v>11596829.389999978</v>
      </c>
      <c r="F109" s="413">
        <f t="shared" si="12"/>
        <v>11885068.789999982</v>
      </c>
      <c r="G109" s="413">
        <f t="shared" ref="G109:H124" si="14">(B97+B109+SUM(B98:B108)*2)/24</f>
        <v>7312086.24999996</v>
      </c>
      <c r="H109" s="413">
        <f t="shared" si="14"/>
        <v>4404341.9700000193</v>
      </c>
    </row>
    <row r="110" spans="1:8" x14ac:dyDescent="0.2">
      <c r="A110" s="412">
        <v>38138</v>
      </c>
      <c r="B110" s="409">
        <f t="shared" si="9"/>
        <v>7105196.1399999578</v>
      </c>
      <c r="C110" s="409">
        <f t="shared" si="10"/>
        <v>4279724.4000000209</v>
      </c>
      <c r="D110" s="409">
        <f t="shared" si="11"/>
        <v>163868.94999999966</v>
      </c>
      <c r="E110" s="409">
        <f t="shared" si="8"/>
        <v>11548789.489999978</v>
      </c>
      <c r="F110" s="413">
        <f t="shared" si="12"/>
        <v>11837028.88999998</v>
      </c>
      <c r="G110" s="413">
        <f t="shared" si="14"/>
        <v>7282530.5199999614</v>
      </c>
      <c r="H110" s="413">
        <f t="shared" si="14"/>
        <v>4386539.4600000195</v>
      </c>
    </row>
    <row r="111" spans="1:8" x14ac:dyDescent="0.2">
      <c r="A111" s="412">
        <v>38168</v>
      </c>
      <c r="B111" s="409">
        <f t="shared" si="9"/>
        <v>7075640.4099999573</v>
      </c>
      <c r="C111" s="409">
        <f t="shared" si="10"/>
        <v>4261921.8900000211</v>
      </c>
      <c r="D111" s="409">
        <f t="shared" si="11"/>
        <v>163187.28999999966</v>
      </c>
      <c r="E111" s="409">
        <f t="shared" ref="E111:E165" si="15">SUM(B111:D111)</f>
        <v>11500749.589999977</v>
      </c>
      <c r="F111" s="413">
        <f t="shared" si="12"/>
        <v>11788988.98999998</v>
      </c>
      <c r="G111" s="413">
        <f t="shared" si="14"/>
        <v>7252974.7899999591</v>
      </c>
      <c r="H111" s="413">
        <f t="shared" si="14"/>
        <v>4368736.9500000197</v>
      </c>
    </row>
    <row r="112" spans="1:8" x14ac:dyDescent="0.2">
      <c r="A112" s="412">
        <v>38199</v>
      </c>
      <c r="B112" s="409">
        <f t="shared" si="9"/>
        <v>7046084.6799999569</v>
      </c>
      <c r="C112" s="409">
        <f t="shared" si="10"/>
        <v>4244119.3800000213</v>
      </c>
      <c r="D112" s="409">
        <f t="shared" si="11"/>
        <v>162505.62999999966</v>
      </c>
      <c r="E112" s="409">
        <f t="shared" si="15"/>
        <v>11452709.689999977</v>
      </c>
      <c r="F112" s="413">
        <f t="shared" si="12"/>
        <v>11740949.089999979</v>
      </c>
      <c r="G112" s="413">
        <f t="shared" si="14"/>
        <v>7223419.0599999586</v>
      </c>
      <c r="H112" s="413">
        <f t="shared" si="14"/>
        <v>4350934.4400000209</v>
      </c>
    </row>
    <row r="113" spans="1:8" x14ac:dyDescent="0.2">
      <c r="A113" s="412">
        <v>38230</v>
      </c>
      <c r="B113" s="409">
        <f t="shared" si="9"/>
        <v>7016528.9499999564</v>
      </c>
      <c r="C113" s="409">
        <f t="shared" si="10"/>
        <v>4226316.8700000215</v>
      </c>
      <c r="D113" s="409">
        <f t="shared" si="11"/>
        <v>161823.96999999965</v>
      </c>
      <c r="E113" s="409">
        <f t="shared" si="15"/>
        <v>11404669.789999977</v>
      </c>
      <c r="F113" s="413">
        <f t="shared" si="12"/>
        <v>11692909.189999981</v>
      </c>
      <c r="G113" s="413">
        <f t="shared" si="14"/>
        <v>7193863.3299999582</v>
      </c>
      <c r="H113" s="413">
        <f t="shared" si="14"/>
        <v>4333131.9300000211</v>
      </c>
    </row>
    <row r="114" spans="1:8" x14ac:dyDescent="0.2">
      <c r="A114" s="412">
        <v>38260</v>
      </c>
      <c r="B114" s="409">
        <f t="shared" si="9"/>
        <v>6986973.219999956</v>
      </c>
      <c r="C114" s="409">
        <f t="shared" si="10"/>
        <v>4208514.3600000218</v>
      </c>
      <c r="D114" s="409">
        <f t="shared" si="11"/>
        <v>161142.30999999965</v>
      </c>
      <c r="E114" s="409">
        <f t="shared" si="15"/>
        <v>11356629.889999978</v>
      </c>
      <c r="F114" s="413">
        <f t="shared" si="12"/>
        <v>11644869.289999979</v>
      </c>
      <c r="G114" s="413">
        <f t="shared" si="14"/>
        <v>7164307.5999999596</v>
      </c>
      <c r="H114" s="413">
        <f t="shared" si="14"/>
        <v>4315329.4200000204</v>
      </c>
    </row>
    <row r="115" spans="1:8" x14ac:dyDescent="0.2">
      <c r="A115" s="412">
        <v>38291</v>
      </c>
      <c r="B115" s="409">
        <f t="shared" si="9"/>
        <v>6957417.4899999555</v>
      </c>
      <c r="C115" s="409">
        <f t="shared" si="10"/>
        <v>4190711.850000022</v>
      </c>
      <c r="D115" s="409">
        <f t="shared" si="11"/>
        <v>160460.64999999964</v>
      </c>
      <c r="E115" s="409">
        <f t="shared" si="15"/>
        <v>11308589.989999978</v>
      </c>
      <c r="F115" s="413">
        <f t="shared" si="12"/>
        <v>11596829.38999998</v>
      </c>
      <c r="G115" s="413">
        <f t="shared" si="14"/>
        <v>7134751.8699999573</v>
      </c>
      <c r="H115" s="413">
        <f t="shared" si="14"/>
        <v>4297526.9100000197</v>
      </c>
    </row>
    <row r="116" spans="1:8" x14ac:dyDescent="0.2">
      <c r="A116" s="412">
        <v>38321</v>
      </c>
      <c r="B116" s="409">
        <f t="shared" si="9"/>
        <v>6927861.7599999551</v>
      </c>
      <c r="C116" s="409">
        <f t="shared" si="10"/>
        <v>4172909.3400000222</v>
      </c>
      <c r="D116" s="409">
        <f t="shared" si="11"/>
        <v>159778.98999999964</v>
      </c>
      <c r="E116" s="409">
        <f t="shared" si="15"/>
        <v>11260550.089999977</v>
      </c>
      <c r="F116" s="413">
        <f>(E104+E116+SUM(E105:E115)*2)/24</f>
        <v>11548789.489999978</v>
      </c>
      <c r="G116" s="413">
        <f t="shared" si="14"/>
        <v>7105196.1399999568</v>
      </c>
      <c r="H116" s="413">
        <f t="shared" si="14"/>
        <v>4279724.4000000218</v>
      </c>
    </row>
    <row r="117" spans="1:8" x14ac:dyDescent="0.2">
      <c r="A117" s="412">
        <v>38352</v>
      </c>
      <c r="B117" s="409">
        <f t="shared" si="9"/>
        <v>6898306.0299999546</v>
      </c>
      <c r="C117" s="409">
        <f t="shared" si="10"/>
        <v>4155106.8300000224</v>
      </c>
      <c r="D117" s="409">
        <f t="shared" si="11"/>
        <v>159097.32999999964</v>
      </c>
      <c r="E117" s="409">
        <f t="shared" si="15"/>
        <v>11212510.189999977</v>
      </c>
      <c r="F117" s="413">
        <f>(E105+E117+SUM(E106:E116)*2)/24</f>
        <v>11500749.589999979</v>
      </c>
      <c r="G117" s="413">
        <f t="shared" si="14"/>
        <v>7075640.4099999564</v>
      </c>
      <c r="H117" s="413">
        <f t="shared" si="14"/>
        <v>4261921.8900000211</v>
      </c>
    </row>
    <row r="118" spans="1:8" x14ac:dyDescent="0.2">
      <c r="A118" s="412">
        <v>38383</v>
      </c>
      <c r="B118" s="409">
        <f t="shared" si="9"/>
        <v>6868750.2999999542</v>
      </c>
      <c r="C118" s="409">
        <f t="shared" si="10"/>
        <v>4137304.3200000226</v>
      </c>
      <c r="D118" s="409">
        <f t="shared" si="11"/>
        <v>158415.66999999963</v>
      </c>
      <c r="E118" s="409">
        <f t="shared" si="15"/>
        <v>11164470.289999977</v>
      </c>
      <c r="F118" s="413">
        <f>(E106+E118+SUM(E107:E117)*2)/24</f>
        <v>11452709.689999981</v>
      </c>
      <c r="G118" s="413">
        <f t="shared" si="14"/>
        <v>7046084.6799999578</v>
      </c>
      <c r="H118" s="413">
        <f t="shared" si="14"/>
        <v>4244119.3800000213</v>
      </c>
    </row>
    <row r="119" spans="1:8" x14ac:dyDescent="0.2">
      <c r="A119" s="412">
        <v>38411</v>
      </c>
      <c r="B119" s="409">
        <f t="shared" si="9"/>
        <v>6839194.5699999537</v>
      </c>
      <c r="C119" s="409">
        <f t="shared" si="10"/>
        <v>4119501.8100000229</v>
      </c>
      <c r="D119" s="409">
        <f t="shared" si="11"/>
        <v>157734.00999999963</v>
      </c>
      <c r="E119" s="409">
        <f t="shared" si="15"/>
        <v>11116430.389999976</v>
      </c>
      <c r="F119" s="413">
        <f t="shared" ref="F119:F149" si="16">(E107+E119+SUM(E108:E118)*2)/24</f>
        <v>11404669.789999977</v>
      </c>
      <c r="G119" s="413">
        <f t="shared" si="14"/>
        <v>7016528.9499999555</v>
      </c>
      <c r="H119" s="413">
        <f t="shared" si="14"/>
        <v>4226316.8700000215</v>
      </c>
    </row>
    <row r="120" spans="1:8" x14ac:dyDescent="0.2">
      <c r="A120" s="412">
        <v>38442</v>
      </c>
      <c r="B120" s="409">
        <f t="shared" si="9"/>
        <v>6809638.8399999533</v>
      </c>
      <c r="C120" s="409">
        <f t="shared" si="10"/>
        <v>4101699.3000000231</v>
      </c>
      <c r="D120" s="409">
        <f t="shared" si="11"/>
        <v>157052.34999999963</v>
      </c>
      <c r="E120" s="409">
        <f t="shared" si="15"/>
        <v>11068390.489999976</v>
      </c>
      <c r="F120" s="413">
        <f t="shared" si="16"/>
        <v>11356629.889999978</v>
      </c>
      <c r="G120" s="413">
        <f t="shared" si="14"/>
        <v>6986973.219999955</v>
      </c>
      <c r="H120" s="413">
        <f t="shared" si="14"/>
        <v>4208514.3600000227</v>
      </c>
    </row>
    <row r="121" spans="1:8" x14ac:dyDescent="0.2">
      <c r="A121" s="412">
        <v>38472</v>
      </c>
      <c r="B121" s="409">
        <f t="shared" si="9"/>
        <v>6780083.1099999528</v>
      </c>
      <c r="C121" s="409">
        <f t="shared" si="10"/>
        <v>4083896.7900000233</v>
      </c>
      <c r="D121" s="409">
        <f t="shared" si="11"/>
        <v>156370.68999999962</v>
      </c>
      <c r="E121" s="409">
        <f t="shared" si="15"/>
        <v>11020350.589999976</v>
      </c>
      <c r="F121" s="413">
        <f t="shared" si="16"/>
        <v>11308589.989999978</v>
      </c>
      <c r="G121" s="413">
        <f t="shared" si="14"/>
        <v>6957417.4899999546</v>
      </c>
      <c r="H121" s="413">
        <f t="shared" si="14"/>
        <v>4190711.8500000224</v>
      </c>
    </row>
    <row r="122" spans="1:8" x14ac:dyDescent="0.2">
      <c r="A122" s="412">
        <v>38503</v>
      </c>
      <c r="B122" s="409">
        <f t="shared" si="9"/>
        <v>6750527.3799999524</v>
      </c>
      <c r="C122" s="409">
        <f t="shared" si="10"/>
        <v>4066094.2800000235</v>
      </c>
      <c r="D122" s="409">
        <f t="shared" si="11"/>
        <v>155689.02999999962</v>
      </c>
      <c r="E122" s="409">
        <f t="shared" si="15"/>
        <v>10972310.689999975</v>
      </c>
      <c r="F122" s="413">
        <f t="shared" si="16"/>
        <v>11260550.089999979</v>
      </c>
      <c r="G122" s="413">
        <f t="shared" si="14"/>
        <v>6927861.759999956</v>
      </c>
      <c r="H122" s="413">
        <f t="shared" si="14"/>
        <v>4172909.3400000222</v>
      </c>
    </row>
    <row r="123" spans="1:8" x14ac:dyDescent="0.2">
      <c r="A123" s="412">
        <v>38533</v>
      </c>
      <c r="B123" s="409">
        <f t="shared" si="9"/>
        <v>6720971.6499999519</v>
      </c>
      <c r="C123" s="409">
        <f t="shared" si="10"/>
        <v>4048291.7700000238</v>
      </c>
      <c r="D123" s="409">
        <f t="shared" si="11"/>
        <v>155007.36999999962</v>
      </c>
      <c r="E123" s="409">
        <f t="shared" si="15"/>
        <v>10924270.789999975</v>
      </c>
      <c r="F123" s="413">
        <f t="shared" si="16"/>
        <v>11212510.189999975</v>
      </c>
      <c r="G123" s="413">
        <f t="shared" si="14"/>
        <v>6898306.0299999537</v>
      </c>
      <c r="H123" s="413">
        <f t="shared" si="14"/>
        <v>4155106.830000022</v>
      </c>
    </row>
    <row r="124" spans="1:8" x14ac:dyDescent="0.2">
      <c r="A124" s="412">
        <v>38564</v>
      </c>
      <c r="B124" s="409">
        <f t="shared" si="9"/>
        <v>6691415.9199999515</v>
      </c>
      <c r="C124" s="409">
        <f t="shared" si="10"/>
        <v>4030489.260000024</v>
      </c>
      <c r="D124" s="409">
        <f t="shared" si="11"/>
        <v>154325.70999999961</v>
      </c>
      <c r="E124" s="409">
        <f t="shared" si="15"/>
        <v>10876230.889999975</v>
      </c>
      <c r="F124" s="413">
        <f t="shared" si="16"/>
        <v>11164470.289999977</v>
      </c>
      <c r="G124" s="413">
        <f t="shared" si="14"/>
        <v>6868750.2999999532</v>
      </c>
      <c r="H124" s="413">
        <f t="shared" si="14"/>
        <v>4137304.3200000231</v>
      </c>
    </row>
    <row r="125" spans="1:8" x14ac:dyDescent="0.2">
      <c r="A125" s="412">
        <v>38595</v>
      </c>
      <c r="B125" s="409">
        <f t="shared" si="9"/>
        <v>6661860.189999951</v>
      </c>
      <c r="C125" s="409">
        <f t="shared" si="10"/>
        <v>4012686.7500000242</v>
      </c>
      <c r="D125" s="409">
        <f t="shared" si="11"/>
        <v>153644.04999999961</v>
      </c>
      <c r="E125" s="409">
        <f t="shared" si="15"/>
        <v>10828190.989999974</v>
      </c>
      <c r="F125" s="413">
        <f t="shared" si="16"/>
        <v>11116430.389999976</v>
      </c>
      <c r="G125" s="413">
        <f t="shared" ref="G125:H140" si="17">(B113+B125+SUM(B114:B124)*2)/24</f>
        <v>6839194.5699999528</v>
      </c>
      <c r="H125" s="413">
        <f t="shared" si="17"/>
        <v>4119501.8100000229</v>
      </c>
    </row>
    <row r="126" spans="1:8" x14ac:dyDescent="0.2">
      <c r="A126" s="412">
        <v>38625</v>
      </c>
      <c r="B126" s="409">
        <f t="shared" si="9"/>
        <v>6632304.4599999506</v>
      </c>
      <c r="C126" s="409">
        <f t="shared" si="10"/>
        <v>3994884.2400000244</v>
      </c>
      <c r="D126" s="409">
        <f t="shared" si="11"/>
        <v>152962.38999999961</v>
      </c>
      <c r="E126" s="409">
        <f t="shared" si="15"/>
        <v>10780151.089999974</v>
      </c>
      <c r="F126" s="413">
        <f t="shared" si="16"/>
        <v>11068390.489999978</v>
      </c>
      <c r="G126" s="413">
        <f t="shared" si="17"/>
        <v>6809638.8399999542</v>
      </c>
      <c r="H126" s="413">
        <f t="shared" si="17"/>
        <v>4101699.3000000231</v>
      </c>
    </row>
    <row r="127" spans="1:8" x14ac:dyDescent="0.2">
      <c r="A127" s="412">
        <v>38656</v>
      </c>
      <c r="B127" s="409">
        <f t="shared" si="9"/>
        <v>6602748.7299999502</v>
      </c>
      <c r="C127" s="409">
        <f t="shared" si="10"/>
        <v>3977081.7300000247</v>
      </c>
      <c r="D127" s="409">
        <f t="shared" si="11"/>
        <v>152280.7299999996</v>
      </c>
      <c r="E127" s="409">
        <f t="shared" si="15"/>
        <v>10732111.189999975</v>
      </c>
      <c r="F127" s="413">
        <f t="shared" si="16"/>
        <v>11020350.589999976</v>
      </c>
      <c r="G127" s="413">
        <f t="shared" si="17"/>
        <v>6780083.1099999519</v>
      </c>
      <c r="H127" s="413">
        <f t="shared" si="17"/>
        <v>4083896.7900000233</v>
      </c>
    </row>
    <row r="128" spans="1:8" x14ac:dyDescent="0.2">
      <c r="A128" s="412">
        <v>38686</v>
      </c>
      <c r="B128" s="409">
        <f t="shared" si="9"/>
        <v>6573192.9999999497</v>
      </c>
      <c r="C128" s="409">
        <f t="shared" si="10"/>
        <v>3959279.2200000249</v>
      </c>
      <c r="D128" s="409">
        <f t="shared" si="11"/>
        <v>151599.0699999996</v>
      </c>
      <c r="E128" s="409">
        <f t="shared" si="15"/>
        <v>10684071.289999975</v>
      </c>
      <c r="F128" s="413">
        <f t="shared" si="16"/>
        <v>10972310.689999975</v>
      </c>
      <c r="G128" s="413">
        <f t="shared" si="17"/>
        <v>6750527.3799999515</v>
      </c>
      <c r="H128" s="413">
        <f t="shared" si="17"/>
        <v>4066094.280000024</v>
      </c>
    </row>
    <row r="129" spans="1:8" x14ac:dyDescent="0.2">
      <c r="A129" s="412">
        <v>38717</v>
      </c>
      <c r="B129" s="409">
        <f t="shared" si="9"/>
        <v>6543637.2699999493</v>
      </c>
      <c r="C129" s="409">
        <f t="shared" si="10"/>
        <v>3941476.7100000251</v>
      </c>
      <c r="D129" s="409">
        <f t="shared" si="11"/>
        <v>150917.4099999996</v>
      </c>
      <c r="E129" s="409">
        <f t="shared" si="15"/>
        <v>10636031.389999975</v>
      </c>
      <c r="F129" s="413">
        <f t="shared" si="16"/>
        <v>10924270.789999977</v>
      </c>
      <c r="G129" s="413">
        <f t="shared" si="17"/>
        <v>6720971.649999951</v>
      </c>
      <c r="H129" s="413">
        <f t="shared" si="17"/>
        <v>4048291.7700000242</v>
      </c>
    </row>
    <row r="130" spans="1:8" x14ac:dyDescent="0.2">
      <c r="A130" s="412">
        <v>38748</v>
      </c>
      <c r="B130" s="409">
        <f t="shared" si="9"/>
        <v>6514081.5399999488</v>
      </c>
      <c r="C130" s="409">
        <f t="shared" si="10"/>
        <v>3923674.2000000253</v>
      </c>
      <c r="D130" s="409">
        <f t="shared" si="11"/>
        <v>150235.74999999959</v>
      </c>
      <c r="E130" s="409">
        <f t="shared" si="15"/>
        <v>10587991.489999974</v>
      </c>
      <c r="F130" s="413">
        <f t="shared" si="16"/>
        <v>10876230.889999975</v>
      </c>
      <c r="G130" s="413">
        <f t="shared" si="17"/>
        <v>6691415.9199999524</v>
      </c>
      <c r="H130" s="413">
        <f t="shared" si="17"/>
        <v>4030489.260000024</v>
      </c>
    </row>
    <row r="131" spans="1:8" x14ac:dyDescent="0.2">
      <c r="A131" s="412">
        <v>38776</v>
      </c>
      <c r="B131" s="409">
        <f t="shared" si="9"/>
        <v>6484525.8099999484</v>
      </c>
      <c r="C131" s="409">
        <f t="shared" si="10"/>
        <v>3905871.6900000256</v>
      </c>
      <c r="D131" s="409">
        <f t="shared" si="11"/>
        <v>149554.08999999959</v>
      </c>
      <c r="E131" s="409">
        <f t="shared" si="15"/>
        <v>10539951.589999974</v>
      </c>
      <c r="F131" s="413">
        <f t="shared" si="16"/>
        <v>10828190.989999974</v>
      </c>
      <c r="G131" s="413">
        <f t="shared" si="17"/>
        <v>6661860.189999952</v>
      </c>
      <c r="H131" s="413">
        <f t="shared" si="17"/>
        <v>4012686.7500000237</v>
      </c>
    </row>
    <row r="132" spans="1:8" x14ac:dyDescent="0.2">
      <c r="A132" s="412">
        <v>38807</v>
      </c>
      <c r="B132" s="409">
        <f t="shared" si="9"/>
        <v>6454970.0799999479</v>
      </c>
      <c r="C132" s="409">
        <f t="shared" si="10"/>
        <v>3888069.1800000258</v>
      </c>
      <c r="D132" s="409">
        <f t="shared" si="11"/>
        <v>148872.42999999959</v>
      </c>
      <c r="E132" s="409">
        <f t="shared" si="15"/>
        <v>10491911.689999973</v>
      </c>
      <c r="F132" s="413">
        <f t="shared" si="16"/>
        <v>10780151.089999976</v>
      </c>
      <c r="G132" s="413">
        <f t="shared" si="17"/>
        <v>6632304.4599999497</v>
      </c>
      <c r="H132" s="413">
        <f t="shared" si="17"/>
        <v>3994884.2400000249</v>
      </c>
    </row>
    <row r="133" spans="1:8" x14ac:dyDescent="0.2">
      <c r="A133" s="412">
        <v>38837</v>
      </c>
      <c r="B133" s="409">
        <f t="shared" si="9"/>
        <v>6425414.3499999475</v>
      </c>
      <c r="C133" s="409">
        <f t="shared" si="10"/>
        <v>3870266.670000026</v>
      </c>
      <c r="D133" s="409">
        <f t="shared" si="11"/>
        <v>148190.76999999958</v>
      </c>
      <c r="E133" s="409">
        <f t="shared" si="15"/>
        <v>10443871.789999973</v>
      </c>
      <c r="F133" s="413">
        <f t="shared" si="16"/>
        <v>10732111.189999975</v>
      </c>
      <c r="G133" s="413">
        <f t="shared" si="17"/>
        <v>6602748.7299999492</v>
      </c>
      <c r="H133" s="413">
        <f t="shared" si="17"/>
        <v>3977081.7300000247</v>
      </c>
    </row>
    <row r="134" spans="1:8" x14ac:dyDescent="0.2">
      <c r="A134" s="412">
        <v>38868</v>
      </c>
      <c r="B134" s="409">
        <f t="shared" si="9"/>
        <v>6395858.619999947</v>
      </c>
      <c r="C134" s="409">
        <f t="shared" si="10"/>
        <v>3852464.1600000262</v>
      </c>
      <c r="D134" s="409">
        <f t="shared" si="11"/>
        <v>147509.10999999958</v>
      </c>
      <c r="E134" s="409">
        <f t="shared" si="15"/>
        <v>10395831.889999973</v>
      </c>
      <c r="F134" s="413">
        <f t="shared" si="16"/>
        <v>10684071.289999975</v>
      </c>
      <c r="G134" s="413">
        <f t="shared" si="17"/>
        <v>6573192.9999999506</v>
      </c>
      <c r="H134" s="413">
        <f t="shared" si="17"/>
        <v>3959279.2200000249</v>
      </c>
    </row>
    <row r="135" spans="1:8" x14ac:dyDescent="0.2">
      <c r="A135" s="412">
        <v>38898</v>
      </c>
      <c r="B135" s="409">
        <f t="shared" si="9"/>
        <v>6366302.8899999466</v>
      </c>
      <c r="C135" s="409">
        <f t="shared" si="10"/>
        <v>3834661.6500000264</v>
      </c>
      <c r="D135" s="409">
        <f t="shared" si="11"/>
        <v>146827.44999999958</v>
      </c>
      <c r="E135" s="409">
        <f t="shared" si="15"/>
        <v>10347791.989999972</v>
      </c>
      <c r="F135" s="413">
        <f t="shared" si="16"/>
        <v>10636031.389999975</v>
      </c>
      <c r="G135" s="413">
        <f t="shared" si="17"/>
        <v>6543637.2699999502</v>
      </c>
      <c r="H135" s="413">
        <f t="shared" si="17"/>
        <v>3941476.7100000251</v>
      </c>
    </row>
    <row r="136" spans="1:8" x14ac:dyDescent="0.2">
      <c r="A136" s="412">
        <v>38929</v>
      </c>
      <c r="B136" s="409">
        <f t="shared" si="9"/>
        <v>6336747.1599999461</v>
      </c>
      <c r="C136" s="409">
        <f t="shared" si="10"/>
        <v>3816859.1400000267</v>
      </c>
      <c r="D136" s="409">
        <f t="shared" si="11"/>
        <v>146145.78999999957</v>
      </c>
      <c r="E136" s="409">
        <f t="shared" si="15"/>
        <v>10299752.089999972</v>
      </c>
      <c r="F136" s="413">
        <f t="shared" si="16"/>
        <v>10587991.489999974</v>
      </c>
      <c r="G136" s="413">
        <f t="shared" si="17"/>
        <v>6514081.5399999479</v>
      </c>
      <c r="H136" s="413">
        <f t="shared" si="17"/>
        <v>3923674.2000000258</v>
      </c>
    </row>
    <row r="137" spans="1:8" x14ac:dyDescent="0.2">
      <c r="A137" s="412">
        <v>38960</v>
      </c>
      <c r="B137" s="409">
        <f t="shared" si="9"/>
        <v>6307191.4299999457</v>
      </c>
      <c r="C137" s="409">
        <f t="shared" si="10"/>
        <v>3799056.6300000269</v>
      </c>
      <c r="D137" s="409">
        <f t="shared" si="11"/>
        <v>145464.12999999957</v>
      </c>
      <c r="E137" s="409">
        <f t="shared" si="15"/>
        <v>10251712.189999972</v>
      </c>
      <c r="F137" s="413">
        <f t="shared" si="16"/>
        <v>10539951.589999974</v>
      </c>
      <c r="G137" s="413">
        <f t="shared" si="17"/>
        <v>6484525.8099999474</v>
      </c>
      <c r="H137" s="413">
        <f t="shared" si="17"/>
        <v>3905871.690000026</v>
      </c>
    </row>
    <row r="138" spans="1:8" x14ac:dyDescent="0.2">
      <c r="A138" s="412">
        <v>38990</v>
      </c>
      <c r="B138" s="409">
        <f t="shared" si="9"/>
        <v>6277635.6999999452</v>
      </c>
      <c r="C138" s="409">
        <f t="shared" si="10"/>
        <v>3781254.1200000271</v>
      </c>
      <c r="D138" s="409">
        <f t="shared" si="11"/>
        <v>144782.46999999956</v>
      </c>
      <c r="E138" s="409">
        <f t="shared" si="15"/>
        <v>10203672.289999971</v>
      </c>
      <c r="F138" s="413">
        <f t="shared" si="16"/>
        <v>10491911.689999973</v>
      </c>
      <c r="G138" s="413">
        <f t="shared" si="17"/>
        <v>6454970.0799999489</v>
      </c>
      <c r="H138" s="413">
        <f t="shared" si="17"/>
        <v>3888069.1800000258</v>
      </c>
    </row>
    <row r="139" spans="1:8" x14ac:dyDescent="0.2">
      <c r="A139" s="412">
        <v>39021</v>
      </c>
      <c r="B139" s="409">
        <f t="shared" si="9"/>
        <v>6248079.9699999448</v>
      </c>
      <c r="C139" s="409">
        <f t="shared" si="10"/>
        <v>3763451.6100000273</v>
      </c>
      <c r="D139" s="409">
        <f t="shared" si="11"/>
        <v>144100.80999999956</v>
      </c>
      <c r="E139" s="409">
        <f t="shared" si="15"/>
        <v>10155632.389999971</v>
      </c>
      <c r="F139" s="413">
        <f t="shared" si="16"/>
        <v>10443871.789999975</v>
      </c>
      <c r="G139" s="413">
        <f t="shared" si="17"/>
        <v>6425414.3499999484</v>
      </c>
      <c r="H139" s="413">
        <f t="shared" si="17"/>
        <v>3870266.6700000255</v>
      </c>
    </row>
    <row r="140" spans="1:8" x14ac:dyDescent="0.2">
      <c r="A140" s="412">
        <v>39051</v>
      </c>
      <c r="B140" s="409">
        <f t="shared" si="9"/>
        <v>6218524.2399999443</v>
      </c>
      <c r="C140" s="409">
        <f t="shared" si="10"/>
        <v>3745649.1000000276</v>
      </c>
      <c r="D140" s="409">
        <f t="shared" si="11"/>
        <v>143419.14999999956</v>
      </c>
      <c r="E140" s="409">
        <f t="shared" si="15"/>
        <v>10107592.489999972</v>
      </c>
      <c r="F140" s="413">
        <f t="shared" si="16"/>
        <v>10395831.889999973</v>
      </c>
      <c r="G140" s="413">
        <f t="shared" si="17"/>
        <v>6395858.6199999461</v>
      </c>
      <c r="H140" s="413">
        <f t="shared" si="17"/>
        <v>3852464.1600000267</v>
      </c>
    </row>
    <row r="141" spans="1:8" x14ac:dyDescent="0.2">
      <c r="A141" s="412">
        <v>39082</v>
      </c>
      <c r="B141" s="409">
        <f t="shared" si="9"/>
        <v>6188968.5099999439</v>
      </c>
      <c r="C141" s="409">
        <f t="shared" si="10"/>
        <v>3727846.5900000278</v>
      </c>
      <c r="D141" s="409">
        <f t="shared" si="11"/>
        <v>142737.48999999955</v>
      </c>
      <c r="E141" s="409">
        <f t="shared" si="15"/>
        <v>10059552.589999972</v>
      </c>
      <c r="F141" s="413">
        <f t="shared" si="16"/>
        <v>10347791.989999972</v>
      </c>
      <c r="G141" s="413">
        <f t="shared" ref="G141:H156" si="18">(B129+B141+SUM(B130:B140)*2)/24</f>
        <v>6366302.8899999456</v>
      </c>
      <c r="H141" s="413">
        <f t="shared" si="18"/>
        <v>3834661.6500000264</v>
      </c>
    </row>
    <row r="142" spans="1:8" x14ac:dyDescent="0.2">
      <c r="A142" s="412">
        <v>39113</v>
      </c>
      <c r="B142" s="409">
        <f t="shared" si="9"/>
        <v>6159412.7799999435</v>
      </c>
      <c r="C142" s="409">
        <f t="shared" si="10"/>
        <v>3710044.080000028</v>
      </c>
      <c r="D142" s="409">
        <f t="shared" si="11"/>
        <v>142055.82999999955</v>
      </c>
      <c r="E142" s="409">
        <f t="shared" si="15"/>
        <v>10011512.689999972</v>
      </c>
      <c r="F142" s="413">
        <f t="shared" si="16"/>
        <v>10299752.089999974</v>
      </c>
      <c r="G142" s="413">
        <f t="shared" si="18"/>
        <v>6336747.1599999471</v>
      </c>
      <c r="H142" s="413">
        <f t="shared" si="18"/>
        <v>3816859.1400000267</v>
      </c>
    </row>
    <row r="143" spans="1:8" x14ac:dyDescent="0.2">
      <c r="A143" s="412">
        <v>39141</v>
      </c>
      <c r="B143" s="409">
        <f t="shared" si="9"/>
        <v>6129857.049999943</v>
      </c>
      <c r="C143" s="409">
        <f t="shared" si="10"/>
        <v>3692241.5700000282</v>
      </c>
      <c r="D143" s="409">
        <f t="shared" si="11"/>
        <v>141374.16999999955</v>
      </c>
      <c r="E143" s="409">
        <f t="shared" si="15"/>
        <v>9963472.7899999712</v>
      </c>
      <c r="F143" s="413">
        <f t="shared" si="16"/>
        <v>10251712.189999973</v>
      </c>
      <c r="G143" s="413">
        <f t="shared" si="18"/>
        <v>6307191.4299999466</v>
      </c>
      <c r="H143" s="413">
        <f t="shared" si="18"/>
        <v>3799056.6300000269</v>
      </c>
    </row>
    <row r="144" spans="1:8" x14ac:dyDescent="0.2">
      <c r="A144" s="412">
        <v>39172</v>
      </c>
      <c r="B144" s="409">
        <f t="shared" ref="B144:B207" si="19">B143-$B$13</f>
        <v>6100301.3199999426</v>
      </c>
      <c r="C144" s="409">
        <f t="shared" ref="C144:C207" si="20">C143-$C$13</f>
        <v>3674439.0600000285</v>
      </c>
      <c r="D144" s="409">
        <f t="shared" ref="D144:D207" si="21">D143-$D$13</f>
        <v>140692.50999999954</v>
      </c>
      <c r="E144" s="409">
        <f t="shared" si="15"/>
        <v>9915432.8899999708</v>
      </c>
      <c r="F144" s="413">
        <f t="shared" si="16"/>
        <v>10203672.289999975</v>
      </c>
      <c r="G144" s="413">
        <f t="shared" si="18"/>
        <v>6277635.6999999443</v>
      </c>
      <c r="H144" s="413">
        <f t="shared" si="18"/>
        <v>3781254.1200000276</v>
      </c>
    </row>
    <row r="145" spans="1:8" x14ac:dyDescent="0.2">
      <c r="A145" s="412">
        <v>39202</v>
      </c>
      <c r="B145" s="409">
        <f t="shared" si="19"/>
        <v>6070745.5899999421</v>
      </c>
      <c r="C145" s="409">
        <f t="shared" si="20"/>
        <v>3656636.5500000287</v>
      </c>
      <c r="D145" s="409">
        <f t="shared" si="21"/>
        <v>140010.84999999954</v>
      </c>
      <c r="E145" s="409">
        <f t="shared" si="15"/>
        <v>9867392.9899999704</v>
      </c>
      <c r="F145" s="413">
        <f t="shared" si="16"/>
        <v>10155632.389999973</v>
      </c>
      <c r="G145" s="413">
        <f t="shared" si="18"/>
        <v>6248079.9699999439</v>
      </c>
      <c r="H145" s="413">
        <f t="shared" si="18"/>
        <v>3763451.6100000278</v>
      </c>
    </row>
    <row r="146" spans="1:8" x14ac:dyDescent="0.2">
      <c r="A146" s="412">
        <v>39233</v>
      </c>
      <c r="B146" s="409">
        <f t="shared" si="19"/>
        <v>6041189.8599999417</v>
      </c>
      <c r="C146" s="409">
        <f t="shared" si="20"/>
        <v>3638834.0400000289</v>
      </c>
      <c r="D146" s="409">
        <f t="shared" si="21"/>
        <v>139329.18999999954</v>
      </c>
      <c r="E146" s="409">
        <f t="shared" si="15"/>
        <v>9819353.08999997</v>
      </c>
      <c r="F146" s="413">
        <f t="shared" si="16"/>
        <v>10107592.489999972</v>
      </c>
      <c r="G146" s="413">
        <f t="shared" si="18"/>
        <v>6218524.2399999453</v>
      </c>
      <c r="H146" s="413">
        <f t="shared" si="18"/>
        <v>3745649.1000000276</v>
      </c>
    </row>
    <row r="147" spans="1:8" x14ac:dyDescent="0.2">
      <c r="A147" s="412">
        <v>39263</v>
      </c>
      <c r="B147" s="409">
        <f t="shared" si="19"/>
        <v>6011634.1299999412</v>
      </c>
      <c r="C147" s="409">
        <f t="shared" si="20"/>
        <v>3621031.5300000291</v>
      </c>
      <c r="D147" s="409">
        <f t="shared" si="21"/>
        <v>138647.52999999953</v>
      </c>
      <c r="E147" s="409">
        <f t="shared" si="15"/>
        <v>9771313.1899999697</v>
      </c>
      <c r="F147" s="413">
        <f t="shared" si="16"/>
        <v>10059552.589999972</v>
      </c>
      <c r="G147" s="413">
        <f t="shared" si="18"/>
        <v>6188968.5099999448</v>
      </c>
      <c r="H147" s="413">
        <f t="shared" si="18"/>
        <v>3727846.5900000273</v>
      </c>
    </row>
    <row r="148" spans="1:8" x14ac:dyDescent="0.2">
      <c r="A148" s="412">
        <v>39294</v>
      </c>
      <c r="B148" s="409">
        <f t="shared" si="19"/>
        <v>5982078.3999999408</v>
      </c>
      <c r="C148" s="409">
        <f t="shared" si="20"/>
        <v>3603229.0200000294</v>
      </c>
      <c r="D148" s="409">
        <f t="shared" si="21"/>
        <v>137965.86999999953</v>
      </c>
      <c r="E148" s="409">
        <f t="shared" si="15"/>
        <v>9723273.2899999693</v>
      </c>
      <c r="F148" s="413">
        <f t="shared" si="16"/>
        <v>10011512.689999972</v>
      </c>
      <c r="G148" s="413">
        <f t="shared" si="18"/>
        <v>6159412.7799999425</v>
      </c>
      <c r="H148" s="413">
        <f t="shared" si="18"/>
        <v>3710044.0800000285</v>
      </c>
    </row>
    <row r="149" spans="1:8" x14ac:dyDescent="0.2">
      <c r="A149" s="412">
        <v>39325</v>
      </c>
      <c r="B149" s="409">
        <f t="shared" si="19"/>
        <v>5952522.6699999403</v>
      </c>
      <c r="C149" s="409">
        <f t="shared" si="20"/>
        <v>3585426.5100000296</v>
      </c>
      <c r="D149" s="409">
        <f t="shared" si="21"/>
        <v>137284.20999999953</v>
      </c>
      <c r="E149" s="409">
        <f t="shared" si="15"/>
        <v>9675233.3899999689</v>
      </c>
      <c r="F149" s="413">
        <f t="shared" si="16"/>
        <v>9963472.7899999693</v>
      </c>
      <c r="G149" s="413">
        <f t="shared" si="18"/>
        <v>6129857.0499999421</v>
      </c>
      <c r="H149" s="413">
        <f t="shared" si="18"/>
        <v>3692241.5700000282</v>
      </c>
    </row>
    <row r="150" spans="1:8" x14ac:dyDescent="0.2">
      <c r="A150" s="412">
        <v>39355</v>
      </c>
      <c r="B150" s="409">
        <f t="shared" si="19"/>
        <v>5922966.9399999399</v>
      </c>
      <c r="C150" s="409">
        <f t="shared" si="20"/>
        <v>3567624.0000000298</v>
      </c>
      <c r="D150" s="409">
        <f t="shared" si="21"/>
        <v>136602.54999999952</v>
      </c>
      <c r="E150" s="409">
        <f t="shared" si="15"/>
        <v>9627193.4899999686</v>
      </c>
      <c r="F150" s="413">
        <f>(E138+E150+SUM(E139:E149)*2)/24</f>
        <v>9915432.8899999708</v>
      </c>
      <c r="G150" s="413">
        <f>(B138+B150+SUM(B139:B149)*2)/24</f>
        <v>6100301.3199999435</v>
      </c>
      <c r="H150" s="413">
        <f t="shared" si="18"/>
        <v>3674439.0600000285</v>
      </c>
    </row>
    <row r="151" spans="1:8" x14ac:dyDescent="0.2">
      <c r="A151" s="412">
        <v>39386</v>
      </c>
      <c r="B151" s="409">
        <f t="shared" si="19"/>
        <v>5893411.2099999394</v>
      </c>
      <c r="C151" s="409">
        <f t="shared" si="20"/>
        <v>3549821.49000003</v>
      </c>
      <c r="D151" s="409">
        <f t="shared" si="21"/>
        <v>135920.88999999952</v>
      </c>
      <c r="E151" s="409">
        <f t="shared" si="15"/>
        <v>9579153.5899999682</v>
      </c>
      <c r="F151" s="413">
        <f t="shared" ref="F151:F164" si="22">(E139+E151+SUM(E140:E150)*2)/24</f>
        <v>9867392.9899999704</v>
      </c>
      <c r="G151" s="413">
        <f t="shared" si="18"/>
        <v>6070745.5899999412</v>
      </c>
      <c r="H151" s="413">
        <f t="shared" si="18"/>
        <v>3656636.5500000287</v>
      </c>
    </row>
    <row r="152" spans="1:8" x14ac:dyDescent="0.2">
      <c r="A152" s="412">
        <v>39416</v>
      </c>
      <c r="B152" s="409">
        <f t="shared" si="19"/>
        <v>5863855.479999939</v>
      </c>
      <c r="C152" s="409">
        <f t="shared" si="20"/>
        <v>3532018.9800000302</v>
      </c>
      <c r="D152" s="409">
        <f t="shared" si="21"/>
        <v>135239.22999999952</v>
      </c>
      <c r="E152" s="409">
        <f t="shared" si="15"/>
        <v>9531113.6899999678</v>
      </c>
      <c r="F152" s="413">
        <f t="shared" si="22"/>
        <v>9819353.0899999719</v>
      </c>
      <c r="G152" s="413">
        <f t="shared" si="18"/>
        <v>6041189.8599999426</v>
      </c>
      <c r="H152" s="413">
        <f t="shared" si="18"/>
        <v>3638834.0400000294</v>
      </c>
    </row>
    <row r="153" spans="1:8" x14ac:dyDescent="0.2">
      <c r="A153" s="414">
        <v>39447</v>
      </c>
      <c r="B153" s="415">
        <f t="shared" si="19"/>
        <v>5834299.7499999385</v>
      </c>
      <c r="C153" s="415">
        <f t="shared" si="20"/>
        <v>3514216.4700000305</v>
      </c>
      <c r="D153" s="415">
        <f t="shared" si="21"/>
        <v>134557.56999999951</v>
      </c>
      <c r="E153" s="415">
        <f t="shared" si="15"/>
        <v>9483073.7899999693</v>
      </c>
      <c r="F153" s="413">
        <f t="shared" si="22"/>
        <v>9771313.1899999697</v>
      </c>
      <c r="G153" s="416">
        <f t="shared" si="18"/>
        <v>6011634.1299999403</v>
      </c>
      <c r="H153" s="413">
        <f t="shared" si="18"/>
        <v>3621031.5300000296</v>
      </c>
    </row>
    <row r="154" spans="1:8" x14ac:dyDescent="0.2">
      <c r="A154" s="414">
        <v>39478</v>
      </c>
      <c r="B154" s="415">
        <f t="shared" si="19"/>
        <v>5804744.0199999381</v>
      </c>
      <c r="C154" s="415">
        <f t="shared" si="20"/>
        <v>3496413.9600000307</v>
      </c>
      <c r="D154" s="415">
        <f t="shared" si="21"/>
        <v>133875.90999999951</v>
      </c>
      <c r="E154" s="415">
        <f t="shared" si="15"/>
        <v>9435033.8899999689</v>
      </c>
      <c r="F154" s="413">
        <f t="shared" si="22"/>
        <v>9723273.2899999693</v>
      </c>
      <c r="G154" s="417">
        <f t="shared" si="18"/>
        <v>5982078.3999999417</v>
      </c>
      <c r="H154" s="413">
        <f t="shared" si="18"/>
        <v>3603229.0200000294</v>
      </c>
    </row>
    <row r="155" spans="1:8" x14ac:dyDescent="0.2">
      <c r="A155" s="414">
        <v>39507</v>
      </c>
      <c r="B155" s="415">
        <f t="shared" si="19"/>
        <v>5775188.2899999376</v>
      </c>
      <c r="C155" s="415">
        <f t="shared" si="20"/>
        <v>3478611.4500000309</v>
      </c>
      <c r="D155" s="415">
        <f t="shared" si="21"/>
        <v>133194.24999999951</v>
      </c>
      <c r="E155" s="415">
        <f t="shared" si="15"/>
        <v>9386993.9899999686</v>
      </c>
      <c r="F155" s="413">
        <f t="shared" si="22"/>
        <v>9675233.3899999708</v>
      </c>
      <c r="G155" s="417">
        <f t="shared" si="18"/>
        <v>5952522.6699999394</v>
      </c>
      <c r="H155" s="413">
        <f t="shared" si="18"/>
        <v>3585426.5100000296</v>
      </c>
    </row>
    <row r="156" spans="1:8" x14ac:dyDescent="0.2">
      <c r="A156" s="414">
        <v>39538</v>
      </c>
      <c r="B156" s="415">
        <f t="shared" si="19"/>
        <v>5745632.5599999372</v>
      </c>
      <c r="C156" s="415">
        <f t="shared" si="20"/>
        <v>3460808.9400000311</v>
      </c>
      <c r="D156" s="415">
        <f t="shared" si="21"/>
        <v>132512.5899999995</v>
      </c>
      <c r="E156" s="415">
        <f t="shared" si="15"/>
        <v>9338954.0899999682</v>
      </c>
      <c r="F156" s="413">
        <f t="shared" si="22"/>
        <v>9627193.4899999686</v>
      </c>
      <c r="G156" s="417">
        <f t="shared" si="18"/>
        <v>5922966.9399999408</v>
      </c>
      <c r="H156" s="413">
        <f t="shared" si="18"/>
        <v>3567624.0000000303</v>
      </c>
    </row>
    <row r="157" spans="1:8" x14ac:dyDescent="0.2">
      <c r="A157" s="414">
        <v>39568</v>
      </c>
      <c r="B157" s="415">
        <f t="shared" si="19"/>
        <v>5716076.8299999367</v>
      </c>
      <c r="C157" s="415">
        <f t="shared" si="20"/>
        <v>3443006.4300000314</v>
      </c>
      <c r="D157" s="415">
        <f t="shared" si="21"/>
        <v>131830.9299999995</v>
      </c>
      <c r="E157" s="415">
        <f t="shared" si="15"/>
        <v>9290914.1899999678</v>
      </c>
      <c r="F157" s="413">
        <f t="shared" si="22"/>
        <v>9579153.5899999682</v>
      </c>
      <c r="G157" s="417">
        <f>(B145+B157+SUM(B146:B156)*2)/24</f>
        <v>5893411.2099999385</v>
      </c>
      <c r="H157" s="413">
        <f t="shared" ref="H157:H164" si="23">(C145+C157+SUM(C146:C156)*2)/24</f>
        <v>3549821.49000003</v>
      </c>
    </row>
    <row r="158" spans="1:8" x14ac:dyDescent="0.2">
      <c r="A158" s="414">
        <v>39599</v>
      </c>
      <c r="B158" s="415">
        <f t="shared" si="19"/>
        <v>5686521.0999999363</v>
      </c>
      <c r="C158" s="415">
        <f t="shared" si="20"/>
        <v>3425203.9200000316</v>
      </c>
      <c r="D158" s="415">
        <f t="shared" si="21"/>
        <v>131149.26999999949</v>
      </c>
      <c r="E158" s="415">
        <f t="shared" si="15"/>
        <v>9242874.2899999674</v>
      </c>
      <c r="F158" s="413">
        <f t="shared" si="22"/>
        <v>9531113.6899999697</v>
      </c>
      <c r="G158" s="417">
        <f>(B146+B158+SUM(B147:B157)*2)/24</f>
        <v>5863855.4799999399</v>
      </c>
      <c r="H158" s="413">
        <f t="shared" si="23"/>
        <v>3532018.9800000302</v>
      </c>
    </row>
    <row r="159" spans="1:8" x14ac:dyDescent="0.2">
      <c r="A159" s="414">
        <v>39629</v>
      </c>
      <c r="B159" s="415">
        <f t="shared" si="19"/>
        <v>5656965.3699999359</v>
      </c>
      <c r="C159" s="415">
        <f t="shared" si="20"/>
        <v>3407401.4100000318</v>
      </c>
      <c r="D159" s="415">
        <f t="shared" si="21"/>
        <v>130467.60999999949</v>
      </c>
      <c r="E159" s="415">
        <f t="shared" si="15"/>
        <v>9194834.3899999671</v>
      </c>
      <c r="F159" s="413">
        <f t="shared" si="22"/>
        <v>9483073.7899999693</v>
      </c>
      <c r="G159" s="417">
        <f>(B147+B159+SUM(B148:B158)*2)/24</f>
        <v>5834299.7499999376</v>
      </c>
      <c r="H159" s="413">
        <f t="shared" si="23"/>
        <v>3514216.4700000305</v>
      </c>
    </row>
    <row r="160" spans="1:8" x14ac:dyDescent="0.2">
      <c r="A160" s="414">
        <v>39660</v>
      </c>
      <c r="B160" s="415">
        <f t="shared" si="19"/>
        <v>5627409.6399999354</v>
      </c>
      <c r="C160" s="415">
        <f t="shared" si="20"/>
        <v>3389598.900000032</v>
      </c>
      <c r="D160" s="415">
        <f t="shared" si="21"/>
        <v>129785.94999999949</v>
      </c>
      <c r="E160" s="415">
        <f t="shared" si="15"/>
        <v>9146794.4899999667</v>
      </c>
      <c r="F160" s="413">
        <f t="shared" si="22"/>
        <v>9435033.8899999689</v>
      </c>
      <c r="G160" s="417">
        <f t="shared" ref="G160:H175" si="24">(B148+B160+SUM(B149:B159)*2)/24</f>
        <v>5804744.019999939</v>
      </c>
      <c r="H160" s="413">
        <f t="shared" si="23"/>
        <v>3496413.9600000312</v>
      </c>
    </row>
    <row r="161" spans="1:8" x14ac:dyDescent="0.2">
      <c r="A161" s="414">
        <v>39691</v>
      </c>
      <c r="B161" s="415">
        <f t="shared" si="19"/>
        <v>5597853.909999935</v>
      </c>
      <c r="C161" s="415">
        <f t="shared" si="20"/>
        <v>3371796.3900000323</v>
      </c>
      <c r="D161" s="415">
        <f t="shared" si="21"/>
        <v>129104.28999999948</v>
      </c>
      <c r="E161" s="415">
        <f t="shared" si="15"/>
        <v>9098754.5899999663</v>
      </c>
      <c r="F161" s="413">
        <f t="shared" si="22"/>
        <v>9386993.9899999686</v>
      </c>
      <c r="G161" s="417">
        <f t="shared" si="24"/>
        <v>5775188.2899999367</v>
      </c>
      <c r="H161" s="413">
        <f t="shared" si="23"/>
        <v>3478611.4500000314</v>
      </c>
    </row>
    <row r="162" spans="1:8" x14ac:dyDescent="0.2">
      <c r="A162" s="414">
        <v>39721</v>
      </c>
      <c r="B162" s="415">
        <f t="shared" si="19"/>
        <v>5568298.1799999345</v>
      </c>
      <c r="C162" s="415">
        <f t="shared" si="20"/>
        <v>3353993.8800000325</v>
      </c>
      <c r="D162" s="415">
        <f t="shared" si="21"/>
        <v>128422.62999999948</v>
      </c>
      <c r="E162" s="415">
        <f t="shared" si="15"/>
        <v>9050714.689999966</v>
      </c>
      <c r="F162" s="413">
        <f t="shared" si="22"/>
        <v>9338954.0899999682</v>
      </c>
      <c r="G162" s="417">
        <f t="shared" si="24"/>
        <v>5745632.5599999381</v>
      </c>
      <c r="H162" s="413">
        <f t="shared" si="23"/>
        <v>3460808.9400000311</v>
      </c>
    </row>
    <row r="163" spans="1:8" x14ac:dyDescent="0.2">
      <c r="A163" s="414">
        <v>39752</v>
      </c>
      <c r="B163" s="415">
        <f t="shared" si="19"/>
        <v>5538742.4499999341</v>
      </c>
      <c r="C163" s="415">
        <f t="shared" si="20"/>
        <v>3336191.3700000327</v>
      </c>
      <c r="D163" s="415">
        <f t="shared" si="21"/>
        <v>127740.96999999948</v>
      </c>
      <c r="E163" s="415">
        <f t="shared" si="15"/>
        <v>9002674.7899999656</v>
      </c>
      <c r="F163" s="413">
        <f t="shared" si="22"/>
        <v>9290914.1899999678</v>
      </c>
      <c r="G163" s="417">
        <f t="shared" si="24"/>
        <v>5716076.8299999358</v>
      </c>
      <c r="H163" s="413">
        <f t="shared" si="23"/>
        <v>3443006.4300000314</v>
      </c>
    </row>
    <row r="164" spans="1:8" x14ac:dyDescent="0.2">
      <c r="A164" s="414">
        <v>39782</v>
      </c>
      <c r="B164" s="415">
        <f t="shared" si="19"/>
        <v>5509186.7199999336</v>
      </c>
      <c r="C164" s="415">
        <f t="shared" si="20"/>
        <v>3318388.8600000329</v>
      </c>
      <c r="D164" s="415">
        <f t="shared" si="21"/>
        <v>127059.30999999947</v>
      </c>
      <c r="E164" s="415">
        <f t="shared" si="15"/>
        <v>8954634.8899999652</v>
      </c>
      <c r="F164" s="413">
        <f t="shared" si="22"/>
        <v>9242874.2899999674</v>
      </c>
      <c r="G164" s="416">
        <f t="shared" si="24"/>
        <v>5686521.0999999372</v>
      </c>
      <c r="H164" s="413">
        <f t="shared" si="23"/>
        <v>3425203.9200000321</v>
      </c>
    </row>
    <row r="165" spans="1:8" x14ac:dyDescent="0.2">
      <c r="A165" s="414">
        <v>39813</v>
      </c>
      <c r="B165" s="415">
        <f t="shared" si="19"/>
        <v>5479630.9899999332</v>
      </c>
      <c r="C165" s="415">
        <f t="shared" si="20"/>
        <v>3300586.3500000332</v>
      </c>
      <c r="D165" s="415">
        <f t="shared" si="21"/>
        <v>126377.64999999947</v>
      </c>
      <c r="E165" s="415">
        <f t="shared" si="15"/>
        <v>8906594.9899999667</v>
      </c>
      <c r="F165" s="413">
        <f>(E153+E165+SUM(E154:E164)*2)/24</f>
        <v>9194834.3899999689</v>
      </c>
      <c r="G165" s="416">
        <f t="shared" si="24"/>
        <v>5656965.3699999349</v>
      </c>
      <c r="H165" s="413">
        <f>(C153+C165+SUM(C154:C164)*2)/24</f>
        <v>3407401.4100000318</v>
      </c>
    </row>
    <row r="166" spans="1:8" x14ac:dyDescent="0.2">
      <c r="A166" s="414">
        <v>39844</v>
      </c>
      <c r="B166" s="415">
        <f t="shared" si="19"/>
        <v>5450075.2599999327</v>
      </c>
      <c r="C166" s="415">
        <f t="shared" si="20"/>
        <v>3282783.8400000334</v>
      </c>
      <c r="D166" s="415">
        <f t="shared" si="21"/>
        <v>125695.98999999947</v>
      </c>
      <c r="E166" s="415">
        <f t="shared" ref="E166:E176" si="25">SUM(B166:D166)</f>
        <v>8858555.0899999663</v>
      </c>
      <c r="F166" s="413">
        <f t="shared" ref="F166:F207" si="26">(E154+E166+SUM(E155:E165)*2)/24</f>
        <v>9146794.4899999667</v>
      </c>
      <c r="G166" s="416">
        <f t="shared" si="24"/>
        <v>5627409.6399999363</v>
      </c>
      <c r="H166" s="413">
        <f t="shared" si="24"/>
        <v>3389598.900000032</v>
      </c>
    </row>
    <row r="167" spans="1:8" x14ac:dyDescent="0.2">
      <c r="A167" s="414">
        <v>39872</v>
      </c>
      <c r="B167" s="415">
        <f t="shared" si="19"/>
        <v>5420519.5299999323</v>
      </c>
      <c r="C167" s="415">
        <f t="shared" si="20"/>
        <v>3264981.3300000336</v>
      </c>
      <c r="D167" s="415">
        <f t="shared" si="21"/>
        <v>125014.32999999946</v>
      </c>
      <c r="E167" s="415">
        <f t="shared" si="25"/>
        <v>8810515.189999966</v>
      </c>
      <c r="F167" s="413">
        <f t="shared" si="26"/>
        <v>9098754.5899999682</v>
      </c>
      <c r="G167" s="416">
        <f t="shared" si="24"/>
        <v>5597853.909999934</v>
      </c>
      <c r="H167" s="413">
        <f t="shared" si="24"/>
        <v>3371796.3900000323</v>
      </c>
    </row>
    <row r="168" spans="1:8" x14ac:dyDescent="0.2">
      <c r="A168" s="414">
        <v>39903</v>
      </c>
      <c r="B168" s="415">
        <f t="shared" si="19"/>
        <v>5390963.7999999318</v>
      </c>
      <c r="C168" s="415">
        <f t="shared" si="20"/>
        <v>3247178.8200000338</v>
      </c>
      <c r="D168" s="415">
        <f t="shared" si="21"/>
        <v>124332.66999999946</v>
      </c>
      <c r="E168" s="415">
        <f t="shared" si="25"/>
        <v>8762475.2899999656</v>
      </c>
      <c r="F168" s="413">
        <f t="shared" si="26"/>
        <v>9050714.6899999678</v>
      </c>
      <c r="G168" s="416">
        <f t="shared" si="24"/>
        <v>5568298.1799999345</v>
      </c>
      <c r="H168" s="413">
        <f t="shared" si="24"/>
        <v>3353993.880000033</v>
      </c>
    </row>
    <row r="169" spans="1:8" x14ac:dyDescent="0.2">
      <c r="A169" s="414">
        <v>39933</v>
      </c>
      <c r="B169" s="415">
        <f t="shared" si="19"/>
        <v>5361408.0699999314</v>
      </c>
      <c r="C169" s="415">
        <f t="shared" si="20"/>
        <v>3229376.310000034</v>
      </c>
      <c r="D169" s="415">
        <f t="shared" si="21"/>
        <v>123651.00999999946</v>
      </c>
      <c r="E169" s="415">
        <f t="shared" si="25"/>
        <v>8714435.3899999652</v>
      </c>
      <c r="F169" s="413">
        <f t="shared" si="26"/>
        <v>9002674.7899999674</v>
      </c>
      <c r="G169" s="416">
        <f t="shared" si="24"/>
        <v>5538742.4499999341</v>
      </c>
      <c r="H169" s="413">
        <f t="shared" si="24"/>
        <v>3336191.3700000332</v>
      </c>
    </row>
    <row r="170" spans="1:8" x14ac:dyDescent="0.2">
      <c r="A170" s="414">
        <v>39964</v>
      </c>
      <c r="B170" s="415">
        <f t="shared" si="19"/>
        <v>5331852.3399999309</v>
      </c>
      <c r="C170" s="415">
        <f t="shared" si="20"/>
        <v>3211573.8000000343</v>
      </c>
      <c r="D170" s="415">
        <f t="shared" si="21"/>
        <v>122969.34999999945</v>
      </c>
      <c r="E170" s="415">
        <f t="shared" si="25"/>
        <v>8666395.4899999648</v>
      </c>
      <c r="F170" s="413">
        <f t="shared" si="26"/>
        <v>8954634.8899999671</v>
      </c>
      <c r="G170" s="416">
        <f t="shared" si="24"/>
        <v>5509186.7199999336</v>
      </c>
      <c r="H170" s="413">
        <f t="shared" si="24"/>
        <v>3318388.8600000329</v>
      </c>
    </row>
    <row r="171" spans="1:8" x14ac:dyDescent="0.2">
      <c r="A171" s="414">
        <v>39994</v>
      </c>
      <c r="B171" s="415">
        <f t="shared" si="19"/>
        <v>5302296.6099999305</v>
      </c>
      <c r="C171" s="415">
        <f t="shared" si="20"/>
        <v>3193771.2900000345</v>
      </c>
      <c r="D171" s="415">
        <f t="shared" si="21"/>
        <v>122287.68999999945</v>
      </c>
      <c r="E171" s="415">
        <f t="shared" si="25"/>
        <v>8618355.5899999645</v>
      </c>
      <c r="F171" s="413">
        <f t="shared" si="26"/>
        <v>8906594.9899999667</v>
      </c>
      <c r="G171" s="416">
        <f t="shared" si="24"/>
        <v>5479630.9899999332</v>
      </c>
      <c r="H171" s="413">
        <f t="shared" si="24"/>
        <v>3300586.3500000332</v>
      </c>
    </row>
    <row r="172" spans="1:8" x14ac:dyDescent="0.2">
      <c r="A172" s="414">
        <v>40025</v>
      </c>
      <c r="B172" s="415">
        <f t="shared" si="19"/>
        <v>5272740.87999993</v>
      </c>
      <c r="C172" s="415">
        <f t="shared" si="20"/>
        <v>3175968.7800000347</v>
      </c>
      <c r="D172" s="415">
        <f t="shared" si="21"/>
        <v>121606.02999999945</v>
      </c>
      <c r="E172" s="415">
        <f t="shared" si="25"/>
        <v>8570315.6899999641</v>
      </c>
      <c r="F172" s="413">
        <f t="shared" si="26"/>
        <v>8858555.0899999663</v>
      </c>
      <c r="G172" s="416">
        <f t="shared" si="24"/>
        <v>5450075.2599999327</v>
      </c>
      <c r="H172" s="413">
        <f t="shared" si="24"/>
        <v>3282783.8400000338</v>
      </c>
    </row>
    <row r="173" spans="1:8" x14ac:dyDescent="0.2">
      <c r="A173" s="414">
        <v>40056</v>
      </c>
      <c r="B173" s="415">
        <f t="shared" si="19"/>
        <v>5243185.1499999296</v>
      </c>
      <c r="C173" s="415">
        <f t="shared" si="20"/>
        <v>3158166.2700000349</v>
      </c>
      <c r="D173" s="415">
        <f t="shared" si="21"/>
        <v>120924.36999999944</v>
      </c>
      <c r="E173" s="415">
        <f t="shared" si="25"/>
        <v>8522275.7899999637</v>
      </c>
      <c r="F173" s="413">
        <f t="shared" si="26"/>
        <v>8810515.189999966</v>
      </c>
      <c r="G173" s="416">
        <f t="shared" si="24"/>
        <v>5420519.5299999323</v>
      </c>
      <c r="H173" s="413">
        <f t="shared" si="24"/>
        <v>3264981.3300000336</v>
      </c>
    </row>
    <row r="174" spans="1:8" x14ac:dyDescent="0.2">
      <c r="A174" s="414">
        <v>40086</v>
      </c>
      <c r="B174" s="415">
        <f t="shared" si="19"/>
        <v>5213629.4199999291</v>
      </c>
      <c r="C174" s="415">
        <f t="shared" si="20"/>
        <v>3140363.7600000352</v>
      </c>
      <c r="D174" s="415">
        <f t="shared" si="21"/>
        <v>120242.70999999944</v>
      </c>
      <c r="E174" s="415">
        <f t="shared" si="25"/>
        <v>8474235.8899999633</v>
      </c>
      <c r="F174" s="413">
        <f t="shared" si="26"/>
        <v>8762475.2899999656</v>
      </c>
      <c r="G174" s="416">
        <f t="shared" si="24"/>
        <v>5390963.7999999318</v>
      </c>
      <c r="H174" s="413">
        <f t="shared" si="24"/>
        <v>3247178.8200000338</v>
      </c>
    </row>
    <row r="175" spans="1:8" x14ac:dyDescent="0.2">
      <c r="A175" s="414">
        <v>40117</v>
      </c>
      <c r="B175" s="415">
        <f t="shared" si="19"/>
        <v>5184073.6899999287</v>
      </c>
      <c r="C175" s="415">
        <f t="shared" si="20"/>
        <v>3122561.2500000354</v>
      </c>
      <c r="D175" s="415">
        <f t="shared" si="21"/>
        <v>119561.04999999944</v>
      </c>
      <c r="E175" s="415">
        <f t="shared" si="25"/>
        <v>8426195.989999963</v>
      </c>
      <c r="F175" s="413">
        <f t="shared" si="26"/>
        <v>8714435.3899999633</v>
      </c>
      <c r="G175" s="416">
        <f t="shared" si="24"/>
        <v>5361408.0699999314</v>
      </c>
      <c r="H175" s="413">
        <f t="shared" si="24"/>
        <v>3229376.310000034</v>
      </c>
    </row>
    <row r="176" spans="1:8" x14ac:dyDescent="0.2">
      <c r="A176" s="414">
        <v>40147</v>
      </c>
      <c r="B176" s="415">
        <f t="shared" si="19"/>
        <v>5154517.9599999283</v>
      </c>
      <c r="C176" s="415">
        <f t="shared" si="20"/>
        <v>3104758.7400000356</v>
      </c>
      <c r="D176" s="415">
        <f t="shared" si="21"/>
        <v>118879.38999999943</v>
      </c>
      <c r="E176" s="415">
        <f t="shared" si="25"/>
        <v>8378156.0899999635</v>
      </c>
      <c r="F176" s="413">
        <f t="shared" si="26"/>
        <v>8666395.4899999648</v>
      </c>
      <c r="G176" s="416">
        <f t="shared" ref="G176:H187" si="27">(B164+B176+SUM(B165:B175)*2)/24</f>
        <v>5331852.3399999309</v>
      </c>
      <c r="H176" s="413">
        <f t="shared" si="27"/>
        <v>3211573.8000000347</v>
      </c>
    </row>
    <row r="177" spans="1:8" x14ac:dyDescent="0.2">
      <c r="A177" s="414">
        <v>40178</v>
      </c>
      <c r="B177" s="415">
        <f t="shared" si="19"/>
        <v>5124962.2299999278</v>
      </c>
      <c r="C177" s="415">
        <f t="shared" si="20"/>
        <v>3086956.2300000358</v>
      </c>
      <c r="D177" s="415">
        <f t="shared" si="21"/>
        <v>118197.72999999943</v>
      </c>
      <c r="E177" s="415">
        <f t="shared" ref="E177:E187" si="28">SUM(B177:D177)</f>
        <v>8330116.1899999632</v>
      </c>
      <c r="F177" s="413">
        <f t="shared" si="26"/>
        <v>8618355.5899999645</v>
      </c>
      <c r="G177" s="416">
        <f t="shared" si="27"/>
        <v>5302296.6099999305</v>
      </c>
      <c r="H177" s="413">
        <f t="shared" si="27"/>
        <v>3193771.290000035</v>
      </c>
    </row>
    <row r="178" spans="1:8" x14ac:dyDescent="0.2">
      <c r="A178" s="414">
        <v>40209</v>
      </c>
      <c r="B178" s="415">
        <f t="shared" si="19"/>
        <v>5095406.4999999274</v>
      </c>
      <c r="C178" s="415">
        <f t="shared" si="20"/>
        <v>3069153.7200000361</v>
      </c>
      <c r="D178" s="415">
        <f t="shared" si="21"/>
        <v>117516.06999999942</v>
      </c>
      <c r="E178" s="415">
        <f t="shared" si="28"/>
        <v>8282076.2899999628</v>
      </c>
      <c r="F178" s="413">
        <f t="shared" si="26"/>
        <v>8570315.689999966</v>
      </c>
      <c r="G178" s="416">
        <f t="shared" si="27"/>
        <v>5272740.87999993</v>
      </c>
      <c r="H178" s="413">
        <f t="shared" si="27"/>
        <v>3175968.7800000347</v>
      </c>
    </row>
    <row r="179" spans="1:8" x14ac:dyDescent="0.2">
      <c r="A179" s="414">
        <v>40237</v>
      </c>
      <c r="B179" s="415">
        <f t="shared" si="19"/>
        <v>5065850.7699999269</v>
      </c>
      <c r="C179" s="415">
        <f t="shared" si="20"/>
        <v>3051351.2100000363</v>
      </c>
      <c r="D179" s="415">
        <f t="shared" si="21"/>
        <v>116834.40999999942</v>
      </c>
      <c r="E179" s="415">
        <f t="shared" si="28"/>
        <v>8234036.3899999624</v>
      </c>
      <c r="F179" s="413">
        <f t="shared" si="26"/>
        <v>8522275.7899999637</v>
      </c>
      <c r="G179" s="416">
        <f t="shared" si="27"/>
        <v>5243185.1499999296</v>
      </c>
      <c r="H179" s="413">
        <f t="shared" si="27"/>
        <v>3158166.2700000349</v>
      </c>
    </row>
    <row r="180" spans="1:8" x14ac:dyDescent="0.2">
      <c r="A180" s="414">
        <v>40268</v>
      </c>
      <c r="B180" s="415">
        <f t="shared" si="19"/>
        <v>5036295.0399999265</v>
      </c>
      <c r="C180" s="415">
        <f t="shared" si="20"/>
        <v>3033548.7000000365</v>
      </c>
      <c r="D180" s="415">
        <f t="shared" si="21"/>
        <v>116152.74999999942</v>
      </c>
      <c r="E180" s="415">
        <f t="shared" si="28"/>
        <v>8185996.489999962</v>
      </c>
      <c r="F180" s="413">
        <f t="shared" si="26"/>
        <v>8474235.8899999633</v>
      </c>
      <c r="G180" s="416">
        <f t="shared" si="27"/>
        <v>5213629.4199999291</v>
      </c>
      <c r="H180" s="413">
        <f t="shared" si="27"/>
        <v>3140363.7600000356</v>
      </c>
    </row>
    <row r="181" spans="1:8" x14ac:dyDescent="0.2">
      <c r="A181" s="414">
        <v>40298</v>
      </c>
      <c r="B181" s="415">
        <f t="shared" si="19"/>
        <v>5006739.309999926</v>
      </c>
      <c r="C181" s="415">
        <f t="shared" si="20"/>
        <v>3015746.1900000367</v>
      </c>
      <c r="D181" s="415">
        <f t="shared" si="21"/>
        <v>115471.08999999941</v>
      </c>
      <c r="E181" s="415">
        <f t="shared" si="28"/>
        <v>8137956.5899999626</v>
      </c>
      <c r="F181" s="413">
        <f t="shared" si="26"/>
        <v>8426195.989999963</v>
      </c>
      <c r="G181" s="416">
        <f t="shared" si="27"/>
        <v>5184073.6899999287</v>
      </c>
      <c r="H181" s="413">
        <f t="shared" si="27"/>
        <v>3122561.2500000354</v>
      </c>
    </row>
    <row r="182" spans="1:8" x14ac:dyDescent="0.2">
      <c r="A182" s="414">
        <v>40329</v>
      </c>
      <c r="B182" s="415">
        <f t="shared" si="19"/>
        <v>4977183.5799999256</v>
      </c>
      <c r="C182" s="415">
        <f t="shared" si="20"/>
        <v>2997943.680000037</v>
      </c>
      <c r="D182" s="415">
        <f t="shared" si="21"/>
        <v>114789.42999999941</v>
      </c>
      <c r="E182" s="415">
        <f t="shared" si="28"/>
        <v>8089916.6899999622</v>
      </c>
      <c r="F182" s="413">
        <f t="shared" si="26"/>
        <v>8378156.0899999626</v>
      </c>
      <c r="G182" s="416">
        <f t="shared" si="27"/>
        <v>5154517.9599999283</v>
      </c>
      <c r="H182" s="413">
        <f t="shared" si="27"/>
        <v>3104758.7400000356</v>
      </c>
    </row>
    <row r="183" spans="1:8" x14ac:dyDescent="0.2">
      <c r="A183" s="414">
        <v>40359</v>
      </c>
      <c r="B183" s="415">
        <f t="shared" si="19"/>
        <v>4947627.8499999251</v>
      </c>
      <c r="C183" s="415">
        <f t="shared" si="20"/>
        <v>2980141.1700000372</v>
      </c>
      <c r="D183" s="415">
        <f t="shared" si="21"/>
        <v>114107.76999999941</v>
      </c>
      <c r="E183" s="415">
        <f t="shared" si="28"/>
        <v>8041876.7899999619</v>
      </c>
      <c r="F183" s="413">
        <f t="shared" si="26"/>
        <v>8330116.1899999641</v>
      </c>
      <c r="G183" s="416">
        <f t="shared" si="27"/>
        <v>5124962.2299999278</v>
      </c>
      <c r="H183" s="413">
        <f t="shared" si="27"/>
        <v>3086956.2300000358</v>
      </c>
    </row>
    <row r="184" spans="1:8" x14ac:dyDescent="0.2">
      <c r="A184" s="414">
        <v>40390</v>
      </c>
      <c r="B184" s="415">
        <f t="shared" si="19"/>
        <v>4918072.1199999247</v>
      </c>
      <c r="C184" s="415">
        <f t="shared" si="20"/>
        <v>2962338.6600000374</v>
      </c>
      <c r="D184" s="415">
        <f t="shared" si="21"/>
        <v>113426.1099999994</v>
      </c>
      <c r="E184" s="415">
        <f t="shared" si="28"/>
        <v>7993836.8899999615</v>
      </c>
      <c r="F184" s="413">
        <f t="shared" si="26"/>
        <v>8282076.2899999628</v>
      </c>
      <c r="G184" s="416">
        <f t="shared" si="27"/>
        <v>5095406.4999999274</v>
      </c>
      <c r="H184" s="413">
        <f t="shared" si="27"/>
        <v>3069153.7200000365</v>
      </c>
    </row>
    <row r="185" spans="1:8" x14ac:dyDescent="0.2">
      <c r="A185" s="414">
        <v>40421</v>
      </c>
      <c r="B185" s="415">
        <f t="shared" si="19"/>
        <v>4888516.3899999242</v>
      </c>
      <c r="C185" s="415">
        <f t="shared" si="20"/>
        <v>2944536.1500000376</v>
      </c>
      <c r="D185" s="415">
        <f t="shared" si="21"/>
        <v>112744.4499999994</v>
      </c>
      <c r="E185" s="415">
        <f t="shared" si="28"/>
        <v>7945796.9899999611</v>
      </c>
      <c r="F185" s="413">
        <f t="shared" si="26"/>
        <v>8234036.3899999624</v>
      </c>
      <c r="G185" s="416">
        <f t="shared" si="27"/>
        <v>5065850.7699999269</v>
      </c>
      <c r="H185" s="413">
        <f t="shared" si="27"/>
        <v>3051351.2100000367</v>
      </c>
    </row>
    <row r="186" spans="1:8" x14ac:dyDescent="0.2">
      <c r="A186" s="414">
        <v>40451</v>
      </c>
      <c r="B186" s="415">
        <f t="shared" si="19"/>
        <v>4858960.6599999238</v>
      </c>
      <c r="C186" s="415">
        <f t="shared" si="20"/>
        <v>2926733.6400000378</v>
      </c>
      <c r="D186" s="415">
        <f t="shared" si="21"/>
        <v>112062.7899999994</v>
      </c>
      <c r="E186" s="415">
        <f t="shared" si="28"/>
        <v>7897757.0899999607</v>
      </c>
      <c r="F186" s="413">
        <f t="shared" si="26"/>
        <v>8185996.489999962</v>
      </c>
      <c r="G186" s="416">
        <f t="shared" si="27"/>
        <v>5036295.0399999265</v>
      </c>
      <c r="H186" s="413">
        <f t="shared" si="27"/>
        <v>3033548.7000000365</v>
      </c>
    </row>
    <row r="187" spans="1:8" x14ac:dyDescent="0.2">
      <c r="A187" s="414">
        <v>40482</v>
      </c>
      <c r="B187" s="415">
        <f t="shared" si="19"/>
        <v>4829404.9299999233</v>
      </c>
      <c r="C187" s="415">
        <f t="shared" si="20"/>
        <v>2908931.1300000381</v>
      </c>
      <c r="D187" s="415">
        <f t="shared" si="21"/>
        <v>111381.12999999939</v>
      </c>
      <c r="E187" s="415">
        <f t="shared" si="28"/>
        <v>7849717.1899999604</v>
      </c>
      <c r="F187" s="413">
        <f t="shared" si="26"/>
        <v>8137956.5899999626</v>
      </c>
      <c r="G187" s="416">
        <f t="shared" si="27"/>
        <v>5006739.309999926</v>
      </c>
      <c r="H187" s="413">
        <f t="shared" si="27"/>
        <v>3015746.1900000367</v>
      </c>
    </row>
    <row r="188" spans="1:8" x14ac:dyDescent="0.2">
      <c r="A188" s="414">
        <v>40512</v>
      </c>
      <c r="B188" s="415">
        <f t="shared" si="19"/>
        <v>4799849.1999999229</v>
      </c>
      <c r="C188" s="415">
        <f t="shared" si="20"/>
        <v>2891128.6200000383</v>
      </c>
      <c r="D188" s="415">
        <f t="shared" si="21"/>
        <v>110699.46999999939</v>
      </c>
      <c r="E188" s="415">
        <f>SUM(B188:D188)</f>
        <v>7801677.2899999609</v>
      </c>
      <c r="F188" s="413">
        <f t="shared" si="26"/>
        <v>8089916.6899999632</v>
      </c>
      <c r="G188" s="416">
        <f>(B176+B188+SUM(B177:B187)*2)/24</f>
        <v>4977183.5799999256</v>
      </c>
      <c r="H188" s="413">
        <f>(C176+C188+SUM(C177:C187)*2)/24</f>
        <v>2997943.6800000374</v>
      </c>
    </row>
    <row r="189" spans="1:8" x14ac:dyDescent="0.2">
      <c r="A189" s="414">
        <v>40543</v>
      </c>
      <c r="B189" s="415">
        <f t="shared" si="19"/>
        <v>4770293.4699999224</v>
      </c>
      <c r="C189" s="415">
        <f t="shared" si="20"/>
        <v>2873326.1100000385</v>
      </c>
      <c r="D189" s="415">
        <f t="shared" si="21"/>
        <v>110017.80999999939</v>
      </c>
      <c r="E189" s="415">
        <f>SUM(B189:D189)</f>
        <v>7753637.3899999605</v>
      </c>
      <c r="F189" s="413">
        <f t="shared" si="26"/>
        <v>8041876.7899999619</v>
      </c>
      <c r="G189" s="416">
        <f>(B177+B189+SUM(B178:B188)*2)/24</f>
        <v>4947627.8499999251</v>
      </c>
      <c r="H189" s="413">
        <f>(C177+C189+SUM(C178:C188)*2)/24</f>
        <v>2980141.1700000372</v>
      </c>
    </row>
    <row r="190" spans="1:8" x14ac:dyDescent="0.2">
      <c r="A190" s="414">
        <v>40574</v>
      </c>
      <c r="B190" s="415">
        <f t="shared" si="19"/>
        <v>4740737.739999922</v>
      </c>
      <c r="C190" s="415">
        <f t="shared" si="20"/>
        <v>2855523.6000000387</v>
      </c>
      <c r="D190" s="415">
        <f t="shared" si="21"/>
        <v>109336.14999999938</v>
      </c>
      <c r="E190" s="415">
        <f t="shared" ref="E190:E207" si="29">SUM(B190:D190)</f>
        <v>7705597.4899999602</v>
      </c>
      <c r="F190" s="413">
        <f t="shared" si="26"/>
        <v>7993836.8899999605</v>
      </c>
      <c r="G190" s="416">
        <f t="shared" ref="G190:H205" si="30">(B178+B190+SUM(B179:B189)*2)/24</f>
        <v>4918072.1199999247</v>
      </c>
      <c r="H190" s="413">
        <f t="shared" si="30"/>
        <v>2962338.6600000374</v>
      </c>
    </row>
    <row r="191" spans="1:8" x14ac:dyDescent="0.2">
      <c r="A191" s="414">
        <v>40602</v>
      </c>
      <c r="B191" s="415">
        <f t="shared" si="19"/>
        <v>4711182.0099999215</v>
      </c>
      <c r="C191" s="415">
        <f t="shared" si="20"/>
        <v>2837721.090000039</v>
      </c>
      <c r="D191" s="415">
        <f t="shared" si="21"/>
        <v>108654.48999999938</v>
      </c>
      <c r="E191" s="415">
        <f t="shared" si="29"/>
        <v>7657557.5899999598</v>
      </c>
      <c r="F191" s="413">
        <f t="shared" si="26"/>
        <v>7945796.9899999611</v>
      </c>
      <c r="G191" s="416">
        <f t="shared" si="30"/>
        <v>4888516.3899999242</v>
      </c>
      <c r="H191" s="413">
        <f t="shared" si="30"/>
        <v>2944536.1500000376</v>
      </c>
    </row>
    <row r="192" spans="1:8" x14ac:dyDescent="0.2">
      <c r="A192" s="414">
        <v>40633</v>
      </c>
      <c r="B192" s="415">
        <f t="shared" si="19"/>
        <v>4681626.2799999211</v>
      </c>
      <c r="C192" s="415">
        <f t="shared" si="20"/>
        <v>2819918.5800000392</v>
      </c>
      <c r="D192" s="415">
        <f t="shared" si="21"/>
        <v>107972.82999999938</v>
      </c>
      <c r="E192" s="415">
        <f t="shared" si="29"/>
        <v>7609517.6899999594</v>
      </c>
      <c r="F192" s="413">
        <f t="shared" si="26"/>
        <v>7897757.0899999617</v>
      </c>
      <c r="G192" s="416">
        <f t="shared" si="30"/>
        <v>4858960.6599999238</v>
      </c>
      <c r="H192" s="413">
        <f t="shared" si="30"/>
        <v>2926733.6400000383</v>
      </c>
    </row>
    <row r="193" spans="1:8" x14ac:dyDescent="0.2">
      <c r="A193" s="414">
        <v>40663</v>
      </c>
      <c r="B193" s="415">
        <f t="shared" si="19"/>
        <v>4652070.5499999207</v>
      </c>
      <c r="C193" s="415">
        <f t="shared" si="20"/>
        <v>2802116.0700000394</v>
      </c>
      <c r="D193" s="415">
        <f t="shared" si="21"/>
        <v>107291.16999999937</v>
      </c>
      <c r="E193" s="415">
        <f t="shared" si="29"/>
        <v>7561477.7899999591</v>
      </c>
      <c r="F193" s="413">
        <f t="shared" si="26"/>
        <v>7849717.1899999604</v>
      </c>
      <c r="G193" s="416">
        <f t="shared" si="30"/>
        <v>4829404.9299999233</v>
      </c>
      <c r="H193" s="413">
        <f t="shared" si="30"/>
        <v>2908931.1300000381</v>
      </c>
    </row>
    <row r="194" spans="1:8" x14ac:dyDescent="0.2">
      <c r="A194" s="414">
        <v>40694</v>
      </c>
      <c r="B194" s="415">
        <f t="shared" si="19"/>
        <v>4622514.8199999202</v>
      </c>
      <c r="C194" s="415">
        <f t="shared" si="20"/>
        <v>2784313.5600000396</v>
      </c>
      <c r="D194" s="415">
        <f t="shared" si="21"/>
        <v>106609.50999999937</v>
      </c>
      <c r="E194" s="415">
        <f t="shared" si="29"/>
        <v>7513437.8899999596</v>
      </c>
      <c r="F194" s="413">
        <f t="shared" si="26"/>
        <v>7801677.2899999609</v>
      </c>
      <c r="G194" s="416">
        <f t="shared" si="30"/>
        <v>4799849.1999999229</v>
      </c>
      <c r="H194" s="413">
        <f t="shared" si="30"/>
        <v>2891128.6200000383</v>
      </c>
    </row>
    <row r="195" spans="1:8" x14ac:dyDescent="0.2">
      <c r="A195" s="414">
        <v>40724</v>
      </c>
      <c r="B195" s="415">
        <f t="shared" si="19"/>
        <v>4592959.0899999198</v>
      </c>
      <c r="C195" s="415">
        <f t="shared" si="20"/>
        <v>2766511.0500000399</v>
      </c>
      <c r="D195" s="415">
        <f t="shared" si="21"/>
        <v>105927.84999999937</v>
      </c>
      <c r="E195" s="415">
        <f t="shared" si="29"/>
        <v>7465397.9899999592</v>
      </c>
      <c r="F195" s="413">
        <f t="shared" si="26"/>
        <v>7753637.3899999596</v>
      </c>
      <c r="G195" s="416">
        <f t="shared" si="30"/>
        <v>4770293.4699999224</v>
      </c>
      <c r="H195" s="413">
        <f t="shared" si="30"/>
        <v>2873326.1100000385</v>
      </c>
    </row>
    <row r="196" spans="1:8" x14ac:dyDescent="0.2">
      <c r="A196" s="414">
        <v>40755</v>
      </c>
      <c r="B196" s="415">
        <f t="shared" si="19"/>
        <v>4563403.3599999193</v>
      </c>
      <c r="C196" s="415">
        <f t="shared" si="20"/>
        <v>2748708.5400000401</v>
      </c>
      <c r="D196" s="415">
        <f t="shared" si="21"/>
        <v>105246.18999999936</v>
      </c>
      <c r="E196" s="415">
        <f t="shared" si="29"/>
        <v>7417358.0899999589</v>
      </c>
      <c r="F196" s="413">
        <f t="shared" si="26"/>
        <v>7705597.4899999611</v>
      </c>
      <c r="G196" s="416">
        <f t="shared" si="30"/>
        <v>4740737.739999922</v>
      </c>
      <c r="H196" s="413">
        <f t="shared" si="30"/>
        <v>2855523.6000000392</v>
      </c>
    </row>
    <row r="197" spans="1:8" x14ac:dyDescent="0.2">
      <c r="A197" s="414">
        <v>40786</v>
      </c>
      <c r="B197" s="415">
        <f t="shared" si="19"/>
        <v>4533847.6299999189</v>
      </c>
      <c r="C197" s="415">
        <f t="shared" si="20"/>
        <v>2730906.0300000403</v>
      </c>
      <c r="D197" s="415">
        <f t="shared" si="21"/>
        <v>104564.52999999936</v>
      </c>
      <c r="E197" s="415">
        <f t="shared" si="29"/>
        <v>7369318.1899999585</v>
      </c>
      <c r="F197" s="413">
        <f t="shared" si="26"/>
        <v>7657557.5899999598</v>
      </c>
      <c r="G197" s="416">
        <f t="shared" si="30"/>
        <v>4711182.0099999215</v>
      </c>
      <c r="H197" s="413">
        <f t="shared" si="30"/>
        <v>2837721.090000039</v>
      </c>
    </row>
    <row r="198" spans="1:8" x14ac:dyDescent="0.2">
      <c r="A198" s="414">
        <v>40816</v>
      </c>
      <c r="B198" s="415">
        <f t="shared" si="19"/>
        <v>4504291.8999999184</v>
      </c>
      <c r="C198" s="415">
        <f t="shared" si="20"/>
        <v>2713103.5200000405</v>
      </c>
      <c r="D198" s="415">
        <f t="shared" si="21"/>
        <v>103882.86999999936</v>
      </c>
      <c r="E198" s="415">
        <f t="shared" si="29"/>
        <v>7321278.2899999581</v>
      </c>
      <c r="F198" s="413">
        <f t="shared" si="26"/>
        <v>7609517.6899999594</v>
      </c>
      <c r="G198" s="416">
        <f t="shared" si="30"/>
        <v>4681626.2799999211</v>
      </c>
      <c r="H198" s="413">
        <f t="shared" si="30"/>
        <v>2819918.5800000392</v>
      </c>
    </row>
    <row r="199" spans="1:8" x14ac:dyDescent="0.2">
      <c r="A199" s="414">
        <v>40847</v>
      </c>
      <c r="B199" s="415">
        <f t="shared" si="19"/>
        <v>4474736.169999918</v>
      </c>
      <c r="C199" s="415">
        <f t="shared" si="20"/>
        <v>2695301.0100000408</v>
      </c>
      <c r="D199" s="415">
        <f t="shared" si="21"/>
        <v>103201.20999999935</v>
      </c>
      <c r="E199" s="415">
        <f t="shared" si="29"/>
        <v>7273238.3899999578</v>
      </c>
      <c r="F199" s="413">
        <f t="shared" si="26"/>
        <v>7561477.7899999609</v>
      </c>
      <c r="G199" s="416">
        <f t="shared" si="30"/>
        <v>4652070.5499999207</v>
      </c>
      <c r="H199" s="413">
        <f t="shared" si="30"/>
        <v>2802116.0700000394</v>
      </c>
    </row>
    <row r="200" spans="1:8" x14ac:dyDescent="0.2">
      <c r="A200" s="414">
        <v>40877</v>
      </c>
      <c r="B200" s="415">
        <f t="shared" si="19"/>
        <v>4445180.4399999175</v>
      </c>
      <c r="C200" s="415">
        <f t="shared" si="20"/>
        <v>2677498.500000041</v>
      </c>
      <c r="D200" s="415">
        <f t="shared" si="21"/>
        <v>102519.54999999935</v>
      </c>
      <c r="E200" s="415">
        <f t="shared" si="29"/>
        <v>7225198.4899999574</v>
      </c>
      <c r="F200" s="413">
        <f t="shared" si="26"/>
        <v>7513437.8899999596</v>
      </c>
      <c r="G200" s="416">
        <f t="shared" si="30"/>
        <v>4622514.8199999202</v>
      </c>
      <c r="H200" s="413">
        <f t="shared" si="30"/>
        <v>2784313.5600000401</v>
      </c>
    </row>
    <row r="201" spans="1:8" x14ac:dyDescent="0.2">
      <c r="A201" s="414">
        <v>40908</v>
      </c>
      <c r="B201" s="415">
        <f t="shared" si="19"/>
        <v>4415624.7099999171</v>
      </c>
      <c r="C201" s="415">
        <f t="shared" si="20"/>
        <v>2659695.9900000412</v>
      </c>
      <c r="D201" s="415">
        <f t="shared" si="21"/>
        <v>101837.88999999934</v>
      </c>
      <c r="E201" s="415">
        <f t="shared" si="29"/>
        <v>7177158.5899999579</v>
      </c>
      <c r="F201" s="413">
        <f t="shared" si="26"/>
        <v>7465397.9899999583</v>
      </c>
      <c r="G201" s="416">
        <f t="shared" si="30"/>
        <v>4592959.0899999198</v>
      </c>
      <c r="H201" s="413">
        <f t="shared" si="30"/>
        <v>2766511.0500000399</v>
      </c>
    </row>
    <row r="202" spans="1:8" x14ac:dyDescent="0.2">
      <c r="A202" s="414">
        <v>40939</v>
      </c>
      <c r="B202" s="415">
        <f t="shared" si="19"/>
        <v>4386068.9799999166</v>
      </c>
      <c r="C202" s="415">
        <f t="shared" si="20"/>
        <v>2641893.4800000414</v>
      </c>
      <c r="D202" s="415">
        <f t="shared" si="21"/>
        <v>101156.22999999934</v>
      </c>
      <c r="E202" s="415">
        <f t="shared" si="29"/>
        <v>7129118.6899999576</v>
      </c>
      <c r="F202" s="413">
        <f t="shared" si="26"/>
        <v>7417358.0899999589</v>
      </c>
      <c r="G202" s="416">
        <f t="shared" si="30"/>
        <v>4563403.3599999193</v>
      </c>
      <c r="H202" s="413">
        <f t="shared" si="30"/>
        <v>2748708.5400000405</v>
      </c>
    </row>
    <row r="203" spans="1:8" x14ac:dyDescent="0.2">
      <c r="A203" s="414">
        <v>40967</v>
      </c>
      <c r="B203" s="415">
        <f t="shared" si="19"/>
        <v>4356513.2499999162</v>
      </c>
      <c r="C203" s="415">
        <f t="shared" si="20"/>
        <v>2624090.9700000416</v>
      </c>
      <c r="D203" s="415">
        <f t="shared" si="21"/>
        <v>100474.56999999934</v>
      </c>
      <c r="E203" s="415">
        <f t="shared" si="29"/>
        <v>7081078.7899999572</v>
      </c>
      <c r="F203" s="413">
        <f t="shared" si="26"/>
        <v>7369318.1899999566</v>
      </c>
      <c r="G203" s="416">
        <f t="shared" si="30"/>
        <v>4533847.6299999189</v>
      </c>
      <c r="H203" s="413">
        <f t="shared" si="30"/>
        <v>2730906.0300000403</v>
      </c>
    </row>
    <row r="204" spans="1:8" x14ac:dyDescent="0.2">
      <c r="A204" s="414">
        <v>40999</v>
      </c>
      <c r="B204" s="415">
        <f t="shared" si="19"/>
        <v>4326957.5199999157</v>
      </c>
      <c r="C204" s="415">
        <f t="shared" si="20"/>
        <v>2606288.4600000419</v>
      </c>
      <c r="D204" s="415">
        <f t="shared" si="21"/>
        <v>99792.909999999334</v>
      </c>
      <c r="E204" s="415">
        <f t="shared" si="29"/>
        <v>7033038.8899999568</v>
      </c>
      <c r="F204" s="413">
        <f t="shared" si="26"/>
        <v>7321278.2899999591</v>
      </c>
      <c r="G204" s="416">
        <f t="shared" si="30"/>
        <v>4504291.8999999184</v>
      </c>
      <c r="H204" s="413">
        <f t="shared" si="30"/>
        <v>2713103.5200000405</v>
      </c>
    </row>
    <row r="205" spans="1:8" x14ac:dyDescent="0.2">
      <c r="A205" s="414">
        <v>41029</v>
      </c>
      <c r="B205" s="415">
        <f t="shared" si="19"/>
        <v>4297401.7899999153</v>
      </c>
      <c r="C205" s="415">
        <f t="shared" si="20"/>
        <v>2588485.9500000421</v>
      </c>
      <c r="D205" s="415">
        <f t="shared" si="21"/>
        <v>99111.249999999331</v>
      </c>
      <c r="E205" s="415">
        <f t="shared" si="29"/>
        <v>6984998.9899999565</v>
      </c>
      <c r="F205" s="413">
        <f t="shared" si="26"/>
        <v>7273238.3899999587</v>
      </c>
      <c r="G205" s="416">
        <f t="shared" si="30"/>
        <v>4474736.169999918</v>
      </c>
      <c r="H205" s="413">
        <f t="shared" si="30"/>
        <v>2695301.0100000408</v>
      </c>
    </row>
    <row r="206" spans="1:8" x14ac:dyDescent="0.2">
      <c r="A206" s="414">
        <v>41060</v>
      </c>
      <c r="B206" s="415">
        <f t="shared" si="19"/>
        <v>4267846.0599999148</v>
      </c>
      <c r="C206" s="415">
        <f t="shared" si="20"/>
        <v>2570683.4400000423</v>
      </c>
      <c r="D206" s="415">
        <f t="shared" si="21"/>
        <v>98429.589999999327</v>
      </c>
      <c r="E206" s="415">
        <f t="shared" si="29"/>
        <v>6936959.0899999561</v>
      </c>
      <c r="F206" s="413">
        <f t="shared" si="26"/>
        <v>7225198.4899999574</v>
      </c>
      <c r="G206" s="416">
        <f t="shared" ref="G206:H221" si="31">(B194+B206+SUM(B195:B205)*2)/24</f>
        <v>4445180.4399999175</v>
      </c>
      <c r="H206" s="413">
        <f t="shared" si="31"/>
        <v>2677498.5000000414</v>
      </c>
    </row>
    <row r="207" spans="1:8" x14ac:dyDescent="0.2">
      <c r="A207" s="414">
        <v>41090</v>
      </c>
      <c r="B207" s="415">
        <f t="shared" si="19"/>
        <v>4238290.3299999144</v>
      </c>
      <c r="C207" s="415">
        <f t="shared" si="20"/>
        <v>2552880.9300000425</v>
      </c>
      <c r="D207" s="415">
        <f t="shared" si="21"/>
        <v>97747.929999999324</v>
      </c>
      <c r="E207" s="415">
        <f t="shared" si="29"/>
        <v>6888919.1899999566</v>
      </c>
      <c r="F207" s="413">
        <f t="shared" si="26"/>
        <v>7177158.5899999579</v>
      </c>
      <c r="G207" s="418">
        <f t="shared" si="31"/>
        <v>4415624.7099999171</v>
      </c>
      <c r="H207" s="417">
        <f t="shared" si="31"/>
        <v>2659695.9900000412</v>
      </c>
    </row>
    <row r="208" spans="1:8" x14ac:dyDescent="0.2">
      <c r="A208" s="414">
        <v>41121</v>
      </c>
      <c r="B208" s="415">
        <f t="shared" ref="B208" si="32">B207-$B$13</f>
        <v>4208734.5999999139</v>
      </c>
      <c r="C208" s="415">
        <f t="shared" ref="C208" si="33">C207-$C$13</f>
        <v>2535078.4200000428</v>
      </c>
      <c r="D208" s="415">
        <f t="shared" ref="D208" si="34">D207-$D$13</f>
        <v>97066.26999999932</v>
      </c>
      <c r="E208" s="415">
        <f>SUM(B208:D208)</f>
        <v>6840879.2899999563</v>
      </c>
      <c r="F208" s="413">
        <f>(E196+E208+SUM(E197:E207)*2)/24</f>
        <v>7129118.6899999566</v>
      </c>
      <c r="G208" s="418">
        <f t="shared" si="31"/>
        <v>4386068.9799999166</v>
      </c>
      <c r="H208" s="417">
        <f t="shared" si="31"/>
        <v>2641893.4800000414</v>
      </c>
    </row>
    <row r="209" spans="1:8" x14ac:dyDescent="0.2">
      <c r="A209" s="414">
        <v>41152</v>
      </c>
      <c r="B209" s="415">
        <f>B208-$B$13</f>
        <v>4179178.869999914</v>
      </c>
      <c r="C209" s="415">
        <f>C208-$C$13</f>
        <v>2517275.910000043</v>
      </c>
      <c r="D209" s="415">
        <f>D208-$D$13</f>
        <v>96384.609999999317</v>
      </c>
      <c r="E209" s="415">
        <f>SUM(B209:D209)</f>
        <v>6792839.3899999559</v>
      </c>
      <c r="F209" s="413">
        <f>(E197+E209+SUM(E198:E208)*2)/24</f>
        <v>7081078.7899999581</v>
      </c>
      <c r="G209" s="418">
        <f t="shared" si="31"/>
        <v>4356513.2499999162</v>
      </c>
      <c r="H209" s="417">
        <f t="shared" si="31"/>
        <v>2624090.9700000416</v>
      </c>
    </row>
    <row r="210" spans="1:8" x14ac:dyDescent="0.2">
      <c r="A210" s="414">
        <v>41182</v>
      </c>
      <c r="B210" s="415">
        <f>B209-$B$13</f>
        <v>4149623.139999914</v>
      </c>
      <c r="C210" s="415">
        <f>C209-$C$13</f>
        <v>2499473.4000000432</v>
      </c>
      <c r="D210" s="415">
        <f>D209-$D$13</f>
        <v>95702.949999999313</v>
      </c>
      <c r="E210" s="415">
        <f>SUM(B210:D210)</f>
        <v>6744799.4899999565</v>
      </c>
      <c r="F210" s="413">
        <f>(E198+E210+SUM(E199:E209)*2)/24</f>
        <v>7033038.8899999568</v>
      </c>
      <c r="G210" s="418">
        <f t="shared" si="31"/>
        <v>4326957.5199999157</v>
      </c>
      <c r="H210" s="417">
        <f t="shared" si="31"/>
        <v>2606288.4600000423</v>
      </c>
    </row>
    <row r="211" spans="1:8" x14ac:dyDescent="0.2">
      <c r="A211" s="414">
        <v>41213</v>
      </c>
      <c r="B211" s="415">
        <f t="shared" ref="B211:B274" si="35">B210-$B$13</f>
        <v>4120067.409999914</v>
      </c>
      <c r="C211" s="415">
        <f t="shared" ref="C211:C274" si="36">C210-$C$13</f>
        <v>2481670.8900000434</v>
      </c>
      <c r="D211" s="415">
        <f t="shared" ref="D211:D274" si="37">D210-$D$13</f>
        <v>95021.28999999931</v>
      </c>
      <c r="E211" s="415">
        <f t="shared" ref="E211:E225" si="38">SUM(B211:D211)</f>
        <v>6696759.589999957</v>
      </c>
      <c r="F211" s="413">
        <f t="shared" ref="F211:F274" si="39">(E199+E211+SUM(E200:E210)*2)/24</f>
        <v>6984998.9899999546</v>
      </c>
      <c r="G211" s="418">
        <f t="shared" si="31"/>
        <v>4297401.7899999153</v>
      </c>
      <c r="H211" s="417">
        <f t="shared" si="31"/>
        <v>2588485.9500000421</v>
      </c>
    </row>
    <row r="212" spans="1:8" x14ac:dyDescent="0.2">
      <c r="A212" s="414">
        <v>41243</v>
      </c>
      <c r="B212" s="415">
        <f t="shared" si="35"/>
        <v>4090511.679999914</v>
      </c>
      <c r="C212" s="415">
        <f t="shared" si="36"/>
        <v>2463868.3800000437</v>
      </c>
      <c r="D212" s="415">
        <f t="shared" si="37"/>
        <v>94339.629999999306</v>
      </c>
      <c r="E212" s="415">
        <f t="shared" si="38"/>
        <v>6648719.6899999566</v>
      </c>
      <c r="F212" s="413">
        <f t="shared" si="39"/>
        <v>6936959.0899999579</v>
      </c>
      <c r="G212" s="418">
        <f t="shared" si="31"/>
        <v>4267846.0599999148</v>
      </c>
      <c r="H212" s="417">
        <f t="shared" si="31"/>
        <v>2570683.4400000423</v>
      </c>
    </row>
    <row r="213" spans="1:8" x14ac:dyDescent="0.2">
      <c r="A213" s="414">
        <v>41274</v>
      </c>
      <c r="B213" s="415">
        <f t="shared" si="35"/>
        <v>4060955.949999914</v>
      </c>
      <c r="C213" s="415">
        <f t="shared" si="36"/>
        <v>2446065.8700000439</v>
      </c>
      <c r="D213" s="415">
        <f t="shared" si="37"/>
        <v>93657.969999999303</v>
      </c>
      <c r="E213" s="415">
        <f t="shared" si="38"/>
        <v>6600679.7899999572</v>
      </c>
      <c r="F213" s="413">
        <f t="shared" si="39"/>
        <v>6888919.1899999566</v>
      </c>
      <c r="G213" s="418">
        <f t="shared" si="31"/>
        <v>4238290.3299999144</v>
      </c>
      <c r="H213" s="417">
        <f t="shared" si="31"/>
        <v>2552880.9300000425</v>
      </c>
    </row>
    <row r="214" spans="1:8" x14ac:dyDescent="0.2">
      <c r="A214" s="414">
        <v>41305</v>
      </c>
      <c r="B214" s="415">
        <f t="shared" si="35"/>
        <v>4031400.2199999141</v>
      </c>
      <c r="C214" s="415">
        <f t="shared" si="36"/>
        <v>2428263.3600000441</v>
      </c>
      <c r="D214" s="415">
        <f t="shared" si="37"/>
        <v>92976.309999999299</v>
      </c>
      <c r="E214" s="415">
        <f t="shared" si="38"/>
        <v>6552639.8899999578</v>
      </c>
      <c r="F214" s="413">
        <f t="shared" si="39"/>
        <v>6840879.2899999572</v>
      </c>
      <c r="G214" s="418">
        <f t="shared" si="31"/>
        <v>4208734.5999999149</v>
      </c>
      <c r="H214" s="417">
        <f t="shared" si="31"/>
        <v>2535078.4200000432</v>
      </c>
    </row>
    <row r="215" spans="1:8" x14ac:dyDescent="0.2">
      <c r="A215" s="414">
        <v>41333</v>
      </c>
      <c r="B215" s="415">
        <f t="shared" si="35"/>
        <v>4001844.4899999141</v>
      </c>
      <c r="C215" s="415">
        <f t="shared" si="36"/>
        <v>2410460.8500000443</v>
      </c>
      <c r="D215" s="415">
        <f t="shared" si="37"/>
        <v>92294.649999999296</v>
      </c>
      <c r="E215" s="415">
        <f t="shared" si="38"/>
        <v>6504599.9899999583</v>
      </c>
      <c r="F215" s="413">
        <f t="shared" si="39"/>
        <v>6792839.3899999568</v>
      </c>
      <c r="G215" s="418">
        <f t="shared" si="31"/>
        <v>4179178.8699999149</v>
      </c>
      <c r="H215" s="417">
        <f t="shared" si="31"/>
        <v>2517275.910000043</v>
      </c>
    </row>
    <row r="216" spans="1:8" x14ac:dyDescent="0.2">
      <c r="A216" s="414">
        <v>41364</v>
      </c>
      <c r="B216" s="415">
        <f t="shared" si="35"/>
        <v>3972288.7599999141</v>
      </c>
      <c r="C216" s="415">
        <f t="shared" si="36"/>
        <v>2392658.3400000446</v>
      </c>
      <c r="D216" s="415">
        <f t="shared" si="37"/>
        <v>91612.989999999292</v>
      </c>
      <c r="E216" s="415">
        <f t="shared" si="38"/>
        <v>6456560.0899999579</v>
      </c>
      <c r="F216" s="413">
        <f t="shared" si="39"/>
        <v>6744799.4899999574</v>
      </c>
      <c r="G216" s="418">
        <f t="shared" si="31"/>
        <v>4149623.1399999149</v>
      </c>
      <c r="H216" s="417">
        <f t="shared" si="31"/>
        <v>2499473.4000000432</v>
      </c>
    </row>
    <row r="217" spans="1:8" x14ac:dyDescent="0.2">
      <c r="A217" s="414">
        <v>41394</v>
      </c>
      <c r="B217" s="415">
        <f t="shared" si="35"/>
        <v>3942733.0299999141</v>
      </c>
      <c r="C217" s="415">
        <f t="shared" si="36"/>
        <v>2374855.8300000448</v>
      </c>
      <c r="D217" s="415">
        <f t="shared" si="37"/>
        <v>90931.329999999289</v>
      </c>
      <c r="E217" s="415">
        <f t="shared" si="38"/>
        <v>6408520.1899999576</v>
      </c>
      <c r="F217" s="413">
        <f t="shared" si="39"/>
        <v>6696759.5899999561</v>
      </c>
      <c r="G217" s="418">
        <f t="shared" si="31"/>
        <v>4120067.4099999145</v>
      </c>
      <c r="H217" s="417">
        <f t="shared" si="31"/>
        <v>2481670.8900000434</v>
      </c>
    </row>
    <row r="218" spans="1:8" x14ac:dyDescent="0.2">
      <c r="A218" s="414">
        <v>41425</v>
      </c>
      <c r="B218" s="415">
        <f t="shared" si="35"/>
        <v>3913177.2999999141</v>
      </c>
      <c r="C218" s="415">
        <f t="shared" si="36"/>
        <v>2357053.320000045</v>
      </c>
      <c r="D218" s="415">
        <f t="shared" si="37"/>
        <v>90249.669999999285</v>
      </c>
      <c r="E218" s="415">
        <f t="shared" si="38"/>
        <v>6360480.2899999581</v>
      </c>
      <c r="F218" s="413">
        <f t="shared" si="39"/>
        <v>6648719.6899999566</v>
      </c>
      <c r="G218" s="418">
        <f t="shared" si="31"/>
        <v>4090511.679999914</v>
      </c>
      <c r="H218" s="417">
        <f t="shared" si="31"/>
        <v>2463868.3800000441</v>
      </c>
    </row>
    <row r="219" spans="1:8" x14ac:dyDescent="0.2">
      <c r="A219" s="414">
        <v>41455</v>
      </c>
      <c r="B219" s="415">
        <f t="shared" si="35"/>
        <v>3883621.5699999142</v>
      </c>
      <c r="C219" s="415">
        <f t="shared" si="36"/>
        <v>2339250.8100000452</v>
      </c>
      <c r="D219" s="415">
        <f t="shared" si="37"/>
        <v>89568.009999999282</v>
      </c>
      <c r="E219" s="415">
        <f t="shared" si="38"/>
        <v>6312440.3899999587</v>
      </c>
      <c r="F219" s="413">
        <f t="shared" si="39"/>
        <v>6600679.7899999572</v>
      </c>
      <c r="G219" s="418">
        <f t="shared" si="31"/>
        <v>4060955.9499999136</v>
      </c>
      <c r="H219" s="417">
        <f t="shared" si="31"/>
        <v>2446065.8700000439</v>
      </c>
    </row>
    <row r="220" spans="1:8" x14ac:dyDescent="0.2">
      <c r="A220" s="414">
        <v>41486</v>
      </c>
      <c r="B220" s="415">
        <f t="shared" si="35"/>
        <v>3854065.8399999142</v>
      </c>
      <c r="C220" s="415">
        <f t="shared" si="36"/>
        <v>2321448.3000000454</v>
      </c>
      <c r="D220" s="415">
        <f t="shared" si="37"/>
        <v>88886.349999999278</v>
      </c>
      <c r="E220" s="415">
        <f t="shared" si="38"/>
        <v>6264400.4899999592</v>
      </c>
      <c r="F220" s="413">
        <f t="shared" si="39"/>
        <v>6552639.8899999568</v>
      </c>
      <c r="G220" s="418">
        <f t="shared" si="31"/>
        <v>4031400.2199999136</v>
      </c>
      <c r="H220" s="417">
        <f t="shared" si="31"/>
        <v>2428263.3600000441</v>
      </c>
    </row>
    <row r="221" spans="1:8" x14ac:dyDescent="0.2">
      <c r="A221" s="414">
        <v>41517</v>
      </c>
      <c r="B221" s="415">
        <f t="shared" si="35"/>
        <v>3824510.1099999142</v>
      </c>
      <c r="C221" s="415">
        <f t="shared" si="36"/>
        <v>2303645.7900000457</v>
      </c>
      <c r="D221" s="415">
        <f t="shared" si="37"/>
        <v>88204.689999999275</v>
      </c>
      <c r="E221" s="415">
        <f t="shared" si="38"/>
        <v>6216360.5899999589</v>
      </c>
      <c r="F221" s="413">
        <f t="shared" si="39"/>
        <v>6504599.9899999574</v>
      </c>
      <c r="G221" s="418">
        <f t="shared" si="31"/>
        <v>4001844.4899999131</v>
      </c>
      <c r="H221" s="417">
        <f t="shared" si="31"/>
        <v>2410460.8500000443</v>
      </c>
    </row>
    <row r="222" spans="1:8" x14ac:dyDescent="0.2">
      <c r="A222" s="414">
        <v>41547</v>
      </c>
      <c r="B222" s="415">
        <f t="shared" si="35"/>
        <v>3794954.3799999142</v>
      </c>
      <c r="C222" s="415">
        <f t="shared" si="36"/>
        <v>2285843.2800000459</v>
      </c>
      <c r="D222" s="415">
        <f t="shared" si="37"/>
        <v>87523.029999999271</v>
      </c>
      <c r="E222" s="415">
        <f t="shared" si="38"/>
        <v>6168320.6899999594</v>
      </c>
      <c r="F222" s="413">
        <f t="shared" si="39"/>
        <v>6456560.0899999579</v>
      </c>
      <c r="G222" s="418">
        <f t="shared" ref="G222:H237" si="40">(B210+B222+SUM(B211:B221)*2)/24</f>
        <v>3972288.7599999146</v>
      </c>
      <c r="H222" s="417">
        <f t="shared" si="40"/>
        <v>2392658.340000045</v>
      </c>
    </row>
    <row r="223" spans="1:8" x14ac:dyDescent="0.2">
      <c r="A223" s="414">
        <v>41578</v>
      </c>
      <c r="B223" s="415">
        <f t="shared" si="35"/>
        <v>3765398.6499999142</v>
      </c>
      <c r="C223" s="415">
        <f t="shared" si="36"/>
        <v>2268040.7700000461</v>
      </c>
      <c r="D223" s="415">
        <f t="shared" si="37"/>
        <v>86841.369999999268</v>
      </c>
      <c r="E223" s="415">
        <f t="shared" si="38"/>
        <v>6120280.78999996</v>
      </c>
      <c r="F223" s="413">
        <f t="shared" si="39"/>
        <v>6408520.1899999576</v>
      </c>
      <c r="G223" s="418">
        <f t="shared" si="40"/>
        <v>3942733.0299999141</v>
      </c>
      <c r="H223" s="417">
        <f t="shared" si="40"/>
        <v>2374855.8300000448</v>
      </c>
    </row>
    <row r="224" spans="1:8" x14ac:dyDescent="0.2">
      <c r="A224" s="414">
        <v>41608</v>
      </c>
      <c r="B224" s="415">
        <f t="shared" si="35"/>
        <v>3735842.9199999142</v>
      </c>
      <c r="C224" s="415">
        <f t="shared" si="36"/>
        <v>2250238.2600000463</v>
      </c>
      <c r="D224" s="415">
        <f t="shared" si="37"/>
        <v>86159.709999999264</v>
      </c>
      <c r="E224" s="415">
        <f t="shared" si="38"/>
        <v>6072240.8899999596</v>
      </c>
      <c r="F224" s="413">
        <f t="shared" si="39"/>
        <v>6360480.2899999581</v>
      </c>
      <c r="G224" s="418">
        <f t="shared" si="40"/>
        <v>3913177.2999999146</v>
      </c>
      <c r="H224" s="417">
        <f t="shared" si="40"/>
        <v>2357053.320000045</v>
      </c>
    </row>
    <row r="225" spans="1:8" x14ac:dyDescent="0.2">
      <c r="A225" s="414">
        <v>41639</v>
      </c>
      <c r="B225" s="415">
        <f t="shared" si="35"/>
        <v>3706287.1899999143</v>
      </c>
      <c r="C225" s="415">
        <f t="shared" si="36"/>
        <v>2232435.7500000466</v>
      </c>
      <c r="D225" s="415">
        <f t="shared" si="37"/>
        <v>85478.049999999261</v>
      </c>
      <c r="E225" s="415">
        <f t="shared" si="38"/>
        <v>6024200.9899999592</v>
      </c>
      <c r="F225" s="413">
        <f t="shared" si="39"/>
        <v>6312440.3899999587</v>
      </c>
      <c r="G225" s="418">
        <f t="shared" si="40"/>
        <v>3883621.5699999142</v>
      </c>
      <c r="H225" s="417">
        <f t="shared" si="40"/>
        <v>2339250.8100000452</v>
      </c>
    </row>
    <row r="226" spans="1:8" x14ac:dyDescent="0.2">
      <c r="A226" s="414">
        <v>41670</v>
      </c>
      <c r="B226" s="415">
        <f t="shared" si="35"/>
        <v>3676731.4599999143</v>
      </c>
      <c r="C226" s="415">
        <f t="shared" si="36"/>
        <v>2214633.2400000468</v>
      </c>
      <c r="D226" s="415">
        <f t="shared" si="37"/>
        <v>84796.389999999257</v>
      </c>
      <c r="E226" s="415">
        <f t="shared" ref="E226:E289" si="41">SUM(B226:D226)</f>
        <v>5976161.0899999607</v>
      </c>
      <c r="F226" s="413">
        <f t="shared" si="39"/>
        <v>6264400.4899999602</v>
      </c>
      <c r="G226" s="418">
        <f t="shared" si="40"/>
        <v>3854065.8399999142</v>
      </c>
      <c r="H226" s="417">
        <f t="shared" si="40"/>
        <v>2321448.3000000459</v>
      </c>
    </row>
    <row r="227" spans="1:8" x14ac:dyDescent="0.2">
      <c r="A227" s="414">
        <v>41698</v>
      </c>
      <c r="B227" s="415">
        <f t="shared" si="35"/>
        <v>3647175.7299999143</v>
      </c>
      <c r="C227" s="415">
        <f t="shared" si="36"/>
        <v>2196830.730000047</v>
      </c>
      <c r="D227" s="415">
        <f t="shared" si="37"/>
        <v>84114.729999999254</v>
      </c>
      <c r="E227" s="415">
        <f t="shared" si="41"/>
        <v>5928121.1899999613</v>
      </c>
      <c r="F227" s="413">
        <f t="shared" si="39"/>
        <v>6216360.5899999598</v>
      </c>
      <c r="G227" s="418">
        <f t="shared" si="40"/>
        <v>3824510.1099999142</v>
      </c>
      <c r="H227" s="417">
        <f t="shared" si="40"/>
        <v>2303645.7900000457</v>
      </c>
    </row>
    <row r="228" spans="1:8" x14ac:dyDescent="0.2">
      <c r="A228" s="414">
        <v>41729</v>
      </c>
      <c r="B228" s="415">
        <f t="shared" si="35"/>
        <v>3617619.9999999143</v>
      </c>
      <c r="C228" s="415">
        <f t="shared" si="36"/>
        <v>2179028.2200000472</v>
      </c>
      <c r="D228" s="415">
        <f t="shared" si="37"/>
        <v>83433.06999999925</v>
      </c>
      <c r="E228" s="415">
        <f t="shared" si="41"/>
        <v>5880081.2899999609</v>
      </c>
      <c r="F228" s="413">
        <f t="shared" si="39"/>
        <v>6168320.6899999594</v>
      </c>
      <c r="G228" s="418">
        <f t="shared" si="40"/>
        <v>3794954.3799999137</v>
      </c>
      <c r="H228" s="417">
        <f t="shared" si="40"/>
        <v>2285843.2800000459</v>
      </c>
    </row>
    <row r="229" spans="1:8" x14ac:dyDescent="0.2">
      <c r="A229" s="414">
        <v>41759</v>
      </c>
      <c r="B229" s="415">
        <f t="shared" si="35"/>
        <v>3588064.2699999143</v>
      </c>
      <c r="C229" s="415">
        <f t="shared" si="36"/>
        <v>2161225.7100000475</v>
      </c>
      <c r="D229" s="415">
        <f t="shared" si="37"/>
        <v>82751.409999999247</v>
      </c>
      <c r="E229" s="415">
        <f t="shared" si="41"/>
        <v>5832041.3899999605</v>
      </c>
      <c r="F229" s="413">
        <f t="shared" si="39"/>
        <v>6120280.7899999591</v>
      </c>
      <c r="G229" s="418">
        <f t="shared" si="40"/>
        <v>3765398.6499999142</v>
      </c>
      <c r="H229" s="417">
        <f t="shared" si="40"/>
        <v>2268040.7700000461</v>
      </c>
    </row>
    <row r="230" spans="1:8" x14ac:dyDescent="0.2">
      <c r="A230" s="414">
        <v>41790</v>
      </c>
      <c r="B230" s="415">
        <f t="shared" si="35"/>
        <v>3558508.5399999144</v>
      </c>
      <c r="C230" s="415">
        <f t="shared" si="36"/>
        <v>2143423.2000000477</v>
      </c>
      <c r="D230" s="415">
        <f t="shared" si="37"/>
        <v>82069.749999999243</v>
      </c>
      <c r="E230" s="415">
        <f t="shared" si="41"/>
        <v>5784001.4899999611</v>
      </c>
      <c r="F230" s="413">
        <f t="shared" si="39"/>
        <v>6072240.8899999596</v>
      </c>
      <c r="G230" s="418">
        <f t="shared" si="40"/>
        <v>3735842.9199999142</v>
      </c>
      <c r="H230" s="417">
        <f t="shared" si="40"/>
        <v>2250238.2600000468</v>
      </c>
    </row>
    <row r="231" spans="1:8" x14ac:dyDescent="0.2">
      <c r="A231" s="414">
        <v>41820</v>
      </c>
      <c r="B231" s="415">
        <f t="shared" si="35"/>
        <v>3528952.8099999144</v>
      </c>
      <c r="C231" s="415">
        <f t="shared" si="36"/>
        <v>2125620.6900000479</v>
      </c>
      <c r="D231" s="415">
        <f t="shared" si="37"/>
        <v>81388.08999999924</v>
      </c>
      <c r="E231" s="415">
        <f t="shared" si="41"/>
        <v>5735961.5899999617</v>
      </c>
      <c r="F231" s="413">
        <f t="shared" si="39"/>
        <v>6024200.9899999611</v>
      </c>
      <c r="G231" s="418">
        <f t="shared" si="40"/>
        <v>3706287.1899999143</v>
      </c>
      <c r="H231" s="417">
        <f t="shared" si="40"/>
        <v>2232435.7500000466</v>
      </c>
    </row>
    <row r="232" spans="1:8" x14ac:dyDescent="0.2">
      <c r="A232" s="414">
        <v>41851</v>
      </c>
      <c r="B232" s="415">
        <f t="shared" si="35"/>
        <v>3499397.0799999144</v>
      </c>
      <c r="C232" s="415">
        <f t="shared" si="36"/>
        <v>2107818.1800000481</v>
      </c>
      <c r="D232" s="415">
        <f t="shared" si="37"/>
        <v>80706.429999999236</v>
      </c>
      <c r="E232" s="415">
        <f t="shared" si="41"/>
        <v>5687921.6899999622</v>
      </c>
      <c r="F232" s="413">
        <f t="shared" si="39"/>
        <v>5976161.0899999598</v>
      </c>
      <c r="G232" s="418">
        <f t="shared" si="40"/>
        <v>3676731.4599999138</v>
      </c>
      <c r="H232" s="417">
        <f t="shared" si="40"/>
        <v>2214633.2400000468</v>
      </c>
    </row>
    <row r="233" spans="1:8" x14ac:dyDescent="0.2">
      <c r="A233" s="414">
        <v>41882</v>
      </c>
      <c r="B233" s="415">
        <f t="shared" si="35"/>
        <v>3469841.3499999144</v>
      </c>
      <c r="C233" s="415">
        <f t="shared" si="36"/>
        <v>2090015.6700000481</v>
      </c>
      <c r="D233" s="415">
        <f t="shared" si="37"/>
        <v>80024.769999999233</v>
      </c>
      <c r="E233" s="415">
        <f t="shared" si="41"/>
        <v>5639881.7899999619</v>
      </c>
      <c r="F233" s="413">
        <f t="shared" si="39"/>
        <v>5928121.1899999604</v>
      </c>
      <c r="G233" s="418">
        <f t="shared" si="40"/>
        <v>3647175.7299999143</v>
      </c>
      <c r="H233" s="417">
        <f t="shared" si="40"/>
        <v>2196830.730000047</v>
      </c>
    </row>
    <row r="234" spans="1:8" x14ac:dyDescent="0.2">
      <c r="A234" s="414">
        <v>41912</v>
      </c>
      <c r="B234" s="415">
        <f t="shared" si="35"/>
        <v>3440285.6199999144</v>
      </c>
      <c r="C234" s="415">
        <f t="shared" si="36"/>
        <v>2072213.1600000481</v>
      </c>
      <c r="D234" s="415">
        <f t="shared" si="37"/>
        <v>79343.109999999229</v>
      </c>
      <c r="E234" s="415">
        <f t="shared" si="41"/>
        <v>5591841.8899999615</v>
      </c>
      <c r="F234" s="413">
        <f t="shared" si="39"/>
        <v>5880081.2899999609</v>
      </c>
      <c r="G234" s="418">
        <f t="shared" si="40"/>
        <v>3617619.9999999143</v>
      </c>
      <c r="H234" s="417">
        <f t="shared" si="40"/>
        <v>2179028.2200000472</v>
      </c>
    </row>
    <row r="235" spans="1:8" x14ac:dyDescent="0.2">
      <c r="A235" s="414">
        <v>41943</v>
      </c>
      <c r="B235" s="415">
        <f t="shared" si="35"/>
        <v>3410729.8899999144</v>
      </c>
      <c r="C235" s="415">
        <f t="shared" si="36"/>
        <v>2054410.6500000481</v>
      </c>
      <c r="D235" s="415">
        <f t="shared" si="37"/>
        <v>78661.449999999226</v>
      </c>
      <c r="E235" s="415">
        <f t="shared" si="41"/>
        <v>5543801.989999962</v>
      </c>
      <c r="F235" s="413">
        <f t="shared" si="39"/>
        <v>5832041.3899999605</v>
      </c>
      <c r="G235" s="418">
        <f t="shared" si="40"/>
        <v>3588064.2699999139</v>
      </c>
      <c r="H235" s="417">
        <f t="shared" si="40"/>
        <v>2161225.710000047</v>
      </c>
    </row>
    <row r="236" spans="1:8" x14ac:dyDescent="0.2">
      <c r="A236" s="414">
        <v>41973</v>
      </c>
      <c r="B236" s="415">
        <f t="shared" si="35"/>
        <v>3381174.1599999145</v>
      </c>
      <c r="C236" s="415">
        <f t="shared" si="36"/>
        <v>2036608.1400000481</v>
      </c>
      <c r="D236" s="415">
        <f t="shared" si="37"/>
        <v>77979.789999999222</v>
      </c>
      <c r="E236" s="415">
        <f t="shared" si="41"/>
        <v>5495762.0899999617</v>
      </c>
      <c r="F236" s="413">
        <f t="shared" si="39"/>
        <v>5784001.4899999611</v>
      </c>
      <c r="G236" s="418">
        <f t="shared" si="40"/>
        <v>3558508.5399999139</v>
      </c>
      <c r="H236" s="417">
        <f t="shared" si="40"/>
        <v>2143423.2000000472</v>
      </c>
    </row>
    <row r="237" spans="1:8" x14ac:dyDescent="0.2">
      <c r="A237" s="414">
        <v>42004</v>
      </c>
      <c r="B237" s="415">
        <f t="shared" si="35"/>
        <v>3351618.4299999145</v>
      </c>
      <c r="C237" s="415">
        <f t="shared" si="36"/>
        <v>2018805.6300000481</v>
      </c>
      <c r="D237" s="415">
        <f t="shared" si="37"/>
        <v>77298.129999999219</v>
      </c>
      <c r="E237" s="415">
        <f t="shared" si="41"/>
        <v>5447722.1899999613</v>
      </c>
      <c r="F237" s="413">
        <f t="shared" si="39"/>
        <v>5735961.5899999617</v>
      </c>
      <c r="G237" s="418">
        <f t="shared" si="40"/>
        <v>3528952.8099999144</v>
      </c>
      <c r="H237" s="417">
        <f t="shared" si="40"/>
        <v>2125620.6900000474</v>
      </c>
    </row>
    <row r="238" spans="1:8" x14ac:dyDescent="0.2">
      <c r="A238" s="414">
        <v>42035</v>
      </c>
      <c r="B238" s="415">
        <f t="shared" si="35"/>
        <v>3322062.6999999145</v>
      </c>
      <c r="C238" s="415">
        <f t="shared" si="36"/>
        <v>2001003.1200000481</v>
      </c>
      <c r="D238" s="415">
        <f t="shared" si="37"/>
        <v>76616.469999999215</v>
      </c>
      <c r="E238" s="415">
        <f t="shared" si="41"/>
        <v>5399682.2899999619</v>
      </c>
      <c r="F238" s="413">
        <f t="shared" si="39"/>
        <v>5687921.6899999613</v>
      </c>
      <c r="G238" s="418">
        <f t="shared" ref="G238:H253" si="42">(B226+B238+SUM(B227:B237)*2)/24</f>
        <v>3499397.0799999149</v>
      </c>
      <c r="H238" s="417">
        <f t="shared" si="42"/>
        <v>2107818.1800000477</v>
      </c>
    </row>
    <row r="239" spans="1:8" x14ac:dyDescent="0.2">
      <c r="A239" s="414">
        <v>42063</v>
      </c>
      <c r="B239" s="415">
        <f t="shared" si="35"/>
        <v>3292506.9699999145</v>
      </c>
      <c r="C239" s="415">
        <f t="shared" si="36"/>
        <v>1983200.6100000481</v>
      </c>
      <c r="D239" s="415">
        <f t="shared" si="37"/>
        <v>75934.809999999212</v>
      </c>
      <c r="E239" s="415">
        <f t="shared" si="41"/>
        <v>5351642.3899999624</v>
      </c>
      <c r="F239" s="413">
        <f t="shared" si="39"/>
        <v>5639881.7899999619</v>
      </c>
      <c r="G239" s="418">
        <f t="shared" si="42"/>
        <v>3469841.3499999144</v>
      </c>
      <c r="H239" s="417">
        <f t="shared" si="42"/>
        <v>2090015.6700000481</v>
      </c>
    </row>
    <row r="240" spans="1:8" x14ac:dyDescent="0.2">
      <c r="A240" s="414">
        <v>42094</v>
      </c>
      <c r="B240" s="415">
        <f t="shared" si="35"/>
        <v>3262951.2399999145</v>
      </c>
      <c r="C240" s="415">
        <f t="shared" si="36"/>
        <v>1965398.1000000481</v>
      </c>
      <c r="D240" s="415">
        <f t="shared" si="37"/>
        <v>75253.149999999208</v>
      </c>
      <c r="E240" s="415">
        <f t="shared" si="41"/>
        <v>5303602.489999962</v>
      </c>
      <c r="F240" s="413">
        <f t="shared" si="39"/>
        <v>5591841.8899999624</v>
      </c>
      <c r="G240" s="418">
        <f t="shared" si="42"/>
        <v>3440285.6199999149</v>
      </c>
      <c r="H240" s="417">
        <f t="shared" si="42"/>
        <v>2072213.1600000483</v>
      </c>
    </row>
    <row r="241" spans="1:8" x14ac:dyDescent="0.2">
      <c r="A241" s="414">
        <v>42124</v>
      </c>
      <c r="B241" s="415">
        <f t="shared" si="35"/>
        <v>3233395.5099999146</v>
      </c>
      <c r="C241" s="415">
        <f t="shared" si="36"/>
        <v>1947595.590000048</v>
      </c>
      <c r="D241" s="415">
        <f t="shared" si="37"/>
        <v>74571.489999999205</v>
      </c>
      <c r="E241" s="415">
        <f t="shared" si="41"/>
        <v>5255562.5899999617</v>
      </c>
      <c r="F241" s="413">
        <f t="shared" si="39"/>
        <v>5543801.989999962</v>
      </c>
      <c r="G241" s="418">
        <f t="shared" si="42"/>
        <v>3410729.8899999135</v>
      </c>
      <c r="H241" s="417">
        <f t="shared" si="42"/>
        <v>2054410.6500000479</v>
      </c>
    </row>
    <row r="242" spans="1:8" x14ac:dyDescent="0.2">
      <c r="A242" s="414">
        <v>42155</v>
      </c>
      <c r="B242" s="415">
        <f t="shared" si="35"/>
        <v>3203839.7799999146</v>
      </c>
      <c r="C242" s="415">
        <f t="shared" si="36"/>
        <v>1929793.080000048</v>
      </c>
      <c r="D242" s="415">
        <f t="shared" si="37"/>
        <v>73889.829999999201</v>
      </c>
      <c r="E242" s="415">
        <f t="shared" si="41"/>
        <v>5207522.6899999613</v>
      </c>
      <c r="F242" s="413">
        <f t="shared" si="39"/>
        <v>5495762.0899999617</v>
      </c>
      <c r="G242" s="418">
        <f t="shared" si="42"/>
        <v>3381174.1599999145</v>
      </c>
      <c r="H242" s="417">
        <f t="shared" si="42"/>
        <v>2036608.1400000481</v>
      </c>
    </row>
    <row r="243" spans="1:8" x14ac:dyDescent="0.2">
      <c r="A243" s="414">
        <v>42185</v>
      </c>
      <c r="B243" s="415">
        <f t="shared" si="35"/>
        <v>3174284.0499999146</v>
      </c>
      <c r="C243" s="415">
        <f t="shared" si="36"/>
        <v>1911990.570000048</v>
      </c>
      <c r="D243" s="415">
        <f t="shared" si="37"/>
        <v>73208.169999999198</v>
      </c>
      <c r="E243" s="415">
        <f t="shared" si="41"/>
        <v>5159482.7899999619</v>
      </c>
      <c r="F243" s="413">
        <f t="shared" si="39"/>
        <v>5447722.1899999613</v>
      </c>
      <c r="G243" s="418">
        <f t="shared" si="42"/>
        <v>3351618.4299999145</v>
      </c>
      <c r="H243" s="417">
        <f t="shared" si="42"/>
        <v>2018805.6300000476</v>
      </c>
    </row>
    <row r="244" spans="1:8" x14ac:dyDescent="0.2">
      <c r="A244" s="414">
        <v>42216</v>
      </c>
      <c r="B244" s="415">
        <f t="shared" si="35"/>
        <v>3144728.3199999146</v>
      </c>
      <c r="C244" s="415">
        <f t="shared" si="36"/>
        <v>1894188.060000048</v>
      </c>
      <c r="D244" s="415">
        <f t="shared" si="37"/>
        <v>72526.509999999194</v>
      </c>
      <c r="E244" s="415">
        <f t="shared" si="41"/>
        <v>5111442.8899999615</v>
      </c>
      <c r="F244" s="413">
        <f t="shared" si="39"/>
        <v>5399682.2899999619</v>
      </c>
      <c r="G244" s="418">
        <f t="shared" si="42"/>
        <v>3322062.699999914</v>
      </c>
      <c r="H244" s="417">
        <f t="shared" si="42"/>
        <v>2001003.1200000478</v>
      </c>
    </row>
    <row r="245" spans="1:8" x14ac:dyDescent="0.2">
      <c r="A245" s="414">
        <v>42247</v>
      </c>
      <c r="B245" s="415">
        <f t="shared" si="35"/>
        <v>3115172.5899999146</v>
      </c>
      <c r="C245" s="415">
        <f t="shared" si="36"/>
        <v>1876385.550000048</v>
      </c>
      <c r="D245" s="415">
        <f t="shared" si="37"/>
        <v>71844.849999999191</v>
      </c>
      <c r="E245" s="415">
        <f t="shared" si="41"/>
        <v>5063402.989999962</v>
      </c>
      <c r="F245" s="413">
        <f t="shared" si="39"/>
        <v>5351642.3899999624</v>
      </c>
      <c r="G245" s="418">
        <f t="shared" si="42"/>
        <v>3292506.969999915</v>
      </c>
      <c r="H245" s="417">
        <f t="shared" si="42"/>
        <v>1983200.6100000481</v>
      </c>
    </row>
    <row r="246" spans="1:8" x14ac:dyDescent="0.2">
      <c r="A246" s="414">
        <v>42277</v>
      </c>
      <c r="B246" s="415">
        <f t="shared" si="35"/>
        <v>3085616.8599999147</v>
      </c>
      <c r="C246" s="415">
        <f t="shared" si="36"/>
        <v>1858583.040000048</v>
      </c>
      <c r="D246" s="415">
        <f t="shared" si="37"/>
        <v>71163.189999999187</v>
      </c>
      <c r="E246" s="415">
        <f t="shared" si="41"/>
        <v>5015363.0899999626</v>
      </c>
      <c r="F246" s="413">
        <f t="shared" si="39"/>
        <v>5303602.489999962</v>
      </c>
      <c r="G246" s="418">
        <f t="shared" si="42"/>
        <v>3262951.2399999145</v>
      </c>
      <c r="H246" s="417">
        <f t="shared" si="42"/>
        <v>1965398.1000000481</v>
      </c>
    </row>
    <row r="247" spans="1:8" x14ac:dyDescent="0.2">
      <c r="A247" s="414">
        <v>42308</v>
      </c>
      <c r="B247" s="415">
        <f t="shared" si="35"/>
        <v>3056061.1299999147</v>
      </c>
      <c r="C247" s="415">
        <f t="shared" si="36"/>
        <v>1840780.530000048</v>
      </c>
      <c r="D247" s="415">
        <f t="shared" si="37"/>
        <v>70481.529999999184</v>
      </c>
      <c r="E247" s="415">
        <f t="shared" si="41"/>
        <v>4967323.1899999622</v>
      </c>
      <c r="F247" s="413">
        <f t="shared" si="39"/>
        <v>5255562.5899999626</v>
      </c>
      <c r="G247" s="418">
        <f t="shared" si="42"/>
        <v>3233395.5099999146</v>
      </c>
      <c r="H247" s="417">
        <f t="shared" si="42"/>
        <v>1947595.5900000483</v>
      </c>
    </row>
    <row r="248" spans="1:8" x14ac:dyDescent="0.2">
      <c r="A248" s="414">
        <v>42338</v>
      </c>
      <c r="B248" s="415">
        <f t="shared" si="35"/>
        <v>3026505.3999999147</v>
      </c>
      <c r="C248" s="415">
        <f t="shared" si="36"/>
        <v>1822978.020000048</v>
      </c>
      <c r="D248" s="415">
        <f t="shared" si="37"/>
        <v>69799.86999999918</v>
      </c>
      <c r="E248" s="415">
        <f t="shared" si="41"/>
        <v>4919283.2899999619</v>
      </c>
      <c r="F248" s="413">
        <f t="shared" si="39"/>
        <v>5207522.6899999613</v>
      </c>
      <c r="G248" s="418">
        <f t="shared" si="42"/>
        <v>3203839.7799999141</v>
      </c>
      <c r="H248" s="417">
        <f t="shared" si="42"/>
        <v>1929793.0800000483</v>
      </c>
    </row>
    <row r="249" spans="1:8" x14ac:dyDescent="0.2">
      <c r="A249" s="414">
        <v>42369</v>
      </c>
      <c r="B249" s="415">
        <f t="shared" si="35"/>
        <v>2996949.6699999147</v>
      </c>
      <c r="C249" s="415">
        <f t="shared" si="36"/>
        <v>1805175.510000048</v>
      </c>
      <c r="D249" s="415">
        <f t="shared" si="37"/>
        <v>69118.209999999177</v>
      </c>
      <c r="E249" s="415">
        <f t="shared" si="41"/>
        <v>4871243.3899999615</v>
      </c>
      <c r="F249" s="413">
        <f t="shared" si="39"/>
        <v>5159482.7899999628</v>
      </c>
      <c r="G249" s="418">
        <f t="shared" si="42"/>
        <v>3174284.0499999146</v>
      </c>
      <c r="H249" s="417">
        <f t="shared" si="42"/>
        <v>1911990.5700000485</v>
      </c>
    </row>
    <row r="250" spans="1:8" x14ac:dyDescent="0.2">
      <c r="A250" s="414">
        <v>42400</v>
      </c>
      <c r="B250" s="415">
        <f t="shared" si="35"/>
        <v>2967393.9399999147</v>
      </c>
      <c r="C250" s="415">
        <f t="shared" si="36"/>
        <v>1787373.000000048</v>
      </c>
      <c r="D250" s="415">
        <f t="shared" si="37"/>
        <v>68436.549999999173</v>
      </c>
      <c r="E250" s="415">
        <f t="shared" si="41"/>
        <v>4823203.4899999611</v>
      </c>
      <c r="F250" s="413">
        <f t="shared" si="39"/>
        <v>5111442.8899999624</v>
      </c>
      <c r="G250" s="418">
        <f t="shared" si="42"/>
        <v>3144728.3199999146</v>
      </c>
      <c r="H250" s="417">
        <f t="shared" si="42"/>
        <v>1894188.0600000478</v>
      </c>
    </row>
    <row r="251" spans="1:8" x14ac:dyDescent="0.2">
      <c r="A251" s="414">
        <v>42429</v>
      </c>
      <c r="B251" s="415">
        <f t="shared" si="35"/>
        <v>2937838.2099999147</v>
      </c>
      <c r="C251" s="415">
        <f t="shared" si="36"/>
        <v>1769570.490000048</v>
      </c>
      <c r="D251" s="415">
        <f t="shared" si="37"/>
        <v>67754.88999999917</v>
      </c>
      <c r="E251" s="415">
        <f t="shared" si="41"/>
        <v>4775163.5899999617</v>
      </c>
      <c r="F251" s="413">
        <f t="shared" si="39"/>
        <v>5063402.989999962</v>
      </c>
      <c r="G251" s="418">
        <f t="shared" si="42"/>
        <v>3115172.5899999142</v>
      </c>
      <c r="H251" s="417">
        <f t="shared" si="42"/>
        <v>1876385.550000048</v>
      </c>
    </row>
    <row r="252" spans="1:8" x14ac:dyDescent="0.2">
      <c r="A252" s="414">
        <v>42460</v>
      </c>
      <c r="B252" s="415">
        <f t="shared" si="35"/>
        <v>2908282.4799999148</v>
      </c>
      <c r="C252" s="415">
        <f t="shared" si="36"/>
        <v>1751767.9800000479</v>
      </c>
      <c r="D252" s="415">
        <f t="shared" si="37"/>
        <v>67073.229999999166</v>
      </c>
      <c r="E252" s="415">
        <f t="shared" si="41"/>
        <v>4727123.6899999622</v>
      </c>
      <c r="F252" s="413">
        <f t="shared" si="39"/>
        <v>5015363.0899999617</v>
      </c>
      <c r="G252" s="418">
        <f t="shared" si="42"/>
        <v>3085616.8599999151</v>
      </c>
      <c r="H252" s="417">
        <f t="shared" si="42"/>
        <v>1858583.0400000478</v>
      </c>
    </row>
    <row r="253" spans="1:8" x14ac:dyDescent="0.2">
      <c r="A253" s="414">
        <v>42490</v>
      </c>
      <c r="B253" s="415">
        <f t="shared" si="35"/>
        <v>2878726.7499999148</v>
      </c>
      <c r="C253" s="415">
        <f t="shared" si="36"/>
        <v>1733965.4700000479</v>
      </c>
      <c r="D253" s="415">
        <f t="shared" si="37"/>
        <v>66391.569999999163</v>
      </c>
      <c r="E253" s="415">
        <f t="shared" si="41"/>
        <v>4679083.7899999619</v>
      </c>
      <c r="F253" s="413">
        <f t="shared" si="39"/>
        <v>4967323.1899999613</v>
      </c>
      <c r="G253" s="418">
        <f t="shared" si="42"/>
        <v>3056061.1299999147</v>
      </c>
      <c r="H253" s="417">
        <f t="shared" si="42"/>
        <v>1840780.5300000485</v>
      </c>
    </row>
    <row r="254" spans="1:8" x14ac:dyDescent="0.2">
      <c r="A254" s="414">
        <v>42521</v>
      </c>
      <c r="B254" s="415">
        <f t="shared" si="35"/>
        <v>2849171.0199999148</v>
      </c>
      <c r="C254" s="415">
        <f t="shared" si="36"/>
        <v>1716162.9600000479</v>
      </c>
      <c r="D254" s="415">
        <f t="shared" si="37"/>
        <v>65709.909999999159</v>
      </c>
      <c r="E254" s="415">
        <f t="shared" si="41"/>
        <v>4631043.8899999624</v>
      </c>
      <c r="F254" s="413">
        <f t="shared" si="39"/>
        <v>4919283.2899999609</v>
      </c>
      <c r="G254" s="418">
        <f t="shared" ref="G254:H269" si="43">(B242+B254+SUM(B243:B253)*2)/24</f>
        <v>3026505.3999999147</v>
      </c>
      <c r="H254" s="417">
        <f t="shared" si="43"/>
        <v>1822978.020000048</v>
      </c>
    </row>
    <row r="255" spans="1:8" x14ac:dyDescent="0.2">
      <c r="A255" s="414">
        <v>42551</v>
      </c>
      <c r="B255" s="415">
        <f t="shared" si="35"/>
        <v>2819615.2899999148</v>
      </c>
      <c r="C255" s="415">
        <f t="shared" si="36"/>
        <v>1698360.4500000479</v>
      </c>
      <c r="D255" s="415">
        <f t="shared" si="37"/>
        <v>65028.249999999156</v>
      </c>
      <c r="E255" s="415">
        <f t="shared" si="41"/>
        <v>4583003.989999962</v>
      </c>
      <c r="F255" s="413">
        <f t="shared" si="39"/>
        <v>4871243.3899999615</v>
      </c>
      <c r="G255" s="418">
        <f t="shared" si="43"/>
        <v>2996949.6699999147</v>
      </c>
      <c r="H255" s="417">
        <f t="shared" si="43"/>
        <v>1805175.510000048</v>
      </c>
    </row>
    <row r="256" spans="1:8" x14ac:dyDescent="0.2">
      <c r="A256" s="414">
        <v>42582</v>
      </c>
      <c r="B256" s="415">
        <f t="shared" si="35"/>
        <v>2790059.5599999148</v>
      </c>
      <c r="C256" s="415">
        <f t="shared" si="36"/>
        <v>1680557.9400000479</v>
      </c>
      <c r="D256" s="415">
        <f t="shared" si="37"/>
        <v>64346.589999999152</v>
      </c>
      <c r="E256" s="415">
        <f t="shared" si="41"/>
        <v>4534964.0899999617</v>
      </c>
      <c r="F256" s="413">
        <f t="shared" si="39"/>
        <v>4823203.489999962</v>
      </c>
      <c r="G256" s="418">
        <f t="shared" si="43"/>
        <v>2967393.9399999143</v>
      </c>
      <c r="H256" s="417">
        <f t="shared" si="43"/>
        <v>1787373.0000000482</v>
      </c>
    </row>
    <row r="257" spans="1:8" x14ac:dyDescent="0.2">
      <c r="A257" s="414">
        <v>42613</v>
      </c>
      <c r="B257" s="415">
        <f t="shared" si="35"/>
        <v>2760503.8299999149</v>
      </c>
      <c r="C257" s="415">
        <f t="shared" si="36"/>
        <v>1662755.4300000479</v>
      </c>
      <c r="D257" s="415">
        <f t="shared" si="37"/>
        <v>63664.929999999149</v>
      </c>
      <c r="E257" s="415">
        <f t="shared" si="41"/>
        <v>4486924.1899999613</v>
      </c>
      <c r="F257" s="413">
        <f t="shared" si="39"/>
        <v>4775163.5899999617</v>
      </c>
      <c r="G257" s="418">
        <f t="shared" si="43"/>
        <v>2937838.2099999138</v>
      </c>
      <c r="H257" s="417">
        <f t="shared" si="43"/>
        <v>1769570.490000048</v>
      </c>
    </row>
    <row r="258" spans="1:8" x14ac:dyDescent="0.2">
      <c r="A258" s="414">
        <v>42643</v>
      </c>
      <c r="B258" s="415">
        <f t="shared" si="35"/>
        <v>2730948.0999999149</v>
      </c>
      <c r="C258" s="415">
        <f t="shared" si="36"/>
        <v>1644952.9200000479</v>
      </c>
      <c r="D258" s="415">
        <f t="shared" si="37"/>
        <v>62983.269999999146</v>
      </c>
      <c r="E258" s="415">
        <f t="shared" si="41"/>
        <v>4438884.2899999619</v>
      </c>
      <c r="F258" s="413">
        <f t="shared" si="39"/>
        <v>4727123.6899999613</v>
      </c>
      <c r="G258" s="418">
        <f t="shared" si="43"/>
        <v>2908282.4799999148</v>
      </c>
      <c r="H258" s="417">
        <f t="shared" si="43"/>
        <v>1751767.9800000479</v>
      </c>
    </row>
    <row r="259" spans="1:8" x14ac:dyDescent="0.2">
      <c r="A259" s="414">
        <v>42674</v>
      </c>
      <c r="B259" s="415">
        <f t="shared" si="35"/>
        <v>2701392.3699999149</v>
      </c>
      <c r="C259" s="415">
        <f t="shared" si="36"/>
        <v>1627150.4100000479</v>
      </c>
      <c r="D259" s="415">
        <f t="shared" si="37"/>
        <v>62301.609999999142</v>
      </c>
      <c r="E259" s="415">
        <f t="shared" si="41"/>
        <v>4390844.3899999624</v>
      </c>
      <c r="F259" s="413">
        <f t="shared" si="39"/>
        <v>4679083.7899999619</v>
      </c>
      <c r="G259" s="418">
        <f t="shared" si="43"/>
        <v>2878726.7499999148</v>
      </c>
      <c r="H259" s="417">
        <f t="shared" si="43"/>
        <v>1733965.4700000475</v>
      </c>
    </row>
    <row r="260" spans="1:8" x14ac:dyDescent="0.2">
      <c r="A260" s="414">
        <v>42704</v>
      </c>
      <c r="B260" s="415">
        <f t="shared" si="35"/>
        <v>2671836.6399999149</v>
      </c>
      <c r="C260" s="415">
        <f t="shared" si="36"/>
        <v>1609347.9000000479</v>
      </c>
      <c r="D260" s="415">
        <f t="shared" si="37"/>
        <v>61619.949999999139</v>
      </c>
      <c r="E260" s="415">
        <f t="shared" si="41"/>
        <v>4342804.489999962</v>
      </c>
      <c r="F260" s="413">
        <f t="shared" si="39"/>
        <v>4631043.8899999624</v>
      </c>
      <c r="G260" s="418">
        <f t="shared" si="43"/>
        <v>2849171.0199999153</v>
      </c>
      <c r="H260" s="417">
        <f t="shared" si="43"/>
        <v>1716162.9600000482</v>
      </c>
    </row>
    <row r="261" spans="1:8" x14ac:dyDescent="0.2">
      <c r="A261" s="414">
        <v>42735</v>
      </c>
      <c r="B261" s="415">
        <f t="shared" si="35"/>
        <v>2642280.9099999149</v>
      </c>
      <c r="C261" s="415">
        <f t="shared" si="36"/>
        <v>1591545.3900000479</v>
      </c>
      <c r="D261" s="415">
        <f t="shared" si="37"/>
        <v>60938.289999999135</v>
      </c>
      <c r="E261" s="415">
        <f t="shared" si="41"/>
        <v>4294764.5899999617</v>
      </c>
      <c r="F261" s="413">
        <f t="shared" si="39"/>
        <v>4583003.989999962</v>
      </c>
      <c r="G261" s="418">
        <f t="shared" si="43"/>
        <v>2819615.2899999153</v>
      </c>
      <c r="H261" s="417">
        <f t="shared" si="43"/>
        <v>1698360.4500000479</v>
      </c>
    </row>
    <row r="262" spans="1:8" x14ac:dyDescent="0.2">
      <c r="A262" s="414">
        <v>42766</v>
      </c>
      <c r="B262" s="415">
        <f t="shared" si="35"/>
        <v>2612725.179999915</v>
      </c>
      <c r="C262" s="415">
        <f t="shared" si="36"/>
        <v>1573742.8800000479</v>
      </c>
      <c r="D262" s="415">
        <f t="shared" si="37"/>
        <v>60256.629999999132</v>
      </c>
      <c r="E262" s="415">
        <f t="shared" si="41"/>
        <v>4246724.6899999622</v>
      </c>
      <c r="F262" s="413">
        <f t="shared" si="39"/>
        <v>4534964.0899999617</v>
      </c>
      <c r="G262" s="418">
        <f t="shared" si="43"/>
        <v>2790059.5599999148</v>
      </c>
      <c r="H262" s="417">
        <f t="shared" si="43"/>
        <v>1680557.9400000479</v>
      </c>
    </row>
    <row r="263" spans="1:8" x14ac:dyDescent="0.2">
      <c r="A263" s="414">
        <v>42794</v>
      </c>
      <c r="B263" s="415">
        <f t="shared" si="35"/>
        <v>2583169.449999915</v>
      </c>
      <c r="C263" s="415">
        <f t="shared" si="36"/>
        <v>1555940.3700000478</v>
      </c>
      <c r="D263" s="415">
        <f t="shared" si="37"/>
        <v>59574.969999999128</v>
      </c>
      <c r="E263" s="415">
        <f t="shared" si="41"/>
        <v>4198684.7899999619</v>
      </c>
      <c r="F263" s="413">
        <f t="shared" si="39"/>
        <v>4486924.1899999613</v>
      </c>
      <c r="G263" s="418">
        <f t="shared" si="43"/>
        <v>2760503.8299999149</v>
      </c>
      <c r="H263" s="417">
        <f t="shared" si="43"/>
        <v>1662755.4300000481</v>
      </c>
    </row>
    <row r="264" spans="1:8" x14ac:dyDescent="0.2">
      <c r="A264" s="414">
        <v>42825</v>
      </c>
      <c r="B264" s="415">
        <f t="shared" si="35"/>
        <v>2553613.719999915</v>
      </c>
      <c r="C264" s="415">
        <f t="shared" si="36"/>
        <v>1538137.8600000478</v>
      </c>
      <c r="D264" s="415">
        <f t="shared" si="37"/>
        <v>58893.309999999125</v>
      </c>
      <c r="E264" s="415">
        <f t="shared" si="41"/>
        <v>4150644.8899999619</v>
      </c>
      <c r="F264" s="413">
        <f t="shared" si="39"/>
        <v>4438884.2899999619</v>
      </c>
      <c r="G264" s="418">
        <f t="shared" si="43"/>
        <v>2730948.0999999149</v>
      </c>
      <c r="H264" s="417">
        <f t="shared" si="43"/>
        <v>1644952.9200000477</v>
      </c>
    </row>
    <row r="265" spans="1:8" x14ac:dyDescent="0.2">
      <c r="A265" s="414">
        <v>42855</v>
      </c>
      <c r="B265" s="415">
        <f t="shared" si="35"/>
        <v>2524057.989999915</v>
      </c>
      <c r="C265" s="415">
        <f t="shared" si="36"/>
        <v>1520335.3500000478</v>
      </c>
      <c r="D265" s="415">
        <f t="shared" si="37"/>
        <v>58211.649999999121</v>
      </c>
      <c r="E265" s="415">
        <f t="shared" si="41"/>
        <v>4102604.9899999616</v>
      </c>
      <c r="F265" s="413">
        <f t="shared" si="39"/>
        <v>4390844.3899999624</v>
      </c>
      <c r="G265" s="418">
        <f t="shared" si="43"/>
        <v>2701392.3699999149</v>
      </c>
      <c r="H265" s="417">
        <f t="shared" si="43"/>
        <v>1627150.4100000479</v>
      </c>
    </row>
    <row r="266" spans="1:8" x14ac:dyDescent="0.2">
      <c r="A266" s="414">
        <v>42886</v>
      </c>
      <c r="B266" s="415">
        <f t="shared" si="35"/>
        <v>2494502.259999915</v>
      </c>
      <c r="C266" s="415">
        <f t="shared" si="36"/>
        <v>1502532.8400000478</v>
      </c>
      <c r="D266" s="415">
        <f t="shared" si="37"/>
        <v>57529.989999999118</v>
      </c>
      <c r="E266" s="415">
        <f t="shared" si="41"/>
        <v>4054565.0899999621</v>
      </c>
      <c r="F266" s="413">
        <f t="shared" si="39"/>
        <v>4342804.489999962</v>
      </c>
      <c r="G266" s="418">
        <f t="shared" si="43"/>
        <v>2671836.6399999149</v>
      </c>
      <c r="H266" s="417">
        <f t="shared" si="43"/>
        <v>1609347.9000000476</v>
      </c>
    </row>
    <row r="267" spans="1:8" x14ac:dyDescent="0.2">
      <c r="A267" s="414">
        <v>42916</v>
      </c>
      <c r="B267" s="415">
        <f t="shared" si="35"/>
        <v>2464946.529999915</v>
      </c>
      <c r="C267" s="415">
        <f t="shared" si="36"/>
        <v>1484730.3300000478</v>
      </c>
      <c r="D267" s="415">
        <f t="shared" si="37"/>
        <v>56848.329999999114</v>
      </c>
      <c r="E267" s="415">
        <f t="shared" si="41"/>
        <v>4006525.1899999622</v>
      </c>
      <c r="F267" s="413">
        <f t="shared" si="39"/>
        <v>4294764.5899999626</v>
      </c>
      <c r="G267" s="418">
        <f t="shared" si="43"/>
        <v>2642280.9099999149</v>
      </c>
      <c r="H267" s="417">
        <f t="shared" si="43"/>
        <v>1591545.3900000479</v>
      </c>
    </row>
    <row r="268" spans="1:8" x14ac:dyDescent="0.2">
      <c r="A268" s="414">
        <v>42947</v>
      </c>
      <c r="B268" s="415">
        <f t="shared" si="35"/>
        <v>2435390.7999999151</v>
      </c>
      <c r="C268" s="415">
        <f t="shared" si="36"/>
        <v>1466927.8200000478</v>
      </c>
      <c r="D268" s="415">
        <f t="shared" si="37"/>
        <v>56166.669999999111</v>
      </c>
      <c r="E268" s="415">
        <f t="shared" si="41"/>
        <v>3958485.2899999619</v>
      </c>
      <c r="F268" s="413">
        <f t="shared" si="39"/>
        <v>4246724.6899999613</v>
      </c>
      <c r="G268" s="418">
        <f t="shared" si="43"/>
        <v>2612725.179999915</v>
      </c>
      <c r="H268" s="417">
        <f t="shared" si="43"/>
        <v>1573742.8800000476</v>
      </c>
    </row>
    <row r="269" spans="1:8" x14ac:dyDescent="0.2">
      <c r="A269" s="414">
        <v>42978</v>
      </c>
      <c r="B269" s="415">
        <f t="shared" si="35"/>
        <v>2405835.0699999151</v>
      </c>
      <c r="C269" s="415">
        <f t="shared" si="36"/>
        <v>1449125.3100000478</v>
      </c>
      <c r="D269" s="415">
        <f t="shared" si="37"/>
        <v>55485.009999999107</v>
      </c>
      <c r="E269" s="415">
        <f t="shared" si="41"/>
        <v>3910445.3899999619</v>
      </c>
      <c r="F269" s="413">
        <f t="shared" si="39"/>
        <v>4198684.7899999619</v>
      </c>
      <c r="G269" s="418">
        <f t="shared" si="43"/>
        <v>2583169.449999915</v>
      </c>
      <c r="H269" s="417">
        <f t="shared" si="43"/>
        <v>1555940.3700000483</v>
      </c>
    </row>
    <row r="270" spans="1:8" x14ac:dyDescent="0.2">
      <c r="A270" s="414">
        <v>43008</v>
      </c>
      <c r="B270" s="415">
        <f t="shared" si="35"/>
        <v>2376279.3399999151</v>
      </c>
      <c r="C270" s="415">
        <f t="shared" si="36"/>
        <v>1431322.8000000478</v>
      </c>
      <c r="D270" s="415">
        <f t="shared" si="37"/>
        <v>54803.349999999104</v>
      </c>
      <c r="E270" s="415">
        <f t="shared" si="41"/>
        <v>3862405.489999962</v>
      </c>
      <c r="F270" s="413">
        <f t="shared" si="39"/>
        <v>4150644.8899999619</v>
      </c>
      <c r="G270" s="418">
        <f t="shared" ref="G270:H285" si="44">(B258+B270+SUM(B259:B269)*2)/24</f>
        <v>2553613.719999915</v>
      </c>
      <c r="H270" s="417">
        <f t="shared" si="44"/>
        <v>1538137.8600000478</v>
      </c>
    </row>
    <row r="271" spans="1:8" x14ac:dyDescent="0.2">
      <c r="A271" s="414">
        <v>43039</v>
      </c>
      <c r="B271" s="415">
        <f t="shared" si="35"/>
        <v>2346723.6099999151</v>
      </c>
      <c r="C271" s="415">
        <f t="shared" si="36"/>
        <v>1413520.2900000478</v>
      </c>
      <c r="D271" s="415">
        <f t="shared" si="37"/>
        <v>54121.6899999991</v>
      </c>
      <c r="E271" s="415">
        <f t="shared" si="41"/>
        <v>3814365.5899999621</v>
      </c>
      <c r="F271" s="413">
        <f t="shared" si="39"/>
        <v>4102604.9899999625</v>
      </c>
      <c r="G271" s="418">
        <f t="shared" si="44"/>
        <v>2524057.989999915</v>
      </c>
      <c r="H271" s="417">
        <f t="shared" si="44"/>
        <v>1520335.3500000478</v>
      </c>
    </row>
    <row r="272" spans="1:8" x14ac:dyDescent="0.2">
      <c r="A272" s="414">
        <v>43069</v>
      </c>
      <c r="B272" s="415">
        <f t="shared" si="35"/>
        <v>2317167.8799999151</v>
      </c>
      <c r="C272" s="415">
        <f t="shared" si="36"/>
        <v>1395717.7800000478</v>
      </c>
      <c r="D272" s="415">
        <f t="shared" si="37"/>
        <v>53440.029999999097</v>
      </c>
      <c r="E272" s="415">
        <f t="shared" si="41"/>
        <v>3766325.6899999622</v>
      </c>
      <c r="F272" s="413">
        <f t="shared" si="39"/>
        <v>4054565.0899999621</v>
      </c>
      <c r="G272" s="418">
        <f t="shared" si="44"/>
        <v>2494502.259999915</v>
      </c>
      <c r="H272" s="417">
        <f t="shared" si="44"/>
        <v>1502532.8400000476</v>
      </c>
    </row>
    <row r="273" spans="1:8" x14ac:dyDescent="0.2">
      <c r="A273" s="414">
        <v>43100</v>
      </c>
      <c r="B273" s="415">
        <f t="shared" si="35"/>
        <v>2287612.1499999152</v>
      </c>
      <c r="C273" s="415">
        <f t="shared" si="36"/>
        <v>1377915.2700000477</v>
      </c>
      <c r="D273" s="415">
        <f t="shared" si="37"/>
        <v>52758.369999999093</v>
      </c>
      <c r="E273" s="415">
        <f t="shared" si="41"/>
        <v>3718285.7899999619</v>
      </c>
      <c r="F273" s="413">
        <f t="shared" si="39"/>
        <v>4006525.1899999618</v>
      </c>
      <c r="G273" s="418">
        <f t="shared" si="44"/>
        <v>2464946.5299999146</v>
      </c>
      <c r="H273" s="417">
        <f t="shared" si="44"/>
        <v>1484730.3300000476</v>
      </c>
    </row>
    <row r="274" spans="1:8" x14ac:dyDescent="0.2">
      <c r="A274" s="414">
        <v>43131</v>
      </c>
      <c r="B274" s="415">
        <f t="shared" si="35"/>
        <v>2258056.4199999152</v>
      </c>
      <c r="C274" s="415">
        <f t="shared" si="36"/>
        <v>1360112.7600000477</v>
      </c>
      <c r="D274" s="415">
        <f t="shared" si="37"/>
        <v>52076.70999999909</v>
      </c>
      <c r="E274" s="415">
        <f t="shared" si="41"/>
        <v>3670245.8899999619</v>
      </c>
      <c r="F274" s="413">
        <f t="shared" si="39"/>
        <v>3958485.2899999619</v>
      </c>
      <c r="G274" s="418">
        <f t="shared" si="44"/>
        <v>2435390.7999999151</v>
      </c>
      <c r="H274" s="417">
        <f t="shared" si="44"/>
        <v>1466927.8200000478</v>
      </c>
    </row>
    <row r="275" spans="1:8" x14ac:dyDescent="0.2">
      <c r="A275" s="414">
        <v>43159</v>
      </c>
      <c r="B275" s="415">
        <f t="shared" ref="B275:B303" si="45">B274-$B$13</f>
        <v>2228500.6899999152</v>
      </c>
      <c r="C275" s="415">
        <f t="shared" ref="C275:C303" si="46">C274-$C$13</f>
        <v>1342310.2500000477</v>
      </c>
      <c r="D275" s="415">
        <f t="shared" ref="D275:D303" si="47">D274-$D$13</f>
        <v>51395.049999999086</v>
      </c>
      <c r="E275" s="415">
        <f t="shared" si="41"/>
        <v>3622205.989999962</v>
      </c>
      <c r="F275" s="413">
        <f t="shared" ref="F275:F338" si="48">(E263+E275+SUM(E264:E274)*2)/24</f>
        <v>3910445.3899999619</v>
      </c>
      <c r="G275" s="418">
        <f t="shared" si="44"/>
        <v>2405835.0699999151</v>
      </c>
      <c r="H275" s="417">
        <f t="shared" si="44"/>
        <v>1449125.3100000478</v>
      </c>
    </row>
    <row r="276" spans="1:8" x14ac:dyDescent="0.2">
      <c r="A276" s="414">
        <v>43190</v>
      </c>
      <c r="B276" s="415">
        <f t="shared" si="45"/>
        <v>2198944.9599999152</v>
      </c>
      <c r="C276" s="415">
        <f t="shared" si="46"/>
        <v>1324507.7400000477</v>
      </c>
      <c r="D276" s="415">
        <f t="shared" si="47"/>
        <v>50713.389999999083</v>
      </c>
      <c r="E276" s="415">
        <f t="shared" si="41"/>
        <v>3574166.0899999621</v>
      </c>
      <c r="F276" s="413">
        <f t="shared" si="48"/>
        <v>3862405.4899999625</v>
      </c>
      <c r="G276" s="418">
        <f t="shared" si="44"/>
        <v>2376279.3399999151</v>
      </c>
      <c r="H276" s="417">
        <f t="shared" si="44"/>
        <v>1431322.800000048</v>
      </c>
    </row>
    <row r="277" spans="1:8" x14ac:dyDescent="0.2">
      <c r="A277" s="414">
        <v>43220</v>
      </c>
      <c r="B277" s="415">
        <f t="shared" si="45"/>
        <v>2169389.2299999152</v>
      </c>
      <c r="C277" s="415">
        <f t="shared" si="46"/>
        <v>1306705.2300000477</v>
      </c>
      <c r="D277" s="415">
        <f t="shared" si="47"/>
        <v>50031.729999999079</v>
      </c>
      <c r="E277" s="415">
        <f t="shared" si="41"/>
        <v>3526126.1899999618</v>
      </c>
      <c r="F277" s="413">
        <f t="shared" si="48"/>
        <v>3814365.5899999621</v>
      </c>
      <c r="G277" s="418">
        <f t="shared" si="44"/>
        <v>2346723.6099999151</v>
      </c>
      <c r="H277" s="417">
        <f t="shared" si="44"/>
        <v>1413520.2900000478</v>
      </c>
    </row>
    <row r="278" spans="1:8" x14ac:dyDescent="0.2">
      <c r="A278" s="414">
        <v>43251</v>
      </c>
      <c r="B278" s="415">
        <f t="shared" si="45"/>
        <v>2139833.4999999152</v>
      </c>
      <c r="C278" s="415">
        <f t="shared" si="46"/>
        <v>1288902.7200000477</v>
      </c>
      <c r="D278" s="415">
        <f t="shared" si="47"/>
        <v>49350.069999999076</v>
      </c>
      <c r="E278" s="415">
        <f t="shared" si="41"/>
        <v>3478086.2899999619</v>
      </c>
      <c r="F278" s="413">
        <f t="shared" si="48"/>
        <v>3766325.6899999618</v>
      </c>
      <c r="G278" s="418">
        <f t="shared" si="44"/>
        <v>2317167.8799999151</v>
      </c>
      <c r="H278" s="417">
        <f t="shared" si="44"/>
        <v>1395717.7800000478</v>
      </c>
    </row>
    <row r="279" spans="1:8" x14ac:dyDescent="0.2">
      <c r="A279" s="414">
        <v>43281</v>
      </c>
      <c r="B279" s="415">
        <f t="shared" si="45"/>
        <v>2110277.7699999153</v>
      </c>
      <c r="C279" s="415">
        <f t="shared" si="46"/>
        <v>1271100.2100000477</v>
      </c>
      <c r="D279" s="415">
        <f t="shared" si="47"/>
        <v>48668.409999999072</v>
      </c>
      <c r="E279" s="415">
        <f t="shared" si="41"/>
        <v>3430046.3899999624</v>
      </c>
      <c r="F279" s="413">
        <f t="shared" si="48"/>
        <v>3718285.7899999619</v>
      </c>
      <c r="G279" s="418">
        <f t="shared" si="44"/>
        <v>2287612.1499999152</v>
      </c>
      <c r="H279" s="417">
        <f t="shared" si="44"/>
        <v>1377915.2700000477</v>
      </c>
    </row>
    <row r="280" spans="1:8" x14ac:dyDescent="0.2">
      <c r="A280" s="414">
        <v>43312</v>
      </c>
      <c r="B280" s="415">
        <f t="shared" si="45"/>
        <v>2080722.0399999153</v>
      </c>
      <c r="C280" s="415">
        <f t="shared" si="46"/>
        <v>1253297.7000000477</v>
      </c>
      <c r="D280" s="415">
        <f t="shared" si="47"/>
        <v>47986.749999999069</v>
      </c>
      <c r="E280" s="415">
        <f t="shared" si="41"/>
        <v>3382006.489999962</v>
      </c>
      <c r="F280" s="413">
        <f t="shared" si="48"/>
        <v>3670245.8899999619</v>
      </c>
      <c r="G280" s="418">
        <f t="shared" si="44"/>
        <v>2258056.4199999152</v>
      </c>
      <c r="H280" s="417">
        <f t="shared" si="44"/>
        <v>1360112.7600000477</v>
      </c>
    </row>
    <row r="281" spans="1:8" x14ac:dyDescent="0.2">
      <c r="A281" s="414">
        <v>43343</v>
      </c>
      <c r="B281" s="415">
        <f t="shared" si="45"/>
        <v>2051166.3099999153</v>
      </c>
      <c r="C281" s="415">
        <f t="shared" si="46"/>
        <v>1235495.1900000477</v>
      </c>
      <c r="D281" s="415">
        <f t="shared" si="47"/>
        <v>47305.089999999065</v>
      </c>
      <c r="E281" s="415">
        <f t="shared" si="41"/>
        <v>3333966.5899999617</v>
      </c>
      <c r="F281" s="413">
        <f t="shared" si="48"/>
        <v>3622205.9899999625</v>
      </c>
      <c r="G281" s="418">
        <f t="shared" si="44"/>
        <v>2228500.6899999152</v>
      </c>
      <c r="H281" s="417">
        <f t="shared" si="44"/>
        <v>1342310.2500000477</v>
      </c>
    </row>
    <row r="282" spans="1:8" x14ac:dyDescent="0.2">
      <c r="A282" s="414">
        <v>43373</v>
      </c>
      <c r="B282" s="415">
        <f t="shared" si="45"/>
        <v>2021610.5799999153</v>
      </c>
      <c r="C282" s="415">
        <f t="shared" si="46"/>
        <v>1217692.6800000477</v>
      </c>
      <c r="D282" s="415">
        <f t="shared" si="47"/>
        <v>46623.429999999062</v>
      </c>
      <c r="E282" s="415">
        <f t="shared" si="41"/>
        <v>3285926.6899999622</v>
      </c>
      <c r="F282" s="413">
        <f t="shared" si="48"/>
        <v>3574166.0899999612</v>
      </c>
      <c r="G282" s="418">
        <f t="shared" si="44"/>
        <v>2198944.9599999152</v>
      </c>
      <c r="H282" s="417">
        <f t="shared" si="44"/>
        <v>1324507.7400000477</v>
      </c>
    </row>
    <row r="283" spans="1:8" x14ac:dyDescent="0.2">
      <c r="A283" s="414">
        <v>43404</v>
      </c>
      <c r="B283" s="415">
        <f t="shared" si="45"/>
        <v>1992054.8499999153</v>
      </c>
      <c r="C283" s="415">
        <f t="shared" si="46"/>
        <v>1199890.1700000477</v>
      </c>
      <c r="D283" s="415">
        <f t="shared" si="47"/>
        <v>45941.769999999058</v>
      </c>
      <c r="E283" s="415">
        <f t="shared" si="41"/>
        <v>3237886.7899999623</v>
      </c>
      <c r="F283" s="413">
        <f t="shared" si="48"/>
        <v>3526126.1899999618</v>
      </c>
      <c r="G283" s="418">
        <f t="shared" si="44"/>
        <v>2169389.2299999152</v>
      </c>
      <c r="H283" s="417">
        <f t="shared" si="44"/>
        <v>1306705.2300000477</v>
      </c>
    </row>
    <row r="284" spans="1:8" x14ac:dyDescent="0.2">
      <c r="A284" s="414">
        <v>43434</v>
      </c>
      <c r="B284" s="415">
        <f t="shared" si="45"/>
        <v>1962499.1199999154</v>
      </c>
      <c r="C284" s="415">
        <f t="shared" si="46"/>
        <v>1182087.6600000476</v>
      </c>
      <c r="D284" s="415">
        <f t="shared" si="47"/>
        <v>45260.109999999055</v>
      </c>
      <c r="E284" s="415">
        <f t="shared" si="41"/>
        <v>3189846.8899999619</v>
      </c>
      <c r="F284" s="413">
        <f t="shared" si="48"/>
        <v>3478086.2899999619</v>
      </c>
      <c r="G284" s="418">
        <f t="shared" si="44"/>
        <v>2139833.4999999157</v>
      </c>
      <c r="H284" s="417">
        <f t="shared" si="44"/>
        <v>1288902.7200000477</v>
      </c>
    </row>
    <row r="285" spans="1:8" x14ac:dyDescent="0.2">
      <c r="A285" s="414">
        <v>43465</v>
      </c>
      <c r="B285" s="415">
        <f t="shared" si="45"/>
        <v>1932943.3899999154</v>
      </c>
      <c r="C285" s="415">
        <f t="shared" si="46"/>
        <v>1164285.1500000476</v>
      </c>
      <c r="D285" s="415">
        <f t="shared" si="47"/>
        <v>44578.449999999051</v>
      </c>
      <c r="E285" s="415">
        <f t="shared" si="41"/>
        <v>3141806.989999962</v>
      </c>
      <c r="F285" s="413">
        <f t="shared" si="48"/>
        <v>3430046.3899999619</v>
      </c>
      <c r="G285" s="418">
        <f t="shared" si="44"/>
        <v>2110277.7699999153</v>
      </c>
      <c r="H285" s="417">
        <f t="shared" si="44"/>
        <v>1271100.2100000479</v>
      </c>
    </row>
    <row r="286" spans="1:8" x14ac:dyDescent="0.2">
      <c r="A286" s="414">
        <v>43496</v>
      </c>
      <c r="B286" s="415">
        <f t="shared" si="45"/>
        <v>1903387.6599999154</v>
      </c>
      <c r="C286" s="415">
        <f t="shared" si="46"/>
        <v>1146482.6400000476</v>
      </c>
      <c r="D286" s="415">
        <f t="shared" si="47"/>
        <v>43896.789999999048</v>
      </c>
      <c r="E286" s="415">
        <f t="shared" si="41"/>
        <v>3093767.0899999621</v>
      </c>
      <c r="F286" s="413">
        <f t="shared" si="48"/>
        <v>3382006.4899999625</v>
      </c>
      <c r="G286" s="418">
        <f t="shared" ref="G286:H301" si="49">(B274+B286+SUM(B275:B285)*2)/24</f>
        <v>2080722.0399999153</v>
      </c>
      <c r="H286" s="417">
        <f t="shared" si="49"/>
        <v>1253297.7000000477</v>
      </c>
    </row>
    <row r="287" spans="1:8" x14ac:dyDescent="0.2">
      <c r="A287" s="414">
        <v>43524</v>
      </c>
      <c r="B287" s="415">
        <f t="shared" si="45"/>
        <v>1873831.9299999154</v>
      </c>
      <c r="C287" s="415">
        <f t="shared" si="46"/>
        <v>1128680.1300000476</v>
      </c>
      <c r="D287" s="415">
        <f t="shared" si="47"/>
        <v>43215.129999999044</v>
      </c>
      <c r="E287" s="415">
        <f t="shared" si="41"/>
        <v>3045727.1899999622</v>
      </c>
      <c r="F287" s="413">
        <f t="shared" si="48"/>
        <v>3333966.5899999621</v>
      </c>
      <c r="G287" s="418">
        <f t="shared" si="49"/>
        <v>2051166.3099999151</v>
      </c>
      <c r="H287" s="417">
        <f t="shared" si="49"/>
        <v>1235495.1900000477</v>
      </c>
    </row>
    <row r="288" spans="1:8" x14ac:dyDescent="0.2">
      <c r="A288" s="414">
        <v>43555</v>
      </c>
      <c r="B288" s="415">
        <f t="shared" si="45"/>
        <v>1844276.1999999154</v>
      </c>
      <c r="C288" s="415">
        <f t="shared" si="46"/>
        <v>1110877.6200000476</v>
      </c>
      <c r="D288" s="415">
        <f t="shared" si="47"/>
        <v>42533.469999999041</v>
      </c>
      <c r="E288" s="415">
        <f t="shared" si="41"/>
        <v>2997687.2899999619</v>
      </c>
      <c r="F288" s="413">
        <f t="shared" si="48"/>
        <v>3285926.6899999618</v>
      </c>
      <c r="G288" s="418">
        <f t="shared" si="49"/>
        <v>2021610.5799999153</v>
      </c>
      <c r="H288" s="417">
        <f t="shared" si="49"/>
        <v>1217692.6800000477</v>
      </c>
    </row>
    <row r="289" spans="1:11" x14ac:dyDescent="0.2">
      <c r="A289" s="414">
        <v>43585</v>
      </c>
      <c r="B289" s="415">
        <f t="shared" si="45"/>
        <v>1814720.4699999155</v>
      </c>
      <c r="C289" s="415">
        <f t="shared" si="46"/>
        <v>1093075.1100000476</v>
      </c>
      <c r="D289" s="415">
        <f t="shared" si="47"/>
        <v>41851.809999999037</v>
      </c>
      <c r="E289" s="415">
        <f t="shared" si="41"/>
        <v>2949647.3899999619</v>
      </c>
      <c r="F289" s="413">
        <f t="shared" si="48"/>
        <v>3237886.7899999619</v>
      </c>
      <c r="G289" s="418">
        <f t="shared" si="49"/>
        <v>1992054.8499999149</v>
      </c>
      <c r="H289" s="417">
        <f t="shared" si="49"/>
        <v>1199890.1700000477</v>
      </c>
    </row>
    <row r="290" spans="1:11" x14ac:dyDescent="0.2">
      <c r="A290" s="414">
        <v>43616</v>
      </c>
      <c r="B290" s="415">
        <f t="shared" si="45"/>
        <v>1785164.7399999155</v>
      </c>
      <c r="C290" s="415">
        <f t="shared" si="46"/>
        <v>1075272.6000000476</v>
      </c>
      <c r="D290" s="415">
        <f t="shared" si="47"/>
        <v>41170.149999999034</v>
      </c>
      <c r="E290" s="415">
        <f t="shared" ref="E290:E305" si="50">SUM(B290:D290)</f>
        <v>2901607.489999962</v>
      </c>
      <c r="F290" s="413">
        <f t="shared" si="48"/>
        <v>3189846.8899999619</v>
      </c>
      <c r="G290" s="418">
        <f t="shared" si="49"/>
        <v>1962499.1199999154</v>
      </c>
      <c r="H290" s="417">
        <f t="shared" si="49"/>
        <v>1182087.6600000476</v>
      </c>
    </row>
    <row r="291" spans="1:11" x14ac:dyDescent="0.2">
      <c r="A291" s="414">
        <v>43646</v>
      </c>
      <c r="B291" s="415">
        <f t="shared" si="45"/>
        <v>1755609.0099999155</v>
      </c>
      <c r="C291" s="415">
        <f t="shared" si="46"/>
        <v>1057470.0900000476</v>
      </c>
      <c r="D291" s="415">
        <f t="shared" si="47"/>
        <v>40488.48999999903</v>
      </c>
      <c r="E291" s="415">
        <f t="shared" si="50"/>
        <v>2853567.5899999621</v>
      </c>
      <c r="F291" s="413">
        <f t="shared" si="48"/>
        <v>3141806.9899999625</v>
      </c>
      <c r="G291" s="418">
        <f t="shared" si="49"/>
        <v>1932943.3899999156</v>
      </c>
      <c r="H291" s="417">
        <f t="shared" si="49"/>
        <v>1164285.1500000476</v>
      </c>
    </row>
    <row r="292" spans="1:11" x14ac:dyDescent="0.2">
      <c r="A292" s="414">
        <v>43677</v>
      </c>
      <c r="B292" s="415">
        <f t="shared" si="45"/>
        <v>1726053.2799999155</v>
      </c>
      <c r="C292" s="415">
        <f t="shared" si="46"/>
        <v>1039667.5800000476</v>
      </c>
      <c r="D292" s="415">
        <f t="shared" si="47"/>
        <v>39806.829999999027</v>
      </c>
      <c r="E292" s="415">
        <f t="shared" si="50"/>
        <v>2805527.6899999622</v>
      </c>
      <c r="F292" s="413">
        <f t="shared" si="48"/>
        <v>3093767.0899999621</v>
      </c>
      <c r="G292" s="418">
        <f t="shared" si="49"/>
        <v>1903387.6599999156</v>
      </c>
      <c r="H292" s="417">
        <f t="shared" si="49"/>
        <v>1146482.6400000476</v>
      </c>
    </row>
    <row r="293" spans="1:11" x14ac:dyDescent="0.2">
      <c r="A293" s="414">
        <v>43708</v>
      </c>
      <c r="B293" s="415">
        <f t="shared" si="45"/>
        <v>1696497.5499999155</v>
      </c>
      <c r="C293" s="415">
        <f t="shared" si="46"/>
        <v>1021865.0700000476</v>
      </c>
      <c r="D293" s="415">
        <f t="shared" si="47"/>
        <v>39125.169999999023</v>
      </c>
      <c r="E293" s="415">
        <f t="shared" si="50"/>
        <v>2757487.7899999619</v>
      </c>
      <c r="F293" s="413">
        <f t="shared" si="48"/>
        <v>3045727.1899999618</v>
      </c>
      <c r="G293" s="418">
        <f t="shared" si="49"/>
        <v>1873831.9299999152</v>
      </c>
      <c r="H293" s="417">
        <f t="shared" si="49"/>
        <v>1128680.1300000476</v>
      </c>
    </row>
    <row r="294" spans="1:11" x14ac:dyDescent="0.2">
      <c r="A294" s="414">
        <v>43738</v>
      </c>
      <c r="B294" s="415">
        <f t="shared" si="45"/>
        <v>1666941.8199999155</v>
      </c>
      <c r="C294" s="415">
        <f t="shared" si="46"/>
        <v>1004062.5600000476</v>
      </c>
      <c r="D294" s="415">
        <f t="shared" si="47"/>
        <v>38443.50999999902</v>
      </c>
      <c r="E294" s="415">
        <f t="shared" si="50"/>
        <v>2709447.8899999619</v>
      </c>
      <c r="F294" s="413">
        <f t="shared" si="48"/>
        <v>2997687.2899999619</v>
      </c>
      <c r="G294" s="418">
        <f t="shared" si="49"/>
        <v>1844276.1999999154</v>
      </c>
      <c r="H294" s="417">
        <f t="shared" si="49"/>
        <v>1110877.6200000476</v>
      </c>
    </row>
    <row r="295" spans="1:11" x14ac:dyDescent="0.2">
      <c r="A295" s="414">
        <v>43769</v>
      </c>
      <c r="B295" s="415">
        <f t="shared" si="45"/>
        <v>1637386.0899999156</v>
      </c>
      <c r="C295" s="415">
        <f t="shared" si="46"/>
        <v>986260.05000004754</v>
      </c>
      <c r="D295" s="415">
        <f t="shared" si="47"/>
        <v>37761.849999999016</v>
      </c>
      <c r="E295" s="415">
        <f t="shared" si="50"/>
        <v>2661407.9899999625</v>
      </c>
      <c r="F295" s="413">
        <f t="shared" si="48"/>
        <v>2949647.3899999619</v>
      </c>
      <c r="G295" s="418">
        <f t="shared" si="49"/>
        <v>1814720.4699999157</v>
      </c>
      <c r="H295" s="417">
        <f t="shared" si="49"/>
        <v>1093075.1100000476</v>
      </c>
    </row>
    <row r="296" spans="1:11" x14ac:dyDescent="0.2">
      <c r="A296" s="414">
        <v>43799</v>
      </c>
      <c r="B296" s="415">
        <f t="shared" si="45"/>
        <v>1607830.3599999156</v>
      </c>
      <c r="C296" s="415">
        <f t="shared" si="46"/>
        <v>968457.54000004753</v>
      </c>
      <c r="D296" s="415">
        <f t="shared" si="47"/>
        <v>37080.189999999013</v>
      </c>
      <c r="E296" s="415">
        <f t="shared" si="50"/>
        <v>2613368.0899999621</v>
      </c>
      <c r="F296" s="413">
        <f t="shared" si="48"/>
        <v>2901607.4899999616</v>
      </c>
      <c r="G296" s="418">
        <f t="shared" si="49"/>
        <v>1785164.7399999155</v>
      </c>
      <c r="H296" s="417">
        <f t="shared" si="49"/>
        <v>1075272.6000000474</v>
      </c>
    </row>
    <row r="297" spans="1:11" x14ac:dyDescent="0.2">
      <c r="A297" s="414">
        <v>43830</v>
      </c>
      <c r="B297" s="415">
        <f t="shared" si="45"/>
        <v>1578274.6299999156</v>
      </c>
      <c r="C297" s="415">
        <f t="shared" si="46"/>
        <v>950655.03000004753</v>
      </c>
      <c r="D297" s="415">
        <f t="shared" si="47"/>
        <v>36398.529999999009</v>
      </c>
      <c r="E297" s="415">
        <f t="shared" si="50"/>
        <v>2565328.1899999618</v>
      </c>
      <c r="F297" s="413">
        <f t="shared" si="48"/>
        <v>2853567.5899999621</v>
      </c>
      <c r="G297" s="418">
        <f t="shared" si="49"/>
        <v>1755609.0099999153</v>
      </c>
      <c r="H297" s="417">
        <f t="shared" si="49"/>
        <v>1057470.0900000476</v>
      </c>
    </row>
    <row r="298" spans="1:11" x14ac:dyDescent="0.2">
      <c r="A298" s="414">
        <v>43861</v>
      </c>
      <c r="B298" s="415">
        <f t="shared" si="45"/>
        <v>1548718.8999999156</v>
      </c>
      <c r="C298" s="415">
        <f t="shared" si="46"/>
        <v>932852.52000004752</v>
      </c>
      <c r="D298" s="415">
        <f t="shared" si="47"/>
        <v>35716.869999999006</v>
      </c>
      <c r="E298" s="415">
        <f t="shared" si="50"/>
        <v>2517288.2899999623</v>
      </c>
      <c r="F298" s="413">
        <f t="shared" si="48"/>
        <v>2805527.6899999618</v>
      </c>
      <c r="G298" s="418">
        <f t="shared" si="49"/>
        <v>1726053.2799999155</v>
      </c>
      <c r="H298" s="417">
        <f t="shared" si="49"/>
        <v>1039667.5800000476</v>
      </c>
    </row>
    <row r="299" spans="1:11" x14ac:dyDescent="0.2">
      <c r="A299" s="414">
        <v>43890</v>
      </c>
      <c r="B299" s="415">
        <f t="shared" si="45"/>
        <v>1519163.1699999156</v>
      </c>
      <c r="C299" s="415">
        <f t="shared" si="46"/>
        <v>915050.01000004751</v>
      </c>
      <c r="D299" s="415">
        <f t="shared" si="47"/>
        <v>35035.209999999002</v>
      </c>
      <c r="E299" s="415">
        <f t="shared" si="50"/>
        <v>2469248.3899999624</v>
      </c>
      <c r="F299" s="413">
        <f t="shared" si="48"/>
        <v>2757487.7899999619</v>
      </c>
      <c r="G299" s="418">
        <f t="shared" si="49"/>
        <v>1696497.5499999158</v>
      </c>
      <c r="H299" s="417">
        <f t="shared" si="49"/>
        <v>1021865.0700000477</v>
      </c>
    </row>
    <row r="300" spans="1:11" x14ac:dyDescent="0.2">
      <c r="A300" s="414">
        <v>43921</v>
      </c>
      <c r="B300" s="415">
        <f t="shared" si="45"/>
        <v>1489607.4399999157</v>
      </c>
      <c r="C300" s="415">
        <f t="shared" si="46"/>
        <v>897247.5000000475</v>
      </c>
      <c r="D300" s="415">
        <f t="shared" si="47"/>
        <v>34353.549999998999</v>
      </c>
      <c r="E300" s="415">
        <f t="shared" si="50"/>
        <v>2421208.489999962</v>
      </c>
      <c r="F300" s="413">
        <f t="shared" si="48"/>
        <v>2709447.8899999619</v>
      </c>
      <c r="G300" s="418">
        <f t="shared" si="49"/>
        <v>1666941.8199999155</v>
      </c>
      <c r="H300" s="417">
        <f t="shared" si="49"/>
        <v>1004062.5600000476</v>
      </c>
      <c r="I300" s="293" t="s">
        <v>570</v>
      </c>
      <c r="J300" s="293" t="s">
        <v>562</v>
      </c>
      <c r="K300" s="293" t="s">
        <v>563</v>
      </c>
    </row>
    <row r="301" spans="1:11" x14ac:dyDescent="0.2">
      <c r="A301" s="414">
        <v>43951</v>
      </c>
      <c r="B301" s="415">
        <f t="shared" si="45"/>
        <v>1460051.7099999157</v>
      </c>
      <c r="C301" s="415">
        <f t="shared" si="46"/>
        <v>879444.99000004749</v>
      </c>
      <c r="D301" s="415">
        <f t="shared" si="47"/>
        <v>33671.889999998995</v>
      </c>
      <c r="E301" s="415">
        <f t="shared" si="50"/>
        <v>2373168.5899999621</v>
      </c>
      <c r="F301" s="413">
        <f t="shared" si="48"/>
        <v>2661407.9899999616</v>
      </c>
      <c r="G301" s="418">
        <f t="shared" si="49"/>
        <v>1637386.0899999153</v>
      </c>
      <c r="H301" s="417">
        <f t="shared" si="49"/>
        <v>986260.05000004778</v>
      </c>
      <c r="I301" s="419">
        <v>43646</v>
      </c>
      <c r="J301" s="420">
        <f>B291</f>
        <v>1755609.0099999155</v>
      </c>
      <c r="K301" s="420">
        <f>C291</f>
        <v>1057470.0900000476</v>
      </c>
    </row>
    <row r="302" spans="1:11" x14ac:dyDescent="0.2">
      <c r="A302" s="414">
        <v>43982</v>
      </c>
      <c r="B302" s="415">
        <f t="shared" si="45"/>
        <v>1430495.9799999157</v>
      </c>
      <c r="C302" s="415">
        <f t="shared" si="46"/>
        <v>861642.48000004748</v>
      </c>
      <c r="D302" s="415">
        <f t="shared" si="47"/>
        <v>32990.229999998992</v>
      </c>
      <c r="E302" s="415">
        <f t="shared" si="50"/>
        <v>2325128.6899999622</v>
      </c>
      <c r="F302" s="413">
        <f t="shared" si="48"/>
        <v>2613368.0899999621</v>
      </c>
      <c r="G302" s="418">
        <f t="shared" ref="G302:H317" si="51">(B290+B302+SUM(B291:B301)*2)/24</f>
        <v>1607830.3599999156</v>
      </c>
      <c r="H302" s="417">
        <f t="shared" si="51"/>
        <v>968457.54000004753</v>
      </c>
      <c r="I302" s="419">
        <v>44012</v>
      </c>
      <c r="J302" s="421">
        <f>B303</f>
        <v>1400940.2499999157</v>
      </c>
      <c r="K302" s="421">
        <f>C303</f>
        <v>843839.97000004747</v>
      </c>
    </row>
    <row r="303" spans="1:11" ht="13.5" thickBot="1" x14ac:dyDescent="0.25">
      <c r="A303" s="414">
        <v>44012</v>
      </c>
      <c r="B303" s="415">
        <f t="shared" si="45"/>
        <v>1400940.2499999157</v>
      </c>
      <c r="C303" s="415">
        <f t="shared" si="46"/>
        <v>843839.97000004747</v>
      </c>
      <c r="D303" s="415">
        <f t="shared" si="47"/>
        <v>32308.569999998992</v>
      </c>
      <c r="E303" s="415">
        <f t="shared" si="50"/>
        <v>2277088.7899999623</v>
      </c>
      <c r="F303" s="413">
        <f t="shared" si="48"/>
        <v>2565328.1899999622</v>
      </c>
      <c r="G303" s="418">
        <f t="shared" si="51"/>
        <v>1578274.6299999158</v>
      </c>
      <c r="H303" s="417">
        <f t="shared" si="51"/>
        <v>950655.03000004741</v>
      </c>
      <c r="I303" s="422" t="s">
        <v>608</v>
      </c>
      <c r="J303" s="423">
        <f>J301-J302</f>
        <v>354668.75999999978</v>
      </c>
      <c r="K303" s="423">
        <f>K301-K302</f>
        <v>213630.12000000011</v>
      </c>
    </row>
    <row r="304" spans="1:11" ht="13.5" thickTop="1" x14ac:dyDescent="0.2">
      <c r="A304" s="414">
        <v>44043</v>
      </c>
      <c r="B304" s="415">
        <f>B303-$B$13</f>
        <v>1371384.5199999157</v>
      </c>
      <c r="C304" s="415">
        <f>C303-$C$13</f>
        <v>826037.46000004746</v>
      </c>
      <c r="D304" s="415">
        <f>D303-$D$13</f>
        <v>31626.909999998992</v>
      </c>
      <c r="E304" s="415">
        <f t="shared" si="50"/>
        <v>2229048.8899999624</v>
      </c>
      <c r="F304" s="413">
        <f t="shared" si="48"/>
        <v>2517288.2899999619</v>
      </c>
      <c r="G304" s="418">
        <f t="shared" si="51"/>
        <v>1548718.8999999156</v>
      </c>
      <c r="H304" s="417">
        <f t="shared" si="51"/>
        <v>932852.5200000474</v>
      </c>
    </row>
    <row r="305" spans="1:9" x14ac:dyDescent="0.2">
      <c r="A305" s="414">
        <v>44074</v>
      </c>
      <c r="B305" s="415">
        <f t="shared" ref="B305:B350" si="52">B304-$B$13</f>
        <v>1341828.7899999158</v>
      </c>
      <c r="C305" s="415">
        <f t="shared" ref="C305:C350" si="53">C304-$C$13</f>
        <v>808234.95000004745</v>
      </c>
      <c r="D305" s="415">
        <f t="shared" ref="D305:D350" si="54">D304-$D$13</f>
        <v>30945.249999998992</v>
      </c>
      <c r="E305" s="415">
        <f t="shared" si="50"/>
        <v>2181008.989999962</v>
      </c>
      <c r="F305" s="413">
        <f t="shared" si="48"/>
        <v>2469248.3899999619</v>
      </c>
      <c r="G305" s="418">
        <f t="shared" si="51"/>
        <v>1519163.1699999154</v>
      </c>
      <c r="H305" s="417">
        <f t="shared" si="51"/>
        <v>915050.01000004762</v>
      </c>
    </row>
    <row r="306" spans="1:9" x14ac:dyDescent="0.2">
      <c r="A306" s="414">
        <v>44104</v>
      </c>
      <c r="B306" s="415">
        <f t="shared" si="52"/>
        <v>1312273.0599999158</v>
      </c>
      <c r="C306" s="415">
        <f t="shared" si="53"/>
        <v>790432.44000004744</v>
      </c>
      <c r="D306" s="415">
        <f t="shared" si="54"/>
        <v>30263.589999998992</v>
      </c>
      <c r="E306" s="415">
        <f t="shared" ref="E306:E310" si="55">SUM(B306:D306)</f>
        <v>2132969.0899999621</v>
      </c>
      <c r="F306" s="413">
        <f t="shared" si="48"/>
        <v>2421208.4899999616</v>
      </c>
      <c r="G306" s="418">
        <f t="shared" si="51"/>
        <v>1489607.4399999157</v>
      </c>
      <c r="H306" s="417">
        <f t="shared" si="51"/>
        <v>897247.5000000475</v>
      </c>
    </row>
    <row r="307" spans="1:9" x14ac:dyDescent="0.2">
      <c r="A307" s="414">
        <v>44135</v>
      </c>
      <c r="B307" s="415">
        <f t="shared" si="52"/>
        <v>1282717.3299999158</v>
      </c>
      <c r="C307" s="415">
        <f t="shared" si="53"/>
        <v>772629.93000004743</v>
      </c>
      <c r="D307" s="415">
        <f t="shared" si="54"/>
        <v>29581.929999998993</v>
      </c>
      <c r="E307" s="415">
        <f t="shared" si="55"/>
        <v>2084929.1899999622</v>
      </c>
      <c r="F307" s="413">
        <f t="shared" si="48"/>
        <v>2373168.5899999621</v>
      </c>
      <c r="G307" s="418">
        <f t="shared" si="51"/>
        <v>1460051.7099999154</v>
      </c>
      <c r="H307" s="417">
        <f t="shared" si="51"/>
        <v>879444.99000004737</v>
      </c>
    </row>
    <row r="308" spans="1:9" x14ac:dyDescent="0.2">
      <c r="A308" s="414">
        <v>44165</v>
      </c>
      <c r="B308" s="415">
        <f t="shared" si="52"/>
        <v>1253161.5999999158</v>
      </c>
      <c r="C308" s="415">
        <f t="shared" si="53"/>
        <v>754827.42000004742</v>
      </c>
      <c r="D308" s="415">
        <f t="shared" si="54"/>
        <v>28900.269999998993</v>
      </c>
      <c r="E308" s="415">
        <f t="shared" si="55"/>
        <v>2036889.2899999623</v>
      </c>
      <c r="F308" s="413">
        <f t="shared" si="48"/>
        <v>2325128.6899999622</v>
      </c>
      <c r="G308" s="418">
        <f t="shared" si="51"/>
        <v>1430495.9799999157</v>
      </c>
      <c r="H308" s="417">
        <f t="shared" si="51"/>
        <v>861642.48000004748</v>
      </c>
      <c r="I308" s="270"/>
    </row>
    <row r="309" spans="1:9" x14ac:dyDescent="0.2">
      <c r="A309" s="414">
        <v>44196</v>
      </c>
      <c r="B309" s="415">
        <f t="shared" si="52"/>
        <v>1223605.8699999158</v>
      </c>
      <c r="C309" s="415">
        <f t="shared" si="53"/>
        <v>737024.91000004741</v>
      </c>
      <c r="D309" s="415">
        <f t="shared" si="54"/>
        <v>28218.609999998993</v>
      </c>
      <c r="E309" s="415">
        <f t="shared" si="55"/>
        <v>1988849.3899999622</v>
      </c>
      <c r="F309" s="413">
        <f t="shared" si="48"/>
        <v>2277088.7899999619</v>
      </c>
      <c r="G309" s="418">
        <f t="shared" si="51"/>
        <v>1400940.2499999155</v>
      </c>
      <c r="H309" s="417">
        <f t="shared" si="51"/>
        <v>843839.97000004759</v>
      </c>
      <c r="I309" s="270"/>
    </row>
    <row r="310" spans="1:9" x14ac:dyDescent="0.2">
      <c r="A310" s="414">
        <v>44227</v>
      </c>
      <c r="B310" s="415">
        <f t="shared" si="52"/>
        <v>1194050.1399999158</v>
      </c>
      <c r="C310" s="415">
        <f t="shared" si="53"/>
        <v>719222.4000000474</v>
      </c>
      <c r="D310" s="415">
        <f t="shared" si="54"/>
        <v>27536.949999998993</v>
      </c>
      <c r="E310" s="415">
        <f t="shared" si="55"/>
        <v>1940809.4899999623</v>
      </c>
      <c r="F310" s="413">
        <f t="shared" si="48"/>
        <v>2229048.8899999619</v>
      </c>
      <c r="G310" s="418">
        <f t="shared" si="51"/>
        <v>1371384.5199999155</v>
      </c>
      <c r="H310" s="417">
        <f t="shared" si="51"/>
        <v>826037.46000004746</v>
      </c>
      <c r="I310" s="270"/>
    </row>
    <row r="311" spans="1:9" x14ac:dyDescent="0.2">
      <c r="A311" s="414">
        <v>44255</v>
      </c>
      <c r="B311" s="415">
        <f t="shared" si="52"/>
        <v>1164494.4099999159</v>
      </c>
      <c r="C311" s="415">
        <f t="shared" si="53"/>
        <v>701419.8900000474</v>
      </c>
      <c r="D311" s="415">
        <f t="shared" si="54"/>
        <v>26855.289999998993</v>
      </c>
      <c r="E311" s="415">
        <f t="shared" ref="E311:E312" si="56">SUM(B311:D311)</f>
        <v>1892769.5899999624</v>
      </c>
      <c r="F311" s="413">
        <f t="shared" si="48"/>
        <v>2181008.9899999616</v>
      </c>
      <c r="G311" s="418">
        <f t="shared" si="51"/>
        <v>1341828.7899999158</v>
      </c>
      <c r="H311" s="417">
        <f t="shared" si="51"/>
        <v>808234.95000004757</v>
      </c>
      <c r="I311" s="270"/>
    </row>
    <row r="312" spans="1:9" x14ac:dyDescent="0.2">
      <c r="A312" s="414">
        <v>44286</v>
      </c>
      <c r="B312" s="415">
        <f t="shared" si="52"/>
        <v>1134938.6799999159</v>
      </c>
      <c r="C312" s="415">
        <f t="shared" si="53"/>
        <v>683617.38000004739</v>
      </c>
      <c r="D312" s="415">
        <f t="shared" si="54"/>
        <v>26173.629999998993</v>
      </c>
      <c r="E312" s="415">
        <f t="shared" si="56"/>
        <v>1844729.6899999622</v>
      </c>
      <c r="F312" s="413">
        <f t="shared" si="48"/>
        <v>2132969.0899999621</v>
      </c>
      <c r="G312" s="418">
        <f t="shared" si="51"/>
        <v>1312273.0599999158</v>
      </c>
      <c r="H312" s="417">
        <f t="shared" si="51"/>
        <v>790432.44000004744</v>
      </c>
      <c r="I312" s="270"/>
    </row>
    <row r="313" spans="1:9" x14ac:dyDescent="0.2">
      <c r="A313" s="414">
        <v>44316</v>
      </c>
      <c r="B313" s="415">
        <f t="shared" si="52"/>
        <v>1105382.9499999159</v>
      </c>
      <c r="C313" s="415">
        <f t="shared" si="53"/>
        <v>665814.87000004738</v>
      </c>
      <c r="D313" s="415">
        <f t="shared" si="54"/>
        <v>25491.969999998993</v>
      </c>
      <c r="E313" s="415">
        <f t="shared" ref="E313:E315" si="57">SUM(B313:D313)</f>
        <v>1796689.7899999623</v>
      </c>
      <c r="F313" s="413">
        <f t="shared" si="48"/>
        <v>2084929.1899999622</v>
      </c>
      <c r="G313" s="418">
        <f t="shared" si="51"/>
        <v>1282717.3299999156</v>
      </c>
      <c r="H313" s="417">
        <f t="shared" si="51"/>
        <v>772629.93000004755</v>
      </c>
      <c r="I313" s="270"/>
    </row>
    <row r="314" spans="1:9" x14ac:dyDescent="0.2">
      <c r="A314" s="414">
        <v>44347</v>
      </c>
      <c r="B314" s="415">
        <f t="shared" si="52"/>
        <v>1075827.2199999159</v>
      </c>
      <c r="C314" s="415">
        <f t="shared" si="53"/>
        <v>648012.36000004737</v>
      </c>
      <c r="D314" s="415">
        <f t="shared" si="54"/>
        <v>24810.309999998994</v>
      </c>
      <c r="E314" s="415">
        <f t="shared" si="57"/>
        <v>1748649.8899999622</v>
      </c>
      <c r="F314" s="413">
        <f t="shared" si="48"/>
        <v>2036889.2899999619</v>
      </c>
      <c r="G314" s="418">
        <f t="shared" si="51"/>
        <v>1253161.5999999156</v>
      </c>
      <c r="H314" s="417">
        <f t="shared" si="51"/>
        <v>754827.42000004742</v>
      </c>
      <c r="I314" s="270"/>
    </row>
    <row r="315" spans="1:9" x14ac:dyDescent="0.2">
      <c r="A315" s="414">
        <v>44377</v>
      </c>
      <c r="B315" s="415">
        <f t="shared" si="52"/>
        <v>1046271.4899999159</v>
      </c>
      <c r="C315" s="415">
        <f t="shared" si="53"/>
        <v>630209.85000004736</v>
      </c>
      <c r="D315" s="415">
        <f t="shared" si="54"/>
        <v>24128.649999998994</v>
      </c>
      <c r="E315" s="415">
        <f t="shared" si="57"/>
        <v>1700609.9899999623</v>
      </c>
      <c r="F315" s="413">
        <f t="shared" si="48"/>
        <v>1988849.3899999624</v>
      </c>
      <c r="G315" s="418">
        <f t="shared" si="51"/>
        <v>1223605.8699999156</v>
      </c>
      <c r="H315" s="417">
        <f t="shared" si="51"/>
        <v>737024.9100000473</v>
      </c>
      <c r="I315" s="270"/>
    </row>
    <row r="316" spans="1:9" x14ac:dyDescent="0.2">
      <c r="A316" s="414">
        <v>44408</v>
      </c>
      <c r="B316" s="415">
        <f t="shared" si="52"/>
        <v>1016715.759999916</v>
      </c>
      <c r="C316" s="415">
        <f t="shared" si="53"/>
        <v>612407.34000004735</v>
      </c>
      <c r="D316" s="415">
        <f t="shared" si="54"/>
        <v>23446.989999998994</v>
      </c>
      <c r="E316" s="415">
        <f t="shared" ref="E316" si="58">SUM(B316:D316)</f>
        <v>1652570.0899999624</v>
      </c>
      <c r="F316" s="413">
        <f t="shared" si="48"/>
        <v>1940809.489999962</v>
      </c>
      <c r="G316" s="418">
        <f t="shared" si="51"/>
        <v>1194050.1399999158</v>
      </c>
      <c r="H316" s="417">
        <f t="shared" si="51"/>
        <v>719222.4000000474</v>
      </c>
      <c r="I316" s="270"/>
    </row>
    <row r="317" spans="1:9" x14ac:dyDescent="0.2">
      <c r="A317" s="414">
        <v>44439</v>
      </c>
      <c r="B317" s="415">
        <f t="shared" si="52"/>
        <v>987160.02999991598</v>
      </c>
      <c r="C317" s="415">
        <f t="shared" si="53"/>
        <v>594604.83000004734</v>
      </c>
      <c r="D317" s="415">
        <f t="shared" si="54"/>
        <v>22765.329999998994</v>
      </c>
      <c r="E317" s="415">
        <f t="shared" ref="E317:E318" si="59">SUM(B317:D317)</f>
        <v>1604530.1899999622</v>
      </c>
      <c r="F317" s="413">
        <f t="shared" si="48"/>
        <v>1892769.5899999624</v>
      </c>
      <c r="G317" s="418">
        <f t="shared" si="51"/>
        <v>1164494.4099999159</v>
      </c>
      <c r="H317" s="417">
        <f t="shared" si="51"/>
        <v>701419.89000004751</v>
      </c>
      <c r="I317" s="270"/>
    </row>
    <row r="318" spans="1:9" x14ac:dyDescent="0.2">
      <c r="A318" s="414">
        <v>44469</v>
      </c>
      <c r="B318" s="415">
        <f t="shared" si="52"/>
        <v>957604.29999991599</v>
      </c>
      <c r="C318" s="415">
        <f t="shared" si="53"/>
        <v>576802.32000004733</v>
      </c>
      <c r="D318" s="415">
        <f t="shared" si="54"/>
        <v>22083.669999998994</v>
      </c>
      <c r="E318" s="415">
        <f t="shared" si="59"/>
        <v>1556490.2899999623</v>
      </c>
      <c r="F318" s="413">
        <f t="shared" si="48"/>
        <v>1844729.6899999622</v>
      </c>
      <c r="G318" s="418">
        <f t="shared" ref="G318:H333" si="60">(B306+B318+SUM(B307:B317)*2)/24</f>
        <v>1134938.6799999157</v>
      </c>
      <c r="H318" s="417">
        <f t="shared" si="60"/>
        <v>683617.3800000475</v>
      </c>
      <c r="I318" s="270"/>
    </row>
    <row r="319" spans="1:9" x14ac:dyDescent="0.2">
      <c r="A319" s="414">
        <v>44500</v>
      </c>
      <c r="B319" s="415">
        <f t="shared" si="52"/>
        <v>928048.56999991601</v>
      </c>
      <c r="C319" s="415">
        <f t="shared" si="53"/>
        <v>558999.81000004732</v>
      </c>
      <c r="D319" s="415">
        <f t="shared" si="54"/>
        <v>21402.009999998994</v>
      </c>
      <c r="E319" s="415">
        <f t="shared" ref="E319:E351" si="61">SUM(B319:D319)</f>
        <v>1508450.3899999624</v>
      </c>
      <c r="F319" s="413">
        <f t="shared" si="48"/>
        <v>1796689.7899999621</v>
      </c>
      <c r="G319" s="418">
        <f t="shared" si="60"/>
        <v>1105382.9499999159</v>
      </c>
      <c r="H319" s="417">
        <f t="shared" si="60"/>
        <v>665814.87000004749</v>
      </c>
      <c r="I319" s="270"/>
    </row>
    <row r="320" spans="1:9" x14ac:dyDescent="0.2">
      <c r="A320" s="414">
        <v>44530</v>
      </c>
      <c r="B320" s="415">
        <f t="shared" si="52"/>
        <v>898492.83999991603</v>
      </c>
      <c r="C320" s="415">
        <f t="shared" si="53"/>
        <v>541197.30000004731</v>
      </c>
      <c r="D320" s="415">
        <f t="shared" si="54"/>
        <v>20720.349999998994</v>
      </c>
      <c r="E320" s="415">
        <f t="shared" si="61"/>
        <v>1460410.4899999623</v>
      </c>
      <c r="F320" s="413">
        <f t="shared" si="48"/>
        <v>1748649.8899999624</v>
      </c>
      <c r="G320" s="418">
        <f t="shared" si="60"/>
        <v>1075827.2199999159</v>
      </c>
      <c r="H320" s="417">
        <f t="shared" si="60"/>
        <v>648012.36000004737</v>
      </c>
      <c r="I320" s="270"/>
    </row>
    <row r="321" spans="1:9" x14ac:dyDescent="0.2">
      <c r="A321" s="414">
        <v>44561</v>
      </c>
      <c r="B321" s="415">
        <f t="shared" si="52"/>
        <v>868937.10999991605</v>
      </c>
      <c r="C321" s="415">
        <f t="shared" si="53"/>
        <v>523394.7900000473</v>
      </c>
      <c r="D321" s="415">
        <f t="shared" si="54"/>
        <v>20038.689999998995</v>
      </c>
      <c r="E321" s="415">
        <f t="shared" si="61"/>
        <v>1412370.5899999624</v>
      </c>
      <c r="F321" s="413">
        <f t="shared" si="48"/>
        <v>1700609.989999962</v>
      </c>
      <c r="G321" s="418">
        <f t="shared" si="60"/>
        <v>1046271.4899999161</v>
      </c>
      <c r="H321" s="417">
        <f t="shared" si="60"/>
        <v>630209.85000004736</v>
      </c>
      <c r="I321" s="270"/>
    </row>
    <row r="322" spans="1:9" x14ac:dyDescent="0.2">
      <c r="A322" s="414">
        <v>44592</v>
      </c>
      <c r="B322" s="415">
        <f t="shared" si="52"/>
        <v>839381.37999991607</v>
      </c>
      <c r="C322" s="415">
        <f t="shared" si="53"/>
        <v>505592.28000004729</v>
      </c>
      <c r="D322" s="415">
        <f t="shared" si="54"/>
        <v>19357.029999998995</v>
      </c>
      <c r="E322" s="415">
        <f t="shared" si="61"/>
        <v>1364330.6899999625</v>
      </c>
      <c r="F322" s="413">
        <f t="shared" si="48"/>
        <v>1652570.0899999624</v>
      </c>
      <c r="G322" s="418">
        <f t="shared" si="60"/>
        <v>1016715.7599999158</v>
      </c>
      <c r="H322" s="417">
        <f t="shared" si="60"/>
        <v>612407.34000004746</v>
      </c>
      <c r="I322" s="270"/>
    </row>
    <row r="323" spans="1:9" x14ac:dyDescent="0.2">
      <c r="A323" s="414">
        <v>44620</v>
      </c>
      <c r="B323" s="415">
        <f t="shared" si="52"/>
        <v>809825.64999991609</v>
      </c>
      <c r="C323" s="415">
        <f t="shared" si="53"/>
        <v>487789.77000004728</v>
      </c>
      <c r="D323" s="415">
        <f t="shared" si="54"/>
        <v>18675.369999998995</v>
      </c>
      <c r="E323" s="415">
        <f t="shared" si="61"/>
        <v>1316290.7899999623</v>
      </c>
      <c r="F323" s="413">
        <f t="shared" si="48"/>
        <v>1604530.1899999622</v>
      </c>
      <c r="G323" s="418">
        <f t="shared" si="60"/>
        <v>987160.02999991586</v>
      </c>
      <c r="H323" s="417">
        <f t="shared" si="60"/>
        <v>594604.83000004734</v>
      </c>
      <c r="I323" s="270"/>
    </row>
    <row r="324" spans="1:9" x14ac:dyDescent="0.2">
      <c r="A324" s="414">
        <v>44651</v>
      </c>
      <c r="B324" s="415">
        <f t="shared" si="52"/>
        <v>780269.91999991611</v>
      </c>
      <c r="C324" s="415">
        <f t="shared" si="53"/>
        <v>469987.26000004727</v>
      </c>
      <c r="D324" s="415">
        <f t="shared" si="54"/>
        <v>17993.709999998995</v>
      </c>
      <c r="E324" s="415">
        <f t="shared" si="61"/>
        <v>1268250.8899999624</v>
      </c>
      <c r="F324" s="413">
        <f t="shared" si="48"/>
        <v>1556490.2899999621</v>
      </c>
      <c r="G324" s="418">
        <f t="shared" si="60"/>
        <v>957604.29999991599</v>
      </c>
      <c r="H324" s="417">
        <f t="shared" si="60"/>
        <v>576802.32000004733</v>
      </c>
      <c r="I324" s="270"/>
    </row>
    <row r="325" spans="1:9" x14ac:dyDescent="0.2">
      <c r="A325" s="414">
        <v>44681</v>
      </c>
      <c r="B325" s="415">
        <f t="shared" si="52"/>
        <v>750714.18999991613</v>
      </c>
      <c r="C325" s="415">
        <f t="shared" si="53"/>
        <v>452184.75000004726</v>
      </c>
      <c r="D325" s="415">
        <f t="shared" si="54"/>
        <v>17312.049999998995</v>
      </c>
      <c r="E325" s="415">
        <f t="shared" si="61"/>
        <v>1220210.9899999623</v>
      </c>
      <c r="F325" s="413">
        <f t="shared" si="48"/>
        <v>1508450.3899999624</v>
      </c>
      <c r="G325" s="418">
        <f t="shared" si="60"/>
        <v>928048.56999991601</v>
      </c>
      <c r="H325" s="417">
        <f t="shared" si="60"/>
        <v>558999.8100000472</v>
      </c>
      <c r="I325" s="270"/>
    </row>
    <row r="326" spans="1:9" x14ac:dyDescent="0.2">
      <c r="A326" s="414">
        <v>44712</v>
      </c>
      <c r="B326" s="415">
        <f t="shared" si="52"/>
        <v>721158.45999991614</v>
      </c>
      <c r="C326" s="415">
        <f t="shared" si="53"/>
        <v>434382.24000004726</v>
      </c>
      <c r="D326" s="415">
        <f t="shared" si="54"/>
        <v>16630.389999998995</v>
      </c>
      <c r="E326" s="415">
        <f t="shared" si="61"/>
        <v>1172171.0899999624</v>
      </c>
      <c r="F326" s="413">
        <f t="shared" si="48"/>
        <v>1460410.4899999623</v>
      </c>
      <c r="G326" s="418">
        <f t="shared" si="60"/>
        <v>898492.83999991592</v>
      </c>
      <c r="H326" s="417">
        <f t="shared" si="60"/>
        <v>541197.30000004743</v>
      </c>
      <c r="I326" s="270"/>
    </row>
    <row r="327" spans="1:9" x14ac:dyDescent="0.2">
      <c r="A327" s="414">
        <v>44742</v>
      </c>
      <c r="B327" s="415">
        <f t="shared" si="52"/>
        <v>691602.72999991616</v>
      </c>
      <c r="C327" s="415">
        <f t="shared" si="53"/>
        <v>416579.73000004725</v>
      </c>
      <c r="D327" s="415">
        <f t="shared" si="54"/>
        <v>15948.729999998995</v>
      </c>
      <c r="E327" s="415">
        <f t="shared" si="61"/>
        <v>1124131.1899999625</v>
      </c>
      <c r="F327" s="413">
        <f t="shared" si="48"/>
        <v>1412370.5899999624</v>
      </c>
      <c r="G327" s="418">
        <f t="shared" si="60"/>
        <v>868937.10999991605</v>
      </c>
      <c r="H327" s="417">
        <f t="shared" si="60"/>
        <v>523394.79000004736</v>
      </c>
      <c r="I327" s="270"/>
    </row>
    <row r="328" spans="1:9" x14ac:dyDescent="0.2">
      <c r="A328" s="414">
        <v>44773</v>
      </c>
      <c r="B328" s="415">
        <f t="shared" si="52"/>
        <v>662046.99999991618</v>
      </c>
      <c r="C328" s="415">
        <f t="shared" si="53"/>
        <v>398777.22000004724</v>
      </c>
      <c r="D328" s="415">
        <f t="shared" si="54"/>
        <v>15267.069999998996</v>
      </c>
      <c r="E328" s="415">
        <f t="shared" si="61"/>
        <v>1076091.2899999623</v>
      </c>
      <c r="F328" s="413">
        <f t="shared" si="48"/>
        <v>1364330.6899999625</v>
      </c>
      <c r="G328" s="418">
        <f t="shared" si="60"/>
        <v>839381.37999991607</v>
      </c>
      <c r="H328" s="417">
        <f t="shared" si="60"/>
        <v>505592.28000004729</v>
      </c>
      <c r="I328" s="270"/>
    </row>
    <row r="329" spans="1:9" x14ac:dyDescent="0.2">
      <c r="A329" s="414">
        <v>44804</v>
      </c>
      <c r="B329" s="415">
        <f t="shared" si="52"/>
        <v>632491.2699999162</v>
      </c>
      <c r="C329" s="415">
        <f t="shared" si="53"/>
        <v>380974.71000004723</v>
      </c>
      <c r="D329" s="415">
        <f t="shared" si="54"/>
        <v>14585.409999998996</v>
      </c>
      <c r="E329" s="415">
        <f t="shared" si="61"/>
        <v>1028051.3899999624</v>
      </c>
      <c r="F329" s="413">
        <f t="shared" si="48"/>
        <v>1316290.7899999626</v>
      </c>
      <c r="G329" s="418">
        <f t="shared" si="60"/>
        <v>809825.64999991609</v>
      </c>
      <c r="H329" s="417">
        <f t="shared" si="60"/>
        <v>487789.77000004728</v>
      </c>
      <c r="I329" s="270"/>
    </row>
    <row r="330" spans="1:9" x14ac:dyDescent="0.2">
      <c r="A330" s="414">
        <v>44834</v>
      </c>
      <c r="B330" s="415">
        <f t="shared" si="52"/>
        <v>602935.53999991622</v>
      </c>
      <c r="C330" s="415">
        <f t="shared" si="53"/>
        <v>363172.20000004722</v>
      </c>
      <c r="D330" s="415">
        <f t="shared" si="54"/>
        <v>13903.749999998996</v>
      </c>
      <c r="E330" s="415">
        <f t="shared" si="61"/>
        <v>980011.48999996239</v>
      </c>
      <c r="F330" s="413">
        <f t="shared" si="48"/>
        <v>1268250.8899999624</v>
      </c>
      <c r="G330" s="418">
        <f t="shared" si="60"/>
        <v>780269.91999991599</v>
      </c>
      <c r="H330" s="417">
        <f t="shared" si="60"/>
        <v>469987.26000004733</v>
      </c>
      <c r="I330" s="270"/>
    </row>
    <row r="331" spans="1:9" x14ac:dyDescent="0.2">
      <c r="A331" s="414">
        <v>44865</v>
      </c>
      <c r="B331" s="415">
        <f t="shared" si="52"/>
        <v>573379.80999991624</v>
      </c>
      <c r="C331" s="415">
        <f t="shared" si="53"/>
        <v>345369.69000004721</v>
      </c>
      <c r="D331" s="415">
        <f t="shared" si="54"/>
        <v>13222.089999998996</v>
      </c>
      <c r="E331" s="415">
        <f t="shared" si="61"/>
        <v>931971.58999996248</v>
      </c>
      <c r="F331" s="413">
        <f t="shared" si="48"/>
        <v>1220210.9899999623</v>
      </c>
      <c r="G331" s="418">
        <f t="shared" si="60"/>
        <v>750714.18999991613</v>
      </c>
      <c r="H331" s="417">
        <f t="shared" si="60"/>
        <v>452184.75000004726</v>
      </c>
      <c r="I331" s="270"/>
    </row>
    <row r="332" spans="1:9" x14ac:dyDescent="0.2">
      <c r="A332" s="414">
        <v>44895</v>
      </c>
      <c r="B332" s="415">
        <f t="shared" si="52"/>
        <v>543824.07999991626</v>
      </c>
      <c r="C332" s="415">
        <f t="shared" si="53"/>
        <v>327567.1800000472</v>
      </c>
      <c r="D332" s="415">
        <f t="shared" si="54"/>
        <v>12540.429999998996</v>
      </c>
      <c r="E332" s="415">
        <f t="shared" si="61"/>
        <v>883931.68999996246</v>
      </c>
      <c r="F332" s="413">
        <f t="shared" si="48"/>
        <v>1172171.0899999624</v>
      </c>
      <c r="G332" s="418">
        <f t="shared" si="60"/>
        <v>721158.45999991614</v>
      </c>
      <c r="H332" s="417">
        <f t="shared" si="60"/>
        <v>434382.24000004726</v>
      </c>
      <c r="I332" s="270"/>
    </row>
    <row r="333" spans="1:9" x14ac:dyDescent="0.2">
      <c r="A333" s="414">
        <v>44926</v>
      </c>
      <c r="B333" s="415">
        <f t="shared" si="52"/>
        <v>514268.34999991627</v>
      </c>
      <c r="C333" s="415">
        <f t="shared" si="53"/>
        <v>309764.67000004719</v>
      </c>
      <c r="D333" s="415">
        <f t="shared" si="54"/>
        <v>11858.769999998996</v>
      </c>
      <c r="E333" s="415">
        <f t="shared" si="61"/>
        <v>835891.78999996244</v>
      </c>
      <c r="F333" s="413">
        <f t="shared" si="48"/>
        <v>1124131.1899999625</v>
      </c>
      <c r="G333" s="418">
        <f t="shared" si="60"/>
        <v>691602.72999991616</v>
      </c>
      <c r="H333" s="417">
        <f t="shared" si="60"/>
        <v>416579.73000004725</v>
      </c>
      <c r="I333" s="270"/>
    </row>
    <row r="334" spans="1:9" x14ac:dyDescent="0.2">
      <c r="A334" s="414">
        <v>44957</v>
      </c>
      <c r="B334" s="415">
        <f t="shared" si="52"/>
        <v>484712.61999991629</v>
      </c>
      <c r="C334" s="415">
        <f t="shared" si="53"/>
        <v>291962.16000004718</v>
      </c>
      <c r="D334" s="415">
        <f t="shared" si="54"/>
        <v>11177.109999998996</v>
      </c>
      <c r="E334" s="415">
        <f t="shared" si="61"/>
        <v>787851.88999996241</v>
      </c>
      <c r="F334" s="413">
        <f t="shared" si="48"/>
        <v>1076091.2899999623</v>
      </c>
      <c r="G334" s="418">
        <f t="shared" ref="G334:H342" si="62">(B322+B334+SUM(B323:B333)*2)/24</f>
        <v>662046.99999991606</v>
      </c>
      <c r="H334" s="417">
        <f t="shared" si="62"/>
        <v>398777.22000004729</v>
      </c>
      <c r="I334" s="270"/>
    </row>
    <row r="335" spans="1:9" x14ac:dyDescent="0.2">
      <c r="A335" s="414">
        <v>44985</v>
      </c>
      <c r="B335" s="415">
        <f t="shared" si="52"/>
        <v>455156.88999991631</v>
      </c>
      <c r="C335" s="415">
        <f t="shared" si="53"/>
        <v>274159.65000004717</v>
      </c>
      <c r="D335" s="415">
        <f t="shared" si="54"/>
        <v>10495.449999998997</v>
      </c>
      <c r="E335" s="415">
        <f t="shared" si="61"/>
        <v>739811.9899999625</v>
      </c>
      <c r="F335" s="413">
        <f t="shared" si="48"/>
        <v>1028051.3899999624</v>
      </c>
      <c r="G335" s="418">
        <f t="shared" si="62"/>
        <v>632491.2699999162</v>
      </c>
      <c r="H335" s="417">
        <f t="shared" si="62"/>
        <v>380974.71000004723</v>
      </c>
      <c r="I335" s="270"/>
    </row>
    <row r="336" spans="1:9" x14ac:dyDescent="0.2">
      <c r="A336" s="414">
        <v>45016</v>
      </c>
      <c r="B336" s="415">
        <f t="shared" si="52"/>
        <v>425601.15999991633</v>
      </c>
      <c r="C336" s="415">
        <f t="shared" si="53"/>
        <v>256357.14000004716</v>
      </c>
      <c r="D336" s="415">
        <f t="shared" si="54"/>
        <v>9813.7899999989968</v>
      </c>
      <c r="E336" s="415">
        <f t="shared" si="61"/>
        <v>691772.08999996248</v>
      </c>
      <c r="F336" s="413">
        <f t="shared" si="48"/>
        <v>980011.48999996239</v>
      </c>
      <c r="G336" s="418">
        <f t="shared" si="62"/>
        <v>602935.5399999161</v>
      </c>
      <c r="H336" s="417">
        <f t="shared" si="62"/>
        <v>363172.20000004722</v>
      </c>
      <c r="I336" s="270"/>
    </row>
    <row r="337" spans="1:9" x14ac:dyDescent="0.2">
      <c r="A337" s="414">
        <v>45046</v>
      </c>
      <c r="B337" s="415">
        <f t="shared" si="52"/>
        <v>396045.42999991635</v>
      </c>
      <c r="C337" s="415">
        <f t="shared" si="53"/>
        <v>238554.63000004715</v>
      </c>
      <c r="D337" s="415">
        <f t="shared" si="54"/>
        <v>9132.1299999989969</v>
      </c>
      <c r="E337" s="415">
        <f t="shared" si="61"/>
        <v>643732.18999996246</v>
      </c>
      <c r="F337" s="413">
        <f t="shared" si="48"/>
        <v>931971.58999996248</v>
      </c>
      <c r="G337" s="418">
        <f t="shared" si="62"/>
        <v>573379.80999991624</v>
      </c>
      <c r="H337" s="417">
        <f t="shared" si="62"/>
        <v>345369.69000004721</v>
      </c>
      <c r="I337" s="270"/>
    </row>
    <row r="338" spans="1:9" x14ac:dyDescent="0.2">
      <c r="A338" s="414">
        <v>45077</v>
      </c>
      <c r="B338" s="415">
        <f t="shared" si="52"/>
        <v>366489.69999991637</v>
      </c>
      <c r="C338" s="415">
        <f t="shared" si="53"/>
        <v>220752.12000004714</v>
      </c>
      <c r="D338" s="415">
        <f t="shared" si="54"/>
        <v>8450.4699999989971</v>
      </c>
      <c r="E338" s="415">
        <f t="shared" si="61"/>
        <v>595692.28999996255</v>
      </c>
      <c r="F338" s="413">
        <f t="shared" si="48"/>
        <v>883931.68999996234</v>
      </c>
      <c r="G338" s="418">
        <f t="shared" si="62"/>
        <v>543824.07999991626</v>
      </c>
      <c r="H338" s="417">
        <f t="shared" si="62"/>
        <v>327567.18000004726</v>
      </c>
      <c r="I338" s="270"/>
    </row>
    <row r="339" spans="1:9" x14ac:dyDescent="0.2">
      <c r="A339" s="414">
        <v>45107</v>
      </c>
      <c r="B339" s="415">
        <f t="shared" si="52"/>
        <v>336933.96999991639</v>
      </c>
      <c r="C339" s="415">
        <f t="shared" si="53"/>
        <v>202949.61000004713</v>
      </c>
      <c r="D339" s="415">
        <f t="shared" si="54"/>
        <v>7768.8099999989972</v>
      </c>
      <c r="E339" s="415">
        <f t="shared" si="61"/>
        <v>547652.38999996253</v>
      </c>
      <c r="F339" s="413">
        <f t="shared" ref="F339:F342" si="63">(E327+E339+SUM(E328:E338)*2)/24</f>
        <v>835891.78999996232</v>
      </c>
      <c r="G339" s="418">
        <f t="shared" si="62"/>
        <v>514268.34999991627</v>
      </c>
      <c r="H339" s="417">
        <f t="shared" si="62"/>
        <v>309764.67000004719</v>
      </c>
      <c r="I339" s="270"/>
    </row>
    <row r="340" spans="1:9" x14ac:dyDescent="0.2">
      <c r="A340" s="414">
        <v>45138</v>
      </c>
      <c r="B340" s="415">
        <f t="shared" si="52"/>
        <v>307378.2399999164</v>
      </c>
      <c r="C340" s="415">
        <f t="shared" si="53"/>
        <v>185147.10000004712</v>
      </c>
      <c r="D340" s="415">
        <f t="shared" si="54"/>
        <v>7087.1499999989974</v>
      </c>
      <c r="E340" s="415">
        <f t="shared" si="61"/>
        <v>499612.4899999625</v>
      </c>
      <c r="F340" s="413">
        <f t="shared" si="63"/>
        <v>787851.88999996241</v>
      </c>
      <c r="G340" s="418">
        <f t="shared" si="62"/>
        <v>484712.61999991623</v>
      </c>
      <c r="H340" s="417">
        <f t="shared" si="62"/>
        <v>291962.16000004724</v>
      </c>
      <c r="I340" s="270"/>
    </row>
    <row r="341" spans="1:9" x14ac:dyDescent="0.2">
      <c r="A341" s="414">
        <v>45169</v>
      </c>
      <c r="B341" s="415">
        <f t="shared" si="52"/>
        <v>277822.50999991642</v>
      </c>
      <c r="C341" s="415">
        <f t="shared" si="53"/>
        <v>167344.59000004712</v>
      </c>
      <c r="D341" s="415">
        <f t="shared" si="54"/>
        <v>6405.4899999989975</v>
      </c>
      <c r="E341" s="415">
        <f t="shared" si="61"/>
        <v>451572.58999996254</v>
      </c>
      <c r="F341" s="413">
        <f t="shared" si="63"/>
        <v>739811.9899999625</v>
      </c>
      <c r="G341" s="418">
        <f t="shared" si="62"/>
        <v>455156.88999991631</v>
      </c>
      <c r="H341" s="417">
        <f t="shared" si="62"/>
        <v>274159.65000004717</v>
      </c>
      <c r="I341" s="270"/>
    </row>
    <row r="342" spans="1:9" x14ac:dyDescent="0.2">
      <c r="A342" s="414">
        <v>45199</v>
      </c>
      <c r="B342" s="415">
        <f t="shared" si="52"/>
        <v>248266.77999991641</v>
      </c>
      <c r="C342" s="415">
        <f t="shared" si="53"/>
        <v>149542.08000004711</v>
      </c>
      <c r="D342" s="415">
        <f t="shared" si="54"/>
        <v>5723.8299999989977</v>
      </c>
      <c r="E342" s="415">
        <f t="shared" si="61"/>
        <v>403532.68999996257</v>
      </c>
      <c r="F342" s="413">
        <f t="shared" si="63"/>
        <v>691772.08999996248</v>
      </c>
      <c r="G342" s="418">
        <f t="shared" si="62"/>
        <v>425601.15999991633</v>
      </c>
      <c r="H342" s="417">
        <f t="shared" si="62"/>
        <v>256357.14000004716</v>
      </c>
      <c r="I342" s="270"/>
    </row>
    <row r="343" spans="1:9" x14ac:dyDescent="0.2">
      <c r="A343" s="414">
        <v>45230</v>
      </c>
      <c r="B343" s="415">
        <f t="shared" si="52"/>
        <v>218711.0499999164</v>
      </c>
      <c r="C343" s="415">
        <f t="shared" si="53"/>
        <v>131739.5700000471</v>
      </c>
      <c r="D343" s="415">
        <f t="shared" si="54"/>
        <v>5042.1699999989978</v>
      </c>
      <c r="E343" s="415">
        <f t="shared" si="61"/>
        <v>355492.78999996249</v>
      </c>
      <c r="F343" s="413">
        <f>(E331+E343+SUM(E332:E342)*2)/24</f>
        <v>643732.18999996257</v>
      </c>
      <c r="G343" s="418">
        <f>(B331+B343+SUM(B332:B342)*2)/24</f>
        <v>396045.42999991635</v>
      </c>
      <c r="H343" s="417">
        <f>(C331+C343+SUM(C332:C342)*2)/24</f>
        <v>238554.63000004715</v>
      </c>
      <c r="I343" s="270"/>
    </row>
    <row r="344" spans="1:9" x14ac:dyDescent="0.2">
      <c r="A344" s="414">
        <v>45260</v>
      </c>
      <c r="B344" s="415">
        <f t="shared" si="52"/>
        <v>189155.31999991639</v>
      </c>
      <c r="C344" s="415">
        <f t="shared" si="53"/>
        <v>113937.0600000471</v>
      </c>
      <c r="D344" s="415">
        <f t="shared" si="54"/>
        <v>4360.509999998998</v>
      </c>
      <c r="E344" s="415">
        <f t="shared" si="61"/>
        <v>307452.88999996253</v>
      </c>
      <c r="F344" s="413">
        <f>(E332+E344+SUM(E333:E343)*2)/24</f>
        <v>595692.28999996244</v>
      </c>
      <c r="G344" s="418">
        <f>(B332+B344+SUM(B333:B343)*2)/24</f>
        <v>366489.69999991637</v>
      </c>
      <c r="H344" s="417">
        <f>(C332+C344+SUM(C333:C343)*2)/24</f>
        <v>220752.12000004717</v>
      </c>
      <c r="I344" s="270"/>
    </row>
    <row r="345" spans="1:9" x14ac:dyDescent="0.2">
      <c r="A345" s="414">
        <v>45291</v>
      </c>
      <c r="B345" s="415">
        <f t="shared" si="52"/>
        <v>159599.58999991638</v>
      </c>
      <c r="C345" s="415">
        <f t="shared" si="53"/>
        <v>96134.550000047107</v>
      </c>
      <c r="D345" s="415">
        <f t="shared" si="54"/>
        <v>3678.8499999989981</v>
      </c>
      <c r="E345" s="415">
        <f t="shared" si="61"/>
        <v>259412.98999996248</v>
      </c>
      <c r="F345" s="413">
        <f t="shared" ref="F345:F349" si="64">(E333+E345+SUM(E334:E344)*2)/24</f>
        <v>547652.38999996253</v>
      </c>
      <c r="G345" s="418">
        <f t="shared" ref="G345:H349" si="65">(B333+B345+SUM(B334:B344)*2)/24</f>
        <v>336933.96999991639</v>
      </c>
      <c r="H345" s="417">
        <f t="shared" si="65"/>
        <v>202949.61000004713</v>
      </c>
      <c r="I345" s="270"/>
    </row>
    <row r="346" spans="1:9" x14ac:dyDescent="0.2">
      <c r="A346" s="414">
        <v>45322</v>
      </c>
      <c r="B346" s="415">
        <f t="shared" si="52"/>
        <v>130043.85999991639</v>
      </c>
      <c r="C346" s="415">
        <f t="shared" si="53"/>
        <v>78332.040000047113</v>
      </c>
      <c r="D346" s="415">
        <f t="shared" si="54"/>
        <v>2997.1899999989982</v>
      </c>
      <c r="E346" s="415">
        <f t="shared" si="61"/>
        <v>211373.08999996248</v>
      </c>
      <c r="F346" s="413">
        <f t="shared" si="64"/>
        <v>499612.48999996245</v>
      </c>
      <c r="G346" s="418">
        <f t="shared" si="65"/>
        <v>307378.2399999164</v>
      </c>
      <c r="H346" s="417">
        <f t="shared" si="65"/>
        <v>185147.10000004712</v>
      </c>
      <c r="I346" s="270"/>
    </row>
    <row r="347" spans="1:9" x14ac:dyDescent="0.2">
      <c r="A347" s="414">
        <v>45351</v>
      </c>
      <c r="B347" s="415">
        <f t="shared" si="52"/>
        <v>100488.12999991639</v>
      </c>
      <c r="C347" s="415">
        <f t="shared" si="53"/>
        <v>60529.530000047118</v>
      </c>
      <c r="D347" s="415">
        <f t="shared" si="54"/>
        <v>2315.5299999989984</v>
      </c>
      <c r="E347" s="415">
        <f t="shared" si="61"/>
        <v>163333.18999996252</v>
      </c>
      <c r="F347" s="413">
        <f t="shared" si="64"/>
        <v>451572.58999996254</v>
      </c>
      <c r="G347" s="418">
        <f t="shared" si="65"/>
        <v>277822.50999991642</v>
      </c>
      <c r="H347" s="417">
        <f t="shared" si="65"/>
        <v>167344.59000004712</v>
      </c>
      <c r="I347" s="270"/>
    </row>
    <row r="348" spans="1:9" x14ac:dyDescent="0.2">
      <c r="A348" s="414">
        <v>45382</v>
      </c>
      <c r="B348" s="415">
        <f t="shared" si="52"/>
        <v>70932.399999916393</v>
      </c>
      <c r="C348" s="415">
        <f t="shared" si="53"/>
        <v>42727.020000047123</v>
      </c>
      <c r="D348" s="415">
        <f t="shared" si="54"/>
        <v>1633.8699999989985</v>
      </c>
      <c r="E348" s="415">
        <f t="shared" si="61"/>
        <v>115293.28999996252</v>
      </c>
      <c r="F348" s="413">
        <f t="shared" si="64"/>
        <v>403532.68999996246</v>
      </c>
      <c r="G348" s="418">
        <f t="shared" si="65"/>
        <v>248266.77999991644</v>
      </c>
      <c r="H348" s="417">
        <f t="shared" si="65"/>
        <v>149542.08000004711</v>
      </c>
      <c r="I348" s="270"/>
    </row>
    <row r="349" spans="1:9" x14ac:dyDescent="0.2">
      <c r="A349" s="414">
        <v>45412</v>
      </c>
      <c r="B349" s="415">
        <f t="shared" si="52"/>
        <v>41376.669999916398</v>
      </c>
      <c r="C349" s="415">
        <f t="shared" si="53"/>
        <v>24924.510000047125</v>
      </c>
      <c r="D349" s="415">
        <f t="shared" si="54"/>
        <v>952.20999999899857</v>
      </c>
      <c r="E349" s="415">
        <f t="shared" si="61"/>
        <v>67253.389999962528</v>
      </c>
      <c r="F349" s="413">
        <f t="shared" si="64"/>
        <v>355492.78999996255</v>
      </c>
      <c r="G349" s="418">
        <f t="shared" si="65"/>
        <v>218711.04999991646</v>
      </c>
      <c r="H349" s="417">
        <f t="shared" si="65"/>
        <v>131739.5700000471</v>
      </c>
      <c r="I349" s="270"/>
    </row>
    <row r="350" spans="1:9" x14ac:dyDescent="0.2">
      <c r="A350" s="414">
        <v>45443</v>
      </c>
      <c r="B350" s="415">
        <f t="shared" si="52"/>
        <v>11820.939999916398</v>
      </c>
      <c r="C350" s="415">
        <f t="shared" si="53"/>
        <v>7122.0000000471264</v>
      </c>
      <c r="D350" s="415">
        <f t="shared" si="54"/>
        <v>270.5499999989986</v>
      </c>
      <c r="E350" s="415">
        <f t="shared" si="61"/>
        <v>19213.489999962523</v>
      </c>
      <c r="F350" s="413">
        <f>(E338+E350+SUM(E339:E349)*2)/24</f>
        <v>307452.88999996247</v>
      </c>
      <c r="G350" s="418">
        <f>(B338+B350+SUM(B339:B349)*2)/24</f>
        <v>189155.31999991639</v>
      </c>
      <c r="H350" s="417">
        <f>(C338+C350+SUM(C339:C349)*2)/24</f>
        <v>113937.06000004709</v>
      </c>
      <c r="I350" s="270"/>
    </row>
    <row r="351" spans="1:9" x14ac:dyDescent="0.2">
      <c r="A351" s="414">
        <v>45473</v>
      </c>
      <c r="B351" s="415">
        <v>0</v>
      </c>
      <c r="C351" s="415">
        <v>0</v>
      </c>
      <c r="D351" s="415">
        <v>0</v>
      </c>
      <c r="E351" s="415">
        <f t="shared" si="61"/>
        <v>0</v>
      </c>
      <c r="F351" s="413">
        <f>(E339+E351+SUM(E340:E350)*2)/24</f>
        <v>260614.09041663076</v>
      </c>
      <c r="G351" s="418">
        <f>(B339+B351+SUM(B340:B350)*2)/24</f>
        <v>160338.53958325321</v>
      </c>
      <c r="H351" s="417">
        <f>(C339+C351+SUM(C340:C350)*2)/24</f>
        <v>96579.571250045134</v>
      </c>
      <c r="I351" s="270"/>
    </row>
    <row r="352" spans="1:9" x14ac:dyDescent="0.2">
      <c r="A352" s="414">
        <v>45504</v>
      </c>
      <c r="B352" s="415">
        <v>0</v>
      </c>
      <c r="C352" s="415">
        <v>0</v>
      </c>
      <c r="D352" s="415">
        <v>0</v>
      </c>
      <c r="E352" s="415">
        <f t="shared" ref="E352:E362" si="66">SUM(B352:D352)</f>
        <v>0</v>
      </c>
      <c r="F352" s="413">
        <f t="shared" ref="F352:F363" si="67">(E340+E352+SUM(E341:E351)*2)/24</f>
        <v>216978.05374996722</v>
      </c>
      <c r="G352" s="418">
        <f t="shared" ref="G352:H363" si="68">(B340+B352+SUM(B341:B351)*2)/24</f>
        <v>133492.19749992681</v>
      </c>
      <c r="H352" s="417">
        <f t="shared" si="68"/>
        <v>80408.875000041226</v>
      </c>
      <c r="I352" s="270"/>
    </row>
    <row r="353" spans="1:9" x14ac:dyDescent="0.2">
      <c r="A353" s="414">
        <v>45535</v>
      </c>
      <c r="B353" s="415">
        <v>0</v>
      </c>
      <c r="C353" s="415">
        <v>0</v>
      </c>
      <c r="D353" s="415">
        <v>0</v>
      </c>
      <c r="E353" s="415">
        <f t="shared" si="66"/>
        <v>0</v>
      </c>
      <c r="F353" s="413">
        <f t="shared" si="67"/>
        <v>177345.34208330364</v>
      </c>
      <c r="G353" s="418">
        <f t="shared" si="68"/>
        <v>109108.83291660047</v>
      </c>
      <c r="H353" s="417">
        <f t="shared" si="68"/>
        <v>65721.721250037299</v>
      </c>
      <c r="I353" s="270"/>
    </row>
    <row r="354" spans="1:9" x14ac:dyDescent="0.2">
      <c r="A354" s="414">
        <v>45565</v>
      </c>
      <c r="B354" s="415">
        <v>0</v>
      </c>
      <c r="C354" s="415">
        <v>0</v>
      </c>
      <c r="D354" s="415">
        <v>0</v>
      </c>
      <c r="E354" s="415">
        <f t="shared" si="66"/>
        <v>0</v>
      </c>
      <c r="F354" s="413">
        <f t="shared" si="67"/>
        <v>141715.95541664009</v>
      </c>
      <c r="G354" s="418">
        <f t="shared" si="68"/>
        <v>87188.44583327412</v>
      </c>
      <c r="H354" s="417">
        <f t="shared" si="68"/>
        <v>52518.110000033368</v>
      </c>
      <c r="I354" s="270"/>
    </row>
    <row r="355" spans="1:9" x14ac:dyDescent="0.2">
      <c r="A355" s="414">
        <v>45596</v>
      </c>
      <c r="B355" s="415">
        <v>0</v>
      </c>
      <c r="C355" s="415">
        <v>0</v>
      </c>
      <c r="D355" s="415">
        <v>0</v>
      </c>
      <c r="E355" s="415">
        <f t="shared" si="66"/>
        <v>0</v>
      </c>
      <c r="F355" s="413">
        <f t="shared" si="67"/>
        <v>110089.89374997655</v>
      </c>
      <c r="G355" s="418">
        <f t="shared" si="68"/>
        <v>67731.036249947749</v>
      </c>
      <c r="H355" s="417">
        <f t="shared" si="68"/>
        <v>40798.041250029448</v>
      </c>
    </row>
    <row r="356" spans="1:9" x14ac:dyDescent="0.2">
      <c r="A356" s="414">
        <v>45626</v>
      </c>
      <c r="B356" s="415">
        <v>0</v>
      </c>
      <c r="C356" s="415">
        <v>0</v>
      </c>
      <c r="D356" s="415">
        <v>0</v>
      </c>
      <c r="E356" s="415">
        <f t="shared" si="66"/>
        <v>0</v>
      </c>
      <c r="F356" s="413">
        <f t="shared" si="67"/>
        <v>82467.157083313039</v>
      </c>
      <c r="G356" s="418">
        <f t="shared" si="68"/>
        <v>50736.604166621379</v>
      </c>
      <c r="H356" s="417">
        <f t="shared" si="68"/>
        <v>30561.51500002552</v>
      </c>
    </row>
    <row r="357" spans="1:9" x14ac:dyDescent="0.2">
      <c r="A357" s="414">
        <v>45657</v>
      </c>
      <c r="B357" s="415">
        <v>0</v>
      </c>
      <c r="C357" s="415">
        <v>0</v>
      </c>
      <c r="D357" s="415">
        <v>0</v>
      </c>
      <c r="E357" s="415">
        <f t="shared" si="66"/>
        <v>0</v>
      </c>
      <c r="F357" s="413">
        <f t="shared" si="67"/>
        <v>58847.745416649479</v>
      </c>
      <c r="G357" s="418">
        <f t="shared" si="68"/>
        <v>36205.14958329501</v>
      </c>
      <c r="H357" s="417">
        <f t="shared" si="68"/>
        <v>21808.531250021595</v>
      </c>
    </row>
    <row r="358" spans="1:9" x14ac:dyDescent="0.2">
      <c r="A358" s="414">
        <v>45688</v>
      </c>
      <c r="B358" s="415">
        <v>0</v>
      </c>
      <c r="C358" s="415">
        <v>0</v>
      </c>
      <c r="D358" s="415">
        <v>0</v>
      </c>
      <c r="E358" s="415">
        <f t="shared" si="66"/>
        <v>0</v>
      </c>
      <c r="F358" s="413">
        <f t="shared" si="67"/>
        <v>39231.658749985938</v>
      </c>
      <c r="G358" s="418">
        <f t="shared" si="68"/>
        <v>24136.672499968645</v>
      </c>
      <c r="H358" s="417">
        <f t="shared" si="68"/>
        <v>14539.090000017672</v>
      </c>
    </row>
    <row r="359" spans="1:9" x14ac:dyDescent="0.2">
      <c r="A359" s="414">
        <v>45716</v>
      </c>
      <c r="B359" s="415">
        <v>0</v>
      </c>
      <c r="C359" s="415">
        <v>0</v>
      </c>
      <c r="D359" s="415">
        <v>0</v>
      </c>
      <c r="E359" s="415">
        <f t="shared" si="66"/>
        <v>0</v>
      </c>
      <c r="F359" s="413">
        <f t="shared" si="67"/>
        <v>23618.897083322401</v>
      </c>
      <c r="G359" s="418">
        <f t="shared" si="68"/>
        <v>14531.172916642283</v>
      </c>
      <c r="H359" s="417">
        <f t="shared" si="68"/>
        <v>8753.191250013746</v>
      </c>
    </row>
    <row r="360" spans="1:9" x14ac:dyDescent="0.2">
      <c r="A360" s="414">
        <v>45747</v>
      </c>
      <c r="B360" s="415">
        <v>0</v>
      </c>
      <c r="C360" s="415">
        <v>0</v>
      </c>
      <c r="D360" s="415">
        <v>0</v>
      </c>
      <c r="E360" s="415">
        <f t="shared" si="66"/>
        <v>0</v>
      </c>
      <c r="F360" s="413">
        <f t="shared" si="67"/>
        <v>12009.46041665886</v>
      </c>
      <c r="G360" s="418">
        <f t="shared" si="68"/>
        <v>7388.6508333159172</v>
      </c>
      <c r="H360" s="417">
        <f t="shared" si="68"/>
        <v>4450.835000009818</v>
      </c>
    </row>
    <row r="361" spans="1:9" x14ac:dyDescent="0.2">
      <c r="A361" s="414">
        <v>45777</v>
      </c>
      <c r="B361" s="415">
        <v>0</v>
      </c>
      <c r="C361" s="415">
        <v>0</v>
      </c>
      <c r="D361" s="415">
        <v>0</v>
      </c>
      <c r="E361" s="415">
        <f t="shared" si="66"/>
        <v>0</v>
      </c>
      <c r="F361" s="413">
        <f t="shared" si="67"/>
        <v>4403.3487499953153</v>
      </c>
      <c r="G361" s="418">
        <f t="shared" si="68"/>
        <v>2709.1062499895497</v>
      </c>
      <c r="H361" s="417">
        <f t="shared" si="68"/>
        <v>1632.0212500058908</v>
      </c>
    </row>
    <row r="362" spans="1:9" x14ac:dyDescent="0.2">
      <c r="A362" s="414">
        <v>45808</v>
      </c>
      <c r="B362" s="415">
        <v>0</v>
      </c>
      <c r="C362" s="415">
        <v>0</v>
      </c>
      <c r="D362" s="415">
        <v>0</v>
      </c>
      <c r="E362" s="415">
        <f t="shared" si="66"/>
        <v>0</v>
      </c>
      <c r="F362" s="413">
        <f t="shared" si="67"/>
        <v>800.56208333177176</v>
      </c>
      <c r="G362" s="418">
        <f t="shared" si="68"/>
        <v>492.53916666318327</v>
      </c>
      <c r="H362" s="417">
        <f t="shared" si="68"/>
        <v>296.7500000019636</v>
      </c>
    </row>
    <row r="363" spans="1:9" x14ac:dyDescent="0.2">
      <c r="A363" s="414">
        <v>45838</v>
      </c>
      <c r="B363" s="415">
        <v>0</v>
      </c>
      <c r="C363" s="415">
        <v>0</v>
      </c>
      <c r="D363" s="415">
        <v>0</v>
      </c>
      <c r="E363" s="415">
        <f t="shared" ref="E363" si="69">SUM(B363:D363)</f>
        <v>0</v>
      </c>
      <c r="F363" s="413">
        <f t="shared" si="67"/>
        <v>0</v>
      </c>
      <c r="G363" s="418">
        <f t="shared" si="68"/>
        <v>0</v>
      </c>
      <c r="H363" s="417">
        <f t="shared" si="68"/>
        <v>0</v>
      </c>
    </row>
  </sheetData>
  <pageMargins left="0.7" right="0.7" top="0.75" bottom="0.75" header="0.3" footer="0.3"/>
  <customProperties>
    <customPr name="_pios_id" r:id="rId1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V3" sqref="V3"/>
    </sheetView>
  </sheetViews>
  <sheetFormatPr defaultRowHeight="12.75" x14ac:dyDescent="0.2"/>
  <cols>
    <col min="4" max="4" width="11.7109375" bestFit="1" customWidth="1"/>
    <col min="6" max="6" width="11.28515625" bestFit="1" customWidth="1"/>
    <col min="10" max="10" width="9.7109375" bestFit="1" customWidth="1"/>
    <col min="12" max="12" width="9.7109375" bestFit="1" customWidth="1"/>
  </cols>
  <sheetData>
    <row r="1" spans="1:12" ht="19.5" thickBot="1" x14ac:dyDescent="0.35">
      <c r="A1" s="424" t="s">
        <v>609</v>
      </c>
      <c r="B1" s="425">
        <v>18230061</v>
      </c>
      <c r="C1" s="425" t="s">
        <v>610</v>
      </c>
      <c r="D1" s="425"/>
      <c r="E1" s="425"/>
      <c r="F1" s="426"/>
      <c r="J1" s="445">
        <f>74.12%+1.03%</f>
        <v>0.75150000000000006</v>
      </c>
      <c r="L1" s="445">
        <f>1-J1</f>
        <v>0.24849999999999994</v>
      </c>
    </row>
    <row r="2" spans="1:12" x14ac:dyDescent="0.2">
      <c r="A2" s="427"/>
      <c r="B2" s="428" t="s">
        <v>611</v>
      </c>
      <c r="C2" s="428" t="s">
        <v>612</v>
      </c>
      <c r="D2" s="428" t="s">
        <v>613</v>
      </c>
      <c r="E2" s="428"/>
      <c r="F2" s="429" t="s">
        <v>614</v>
      </c>
    </row>
    <row r="3" spans="1:12" ht="15" x14ac:dyDescent="0.25">
      <c r="A3" s="430">
        <v>43646</v>
      </c>
      <c r="B3" s="431">
        <v>0</v>
      </c>
      <c r="C3" s="432">
        <v>11567</v>
      </c>
      <c r="D3" s="433">
        <v>-11567</v>
      </c>
      <c r="E3" s="433"/>
      <c r="F3" s="434">
        <v>691831</v>
      </c>
    </row>
    <row r="4" spans="1:12" ht="15" x14ac:dyDescent="0.25">
      <c r="A4" s="435" t="s">
        <v>615</v>
      </c>
      <c r="B4" s="431"/>
      <c r="C4" s="432"/>
      <c r="D4" s="433"/>
      <c r="E4" s="433"/>
      <c r="F4" s="434"/>
    </row>
    <row r="5" spans="1:12" ht="15" x14ac:dyDescent="0.25">
      <c r="A5" s="436">
        <v>43677</v>
      </c>
      <c r="B5" s="431">
        <v>0</v>
      </c>
      <c r="C5" s="432">
        <v>11567</v>
      </c>
      <c r="D5" s="433">
        <v>-11567</v>
      </c>
      <c r="E5" s="433"/>
      <c r="F5" s="434">
        <f>F3+D5</f>
        <v>680264</v>
      </c>
    </row>
    <row r="6" spans="1:12" ht="15" x14ac:dyDescent="0.25">
      <c r="A6" s="436">
        <v>43708</v>
      </c>
      <c r="B6" s="431">
        <v>0</v>
      </c>
      <c r="C6" s="432">
        <v>11567</v>
      </c>
      <c r="D6" s="433">
        <v>-11567</v>
      </c>
      <c r="E6" s="433"/>
      <c r="F6" s="434">
        <f t="shared" ref="F6:F16" si="0">F5+D6</f>
        <v>668697</v>
      </c>
    </row>
    <row r="7" spans="1:12" ht="15" x14ac:dyDescent="0.25">
      <c r="A7" s="436">
        <v>43738</v>
      </c>
      <c r="B7" s="431">
        <v>0</v>
      </c>
      <c r="C7" s="432">
        <v>11567</v>
      </c>
      <c r="D7" s="433">
        <v>-11567</v>
      </c>
      <c r="E7" s="433"/>
      <c r="F7" s="434">
        <f t="shared" si="0"/>
        <v>657130</v>
      </c>
    </row>
    <row r="8" spans="1:12" ht="15" x14ac:dyDescent="0.25">
      <c r="A8" s="436">
        <v>43769</v>
      </c>
      <c r="B8" s="431">
        <v>0</v>
      </c>
      <c r="C8" s="432">
        <v>11567</v>
      </c>
      <c r="D8" s="433">
        <v>-11567</v>
      </c>
      <c r="E8" s="433"/>
      <c r="F8" s="434">
        <f t="shared" si="0"/>
        <v>645563</v>
      </c>
    </row>
    <row r="9" spans="1:12" ht="15" x14ac:dyDescent="0.25">
      <c r="A9" s="436">
        <v>43799</v>
      </c>
      <c r="B9" s="431">
        <v>0</v>
      </c>
      <c r="C9" s="432">
        <v>11567</v>
      </c>
      <c r="D9" s="433">
        <v>-11567</v>
      </c>
      <c r="E9" s="433"/>
      <c r="F9" s="434">
        <f t="shared" si="0"/>
        <v>633996</v>
      </c>
    </row>
    <row r="10" spans="1:12" ht="15" x14ac:dyDescent="0.25">
      <c r="A10" s="436">
        <v>43830</v>
      </c>
      <c r="B10" s="431">
        <v>0</v>
      </c>
      <c r="C10" s="432">
        <v>11567</v>
      </c>
      <c r="D10" s="433">
        <v>-11567</v>
      </c>
      <c r="E10" s="433"/>
      <c r="F10" s="434">
        <f t="shared" si="0"/>
        <v>622429</v>
      </c>
    </row>
    <row r="11" spans="1:12" ht="15" x14ac:dyDescent="0.25">
      <c r="A11" s="436">
        <v>43861</v>
      </c>
      <c r="B11" s="431">
        <v>0</v>
      </c>
      <c r="C11" s="432">
        <v>11567</v>
      </c>
      <c r="D11" s="433">
        <v>-11567</v>
      </c>
      <c r="E11" s="433"/>
      <c r="F11" s="434">
        <f t="shared" si="0"/>
        <v>610862</v>
      </c>
    </row>
    <row r="12" spans="1:12" ht="15" x14ac:dyDescent="0.25">
      <c r="A12" s="436">
        <v>43890</v>
      </c>
      <c r="B12" s="431">
        <v>0</v>
      </c>
      <c r="C12" s="432">
        <v>11567</v>
      </c>
      <c r="D12" s="433">
        <v>-11567</v>
      </c>
      <c r="E12" s="433"/>
      <c r="F12" s="434">
        <f t="shared" si="0"/>
        <v>599295</v>
      </c>
    </row>
    <row r="13" spans="1:12" ht="15" x14ac:dyDescent="0.25">
      <c r="A13" s="436">
        <v>43921</v>
      </c>
      <c r="B13" s="431">
        <v>0</v>
      </c>
      <c r="C13" s="432">
        <v>11567</v>
      </c>
      <c r="D13" s="433">
        <v>-11567</v>
      </c>
      <c r="E13" s="433"/>
      <c r="F13" s="434">
        <f t="shared" si="0"/>
        <v>587728</v>
      </c>
    </row>
    <row r="14" spans="1:12" ht="15" x14ac:dyDescent="0.25">
      <c r="A14" s="436">
        <v>43951</v>
      </c>
      <c r="B14" s="431">
        <v>0</v>
      </c>
      <c r="C14" s="432">
        <v>11567</v>
      </c>
      <c r="D14" s="433">
        <v>-11567</v>
      </c>
      <c r="E14" s="433"/>
      <c r="F14" s="434">
        <f t="shared" si="0"/>
        <v>576161</v>
      </c>
    </row>
    <row r="15" spans="1:12" ht="15" x14ac:dyDescent="0.25">
      <c r="A15" s="436">
        <v>43982</v>
      </c>
      <c r="B15" s="431">
        <v>0</v>
      </c>
      <c r="C15" s="432">
        <v>11567</v>
      </c>
      <c r="D15" s="433">
        <v>-11567</v>
      </c>
      <c r="E15" s="433"/>
      <c r="F15" s="434">
        <f t="shared" si="0"/>
        <v>564594</v>
      </c>
    </row>
    <row r="16" spans="1:12" ht="15" x14ac:dyDescent="0.25">
      <c r="A16" s="436">
        <v>44012</v>
      </c>
      <c r="B16" s="431">
        <v>0</v>
      </c>
      <c r="C16" s="432">
        <v>11567</v>
      </c>
      <c r="D16" s="437">
        <v>-11567</v>
      </c>
      <c r="E16" s="437"/>
      <c r="F16" s="438">
        <f t="shared" si="0"/>
        <v>553027</v>
      </c>
    </row>
    <row r="17" spans="1:7" ht="15" x14ac:dyDescent="0.25">
      <c r="A17" s="439" t="s">
        <v>616</v>
      </c>
      <c r="B17" s="362"/>
      <c r="C17" s="362"/>
      <c r="D17" s="433">
        <f>SUM(D5:D16)</f>
        <v>-138804</v>
      </c>
      <c r="E17" s="433"/>
      <c r="F17" s="440">
        <f>((F3+F16+(SUM(F5:F15)*2))/24)</f>
        <v>622429</v>
      </c>
    </row>
    <row r="18" spans="1:7" ht="15.75" thickBot="1" x14ac:dyDescent="0.3">
      <c r="A18" s="441"/>
      <c r="B18" s="442"/>
      <c r="C18" s="442"/>
      <c r="D18" s="443"/>
      <c r="E18" s="443"/>
      <c r="F18" s="444"/>
    </row>
    <row r="20" spans="1:7" x14ac:dyDescent="0.2">
      <c r="F20" s="293" t="s">
        <v>602</v>
      </c>
      <c r="G20" s="293" t="s">
        <v>660</v>
      </c>
    </row>
    <row r="21" spans="1:7" ht="15" x14ac:dyDescent="0.25">
      <c r="A21" t="s">
        <v>562</v>
      </c>
      <c r="C21" s="446">
        <f>J1</f>
        <v>0.75150000000000006</v>
      </c>
      <c r="D21" s="433">
        <f>D17*C21</f>
        <v>-104311.20600000001</v>
      </c>
      <c r="F21" s="433">
        <f>F17*C21</f>
        <v>467755.39350000006</v>
      </c>
      <c r="G21" s="433">
        <f>F16*C21</f>
        <v>415599.7905</v>
      </c>
    </row>
    <row r="22" spans="1:7" ht="15" x14ac:dyDescent="0.25">
      <c r="A22" t="s">
        <v>563</v>
      </c>
      <c r="C22" s="446">
        <f>L1</f>
        <v>0.24849999999999994</v>
      </c>
      <c r="D22" s="433">
        <f>D17*C22</f>
        <v>-34492.793999999994</v>
      </c>
      <c r="F22" s="433">
        <f>F17*C22</f>
        <v>154673.60649999997</v>
      </c>
      <c r="G22" s="433">
        <f>F16*C22</f>
        <v>137427.20949999997</v>
      </c>
    </row>
    <row r="23" spans="1:7" x14ac:dyDescent="0.2">
      <c r="D23" s="292">
        <f>SUM(D21:D22)</f>
        <v>-138804</v>
      </c>
      <c r="E23" s="292">
        <f>SUM(E21:E22)</f>
        <v>0</v>
      </c>
      <c r="F23" s="292">
        <f>SUM(F21:F22)</f>
        <v>622429</v>
      </c>
      <c r="G23" s="292">
        <f>SUM(G21:G22)</f>
        <v>553027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2"/>
  <sheetViews>
    <sheetView workbookViewId="0">
      <selection activeCell="V3" sqref="V3"/>
    </sheetView>
  </sheetViews>
  <sheetFormatPr defaultRowHeight="12.75" x14ac:dyDescent="0.2"/>
  <cols>
    <col min="2" max="2" width="16.5703125" bestFit="1" customWidth="1"/>
    <col min="3" max="3" width="32.7109375" bestFit="1" customWidth="1"/>
    <col min="4" max="4" width="10.28515625" bestFit="1" customWidth="1"/>
  </cols>
  <sheetData>
    <row r="3" spans="1:4" x14ac:dyDescent="0.2">
      <c r="B3" s="139"/>
    </row>
    <row r="4" spans="1:4" x14ac:dyDescent="0.2">
      <c r="A4">
        <v>404</v>
      </c>
      <c r="B4" s="448" t="s">
        <v>617</v>
      </c>
      <c r="C4" s="447" t="s">
        <v>618</v>
      </c>
      <c r="D4" s="449">
        <v>2163401.5100000007</v>
      </c>
    </row>
    <row r="5" spans="1:4" x14ac:dyDescent="0.2">
      <c r="A5">
        <v>403</v>
      </c>
      <c r="B5" s="448" t="s">
        <v>619</v>
      </c>
      <c r="C5" s="447" t="s">
        <v>620</v>
      </c>
      <c r="D5" s="449">
        <v>22733.194</v>
      </c>
    </row>
    <row r="6" spans="1:4" x14ac:dyDescent="0.2">
      <c r="A6">
        <v>404</v>
      </c>
      <c r="B6" s="448" t="s">
        <v>617</v>
      </c>
      <c r="C6" s="447" t="s">
        <v>621</v>
      </c>
      <c r="D6" s="449">
        <v>0.54</v>
      </c>
    </row>
    <row r="7" spans="1:4" x14ac:dyDescent="0.2">
      <c r="A7">
        <v>404</v>
      </c>
      <c r="B7" s="448" t="s">
        <v>617</v>
      </c>
      <c r="C7" s="447" t="s">
        <v>622</v>
      </c>
      <c r="D7" s="449">
        <v>20619.72</v>
      </c>
    </row>
    <row r="8" spans="1:4" x14ac:dyDescent="0.2">
      <c r="A8">
        <v>404</v>
      </c>
      <c r="B8" s="448" t="s">
        <v>617</v>
      </c>
      <c r="C8" s="447" t="s">
        <v>623</v>
      </c>
      <c r="D8" s="449">
        <v>892.66000000000008</v>
      </c>
    </row>
    <row r="9" spans="1:4" x14ac:dyDescent="0.2">
      <c r="A9">
        <v>404</v>
      </c>
      <c r="B9" s="448" t="s">
        <v>617</v>
      </c>
      <c r="C9" s="447" t="s">
        <v>624</v>
      </c>
      <c r="D9" s="449">
        <v>9687.06</v>
      </c>
    </row>
    <row r="10" spans="1:4" x14ac:dyDescent="0.2">
      <c r="A10">
        <v>404</v>
      </c>
      <c r="B10" s="448" t="s">
        <v>617</v>
      </c>
      <c r="C10" s="447" t="s">
        <v>625</v>
      </c>
      <c r="D10" s="449">
        <v>391216.56</v>
      </c>
    </row>
    <row r="11" spans="1:4" x14ac:dyDescent="0.2">
      <c r="A11">
        <v>404</v>
      </c>
      <c r="B11" s="448" t="s">
        <v>626</v>
      </c>
      <c r="C11" s="447" t="s">
        <v>627</v>
      </c>
      <c r="D11" s="450">
        <v>9040.380000000001</v>
      </c>
    </row>
    <row r="12" spans="1:4" x14ac:dyDescent="0.2">
      <c r="D12" s="292">
        <f>SUM(D4:D11)</f>
        <v>2617591.6240000012</v>
      </c>
    </row>
  </sheetData>
  <pageMargins left="0.7" right="0.7" top="0.75" bottom="0.75" header="0.3" footer="0.3"/>
  <customProperties>
    <customPr name="_pios_id" r:id="rId1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6"/>
  <sheetViews>
    <sheetView workbookViewId="0">
      <selection activeCell="D30" sqref="D30"/>
    </sheetView>
  </sheetViews>
  <sheetFormatPr defaultRowHeight="12.75" x14ac:dyDescent="0.2"/>
  <cols>
    <col min="1" max="1" width="47.42578125" bestFit="1" customWidth="1"/>
    <col min="2" max="2" width="13.42578125" bestFit="1" customWidth="1"/>
    <col min="3" max="3" width="2.42578125" bestFit="1" customWidth="1"/>
    <col min="4" max="4" width="13.42578125" bestFit="1" customWidth="1"/>
    <col min="5" max="5" width="2.42578125" bestFit="1" customWidth="1"/>
    <col min="7" max="7" width="13.42578125" bestFit="1" customWidth="1"/>
    <col min="8" max="8" width="5.5703125" bestFit="1" customWidth="1"/>
  </cols>
  <sheetData>
    <row r="3" spans="1:7" x14ac:dyDescent="0.2">
      <c r="D3" s="293" t="s">
        <v>706</v>
      </c>
      <c r="G3" s="293" t="s">
        <v>91</v>
      </c>
    </row>
    <row r="6" spans="1:7" ht="13.5" thickBot="1" x14ac:dyDescent="0.25">
      <c r="A6" t="s">
        <v>687</v>
      </c>
      <c r="B6" s="390">
        <f>'SEF-16 2020 PCORC A-1'!G36</f>
        <v>767399398.37583029</v>
      </c>
    </row>
    <row r="7" spans="1:7" ht="13.5" thickTop="1" x14ac:dyDescent="0.2"/>
    <row r="9" spans="1:7" x14ac:dyDescent="0.2">
      <c r="A9" t="s">
        <v>688</v>
      </c>
      <c r="B9" s="253">
        <f>'SEF-15 Adjustments'!O27</f>
        <v>764021037.92205679</v>
      </c>
      <c r="D9" s="253"/>
      <c r="G9" s="253"/>
    </row>
    <row r="10" spans="1:7" x14ac:dyDescent="0.2">
      <c r="A10" t="s">
        <v>689</v>
      </c>
      <c r="B10" s="292">
        <f>'SEF-15 Adjustments'!P27</f>
        <v>-2297906.31</v>
      </c>
      <c r="D10" s="292"/>
      <c r="G10" s="292"/>
    </row>
    <row r="11" spans="1:7" x14ac:dyDescent="0.2">
      <c r="A11" t="s">
        <v>690</v>
      </c>
      <c r="B11" s="292">
        <f>'SEF-15 Adjustments'!S27-'SEF-15 Adjustments'!Q27</f>
        <v>12626432.375811934</v>
      </c>
      <c r="D11" s="292"/>
      <c r="G11" s="292"/>
    </row>
    <row r="12" spans="1:7" x14ac:dyDescent="0.2">
      <c r="A12" t="s">
        <v>691</v>
      </c>
      <c r="B12" s="721">
        <f>SUM(B9:B11)</f>
        <v>774349563.98786879</v>
      </c>
      <c r="C12" s="722">
        <f>'SEF-15 Adjustments'!S27-B12</f>
        <v>0</v>
      </c>
      <c r="D12" s="253">
        <f>B12</f>
        <v>774349563.98786879</v>
      </c>
      <c r="F12" t="s">
        <v>705</v>
      </c>
      <c r="G12" s="292">
        <v>86993905.289616197</v>
      </c>
    </row>
    <row r="13" spans="1:7" x14ac:dyDescent="0.2">
      <c r="A13" t="s">
        <v>692</v>
      </c>
      <c r="B13" s="297"/>
    </row>
    <row r="14" spans="1:7" x14ac:dyDescent="0.2">
      <c r="A14" s="720" t="s">
        <v>75</v>
      </c>
      <c r="B14" s="292">
        <f>'SEF-15 Adjustments'!S29</f>
        <v>104512201.44835338</v>
      </c>
    </row>
    <row r="15" spans="1:7" x14ac:dyDescent="0.2">
      <c r="A15" s="720" t="s">
        <v>693</v>
      </c>
      <c r="B15" s="292">
        <f>'SEF-15 Adjustments'!S30</f>
        <v>728609.68</v>
      </c>
    </row>
    <row r="16" spans="1:7" x14ac:dyDescent="0.2">
      <c r="A16" s="720" t="s">
        <v>694</v>
      </c>
      <c r="B16" s="292">
        <f>'SEF-15 Adjustments'!S31</f>
        <v>-6515420.6045234576</v>
      </c>
    </row>
    <row r="17" spans="1:8" x14ac:dyDescent="0.2">
      <c r="A17" s="720" t="s">
        <v>695</v>
      </c>
      <c r="B17" s="292">
        <f>'SEF-15 Adjustments'!S32</f>
        <v>4163374.1001599999</v>
      </c>
      <c r="D17" s="292">
        <f>B17</f>
        <v>4163374.1001599999</v>
      </c>
      <c r="G17" s="292">
        <v>411820.37854420656</v>
      </c>
    </row>
    <row r="18" spans="1:8" x14ac:dyDescent="0.2">
      <c r="A18" s="139" t="s">
        <v>696</v>
      </c>
      <c r="B18" s="347">
        <f>SUM(B14:B17)</f>
        <v>102888764.62398994</v>
      </c>
    </row>
    <row r="19" spans="1:8" x14ac:dyDescent="0.2">
      <c r="B19" s="347"/>
    </row>
    <row r="20" spans="1:8" x14ac:dyDescent="0.2">
      <c r="A20" s="139" t="s">
        <v>697</v>
      </c>
      <c r="B20" s="253">
        <f>B12+B18</f>
        <v>877238328.61185873</v>
      </c>
      <c r="C20" s="722">
        <f>'SEF-15 Adjustments'!S33-B20</f>
        <v>0</v>
      </c>
    </row>
    <row r="21" spans="1:8" x14ac:dyDescent="0.2">
      <c r="B21" s="297"/>
    </row>
    <row r="22" spans="1:8" x14ac:dyDescent="0.2">
      <c r="A22" t="s">
        <v>699</v>
      </c>
    </row>
    <row r="23" spans="1:8" x14ac:dyDescent="0.2">
      <c r="A23" s="720" t="s">
        <v>698</v>
      </c>
      <c r="B23" s="292">
        <f>'SEF-15 Summary'!AA30</f>
        <v>821446.06780172628</v>
      </c>
      <c r="D23" s="292">
        <f>B23</f>
        <v>821446.06780172628</v>
      </c>
      <c r="G23" s="292">
        <v>86812.995668257689</v>
      </c>
    </row>
    <row r="24" spans="1:8" x14ac:dyDescent="0.2">
      <c r="A24" s="720" t="s">
        <v>75</v>
      </c>
      <c r="B24" s="292">
        <f>-B14</f>
        <v>-104512201.44835338</v>
      </c>
    </row>
    <row r="25" spans="1:8" x14ac:dyDescent="0.2">
      <c r="A25" s="720" t="s">
        <v>703</v>
      </c>
      <c r="B25" s="292">
        <f>-SUM(B15:B16)</f>
        <v>5786810.9245234579</v>
      </c>
    </row>
    <row r="26" spans="1:8" x14ac:dyDescent="0.2">
      <c r="A26" s="720" t="s">
        <v>700</v>
      </c>
      <c r="B26" s="292">
        <f>-'SEF-15 Adjustments'!S22</f>
        <v>-11934985.780000003</v>
      </c>
      <c r="D26" s="292">
        <f>B26</f>
        <v>-11934985.780000003</v>
      </c>
      <c r="F26" t="s">
        <v>705</v>
      </c>
      <c r="G26" s="292">
        <v>-4196945.7316264231</v>
      </c>
    </row>
    <row r="27" spans="1:8" x14ac:dyDescent="0.2">
      <c r="A27" s="720" t="s">
        <v>704</v>
      </c>
      <c r="B27" s="381">
        <f>'SEF-15 Summary'!Q26</f>
        <v>0</v>
      </c>
      <c r="D27" s="292">
        <f>B27</f>
        <v>0</v>
      </c>
      <c r="G27" s="292"/>
    </row>
    <row r="28" spans="1:8" x14ac:dyDescent="0.2">
      <c r="A28" t="s">
        <v>701</v>
      </c>
      <c r="B28" s="723">
        <f>SUM(B23:B27)</f>
        <v>-109838930.23602819</v>
      </c>
    </row>
    <row r="29" spans="1:8" x14ac:dyDescent="0.2">
      <c r="B29" s="297"/>
      <c r="D29" s="297"/>
      <c r="G29" s="297"/>
    </row>
    <row r="30" spans="1:8" ht="13.5" thickBot="1" x14ac:dyDescent="0.25">
      <c r="A30" t="s">
        <v>702</v>
      </c>
      <c r="B30" s="390">
        <f>B28+B20</f>
        <v>767399398.37583053</v>
      </c>
      <c r="D30" s="390">
        <f>SUM(D9:D29)</f>
        <v>767399398.37583053</v>
      </c>
      <c r="E30" s="722">
        <f>B30-D30</f>
        <v>0</v>
      </c>
      <c r="G30" s="390">
        <f>SUM(G9:G29)</f>
        <v>83295592.93220225</v>
      </c>
      <c r="H30" s="722">
        <v>6.7797750234603882E-2</v>
      </c>
    </row>
    <row r="31" spans="1:8" ht="13.5" thickTop="1" x14ac:dyDescent="0.2"/>
    <row r="32" spans="1:8" x14ac:dyDescent="0.2">
      <c r="B32" s="722">
        <f>B6-B30</f>
        <v>0</v>
      </c>
      <c r="G32" s="253">
        <f>G12</f>
        <v>86993905.289616197</v>
      </c>
      <c r="H32" t="s">
        <v>705</v>
      </c>
    </row>
    <row r="33" spans="7:8" x14ac:dyDescent="0.2">
      <c r="G33" s="292">
        <f>SUM(G17:G29)</f>
        <v>-3698312.3574139588</v>
      </c>
      <c r="H33" t="s">
        <v>683</v>
      </c>
    </row>
    <row r="34" spans="7:8" ht="13.5" thickBot="1" x14ac:dyDescent="0.25">
      <c r="G34" s="724">
        <f>SUM(G32:G33)</f>
        <v>83295592.932202235</v>
      </c>
    </row>
    <row r="35" spans="7:8" ht="13.5" thickTop="1" x14ac:dyDescent="0.2"/>
    <row r="36" spans="7:8" x14ac:dyDescent="0.2">
      <c r="G36" s="722">
        <f>G30-G34</f>
        <v>0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86"/>
  <sheetViews>
    <sheetView zoomScaleNormal="100" workbookViewId="0">
      <selection activeCell="A46" sqref="A46"/>
    </sheetView>
  </sheetViews>
  <sheetFormatPr defaultColWidth="9.28515625" defaultRowHeight="12.75" x14ac:dyDescent="0.2"/>
  <cols>
    <col min="1" max="1" width="5.7109375" style="69" customWidth="1"/>
    <col min="2" max="2" width="47.28515625" style="69" bestFit="1" customWidth="1"/>
    <col min="3" max="3" width="1.7109375" style="69" customWidth="1"/>
    <col min="4" max="4" width="15.5703125" style="69" bestFit="1" customWidth="1"/>
    <col min="5" max="5" width="1.7109375" style="69" customWidth="1"/>
    <col min="6" max="6" width="16.28515625" style="69" bestFit="1" customWidth="1"/>
    <col min="7" max="7" width="17.42578125" style="69" bestFit="1" customWidth="1"/>
    <col min="8" max="8" width="1.28515625" style="69" customWidth="1"/>
    <col min="9" max="9" width="1" style="69" customWidth="1"/>
    <col min="10" max="10" width="9.28515625" style="69"/>
    <col min="11" max="11" width="15.5703125" style="69" bestFit="1" customWidth="1"/>
    <col min="12" max="12" width="1.7109375" style="69" customWidth="1"/>
    <col min="13" max="13" width="16.28515625" style="69" bestFit="1" customWidth="1"/>
    <col min="14" max="14" width="17.42578125" style="69" bestFit="1" customWidth="1"/>
    <col min="15" max="15" width="9.28515625" style="69"/>
    <col min="16" max="16" width="15.5703125" style="69" bestFit="1" customWidth="1"/>
    <col min="17" max="17" width="1.7109375" style="69" customWidth="1"/>
    <col min="18" max="18" width="16.28515625" style="69" bestFit="1" customWidth="1"/>
    <col min="19" max="19" width="17.42578125" style="69" bestFit="1" customWidth="1"/>
    <col min="20" max="20" width="12.28515625" style="69" bestFit="1" customWidth="1"/>
    <col min="21" max="21" width="13.7109375" style="69" bestFit="1" customWidth="1"/>
    <col min="22" max="22" width="9.28515625" style="69"/>
    <col min="23" max="23" width="13.7109375" style="69" bestFit="1" customWidth="1"/>
    <col min="24" max="24" width="15.28515625" style="69" bestFit="1" customWidth="1"/>
    <col min="25" max="16384" width="9.28515625" style="69"/>
  </cols>
  <sheetData>
    <row r="1" spans="1:25" ht="20.25" x14ac:dyDescent="0.3">
      <c r="A1" s="41"/>
      <c r="B1" s="103"/>
      <c r="C1" s="42"/>
      <c r="D1" s="42"/>
      <c r="E1" s="42"/>
      <c r="F1" s="42"/>
      <c r="G1" s="42"/>
      <c r="H1" s="43"/>
      <c r="I1" s="68"/>
      <c r="J1" s="68"/>
      <c r="K1" s="154"/>
      <c r="L1" s="155"/>
      <c r="M1" s="155"/>
      <c r="N1" s="155"/>
      <c r="O1" s="155"/>
      <c r="P1" s="155"/>
      <c r="Q1" s="155"/>
      <c r="R1" s="155"/>
      <c r="S1" s="156"/>
    </row>
    <row r="2" spans="1:25" ht="18.75" x14ac:dyDescent="0.3">
      <c r="A2" s="1"/>
      <c r="B2" s="923" t="s">
        <v>796</v>
      </c>
      <c r="C2" s="3"/>
      <c r="D2" s="3"/>
      <c r="E2" s="3"/>
      <c r="F2" s="3"/>
      <c r="G2" s="44" t="s">
        <v>778</v>
      </c>
      <c r="H2" s="4"/>
      <c r="I2" s="68"/>
      <c r="J2" s="68"/>
      <c r="K2" s="914" t="s">
        <v>797</v>
      </c>
      <c r="L2" s="145"/>
      <c r="M2" s="145"/>
      <c r="N2" s="158"/>
      <c r="O2" s="146"/>
      <c r="P2" s="931" t="s">
        <v>802</v>
      </c>
      <c r="Q2" s="145"/>
      <c r="R2" s="145"/>
      <c r="S2" s="159"/>
    </row>
    <row r="3" spans="1:25" x14ac:dyDescent="0.2">
      <c r="A3" s="1"/>
      <c r="B3" s="2"/>
      <c r="C3" s="3"/>
      <c r="D3" s="3"/>
      <c r="E3" s="3"/>
      <c r="F3" s="3"/>
      <c r="G3" s="44" t="s">
        <v>777</v>
      </c>
      <c r="H3" s="4"/>
      <c r="I3" s="68"/>
      <c r="J3" s="68"/>
      <c r="K3" s="157"/>
      <c r="L3" s="145"/>
      <c r="M3" s="145"/>
      <c r="N3" s="158"/>
      <c r="O3" s="146"/>
      <c r="P3" s="145"/>
      <c r="Q3" s="145"/>
      <c r="R3" s="145"/>
      <c r="S3" s="159"/>
    </row>
    <row r="4" spans="1:25" x14ac:dyDescent="0.2">
      <c r="A4" s="1"/>
      <c r="B4" s="2"/>
      <c r="C4" s="3"/>
      <c r="D4" s="3"/>
      <c r="E4" s="3"/>
      <c r="F4" s="3"/>
      <c r="G4" s="3"/>
      <c r="H4" s="97"/>
      <c r="I4" s="138"/>
      <c r="J4" s="68"/>
      <c r="K4" s="157"/>
      <c r="L4" s="145"/>
      <c r="M4" s="145"/>
      <c r="N4" s="145"/>
      <c r="O4" s="146"/>
      <c r="P4" s="145"/>
      <c r="Q4" s="145"/>
      <c r="R4" s="145"/>
      <c r="S4" s="160"/>
    </row>
    <row r="5" spans="1:25" x14ac:dyDescent="0.2">
      <c r="A5" s="45"/>
      <c r="B5" s="5" t="s">
        <v>7</v>
      </c>
      <c r="C5" s="38"/>
      <c r="D5" s="38"/>
      <c r="E5" s="38"/>
      <c r="F5" s="38"/>
      <c r="G5" s="38"/>
      <c r="H5" s="46"/>
      <c r="I5" s="68"/>
      <c r="J5" s="68"/>
      <c r="K5" s="161"/>
      <c r="L5" s="146"/>
      <c r="M5" s="146"/>
      <c r="N5" s="146"/>
      <c r="O5" s="146"/>
      <c r="P5" s="146"/>
      <c r="Q5" s="146"/>
      <c r="R5" s="146"/>
      <c r="S5" s="162"/>
    </row>
    <row r="6" spans="1:25" x14ac:dyDescent="0.2">
      <c r="A6" s="45"/>
      <c r="B6" s="5" t="s">
        <v>92</v>
      </c>
      <c r="C6" s="38"/>
      <c r="D6" s="38"/>
      <c r="E6" s="38"/>
      <c r="F6" s="38"/>
      <c r="G6" s="38"/>
      <c r="H6" s="46"/>
      <c r="I6" s="68"/>
      <c r="J6" s="68"/>
      <c r="K6" s="161"/>
      <c r="L6" s="146"/>
      <c r="M6" s="146"/>
      <c r="N6" s="146"/>
      <c r="O6" s="146"/>
      <c r="P6" s="146"/>
      <c r="Q6" s="146"/>
      <c r="R6" s="146"/>
      <c r="S6" s="162"/>
    </row>
    <row r="7" spans="1:25" x14ac:dyDescent="0.2">
      <c r="A7" s="45"/>
      <c r="B7" s="6" t="s">
        <v>145</v>
      </c>
      <c r="C7" s="38"/>
      <c r="D7" s="38"/>
      <c r="E7" s="38"/>
      <c r="F7" s="38"/>
      <c r="G7" s="38"/>
      <c r="H7" s="46"/>
      <c r="I7" s="68"/>
      <c r="J7" s="68"/>
      <c r="K7" s="161"/>
      <c r="L7" s="146"/>
      <c r="M7" s="146"/>
      <c r="N7" s="146"/>
      <c r="O7" s="146"/>
      <c r="P7" s="146"/>
      <c r="Q7" s="146"/>
      <c r="R7" s="146"/>
      <c r="S7" s="162"/>
    </row>
    <row r="8" spans="1:25" x14ac:dyDescent="0.2">
      <c r="A8" s="45"/>
      <c r="B8" s="17" t="s">
        <v>156</v>
      </c>
      <c r="C8" s="38"/>
      <c r="D8" s="38"/>
      <c r="E8" s="38"/>
      <c r="F8" s="38"/>
      <c r="G8" s="38"/>
      <c r="H8" s="46"/>
      <c r="I8" s="68"/>
      <c r="J8" s="68"/>
      <c r="K8" s="161"/>
      <c r="L8" s="146"/>
      <c r="M8" s="146"/>
      <c r="N8" s="146"/>
      <c r="O8" s="146"/>
      <c r="P8" s="146"/>
      <c r="Q8" s="146"/>
      <c r="R8" s="146"/>
      <c r="S8" s="162"/>
    </row>
    <row r="9" spans="1:25" x14ac:dyDescent="0.2">
      <c r="A9" s="45"/>
      <c r="B9" s="7"/>
      <c r="C9" s="38"/>
      <c r="D9" s="38"/>
      <c r="E9" s="38"/>
      <c r="F9" s="38"/>
      <c r="G9" s="38"/>
      <c r="H9" s="46"/>
      <c r="I9" s="68"/>
      <c r="J9" s="68"/>
      <c r="K9" s="161"/>
      <c r="L9" s="146"/>
      <c r="M9" s="146"/>
      <c r="N9" s="146"/>
      <c r="O9" s="146"/>
      <c r="P9" s="146"/>
      <c r="Q9" s="146"/>
      <c r="R9" s="146"/>
      <c r="S9" s="162"/>
    </row>
    <row r="10" spans="1:25" x14ac:dyDescent="0.2">
      <c r="A10" s="45"/>
      <c r="B10" s="7"/>
      <c r="C10" s="38"/>
      <c r="D10" s="47" t="s">
        <v>146</v>
      </c>
      <c r="E10" s="38"/>
      <c r="F10" s="47" t="s">
        <v>124</v>
      </c>
      <c r="G10" s="102" t="s">
        <v>8</v>
      </c>
      <c r="H10" s="46"/>
      <c r="I10" s="68"/>
      <c r="J10" s="68"/>
      <c r="K10" s="163" t="s">
        <v>146</v>
      </c>
      <c r="L10" s="146"/>
      <c r="M10" s="164" t="s">
        <v>124</v>
      </c>
      <c r="N10" s="147" t="s">
        <v>8</v>
      </c>
      <c r="O10" s="146"/>
      <c r="P10" s="164" t="s">
        <v>146</v>
      </c>
      <c r="Q10" s="146"/>
      <c r="R10" s="164" t="s">
        <v>124</v>
      </c>
      <c r="S10" s="165" t="s">
        <v>8</v>
      </c>
    </row>
    <row r="11" spans="1:25" x14ac:dyDescent="0.2">
      <c r="A11" s="72"/>
      <c r="B11" s="48" t="s">
        <v>10</v>
      </c>
      <c r="C11" s="38"/>
      <c r="D11" s="49" t="s">
        <v>149</v>
      </c>
      <c r="E11" s="38"/>
      <c r="F11" s="49" t="s">
        <v>147</v>
      </c>
      <c r="G11" s="102" t="s">
        <v>91</v>
      </c>
      <c r="H11" s="46"/>
      <c r="I11" s="68"/>
      <c r="J11" s="73"/>
      <c r="K11" s="166" t="s">
        <v>149</v>
      </c>
      <c r="L11" s="146"/>
      <c r="M11" s="148" t="s">
        <v>147</v>
      </c>
      <c r="N11" s="147" t="s">
        <v>91</v>
      </c>
      <c r="O11" s="146"/>
      <c r="P11" s="148" t="s">
        <v>149</v>
      </c>
      <c r="Q11" s="146"/>
      <c r="R11" s="148" t="s">
        <v>147</v>
      </c>
      <c r="S11" s="165" t="s">
        <v>91</v>
      </c>
    </row>
    <row r="12" spans="1:25" x14ac:dyDescent="0.2">
      <c r="A12" s="50" t="s">
        <v>53</v>
      </c>
      <c r="B12" s="104" t="s">
        <v>11</v>
      </c>
      <c r="C12" s="51"/>
      <c r="D12" s="52" t="s">
        <v>755</v>
      </c>
      <c r="E12" s="53"/>
      <c r="F12" s="52" t="s">
        <v>199</v>
      </c>
      <c r="G12" s="63" t="s">
        <v>152</v>
      </c>
      <c r="H12" s="54"/>
      <c r="I12" s="68"/>
      <c r="J12" s="73"/>
      <c r="K12" s="167" t="s">
        <v>150</v>
      </c>
      <c r="L12" s="149"/>
      <c r="M12" s="168" t="s">
        <v>148</v>
      </c>
      <c r="N12" s="149" t="s">
        <v>152</v>
      </c>
      <c r="O12" s="146"/>
      <c r="P12" s="168" t="s">
        <v>150</v>
      </c>
      <c r="Q12" s="149"/>
      <c r="R12" s="168" t="s">
        <v>148</v>
      </c>
      <c r="S12" s="169" t="s">
        <v>152</v>
      </c>
    </row>
    <row r="13" spans="1:25" x14ac:dyDescent="0.2">
      <c r="A13" s="45"/>
      <c r="B13" s="38"/>
      <c r="C13" s="38"/>
      <c r="D13" s="38"/>
      <c r="E13" s="38"/>
      <c r="F13" s="38"/>
      <c r="G13" s="38"/>
      <c r="H13" s="46"/>
      <c r="I13" s="68"/>
      <c r="J13" s="73"/>
      <c r="K13" s="161"/>
      <c r="L13" s="146"/>
      <c r="M13" s="146"/>
      <c r="N13" s="146"/>
      <c r="O13" s="146"/>
      <c r="P13" s="146"/>
      <c r="Q13" s="146"/>
      <c r="R13" s="146"/>
      <c r="S13" s="162"/>
    </row>
    <row r="14" spans="1:25" x14ac:dyDescent="0.2">
      <c r="A14" s="55">
        <f>ROW()</f>
        <v>14</v>
      </c>
      <c r="B14" s="113" t="s">
        <v>157</v>
      </c>
      <c r="C14" s="38"/>
      <c r="D14" s="38"/>
      <c r="E14" s="38"/>
      <c r="F14" s="38"/>
      <c r="G14" s="38"/>
      <c r="H14" s="46"/>
      <c r="I14" s="68"/>
      <c r="J14" s="73"/>
      <c r="K14" s="161"/>
      <c r="L14" s="146"/>
      <c r="M14" s="146"/>
      <c r="N14" s="146"/>
      <c r="O14" s="146"/>
      <c r="P14" s="146"/>
      <c r="Q14" s="146"/>
      <c r="R14" s="146"/>
      <c r="S14" s="162"/>
    </row>
    <row r="15" spans="1:25" ht="13.5" thickBot="1" x14ac:dyDescent="0.25">
      <c r="A15" s="55">
        <f>ROW()</f>
        <v>15</v>
      </c>
      <c r="B15" s="38"/>
      <c r="C15" s="38"/>
      <c r="D15" s="348"/>
      <c r="E15" s="38"/>
      <c r="F15" s="38"/>
      <c r="G15" s="38"/>
      <c r="H15" s="46"/>
      <c r="I15" s="68"/>
      <c r="J15" s="73"/>
      <c r="K15" s="192" t="s">
        <v>204</v>
      </c>
      <c r="L15" s="146"/>
      <c r="M15" s="146"/>
      <c r="N15" s="146"/>
      <c r="O15" s="146"/>
      <c r="P15" s="146"/>
      <c r="Q15" s="146"/>
      <c r="R15" s="146"/>
      <c r="S15" s="162"/>
      <c r="U15"/>
      <c r="V15"/>
      <c r="W15"/>
      <c r="X15"/>
      <c r="Y15"/>
    </row>
    <row r="16" spans="1:25" x14ac:dyDescent="0.2">
      <c r="A16" s="55">
        <f>ROW()</f>
        <v>16</v>
      </c>
      <c r="B16" s="38" t="s">
        <v>151</v>
      </c>
      <c r="C16" s="38"/>
      <c r="D16" s="98">
        <f>'SEF-16 2020 PCORC A-1'!G36</f>
        <v>767399398.37583029</v>
      </c>
      <c r="E16" s="38"/>
      <c r="F16" s="98">
        <f>'2019 GRC A-1 UE-200907'!G36</f>
        <v>713651643.97173285</v>
      </c>
      <c r="G16" s="98" t="s">
        <v>1</v>
      </c>
      <c r="H16" s="46"/>
      <c r="I16" s="68"/>
      <c r="J16" s="73"/>
      <c r="K16" s="195">
        <v>762137401.17415667</v>
      </c>
      <c r="L16" s="196"/>
      <c r="M16" s="197">
        <v>713651643.97173285</v>
      </c>
      <c r="N16" s="198" t="s">
        <v>1</v>
      </c>
      <c r="O16" s="146"/>
      <c r="P16" s="150">
        <f>D16-K16</f>
        <v>5261997.2016736269</v>
      </c>
      <c r="Q16" s="146">
        <f t="shared" ref="Q16:Q17" si="0">E16-L16</f>
        <v>0</v>
      </c>
      <c r="R16" s="150">
        <f t="shared" ref="R16:R17" si="1">F16-M16</f>
        <v>0</v>
      </c>
      <c r="S16" s="170"/>
      <c r="U16"/>
      <c r="V16"/>
      <c r="W16"/>
      <c r="X16"/>
      <c r="Y16"/>
    </row>
    <row r="17" spans="1:25" x14ac:dyDescent="0.2">
      <c r="A17" s="55">
        <f>ROW()</f>
        <v>17</v>
      </c>
      <c r="B17" s="38" t="s">
        <v>159</v>
      </c>
      <c r="C17" s="38"/>
      <c r="D17" s="8">
        <f>'SEF-16 2020 PCORC A-1'!C37</f>
        <v>0.95111500000000004</v>
      </c>
      <c r="E17" s="38"/>
      <c r="F17" s="8">
        <f>'2019 GRC A-1 UE-200907'!C37</f>
        <v>0.95111500000000004</v>
      </c>
      <c r="G17" s="9"/>
      <c r="H17" s="46"/>
      <c r="I17" s="68"/>
      <c r="J17" s="73"/>
      <c r="K17" s="199">
        <v>0.95111500000000004</v>
      </c>
      <c r="L17" s="188"/>
      <c r="M17" s="193">
        <v>0.95111500000000004</v>
      </c>
      <c r="N17" s="200"/>
      <c r="O17" s="146"/>
      <c r="P17" s="171">
        <f t="shared" ref="P17" si="2">D17-K17</f>
        <v>0</v>
      </c>
      <c r="Q17" s="146">
        <f t="shared" si="0"/>
        <v>0</v>
      </c>
      <c r="R17" s="171">
        <f t="shared" si="1"/>
        <v>0</v>
      </c>
      <c r="S17" s="172"/>
      <c r="U17"/>
      <c r="V17"/>
      <c r="W17"/>
      <c r="X17"/>
      <c r="Y17"/>
    </row>
    <row r="18" spans="1:25" x14ac:dyDescent="0.2">
      <c r="A18" s="55">
        <f>ROW()</f>
        <v>18</v>
      </c>
      <c r="C18" s="38"/>
      <c r="D18" s="68"/>
      <c r="E18" s="68"/>
      <c r="F18" s="68"/>
      <c r="G18" s="98"/>
      <c r="H18" s="46"/>
      <c r="I18" s="68"/>
      <c r="J18" s="73"/>
      <c r="K18" s="201"/>
      <c r="L18" s="188"/>
      <c r="M18" s="188"/>
      <c r="N18" s="202"/>
      <c r="O18" s="146"/>
      <c r="P18" s="146"/>
      <c r="Q18" s="146"/>
      <c r="R18" s="146"/>
      <c r="S18" s="170">
        <f>G18-N18</f>
        <v>0</v>
      </c>
      <c r="U18"/>
      <c r="V18"/>
      <c r="W18"/>
      <c r="X18"/>
      <c r="Y18"/>
    </row>
    <row r="19" spans="1:25" x14ac:dyDescent="0.2">
      <c r="A19" s="55">
        <f>ROW()</f>
        <v>19</v>
      </c>
      <c r="B19" s="56" t="s">
        <v>153</v>
      </c>
      <c r="C19" s="38"/>
      <c r="D19" s="418">
        <f>+ROUND(D16/D17,0)</f>
        <v>806841863</v>
      </c>
      <c r="E19" s="38"/>
      <c r="F19" s="418">
        <f>+ROUND(F16/F17,0)</f>
        <v>750331604</v>
      </c>
      <c r="G19" s="98"/>
      <c r="H19" s="46"/>
      <c r="I19" s="68"/>
      <c r="J19" s="73"/>
      <c r="K19" s="203">
        <v>801309412</v>
      </c>
      <c r="L19" s="188"/>
      <c r="M19" s="189">
        <v>750331604</v>
      </c>
      <c r="N19" s="202"/>
      <c r="O19" s="146"/>
      <c r="P19" s="151">
        <f t="shared" ref="P19:R19" si="3">D19-K19</f>
        <v>5532451</v>
      </c>
      <c r="Q19" s="146">
        <f t="shared" si="3"/>
        <v>0</v>
      </c>
      <c r="R19" s="151">
        <f t="shared" si="3"/>
        <v>0</v>
      </c>
      <c r="S19" s="170"/>
      <c r="T19" s="181"/>
      <c r="U19"/>
      <c r="V19"/>
      <c r="W19"/>
      <c r="X19"/>
      <c r="Y19"/>
    </row>
    <row r="20" spans="1:25" x14ac:dyDescent="0.2">
      <c r="A20" s="55">
        <f>ROW()</f>
        <v>20</v>
      </c>
      <c r="B20" s="38" t="s">
        <v>83</v>
      </c>
      <c r="C20" s="38"/>
      <c r="D20" s="450">
        <f>+'[4]Exh BDJ-4 p1 (Prod Factor)'!$I$10/1000</f>
        <v>20365544.557714779</v>
      </c>
      <c r="E20" s="450"/>
      <c r="F20" s="450">
        <f>'2019 GRC A-1 UE-200907'!C39</f>
        <v>20535748.503355935</v>
      </c>
      <c r="G20" s="57" t="s">
        <v>1</v>
      </c>
      <c r="H20" s="46"/>
      <c r="I20" s="68"/>
      <c r="J20" s="73"/>
      <c r="K20" s="204">
        <v>20365544.557714779</v>
      </c>
      <c r="L20" s="190"/>
      <c r="M20" s="190">
        <v>20535748.503355935</v>
      </c>
      <c r="N20" s="205" t="s">
        <v>1</v>
      </c>
      <c r="O20" s="146"/>
      <c r="P20" s="152">
        <f t="shared" ref="P20" si="4">D20-K20</f>
        <v>0</v>
      </c>
      <c r="Q20" s="152"/>
      <c r="R20" s="152">
        <f t="shared" ref="R20" si="5">F20-M20</f>
        <v>0</v>
      </c>
      <c r="S20" s="173"/>
      <c r="U20"/>
      <c r="V20"/>
      <c r="W20"/>
      <c r="X20"/>
      <c r="Y20"/>
    </row>
    <row r="21" spans="1:25" x14ac:dyDescent="0.2">
      <c r="A21" s="55">
        <f>ROW()</f>
        <v>21</v>
      </c>
      <c r="B21" s="38"/>
      <c r="C21" s="38"/>
      <c r="D21" s="450"/>
      <c r="E21" s="450"/>
      <c r="F21" s="450"/>
      <c r="G21" s="57"/>
      <c r="H21" s="46"/>
      <c r="I21" s="68"/>
      <c r="J21" s="73"/>
      <c r="K21" s="204"/>
      <c r="L21" s="190"/>
      <c r="M21" s="190"/>
      <c r="N21" s="205"/>
      <c r="O21" s="146"/>
      <c r="P21" s="152"/>
      <c r="Q21" s="152"/>
      <c r="R21" s="152"/>
      <c r="S21" s="173"/>
      <c r="U21"/>
      <c r="V21"/>
      <c r="W21"/>
      <c r="X21"/>
      <c r="Y21"/>
    </row>
    <row r="22" spans="1:25" x14ac:dyDescent="0.2">
      <c r="A22" s="55">
        <f>ROW()</f>
        <v>22</v>
      </c>
      <c r="B22" s="94" t="str">
        <f>"Total Variable Costs per MWh (Line "&amp;A19&amp;" / Line "&amp;A20&amp;")"</f>
        <v>Total Variable Costs per MWh (Line 19 / Line 20)</v>
      </c>
      <c r="C22" s="38"/>
      <c r="D22" s="37">
        <f>ROUND(+D19/D20,3)</f>
        <v>39.618000000000002</v>
      </c>
      <c r="E22" s="450"/>
      <c r="F22" s="37">
        <f>ROUND(+F19/F20,3)</f>
        <v>36.537999999999997</v>
      </c>
      <c r="G22" s="37">
        <f>ROUND(D22-F22,3)</f>
        <v>3.08</v>
      </c>
      <c r="H22" s="46"/>
      <c r="I22" s="68"/>
      <c r="J22" s="73"/>
      <c r="K22" s="206">
        <v>39.345999999999997</v>
      </c>
      <c r="L22" s="190"/>
      <c r="M22" s="191">
        <v>36.537999999999997</v>
      </c>
      <c r="N22" s="207">
        <v>2.8079999999999998</v>
      </c>
      <c r="O22" s="146"/>
      <c r="P22" s="153">
        <f t="shared" ref="P22" si="6">D22-K22</f>
        <v>0.27200000000000557</v>
      </c>
      <c r="Q22" s="152">
        <f t="shared" ref="Q22" si="7">E22-L22</f>
        <v>0</v>
      </c>
      <c r="R22" s="153">
        <f t="shared" ref="R22" si="8">F22-M22</f>
        <v>0</v>
      </c>
      <c r="S22" s="174">
        <f t="shared" ref="S22" si="9">G22-N22</f>
        <v>0.27200000000000024</v>
      </c>
      <c r="U22"/>
      <c r="V22"/>
      <c r="W22"/>
      <c r="X22"/>
      <c r="Y22"/>
    </row>
    <row r="23" spans="1:25" x14ac:dyDescent="0.2">
      <c r="A23" s="55">
        <f>ROW()</f>
        <v>23</v>
      </c>
      <c r="B23" s="38"/>
      <c r="C23" s="135" t="s">
        <v>89</v>
      </c>
      <c r="D23" s="134">
        <f>ROUND('SEF-16 2020 PCORC A-1'!D46-D22,3)</f>
        <v>1.369</v>
      </c>
      <c r="E23" s="450"/>
      <c r="F23" s="134">
        <f>ROUND('2019 GRC A-1 UE-200907'!D46-F22,3)</f>
        <v>1E-3</v>
      </c>
      <c r="G23" s="37"/>
      <c r="H23" s="46"/>
      <c r="I23" s="68"/>
      <c r="J23" s="73"/>
      <c r="K23" s="208">
        <v>1.36</v>
      </c>
      <c r="L23" s="190"/>
      <c r="M23" s="194">
        <v>1E-3</v>
      </c>
      <c r="N23" s="207"/>
      <c r="O23" s="146"/>
      <c r="P23" s="175"/>
      <c r="Q23" s="152"/>
      <c r="R23" s="175">
        <f t="shared" ref="R23" si="10">F23-M23</f>
        <v>0</v>
      </c>
      <c r="S23" s="174"/>
      <c r="U23"/>
      <c r="V23"/>
      <c r="W23"/>
      <c r="X23"/>
      <c r="Y23"/>
    </row>
    <row r="24" spans="1:25" x14ac:dyDescent="0.2">
      <c r="A24" s="55">
        <f>ROW()</f>
        <v>24</v>
      </c>
      <c r="B24" s="95" t="s">
        <v>154</v>
      </c>
      <c r="C24" s="38"/>
      <c r="D24" s="422"/>
      <c r="E24" s="68"/>
      <c r="F24" s="355"/>
      <c r="G24" s="418">
        <f>+D20</f>
        <v>20365544.557714779</v>
      </c>
      <c r="H24" s="46"/>
      <c r="I24" s="68"/>
      <c r="J24" s="73"/>
      <c r="K24" s="201"/>
      <c r="L24" s="188"/>
      <c r="M24" s="728"/>
      <c r="N24" s="209">
        <v>20365544.557714779</v>
      </c>
      <c r="O24" s="146"/>
      <c r="P24" s="146"/>
      <c r="Q24" s="146"/>
      <c r="R24" s="774"/>
      <c r="S24" s="176">
        <f t="shared" ref="S24" si="11">G24-N24</f>
        <v>0</v>
      </c>
      <c r="U24"/>
      <c r="V24"/>
      <c r="W24"/>
      <c r="X24"/>
      <c r="Y24"/>
    </row>
    <row r="25" spans="1:25" x14ac:dyDescent="0.2">
      <c r="A25" s="55">
        <f>ROW()</f>
        <v>25</v>
      </c>
      <c r="B25" s="95"/>
      <c r="C25" s="38"/>
      <c r="D25" s="422"/>
      <c r="E25" s="68"/>
      <c r="F25" s="450"/>
      <c r="G25" s="418"/>
      <c r="H25" s="46"/>
      <c r="I25" s="68"/>
      <c r="J25" s="73"/>
      <c r="K25" s="201"/>
      <c r="L25" s="188"/>
      <c r="M25" s="190"/>
      <c r="N25" s="209"/>
      <c r="O25" s="146"/>
      <c r="P25" s="146"/>
      <c r="Q25" s="146"/>
      <c r="R25" s="152"/>
      <c r="S25" s="176"/>
      <c r="U25"/>
      <c r="V25"/>
      <c r="W25"/>
      <c r="X25"/>
      <c r="Y25"/>
    </row>
    <row r="26" spans="1:25" x14ac:dyDescent="0.2">
      <c r="A26" s="55">
        <f>ROW()</f>
        <v>26</v>
      </c>
      <c r="B26" s="95" t="s">
        <v>144</v>
      </c>
      <c r="C26" s="38"/>
      <c r="D26" s="422"/>
      <c r="E26" s="68"/>
      <c r="F26" s="450"/>
      <c r="G26" s="902">
        <f>+G22*G24</f>
        <v>62725877.23776152</v>
      </c>
      <c r="H26" s="46"/>
      <c r="I26" s="68"/>
      <c r="J26" s="73"/>
      <c r="K26" s="201"/>
      <c r="L26" s="188"/>
      <c r="M26" s="190"/>
      <c r="N26" s="210">
        <v>57186449.118063092</v>
      </c>
      <c r="O26" s="146"/>
      <c r="P26" s="146"/>
      <c r="Q26" s="146"/>
      <c r="R26" s="152"/>
      <c r="S26" s="177">
        <f t="shared" ref="S26" si="12">G26-N26</f>
        <v>5539428.1196984276</v>
      </c>
      <c r="U26"/>
      <c r="V26"/>
      <c r="W26"/>
      <c r="X26"/>
      <c r="Y26"/>
    </row>
    <row r="27" spans="1:25" x14ac:dyDescent="0.2">
      <c r="A27" s="55">
        <f>ROW()</f>
        <v>27</v>
      </c>
      <c r="B27" s="38"/>
      <c r="C27" s="38"/>
      <c r="D27" s="422"/>
      <c r="E27" s="68"/>
      <c r="F27" s="450"/>
      <c r="G27" s="98"/>
      <c r="H27" s="46"/>
      <c r="I27" s="68"/>
      <c r="J27" s="73"/>
      <c r="K27" s="201"/>
      <c r="L27" s="188"/>
      <c r="M27" s="190"/>
      <c r="N27" s="202"/>
      <c r="O27" s="146"/>
      <c r="P27" s="146"/>
      <c r="Q27" s="146"/>
      <c r="R27" s="152"/>
      <c r="S27" s="170"/>
      <c r="U27"/>
      <c r="V27"/>
      <c r="W27"/>
      <c r="X27"/>
      <c r="Y27"/>
    </row>
    <row r="28" spans="1:25" x14ac:dyDescent="0.2">
      <c r="A28" s="55">
        <f>ROW()</f>
        <v>28</v>
      </c>
      <c r="B28" s="113" t="s">
        <v>158</v>
      </c>
      <c r="C28" s="38"/>
      <c r="D28" s="422"/>
      <c r="E28" s="68"/>
      <c r="F28" s="450"/>
      <c r="G28" s="98"/>
      <c r="H28" s="46"/>
      <c r="I28" s="68"/>
      <c r="J28" s="73"/>
      <c r="K28" s="201"/>
      <c r="L28" s="188"/>
      <c r="M28" s="190"/>
      <c r="N28" s="202"/>
      <c r="O28" s="146"/>
      <c r="P28" s="146"/>
      <c r="Q28" s="146"/>
      <c r="R28" s="152"/>
      <c r="S28" s="170"/>
      <c r="U28"/>
      <c r="V28"/>
      <c r="W28"/>
      <c r="X28"/>
      <c r="Y28"/>
    </row>
    <row r="29" spans="1:25" x14ac:dyDescent="0.2">
      <c r="A29" s="55">
        <f>ROW()</f>
        <v>29</v>
      </c>
      <c r="B29" s="38"/>
      <c r="C29" s="38"/>
      <c r="D29" s="422"/>
      <c r="E29" s="68"/>
      <c r="F29" s="450"/>
      <c r="G29" s="98"/>
      <c r="H29" s="46"/>
      <c r="I29" s="68"/>
      <c r="J29" s="73"/>
      <c r="K29" s="201"/>
      <c r="L29" s="188"/>
      <c r="M29" s="190"/>
      <c r="N29" s="202"/>
      <c r="O29" s="146"/>
      <c r="P29" s="146"/>
      <c r="Q29" s="146"/>
      <c r="R29" s="152"/>
      <c r="S29" s="170"/>
      <c r="U29"/>
      <c r="V29"/>
      <c r="W29"/>
      <c r="X29"/>
      <c r="Y29"/>
    </row>
    <row r="30" spans="1:25" x14ac:dyDescent="0.2">
      <c r="A30" s="55">
        <f>ROW()</f>
        <v>30</v>
      </c>
      <c r="B30" s="38" t="s">
        <v>155</v>
      </c>
      <c r="C30" s="38"/>
      <c r="D30" s="98">
        <f>'SEF-16 2020 PCORC A-1'!F36</f>
        <v>430163067.21888351</v>
      </c>
      <c r="E30" s="38"/>
      <c r="F30" s="98">
        <f>'2019 GRC A-1 UE-200907'!F36</f>
        <v>455200098.46092093</v>
      </c>
      <c r="G30" s="98"/>
      <c r="H30" s="46"/>
      <c r="I30" s="68"/>
      <c r="J30" s="73"/>
      <c r="K30" s="211">
        <v>430163067.21888351</v>
      </c>
      <c r="L30" s="188"/>
      <c r="M30" s="187">
        <v>455200098.46092093</v>
      </c>
      <c r="N30" s="202"/>
      <c r="O30" s="146"/>
      <c r="P30" s="150">
        <f t="shared" ref="P30:P31" si="13">D30-K30</f>
        <v>0</v>
      </c>
      <c r="Q30" s="146">
        <f t="shared" ref="Q30:Q31" si="14">E30-L30</f>
        <v>0</v>
      </c>
      <c r="R30" s="150">
        <f t="shared" ref="R30:R31" si="15">F30-M30</f>
        <v>0</v>
      </c>
      <c r="S30" s="170"/>
      <c r="U30"/>
      <c r="V30"/>
      <c r="W30"/>
      <c r="X30"/>
      <c r="Y30"/>
    </row>
    <row r="31" spans="1:25" x14ac:dyDescent="0.2">
      <c r="A31" s="55">
        <f>ROW()</f>
        <v>31</v>
      </c>
      <c r="B31" s="38" t="s">
        <v>160</v>
      </c>
      <c r="C31" s="38"/>
      <c r="D31" s="8">
        <f>D17</f>
        <v>0.95111500000000004</v>
      </c>
      <c r="E31" s="38"/>
      <c r="F31" s="8">
        <f>F17</f>
        <v>0.95111500000000004</v>
      </c>
      <c r="G31" s="98"/>
      <c r="H31" s="46"/>
      <c r="I31" s="68"/>
      <c r="J31" s="73"/>
      <c r="K31" s="199">
        <v>0.95111500000000004</v>
      </c>
      <c r="L31" s="188"/>
      <c r="M31" s="193">
        <v>0.95111500000000004</v>
      </c>
      <c r="N31" s="202"/>
      <c r="O31" s="146"/>
      <c r="P31" s="171">
        <f t="shared" si="13"/>
        <v>0</v>
      </c>
      <c r="Q31" s="146">
        <f t="shared" si="14"/>
        <v>0</v>
      </c>
      <c r="R31" s="171">
        <f t="shared" si="15"/>
        <v>0</v>
      </c>
      <c r="S31" s="170"/>
      <c r="U31"/>
      <c r="V31"/>
      <c r="W31"/>
      <c r="X31"/>
      <c r="Y31"/>
    </row>
    <row r="32" spans="1:25" x14ac:dyDescent="0.2">
      <c r="A32" s="55">
        <f>ROW()</f>
        <v>32</v>
      </c>
      <c r="B32" s="38"/>
      <c r="C32" s="38"/>
      <c r="D32" s="68"/>
      <c r="E32" s="68"/>
      <c r="F32" s="68"/>
      <c r="G32" s="98"/>
      <c r="H32" s="46"/>
      <c r="I32" s="68"/>
      <c r="J32" s="73"/>
      <c r="K32" s="201"/>
      <c r="L32" s="188"/>
      <c r="M32" s="188"/>
      <c r="N32" s="202"/>
      <c r="O32" s="146"/>
      <c r="P32" s="146"/>
      <c r="Q32" s="146"/>
      <c r="R32" s="146"/>
      <c r="S32" s="170"/>
      <c r="U32"/>
      <c r="V32"/>
      <c r="W32"/>
      <c r="X32"/>
      <c r="Y32"/>
    </row>
    <row r="33" spans="1:25" x14ac:dyDescent="0.2">
      <c r="A33" s="55">
        <f>ROW()</f>
        <v>33</v>
      </c>
      <c r="B33" s="38" t="s">
        <v>155</v>
      </c>
      <c r="C33" s="38"/>
      <c r="D33" s="418">
        <f>D30/D31</f>
        <v>452272403.67240924</v>
      </c>
      <c r="E33" s="38"/>
      <c r="F33" s="418">
        <f>F30/F31</f>
        <v>478596277.48581499</v>
      </c>
      <c r="G33" s="422"/>
      <c r="H33" s="46"/>
      <c r="I33" s="68"/>
      <c r="J33" s="73"/>
      <c r="K33" s="203">
        <v>452272403.67240924</v>
      </c>
      <c r="L33" s="188"/>
      <c r="M33" s="189">
        <v>478596277.48581499</v>
      </c>
      <c r="N33" s="202"/>
      <c r="O33" s="146"/>
      <c r="P33" s="151">
        <f>D33-K33</f>
        <v>0</v>
      </c>
      <c r="Q33" s="146"/>
      <c r="R33" s="151">
        <f t="shared" ref="R33" si="16">F33-M33</f>
        <v>0</v>
      </c>
      <c r="S33" s="162"/>
      <c r="U33"/>
      <c r="V33"/>
      <c r="W33"/>
      <c r="X33"/>
      <c r="Y33"/>
    </row>
    <row r="34" spans="1:25" x14ac:dyDescent="0.2">
      <c r="A34" s="55">
        <f>ROW()</f>
        <v>34</v>
      </c>
      <c r="B34" s="38" t="s">
        <v>83</v>
      </c>
      <c r="C34" s="38"/>
      <c r="D34" s="450">
        <f>+D20</f>
        <v>20365544.557714779</v>
      </c>
      <c r="E34" s="450"/>
      <c r="F34" s="450">
        <f>'2019 GRC A-1 UE-200907'!C39</f>
        <v>20535748.503355935</v>
      </c>
      <c r="G34" s="98"/>
      <c r="H34" s="46"/>
      <c r="I34" s="68"/>
      <c r="J34" s="73"/>
      <c r="K34" s="201">
        <v>20365544.557714779</v>
      </c>
      <c r="L34" s="188"/>
      <c r="M34" s="190">
        <v>20535748.503355935</v>
      </c>
      <c r="N34" s="202"/>
      <c r="O34" s="146"/>
      <c r="P34" s="152">
        <f>D34-K34</f>
        <v>0</v>
      </c>
      <c r="Q34" s="152"/>
      <c r="R34" s="152">
        <f t="shared" ref="R34" si="17">F34-M34</f>
        <v>0</v>
      </c>
      <c r="S34" s="170"/>
      <c r="U34"/>
      <c r="V34"/>
      <c r="W34"/>
      <c r="X34"/>
      <c r="Y34"/>
    </row>
    <row r="35" spans="1:25" s="422" customFormat="1" x14ac:dyDescent="0.2">
      <c r="A35" s="55">
        <f>ROW()</f>
        <v>35</v>
      </c>
      <c r="B35" s="38"/>
      <c r="C35" s="38"/>
      <c r="E35" s="68"/>
      <c r="F35" s="450"/>
      <c r="G35" s="98"/>
      <c r="H35" s="46"/>
      <c r="I35" s="68"/>
      <c r="J35" s="73"/>
      <c r="K35" s="201"/>
      <c r="L35" s="188"/>
      <c r="M35" s="190"/>
      <c r="N35" s="202"/>
      <c r="O35" s="146"/>
      <c r="P35" s="146"/>
      <c r="Q35" s="146"/>
      <c r="R35" s="152"/>
      <c r="S35" s="170"/>
      <c r="U35"/>
      <c r="V35"/>
      <c r="W35"/>
      <c r="X35"/>
      <c r="Y35"/>
    </row>
    <row r="36" spans="1:25" s="422" customFormat="1" x14ac:dyDescent="0.2">
      <c r="A36" s="55">
        <f>ROW()</f>
        <v>36</v>
      </c>
      <c r="B36" s="94" t="str">
        <f>"Total Fixed Costs per MWh (Line "&amp;A33&amp;" / Line "&amp;A34&amp;")"</f>
        <v>Total Fixed Costs per MWh (Line 33 / Line 34)</v>
      </c>
      <c r="C36" s="38"/>
      <c r="D36" s="37">
        <f>ROUND(+D33/D34,3)</f>
        <v>22.207999999999998</v>
      </c>
      <c r="E36" s="450"/>
      <c r="F36" s="37">
        <f>ROUND(+F33/F34,3)</f>
        <v>23.306000000000001</v>
      </c>
      <c r="G36" s="37">
        <f>ROUND(D36-F36,3)</f>
        <v>-1.0980000000000001</v>
      </c>
      <c r="H36" s="46"/>
      <c r="I36" s="68"/>
      <c r="J36" s="73"/>
      <c r="K36" s="770">
        <v>22.207999999999998</v>
      </c>
      <c r="L36" s="771"/>
      <c r="M36" s="771">
        <v>23.306000000000001</v>
      </c>
      <c r="N36" s="772">
        <v>-1.0980000000000001</v>
      </c>
      <c r="O36" s="146"/>
      <c r="P36" s="153">
        <f>D36-K36</f>
        <v>0</v>
      </c>
      <c r="Q36" s="152"/>
      <c r="R36" s="153">
        <f t="shared" ref="R36:S48" si="18">F36-M36</f>
        <v>0</v>
      </c>
      <c r="S36" s="174">
        <f t="shared" si="18"/>
        <v>0</v>
      </c>
      <c r="U36"/>
      <c r="V36"/>
      <c r="W36"/>
      <c r="X36"/>
      <c r="Y36"/>
    </row>
    <row r="37" spans="1:25" s="422" customFormat="1" x14ac:dyDescent="0.2">
      <c r="A37" s="55">
        <f>ROW()</f>
        <v>37</v>
      </c>
      <c r="B37" s="38"/>
      <c r="C37" s="38"/>
      <c r="E37" s="68"/>
      <c r="F37" s="450"/>
      <c r="G37" s="98"/>
      <c r="H37" s="46"/>
      <c r="I37" s="68"/>
      <c r="J37" s="73"/>
      <c r="K37" s="201"/>
      <c r="L37" s="188"/>
      <c r="M37" s="190"/>
      <c r="N37" s="202"/>
      <c r="O37" s="146"/>
      <c r="P37" s="146"/>
      <c r="Q37" s="146"/>
      <c r="R37" s="152"/>
      <c r="S37" s="170"/>
      <c r="U37"/>
      <c r="V37"/>
      <c r="W37"/>
      <c r="X37"/>
      <c r="Y37"/>
    </row>
    <row r="38" spans="1:25" s="422" customFormat="1" x14ac:dyDescent="0.2">
      <c r="A38" s="55">
        <f>ROW()</f>
        <v>38</v>
      </c>
      <c r="B38" s="95" t="s">
        <v>154</v>
      </c>
      <c r="C38" s="38"/>
      <c r="E38" s="68"/>
      <c r="F38" s="450"/>
      <c r="G38" s="418">
        <f>D34</f>
        <v>20365544.557714779</v>
      </c>
      <c r="H38" s="46"/>
      <c r="I38" s="68"/>
      <c r="J38" s="73"/>
      <c r="K38" s="201"/>
      <c r="L38" s="188"/>
      <c r="M38" s="190"/>
      <c r="N38" s="773">
        <v>20365544.557714779</v>
      </c>
      <c r="O38" s="146"/>
      <c r="P38" s="146"/>
      <c r="Q38" s="146"/>
      <c r="R38" s="152"/>
      <c r="S38" s="176">
        <f t="shared" si="18"/>
        <v>0</v>
      </c>
      <c r="U38"/>
      <c r="V38"/>
      <c r="W38"/>
      <c r="X38"/>
      <c r="Y38"/>
    </row>
    <row r="39" spans="1:25" s="422" customFormat="1" x14ac:dyDescent="0.2">
      <c r="A39" s="55">
        <f>ROW()</f>
        <v>39</v>
      </c>
      <c r="B39" s="38"/>
      <c r="C39" s="38"/>
      <c r="E39" s="68"/>
      <c r="F39" s="450"/>
      <c r="G39" s="98"/>
      <c r="H39" s="46"/>
      <c r="I39" s="68"/>
      <c r="J39" s="73"/>
      <c r="K39" s="201"/>
      <c r="L39" s="188"/>
      <c r="M39" s="190"/>
      <c r="N39" s="202"/>
      <c r="O39" s="146"/>
      <c r="P39" s="146"/>
      <c r="Q39" s="146"/>
      <c r="R39" s="152"/>
      <c r="S39" s="170"/>
      <c r="U39"/>
      <c r="V39"/>
      <c r="W39"/>
      <c r="X39"/>
      <c r="Y39"/>
    </row>
    <row r="40" spans="1:25" s="422" customFormat="1" x14ac:dyDescent="0.2">
      <c r="A40" s="55">
        <f>ROW()</f>
        <v>40</v>
      </c>
      <c r="B40" s="95" t="s">
        <v>753</v>
      </c>
      <c r="C40" s="38"/>
      <c r="E40" s="68"/>
      <c r="F40" s="450"/>
      <c r="G40" s="902">
        <f>+G36*G38</f>
        <v>-22361367.924370829</v>
      </c>
      <c r="H40" s="46"/>
      <c r="I40" s="68"/>
      <c r="J40" s="73"/>
      <c r="K40" s="201"/>
      <c r="L40" s="188"/>
      <c r="M40" s="190"/>
      <c r="N40" s="210">
        <v>-22361367.924370829</v>
      </c>
      <c r="O40" s="146"/>
      <c r="P40" s="146"/>
      <c r="Q40" s="146"/>
      <c r="R40" s="152"/>
      <c r="S40" s="177">
        <f t="shared" si="18"/>
        <v>0</v>
      </c>
      <c r="U40"/>
      <c r="V40"/>
      <c r="W40"/>
      <c r="X40"/>
      <c r="Y40"/>
    </row>
    <row r="41" spans="1:25" s="422" customFormat="1" x14ac:dyDescent="0.2">
      <c r="A41" s="55">
        <f>ROW()</f>
        <v>41</v>
      </c>
      <c r="B41" s="95"/>
      <c r="C41" s="38"/>
      <c r="E41" s="68"/>
      <c r="F41" s="450"/>
      <c r="G41" s="98"/>
      <c r="H41" s="46"/>
      <c r="I41" s="68"/>
      <c r="J41" s="73"/>
      <c r="K41" s="201"/>
      <c r="L41" s="188"/>
      <c r="M41" s="190"/>
      <c r="N41" s="202"/>
      <c r="O41" s="146"/>
      <c r="P41" s="146"/>
      <c r="Q41" s="146"/>
      <c r="R41" s="152"/>
      <c r="S41" s="170"/>
      <c r="U41"/>
      <c r="V41"/>
      <c r="W41"/>
      <c r="X41"/>
      <c r="Y41"/>
    </row>
    <row r="42" spans="1:25" s="422" customFormat="1" x14ac:dyDescent="0.2">
      <c r="A42" s="55">
        <f>ROW()</f>
        <v>42</v>
      </c>
      <c r="B42" s="95" t="s">
        <v>792</v>
      </c>
      <c r="C42" s="38"/>
      <c r="E42" s="68"/>
      <c r="F42" s="450"/>
      <c r="G42" s="902">
        <f>-'[3]Exh BDJ-5 p1'!$D$7</f>
        <v>26942538.304544251</v>
      </c>
      <c r="H42" s="46"/>
      <c r="I42" s="68"/>
      <c r="J42" s="73"/>
      <c r="K42" s="201"/>
      <c r="L42" s="188"/>
      <c r="M42" s="190"/>
      <c r="N42" s="210">
        <v>26757562.525382351</v>
      </c>
      <c r="O42" s="146"/>
      <c r="P42" s="146"/>
      <c r="Q42" s="146"/>
      <c r="R42" s="152"/>
      <c r="S42" s="177">
        <f t="shared" si="18"/>
        <v>184975.77916190028</v>
      </c>
      <c r="U42"/>
      <c r="V42"/>
      <c r="W42"/>
      <c r="X42"/>
      <c r="Y42"/>
    </row>
    <row r="43" spans="1:25" s="422" customFormat="1" ht="13.5" thickBot="1" x14ac:dyDescent="0.25">
      <c r="A43" s="55">
        <f>ROW()</f>
        <v>43</v>
      </c>
      <c r="B43" s="95"/>
      <c r="C43" s="38"/>
      <c r="E43" s="68"/>
      <c r="F43" s="450"/>
      <c r="G43" s="98"/>
      <c r="H43" s="46"/>
      <c r="I43" s="68"/>
      <c r="J43" s="73"/>
      <c r="K43" s="201"/>
      <c r="L43" s="188"/>
      <c r="M43" s="190"/>
      <c r="N43" s="202"/>
      <c r="O43" s="146"/>
      <c r="P43" s="146"/>
      <c r="Q43" s="146"/>
      <c r="R43" s="152"/>
      <c r="S43" s="170">
        <f t="shared" si="18"/>
        <v>0</v>
      </c>
      <c r="U43"/>
      <c r="V43"/>
      <c r="W43"/>
      <c r="X43"/>
      <c r="Y43"/>
    </row>
    <row r="44" spans="1:25" ht="13.5" thickBot="1" x14ac:dyDescent="0.25">
      <c r="A44" s="55">
        <f>ROW()</f>
        <v>44</v>
      </c>
      <c r="B44" s="113" t="s">
        <v>793</v>
      </c>
      <c r="C44" s="38"/>
      <c r="D44" s="422"/>
      <c r="E44" s="68"/>
      <c r="F44" s="874">
        <f>G44/$F$50</f>
        <v>3.1363692362451422E-2</v>
      </c>
      <c r="G44" s="903">
        <f>SUM(G26,G40,G42)</f>
        <v>67307047.617934942</v>
      </c>
      <c r="H44" s="46"/>
      <c r="I44" s="68"/>
      <c r="J44" s="73"/>
      <c r="K44" s="201"/>
      <c r="L44" s="188"/>
      <c r="M44" s="906">
        <v>2.8912898880347242E-2</v>
      </c>
      <c r="N44" s="908">
        <v>61582643.719074622</v>
      </c>
      <c r="O44" s="146"/>
      <c r="P44" s="146"/>
      <c r="Q44" s="146"/>
      <c r="R44" s="909">
        <f t="shared" si="18"/>
        <v>2.4507934821041792E-3</v>
      </c>
      <c r="S44" s="177">
        <f t="shared" si="18"/>
        <v>5724403.8988603204</v>
      </c>
      <c r="U44"/>
      <c r="V44"/>
      <c r="W44"/>
      <c r="X44"/>
      <c r="Y44"/>
    </row>
    <row r="45" spans="1:25" x14ac:dyDescent="0.2">
      <c r="A45" s="55">
        <f>ROW()</f>
        <v>45</v>
      </c>
      <c r="B45" s="38"/>
      <c r="C45" s="38"/>
      <c r="D45" s="422"/>
      <c r="E45" s="68"/>
      <c r="F45" s="450"/>
      <c r="G45" s="98"/>
      <c r="H45" s="46"/>
      <c r="I45" s="68"/>
      <c r="J45" s="73"/>
      <c r="K45" s="201"/>
      <c r="L45" s="188"/>
      <c r="M45" s="190"/>
      <c r="N45" s="202"/>
      <c r="O45" s="146"/>
      <c r="P45" s="146"/>
      <c r="Q45" s="146"/>
      <c r="R45" s="152"/>
      <c r="S45" s="170"/>
      <c r="U45"/>
      <c r="V45"/>
      <c r="W45"/>
      <c r="X45"/>
      <c r="Y45"/>
    </row>
    <row r="46" spans="1:25" s="422" customFormat="1" x14ac:dyDescent="0.2">
      <c r="A46" s="55">
        <f>ROW()</f>
        <v>46</v>
      </c>
      <c r="B46" s="38" t="s">
        <v>794</v>
      </c>
      <c r="C46" s="38"/>
      <c r="E46" s="68"/>
      <c r="F46" s="450"/>
      <c r="G46" s="902">
        <f>'[5]Exh BDJ-8 p1-2 (Rate Impacts)'!$X$40</f>
        <v>3580506</v>
      </c>
      <c r="H46" s="46"/>
      <c r="I46" s="68"/>
      <c r="J46" s="73"/>
      <c r="K46" s="201"/>
      <c r="L46" s="188"/>
      <c r="M46" s="190"/>
      <c r="N46" s="210">
        <v>3765483</v>
      </c>
      <c r="O46" s="146"/>
      <c r="P46" s="146"/>
      <c r="Q46" s="146"/>
      <c r="R46" s="152"/>
      <c r="S46" s="177">
        <f t="shared" si="18"/>
        <v>-184977</v>
      </c>
      <c r="U46"/>
      <c r="V46"/>
      <c r="W46"/>
      <c r="X46"/>
      <c r="Y46"/>
    </row>
    <row r="47" spans="1:25" s="422" customFormat="1" ht="13.5" thickBot="1" x14ac:dyDescent="0.25">
      <c r="A47" s="55">
        <f>ROW()</f>
        <v>47</v>
      </c>
      <c r="B47" s="38"/>
      <c r="C47" s="38"/>
      <c r="E47" s="68"/>
      <c r="F47" s="450"/>
      <c r="G47" s="98"/>
      <c r="H47" s="46"/>
      <c r="I47" s="68"/>
      <c r="J47" s="73"/>
      <c r="K47" s="201"/>
      <c r="L47" s="188"/>
      <c r="M47" s="190"/>
      <c r="N47" s="202"/>
      <c r="O47" s="146"/>
      <c r="P47" s="146"/>
      <c r="Q47" s="146"/>
      <c r="R47" s="152"/>
      <c r="S47" s="170"/>
      <c r="U47"/>
      <c r="V47"/>
      <c r="W47"/>
      <c r="X47"/>
      <c r="Y47"/>
    </row>
    <row r="48" spans="1:25" s="422" customFormat="1" ht="13.5" thickBot="1" x14ac:dyDescent="0.25">
      <c r="A48" s="55">
        <f>ROW()</f>
        <v>48</v>
      </c>
      <c r="B48" s="38" t="s">
        <v>795</v>
      </c>
      <c r="C48" s="38"/>
      <c r="E48" s="68"/>
      <c r="F48" s="874">
        <f>G48/$F$50</f>
        <v>3.3032134117962145E-2</v>
      </c>
      <c r="G48" s="905">
        <f>G44+G46</f>
        <v>70887553.617934942</v>
      </c>
      <c r="H48" s="46"/>
      <c r="I48" s="68"/>
      <c r="J48" s="73"/>
      <c r="K48" s="201"/>
      <c r="L48" s="188"/>
      <c r="M48" s="906">
        <v>3.0680783833635546E-2</v>
      </c>
      <c r="N48" s="908">
        <v>65348126.719074622</v>
      </c>
      <c r="O48" s="146"/>
      <c r="P48" s="146"/>
      <c r="Q48" s="146"/>
      <c r="R48" s="909">
        <f t="shared" si="18"/>
        <v>2.351350284326599E-3</v>
      </c>
      <c r="S48" s="177">
        <f t="shared" si="18"/>
        <v>5539426.8988603204</v>
      </c>
      <c r="U48"/>
      <c r="V48"/>
      <c r="W48"/>
      <c r="X48"/>
      <c r="Y48"/>
    </row>
    <row r="49" spans="1:25" s="422" customFormat="1" x14ac:dyDescent="0.2">
      <c r="A49" s="55">
        <f>ROW()</f>
        <v>49</v>
      </c>
      <c r="B49" s="38"/>
      <c r="C49" s="38"/>
      <c r="E49" s="68"/>
      <c r="F49" s="450"/>
      <c r="G49" s="98"/>
      <c r="H49" s="46"/>
      <c r="I49" s="68"/>
      <c r="J49" s="73"/>
      <c r="K49" s="201"/>
      <c r="L49" s="188"/>
      <c r="M49" s="190"/>
      <c r="N49" s="202"/>
      <c r="O49" s="146"/>
      <c r="P49" s="146"/>
      <c r="Q49" s="146"/>
      <c r="R49" s="152"/>
      <c r="S49" s="170"/>
      <c r="U49"/>
      <c r="V49"/>
      <c r="W49"/>
      <c r="X49"/>
      <c r="Y49"/>
    </row>
    <row r="50" spans="1:25" x14ac:dyDescent="0.2">
      <c r="A50" s="55">
        <f>ROW()</f>
        <v>50</v>
      </c>
      <c r="B50" s="96" t="s">
        <v>754</v>
      </c>
      <c r="C50" s="38"/>
      <c r="D50" s="422"/>
      <c r="E50" s="68"/>
      <c r="F50" s="98">
        <f>'[5]Exh BDJ-8 p1-2 (Rate Impacts)'!$R$34</f>
        <v>2146017976.4585011</v>
      </c>
      <c r="H50" s="46"/>
      <c r="I50" s="68"/>
      <c r="J50" s="73"/>
      <c r="K50" s="201"/>
      <c r="L50" s="188"/>
      <c r="M50" s="187">
        <v>2129936675.4585011</v>
      </c>
      <c r="N50" s="907"/>
      <c r="O50" s="146"/>
      <c r="P50" s="146"/>
      <c r="Q50" s="146"/>
      <c r="R50" s="152">
        <f t="shared" ref="R50" si="19">F50-M50</f>
        <v>16081301</v>
      </c>
      <c r="S50" s="170"/>
      <c r="U50"/>
      <c r="V50"/>
      <c r="W50"/>
      <c r="X50"/>
      <c r="Y50"/>
    </row>
    <row r="51" spans="1:25" x14ac:dyDescent="0.2">
      <c r="A51" s="55"/>
      <c r="B51" s="96"/>
      <c r="C51" s="38"/>
      <c r="D51" s="422"/>
      <c r="E51" s="68"/>
      <c r="F51" s="450"/>
      <c r="G51" s="98"/>
      <c r="H51" s="46"/>
      <c r="I51" s="68"/>
      <c r="J51" s="73"/>
      <c r="K51" s="201"/>
      <c r="L51" s="188"/>
      <c r="M51" s="190"/>
      <c r="N51" s="202"/>
      <c r="O51" s="146"/>
      <c r="P51" s="146"/>
      <c r="Q51" s="146"/>
      <c r="R51" s="152"/>
      <c r="S51" s="170"/>
      <c r="U51"/>
      <c r="V51"/>
      <c r="W51"/>
      <c r="X51"/>
      <c r="Y51"/>
    </row>
    <row r="52" spans="1:25" x14ac:dyDescent="0.2">
      <c r="A52" s="55"/>
      <c r="B52" s="96"/>
      <c r="C52" s="38"/>
      <c r="D52" s="422"/>
      <c r="E52" s="68"/>
      <c r="F52" s="450"/>
      <c r="H52" s="46"/>
      <c r="I52" s="68"/>
      <c r="J52" s="73"/>
      <c r="K52" s="201"/>
      <c r="L52" s="188"/>
      <c r="M52" s="190"/>
      <c r="N52" s="212"/>
      <c r="O52" s="146"/>
      <c r="P52" s="146"/>
      <c r="Q52" s="146"/>
      <c r="R52" s="152"/>
      <c r="S52" s="178"/>
      <c r="U52"/>
      <c r="V52"/>
      <c r="W52"/>
      <c r="X52"/>
      <c r="Y52"/>
    </row>
    <row r="53" spans="1:25" ht="13.5" thickBot="1" x14ac:dyDescent="0.25">
      <c r="A53" s="58"/>
      <c r="B53" s="59"/>
      <c r="C53" s="59"/>
      <c r="D53" s="59"/>
      <c r="E53" s="59"/>
      <c r="F53" s="59"/>
      <c r="G53" s="59"/>
      <c r="H53" s="60"/>
      <c r="I53" s="68"/>
      <c r="J53" s="73"/>
      <c r="K53" s="213"/>
      <c r="L53" s="214"/>
      <c r="M53" s="214"/>
      <c r="N53" s="215"/>
      <c r="O53" s="179"/>
      <c r="P53" s="179"/>
      <c r="Q53" s="179"/>
      <c r="R53" s="179"/>
      <c r="S53" s="180"/>
      <c r="U53"/>
      <c r="V53"/>
      <c r="W53"/>
      <c r="X53"/>
      <c r="Y53"/>
    </row>
    <row r="54" spans="1:25" x14ac:dyDescent="0.2">
      <c r="A54" s="73"/>
      <c r="B54" s="36"/>
      <c r="C54" s="38"/>
      <c r="D54" s="38"/>
      <c r="E54" s="38"/>
      <c r="F54" s="38"/>
      <c r="G54" s="38"/>
      <c r="H54" s="38"/>
      <c r="I54" s="68"/>
      <c r="J54" s="73"/>
      <c r="K54" s="38"/>
      <c r="L54" s="38"/>
      <c r="M54" s="38"/>
      <c r="N54" s="38"/>
      <c r="P54" s="38"/>
      <c r="Q54" s="38"/>
      <c r="R54" s="38"/>
      <c r="S54" s="38"/>
      <c r="U54"/>
      <c r="V54"/>
      <c r="W54"/>
      <c r="X54"/>
      <c r="Y54"/>
    </row>
    <row r="55" spans="1:25" x14ac:dyDescent="0.2">
      <c r="A55" s="71"/>
      <c r="B55" s="1003"/>
      <c r="C55" s="1003"/>
      <c r="D55" s="1003"/>
      <c r="E55" s="1003"/>
      <c r="F55" s="1003"/>
      <c r="G55" s="68"/>
      <c r="H55" s="68"/>
      <c r="I55" s="68"/>
      <c r="J55" s="73"/>
      <c r="K55" s="68"/>
      <c r="N55" s="68"/>
      <c r="P55" s="68"/>
      <c r="S55" s="68"/>
      <c r="U55"/>
      <c r="V55"/>
      <c r="W55"/>
      <c r="X55"/>
      <c r="Y55"/>
    </row>
    <row r="56" spans="1:25" x14ac:dyDescent="0.2">
      <c r="A56" s="73"/>
      <c r="B56" s="68"/>
      <c r="C56" s="68"/>
      <c r="D56" s="61"/>
      <c r="E56" s="68"/>
      <c r="F56" s="37"/>
      <c r="H56" s="68"/>
      <c r="I56" s="68"/>
      <c r="J56" s="73"/>
      <c r="K56" s="61"/>
      <c r="L56" s="68"/>
      <c r="M56" s="37"/>
      <c r="N56" s="68"/>
      <c r="P56" s="61">
        <f>+P33-P30</f>
        <v>0</v>
      </c>
      <c r="Q56" s="68"/>
      <c r="R56" s="37"/>
      <c r="S56" s="68"/>
      <c r="U56"/>
      <c r="V56"/>
      <c r="W56"/>
      <c r="X56"/>
      <c r="Y56"/>
    </row>
    <row r="57" spans="1:25" x14ac:dyDescent="0.2">
      <c r="A57" s="73"/>
      <c r="B57"/>
      <c r="C57"/>
      <c r="D57"/>
      <c r="E57" s="73"/>
      <c r="F57" s="73"/>
      <c r="H57" s="73"/>
      <c r="I57" s="73"/>
      <c r="J57" s="73"/>
      <c r="K57" s="61"/>
      <c r="L57" s="61"/>
      <c r="M57" s="61"/>
      <c r="N57" s="61"/>
      <c r="O57" s="61"/>
      <c r="P57" s="61">
        <f>+P56</f>
        <v>0</v>
      </c>
      <c r="Q57" s="73"/>
      <c r="R57" s="73"/>
      <c r="S57" s="73"/>
      <c r="U57"/>
      <c r="V57"/>
      <c r="W57"/>
      <c r="X57"/>
      <c r="Y57"/>
    </row>
    <row r="58" spans="1:25" x14ac:dyDescent="0.2">
      <c r="A58" s="68"/>
      <c r="B58" s="68"/>
      <c r="C58" s="68"/>
      <c r="D58" s="61"/>
      <c r="E58" s="68"/>
      <c r="F58" s="68"/>
      <c r="H58" s="68"/>
      <c r="I58" s="68"/>
      <c r="J58" s="68"/>
      <c r="K58" s="61"/>
      <c r="L58" s="68"/>
      <c r="M58" s="68"/>
      <c r="N58" s="68"/>
      <c r="P58" s="61"/>
      <c r="Q58" s="68"/>
      <c r="R58" s="68"/>
      <c r="S58" s="68"/>
      <c r="U58"/>
      <c r="V58"/>
      <c r="W58"/>
      <c r="X58"/>
      <c r="Y58"/>
    </row>
    <row r="59" spans="1:25" x14ac:dyDescent="0.2">
      <c r="U59"/>
      <c r="V59"/>
      <c r="W59"/>
      <c r="X59"/>
      <c r="Y59"/>
    </row>
    <row r="60" spans="1:25" x14ac:dyDescent="0.2">
      <c r="U60"/>
      <c r="V60"/>
      <c r="W60"/>
      <c r="X60"/>
      <c r="Y60"/>
    </row>
    <row r="61" spans="1:25" x14ac:dyDescent="0.2">
      <c r="R61" s="69" t="s">
        <v>774</v>
      </c>
      <c r="U61"/>
      <c r="V61"/>
      <c r="W61"/>
      <c r="X61"/>
      <c r="Y61"/>
    </row>
    <row r="62" spans="1:25" x14ac:dyDescent="0.2">
      <c r="U62"/>
      <c r="V62"/>
      <c r="W62"/>
      <c r="X62"/>
      <c r="Y62"/>
    </row>
    <row r="63" spans="1:25" x14ac:dyDescent="0.2">
      <c r="U63"/>
      <c r="V63"/>
      <c r="W63"/>
      <c r="X63"/>
      <c r="Y63"/>
    </row>
    <row r="64" spans="1:25" x14ac:dyDescent="0.2">
      <c r="U64"/>
      <c r="V64"/>
      <c r="W64"/>
      <c r="X64"/>
      <c r="Y64"/>
    </row>
    <row r="65" spans="21:25" x14ac:dyDescent="0.2">
      <c r="U65"/>
      <c r="V65"/>
      <c r="W65"/>
      <c r="X65"/>
      <c r="Y65"/>
    </row>
    <row r="66" spans="21:25" x14ac:dyDescent="0.2">
      <c r="U66"/>
      <c r="V66"/>
      <c r="W66"/>
      <c r="X66"/>
      <c r="Y66"/>
    </row>
    <row r="67" spans="21:25" x14ac:dyDescent="0.2">
      <c r="U67"/>
      <c r="V67"/>
      <c r="W67"/>
      <c r="X67"/>
      <c r="Y67"/>
    </row>
    <row r="68" spans="21:25" x14ac:dyDescent="0.2">
      <c r="U68"/>
      <c r="V68"/>
      <c r="W68"/>
      <c r="X68"/>
      <c r="Y68"/>
    </row>
    <row r="69" spans="21:25" x14ac:dyDescent="0.2">
      <c r="U69"/>
      <c r="V69"/>
      <c r="W69"/>
      <c r="X69"/>
      <c r="Y69"/>
    </row>
    <row r="70" spans="21:25" x14ac:dyDescent="0.2">
      <c r="U70"/>
      <c r="V70"/>
      <c r="W70"/>
      <c r="X70"/>
      <c r="Y70"/>
    </row>
    <row r="71" spans="21:25" x14ac:dyDescent="0.2">
      <c r="U71"/>
      <c r="V71"/>
      <c r="W71"/>
      <c r="X71"/>
      <c r="Y71"/>
    </row>
    <row r="72" spans="21:25" x14ac:dyDescent="0.2">
      <c r="U72"/>
      <c r="V72"/>
      <c r="W72"/>
      <c r="X72"/>
      <c r="Y72"/>
    </row>
    <row r="73" spans="21:25" x14ac:dyDescent="0.2">
      <c r="U73"/>
      <c r="V73"/>
      <c r="W73"/>
      <c r="X73"/>
      <c r="Y73"/>
    </row>
    <row r="74" spans="21:25" x14ac:dyDescent="0.2">
      <c r="U74"/>
      <c r="V74"/>
      <c r="W74"/>
      <c r="X74"/>
      <c r="Y74"/>
    </row>
    <row r="75" spans="21:25" x14ac:dyDescent="0.2">
      <c r="U75"/>
      <c r="V75"/>
      <c r="W75"/>
      <c r="X75"/>
      <c r="Y75"/>
    </row>
    <row r="76" spans="21:25" x14ac:dyDescent="0.2">
      <c r="U76"/>
      <c r="V76"/>
      <c r="W76"/>
      <c r="X76"/>
      <c r="Y76"/>
    </row>
    <row r="77" spans="21:25" x14ac:dyDescent="0.2">
      <c r="U77"/>
      <c r="V77"/>
      <c r="W77"/>
      <c r="X77"/>
      <c r="Y77"/>
    </row>
    <row r="78" spans="21:25" x14ac:dyDescent="0.2">
      <c r="U78"/>
      <c r="V78"/>
      <c r="W78"/>
      <c r="X78"/>
      <c r="Y78"/>
    </row>
    <row r="79" spans="21:25" x14ac:dyDescent="0.2">
      <c r="U79"/>
      <c r="V79"/>
      <c r="W79"/>
      <c r="X79"/>
      <c r="Y79"/>
    </row>
    <row r="80" spans="21:25" x14ac:dyDescent="0.2">
      <c r="U80"/>
      <c r="V80"/>
      <c r="W80"/>
      <c r="X80"/>
      <c r="Y80"/>
    </row>
    <row r="81" spans="21:25" x14ac:dyDescent="0.2">
      <c r="U81"/>
      <c r="V81"/>
      <c r="W81"/>
      <c r="X81"/>
      <c r="Y81"/>
    </row>
    <row r="82" spans="21:25" x14ac:dyDescent="0.2">
      <c r="U82"/>
      <c r="V82"/>
      <c r="W82"/>
      <c r="X82"/>
      <c r="Y82"/>
    </row>
    <row r="83" spans="21:25" x14ac:dyDescent="0.2">
      <c r="U83"/>
      <c r="V83"/>
      <c r="W83"/>
      <c r="X83"/>
      <c r="Y83"/>
    </row>
    <row r="84" spans="21:25" x14ac:dyDescent="0.2">
      <c r="U84"/>
      <c r="V84"/>
      <c r="W84"/>
      <c r="X84"/>
      <c r="Y84"/>
    </row>
    <row r="85" spans="21:25" x14ac:dyDescent="0.2">
      <c r="U85"/>
      <c r="V85"/>
      <c r="W85"/>
      <c r="X85"/>
      <c r="Y85"/>
    </row>
    <row r="86" spans="21:25" x14ac:dyDescent="0.2">
      <c r="U86"/>
      <c r="V86"/>
      <c r="W86"/>
      <c r="X86"/>
      <c r="Y86"/>
    </row>
  </sheetData>
  <mergeCells count="1">
    <mergeCell ref="B55:F55"/>
  </mergeCells>
  <printOptions horizontalCentered="1"/>
  <pageMargins left="0.25" right="0.25" top="1.1299999999999999" bottom="0.7" header="0.5" footer="0.25"/>
  <pageSetup scale="86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277"/>
  <sheetViews>
    <sheetView zoomScale="85" zoomScaleNormal="85" workbookViewId="0">
      <pane xSplit="3" ySplit="7" topLeftCell="P98" activePane="bottomRight" state="frozen"/>
      <selection activeCell="G28" sqref="G28"/>
      <selection pane="topRight" activeCell="G28" sqref="G28"/>
      <selection pane="bottomLeft" activeCell="G28" sqref="G28"/>
      <selection pane="bottomRight" activeCell="AA118" sqref="AA118"/>
    </sheetView>
  </sheetViews>
  <sheetFormatPr defaultColWidth="11.28515625" defaultRowHeight="15" customHeight="1" outlineLevelRow="1" outlineLevelCol="1" x14ac:dyDescent="0.2"/>
  <cols>
    <col min="1" max="1" width="10.42578125" style="13" customWidth="1"/>
    <col min="2" max="2" width="45.28515625" style="13" customWidth="1"/>
    <col min="3" max="3" width="3.5703125" style="13" bestFit="1" customWidth="1"/>
    <col min="4" max="4" width="19" style="13" bestFit="1" customWidth="1"/>
    <col min="5" max="5" width="1.7109375" style="13" customWidth="1"/>
    <col min="6" max="6" width="16.42578125" style="13" bestFit="1" customWidth="1"/>
    <col min="7" max="7" width="13.7109375" style="13" bestFit="1" customWidth="1"/>
    <col min="8" max="8" width="15.5703125" style="68" customWidth="1"/>
    <col min="9" max="9" width="15.5703125" style="13" bestFit="1" customWidth="1"/>
    <col min="10" max="10" width="16" style="13" bestFit="1" customWidth="1"/>
    <col min="11" max="11" width="13.42578125" style="13" customWidth="1"/>
    <col min="12" max="12" width="13.28515625" style="13" bestFit="1" customWidth="1"/>
    <col min="13" max="13" width="14.7109375" style="13" bestFit="1" customWidth="1"/>
    <col min="14" max="14" width="15.28515625" style="13" bestFit="1" customWidth="1"/>
    <col min="15" max="15" width="15.7109375" style="13" bestFit="1" customWidth="1"/>
    <col min="16" max="16" width="14.5703125" style="13" customWidth="1"/>
    <col min="17" max="17" width="17" style="13" customWidth="1"/>
    <col min="18" max="18" width="18.28515625" style="13" customWidth="1" outlineLevel="1"/>
    <col min="19" max="20" width="16" style="13" customWidth="1" outlineLevel="1"/>
    <col min="21" max="21" width="16.5703125" style="13" customWidth="1" outlineLevel="1"/>
    <col min="22" max="22" width="16" style="13" customWidth="1" outlineLevel="1"/>
    <col min="23" max="23" width="14.5703125" style="13" customWidth="1" outlineLevel="1"/>
    <col min="24" max="25" width="18.28515625" style="13" customWidth="1" outlineLevel="1"/>
    <col min="26" max="27" width="16.42578125" style="13" bestFit="1" customWidth="1"/>
    <col min="28" max="28" width="16.5703125" style="13" bestFit="1" customWidth="1"/>
    <col min="29" max="29" width="15.5703125" style="13" bestFit="1" customWidth="1"/>
    <col min="30" max="30" width="11.28515625" style="13"/>
    <col min="31" max="31" width="13.5703125" style="13" bestFit="1" customWidth="1"/>
    <col min="32" max="16384" width="11.28515625" style="13"/>
  </cols>
  <sheetData>
    <row r="1" spans="1:30" s="38" customFormat="1" ht="6" customHeight="1" x14ac:dyDescent="0.2">
      <c r="B1" s="14" t="s">
        <v>1</v>
      </c>
      <c r="C1" s="14"/>
    </row>
    <row r="2" spans="1:30" ht="15" customHeight="1" x14ac:dyDescent="0.2">
      <c r="A2" s="38"/>
      <c r="B2" s="14" t="s">
        <v>1</v>
      </c>
      <c r="C2" s="14"/>
      <c r="D2" s="90"/>
      <c r="E2" s="725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726"/>
      <c r="W2" s="90"/>
      <c r="X2" s="727"/>
      <c r="Y2" s="727"/>
      <c r="Z2" s="90"/>
      <c r="AA2" s="90"/>
    </row>
    <row r="3" spans="1:30" ht="15" customHeight="1" x14ac:dyDescent="0.2">
      <c r="A3" s="16"/>
      <c r="B3" s="14"/>
      <c r="C3" s="14"/>
      <c r="D3" s="16"/>
      <c r="E3" s="16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38"/>
      <c r="AA3" s="102"/>
    </row>
    <row r="4" spans="1:30" ht="15" customHeight="1" x14ac:dyDescent="0.2">
      <c r="B4" s="16" t="str">
        <f>IF(ROUND(SUM(AE11:AE43),0)=0,"","PROD ADJ NEEDS ATTENTION ! !")</f>
        <v/>
      </c>
      <c r="C4" s="16"/>
      <c r="F4" s="877">
        <v>1</v>
      </c>
      <c r="G4" s="877">
        <f>F4+1</f>
        <v>2</v>
      </c>
      <c r="H4" s="877">
        <f t="shared" ref="H4:J4" si="0">G4+1</f>
        <v>3</v>
      </c>
      <c r="I4" s="877">
        <f t="shared" si="0"/>
        <v>4</v>
      </c>
      <c r="J4" s="877">
        <f t="shared" si="0"/>
        <v>5</v>
      </c>
      <c r="K4" s="877">
        <f>J4+1</f>
        <v>6</v>
      </c>
      <c r="L4" s="877">
        <f t="shared" ref="L4:Y4" si="1">K4+1</f>
        <v>7</v>
      </c>
      <c r="M4" s="877">
        <f t="shared" si="1"/>
        <v>8</v>
      </c>
      <c r="N4" s="877">
        <f t="shared" si="1"/>
        <v>9</v>
      </c>
      <c r="O4" s="877">
        <f t="shared" si="1"/>
        <v>10</v>
      </c>
      <c r="P4" s="877">
        <f t="shared" si="1"/>
        <v>11</v>
      </c>
      <c r="Q4" s="877">
        <f t="shared" si="1"/>
        <v>12</v>
      </c>
      <c r="R4" s="877">
        <f t="shared" si="1"/>
        <v>13</v>
      </c>
      <c r="S4" s="877">
        <f t="shared" si="1"/>
        <v>14</v>
      </c>
      <c r="T4" s="877">
        <f t="shared" si="1"/>
        <v>15</v>
      </c>
      <c r="U4" s="877">
        <f t="shared" si="1"/>
        <v>16</v>
      </c>
      <c r="V4" s="877">
        <f t="shared" si="1"/>
        <v>17</v>
      </c>
      <c r="W4" s="877">
        <f t="shared" si="1"/>
        <v>18</v>
      </c>
      <c r="X4" s="877">
        <f t="shared" si="1"/>
        <v>19</v>
      </c>
      <c r="Y4" s="877">
        <f t="shared" si="1"/>
        <v>20</v>
      </c>
      <c r="Z4" s="68"/>
      <c r="AA4" s="68"/>
    </row>
    <row r="5" spans="1:30" ht="15" customHeight="1" x14ac:dyDescent="0.2">
      <c r="B5"/>
      <c r="C5" s="16"/>
      <c r="D5" s="1004" t="str">
        <f>TY</f>
        <v>TEST YEAR 12 MONTHS ENDED JUNE 30, 2020</v>
      </c>
      <c r="E5" s="24"/>
      <c r="F5" s="70"/>
      <c r="G5" s="70"/>
      <c r="H5" s="70"/>
      <c r="I5" s="70"/>
      <c r="J5" s="70"/>
      <c r="K5" s="70" t="s">
        <v>161</v>
      </c>
      <c r="L5" s="70"/>
      <c r="M5" s="70" t="s">
        <v>166</v>
      </c>
      <c r="N5" s="70" t="s">
        <v>169</v>
      </c>
      <c r="O5" s="70" t="s">
        <v>442</v>
      </c>
      <c r="P5" s="70" t="s">
        <v>161</v>
      </c>
      <c r="Q5" s="70" t="s">
        <v>188</v>
      </c>
      <c r="R5" s="70" t="s">
        <v>161</v>
      </c>
      <c r="S5" s="70" t="s">
        <v>196</v>
      </c>
      <c r="T5" s="70" t="s">
        <v>196</v>
      </c>
      <c r="U5" s="70" t="s">
        <v>196</v>
      </c>
      <c r="V5" s="70" t="s">
        <v>196</v>
      </c>
      <c r="W5" s="70" t="s">
        <v>196</v>
      </c>
      <c r="X5" s="70" t="s">
        <v>196</v>
      </c>
      <c r="Y5" s="70" t="s">
        <v>196</v>
      </c>
      <c r="Z5" s="70"/>
      <c r="AA5" s="70"/>
    </row>
    <row r="6" spans="1:30" ht="12.75" x14ac:dyDescent="0.2">
      <c r="B6"/>
      <c r="C6" s="16"/>
      <c r="D6" s="1004"/>
      <c r="E6" s="24"/>
      <c r="F6" s="70" t="s">
        <v>14</v>
      </c>
      <c r="G6" s="70" t="s">
        <v>18</v>
      </c>
      <c r="H6" s="70" t="s">
        <v>201</v>
      </c>
      <c r="I6" s="70" t="s">
        <v>79</v>
      </c>
      <c r="J6" s="70" t="s">
        <v>161</v>
      </c>
      <c r="K6" s="352" t="s">
        <v>164</v>
      </c>
      <c r="L6" s="70" t="s">
        <v>16</v>
      </c>
      <c r="M6" s="70" t="s">
        <v>167</v>
      </c>
      <c r="N6" s="70" t="s">
        <v>79</v>
      </c>
      <c r="O6" s="70" t="s">
        <v>189</v>
      </c>
      <c r="P6" s="70" t="s">
        <v>171</v>
      </c>
      <c r="Q6" s="70" t="s">
        <v>245</v>
      </c>
      <c r="R6" s="70" t="s">
        <v>787</v>
      </c>
      <c r="S6" s="70"/>
      <c r="T6" s="70"/>
      <c r="U6" s="70"/>
      <c r="V6" s="70"/>
      <c r="W6" s="70"/>
      <c r="X6" s="70"/>
      <c r="Y6" s="70"/>
      <c r="Z6" s="70" t="s">
        <v>21</v>
      </c>
      <c r="AA6" s="70" t="s">
        <v>27</v>
      </c>
    </row>
    <row r="7" spans="1:30" ht="15" customHeight="1" x14ac:dyDescent="0.25">
      <c r="A7" s="51"/>
      <c r="B7" s="957" t="s">
        <v>801</v>
      </c>
      <c r="C7" s="136"/>
      <c r="D7" s="1005"/>
      <c r="E7" s="25"/>
      <c r="F7" s="25" t="s">
        <v>15</v>
      </c>
      <c r="G7" s="25" t="s">
        <v>17</v>
      </c>
      <c r="H7" s="88" t="s">
        <v>163</v>
      </c>
      <c r="I7" s="88" t="s">
        <v>163</v>
      </c>
      <c r="J7" s="25" t="s">
        <v>162</v>
      </c>
      <c r="K7" s="25" t="s">
        <v>165</v>
      </c>
      <c r="L7" s="25" t="s">
        <v>19</v>
      </c>
      <c r="M7" s="25" t="s">
        <v>168</v>
      </c>
      <c r="N7" s="25" t="s">
        <v>170</v>
      </c>
      <c r="O7" s="25" t="s">
        <v>190</v>
      </c>
      <c r="P7" s="25" t="s">
        <v>172</v>
      </c>
      <c r="Q7" s="25" t="s">
        <v>190</v>
      </c>
      <c r="R7" s="25" t="s">
        <v>788</v>
      </c>
      <c r="S7" s="25"/>
      <c r="T7" s="25"/>
      <c r="U7" s="25"/>
      <c r="V7" s="25"/>
      <c r="W7" s="25"/>
      <c r="X7" s="25"/>
      <c r="Y7" s="25"/>
      <c r="Z7" s="25" t="s">
        <v>20</v>
      </c>
      <c r="AA7" s="25" t="s">
        <v>707</v>
      </c>
    </row>
    <row r="8" spans="1:30" ht="12.75" x14ac:dyDescent="0.2">
      <c r="A8" s="13" t="s">
        <v>43</v>
      </c>
      <c r="C8"/>
      <c r="D8"/>
      <c r="E8" s="100"/>
      <c r="F8" s="22"/>
      <c r="G8" s="22"/>
      <c r="I8" s="68"/>
      <c r="J8" s="22"/>
      <c r="K8" s="22"/>
      <c r="L8" s="22"/>
      <c r="M8" s="68"/>
      <c r="N8" s="22"/>
      <c r="O8" s="22"/>
      <c r="P8" s="22"/>
      <c r="Q8" s="100"/>
      <c r="R8" s="100"/>
      <c r="S8" s="22"/>
      <c r="T8" s="22"/>
      <c r="U8" s="22"/>
      <c r="V8" s="22"/>
      <c r="W8" s="22"/>
      <c r="X8" s="68"/>
      <c r="Y8" s="68"/>
      <c r="Z8" s="22"/>
      <c r="AA8" s="22"/>
    </row>
    <row r="9" spans="1:30" ht="15" customHeight="1" x14ac:dyDescent="0.2">
      <c r="C9"/>
      <c r="D9"/>
      <c r="F9" s="68"/>
      <c r="G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/>
      <c r="AC9"/>
    </row>
    <row r="10" spans="1:30" ht="15" customHeight="1" x14ac:dyDescent="0.2">
      <c r="A10" s="24" t="s">
        <v>98</v>
      </c>
      <c r="C10"/>
      <c r="D10"/>
      <c r="F10" s="68"/>
      <c r="G10" s="68"/>
      <c r="I10" s="68"/>
      <c r="J10" s="68"/>
      <c r="K10" s="68"/>
      <c r="L10" s="64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/>
      <c r="AC10"/>
      <c r="AD10" s="16"/>
    </row>
    <row r="11" spans="1:30" ht="15" customHeight="1" x14ac:dyDescent="0.2">
      <c r="A11" s="70">
        <f>'SEF-16 2020 PCORC A-1'!A6</f>
        <v>3</v>
      </c>
      <c r="B11" s="13" t="str">
        <f>'SEF-16 2020 PCORC A-1'!B6</f>
        <v>Regulatory Assets</v>
      </c>
      <c r="D11" s="64">
        <f>'SEF-15 Adjustments'!BH33</f>
        <v>163785795.29336357</v>
      </c>
      <c r="E11" s="64"/>
      <c r="F11" s="64"/>
      <c r="G11" s="64"/>
      <c r="H11" s="64"/>
      <c r="I11" s="64"/>
      <c r="J11" s="64"/>
      <c r="K11" s="64"/>
      <c r="L11" s="64"/>
      <c r="M11" s="101">
        <f>'SEF-15 Adjustments'!BJ33</f>
        <v>-25478161.858622536</v>
      </c>
      <c r="N11" s="64"/>
      <c r="O11" s="64"/>
      <c r="P11" s="64"/>
      <c r="Q11" s="64">
        <f>+'SEF-15 Adjustments'!CJ20</f>
        <v>726066.93705873948</v>
      </c>
      <c r="R11" s="64"/>
      <c r="S11" s="64"/>
      <c r="T11" s="64"/>
      <c r="U11" s="64"/>
      <c r="V11" s="64"/>
      <c r="W11" s="64"/>
      <c r="X11" s="64"/>
      <c r="Y11" s="64"/>
      <c r="Z11" s="64">
        <f>SUM(F11:Y11)</f>
        <v>-24752094.921563797</v>
      </c>
      <c r="AA11" s="64">
        <f>D11+Z11</f>
        <v>139033700.37179977</v>
      </c>
      <c r="AB11"/>
      <c r="AC11"/>
      <c r="AD11" s="21"/>
    </row>
    <row r="12" spans="1:30" s="68" customFormat="1" ht="15" customHeight="1" x14ac:dyDescent="0.2">
      <c r="A12" s="70" t="s">
        <v>422</v>
      </c>
      <c r="B12" s="68" t="s">
        <v>423</v>
      </c>
      <c r="D12" s="450">
        <f>'SEF-15 Adjustments'!AD41</f>
        <v>19508549.086666666</v>
      </c>
      <c r="E12" s="450"/>
      <c r="F12" s="450"/>
      <c r="G12" s="450"/>
      <c r="H12" s="450">
        <f>'SEF-15 Adjustments'!AF41</f>
        <v>68100572.155083328</v>
      </c>
      <c r="I12" s="450"/>
      <c r="J12" s="450"/>
      <c r="K12" s="450"/>
      <c r="L12" s="450"/>
      <c r="M12" s="450"/>
      <c r="N12" s="450"/>
      <c r="O12" s="450">
        <f>'SEF-15 Adjustments'!BX20</f>
        <v>-119015765.9463</v>
      </c>
      <c r="P12" s="450"/>
      <c r="Q12" s="450"/>
      <c r="R12" s="450"/>
      <c r="S12" s="450"/>
      <c r="T12" s="450"/>
      <c r="U12" s="450"/>
      <c r="V12" s="450"/>
      <c r="W12" s="450"/>
      <c r="X12" s="450"/>
      <c r="Y12" s="450"/>
      <c r="Z12" s="450">
        <f>SUM(F12:Y12)</f>
        <v>-50915193.791216671</v>
      </c>
      <c r="AA12" s="450">
        <f>D12+Z12</f>
        <v>-31406644.704550005</v>
      </c>
      <c r="AB12"/>
      <c r="AC12"/>
      <c r="AD12" s="98"/>
    </row>
    <row r="13" spans="1:30" ht="15" customHeight="1" x14ac:dyDescent="0.2">
      <c r="A13" s="70">
        <f>'SEF-16 2020 PCORC A-1'!A7</f>
        <v>4</v>
      </c>
      <c r="B13" s="13" t="str">
        <f>'SEF-16 2020 PCORC A-1'!B7</f>
        <v>Transmission Rate Base</v>
      </c>
      <c r="D13" s="450">
        <f>[6]Lead!$E$14</f>
        <v>79930653.618166655</v>
      </c>
      <c r="E13" s="450"/>
      <c r="F13" s="450"/>
      <c r="G13" s="450"/>
      <c r="H13" s="450">
        <f>'SEF-15 Adjustments'!AF60</f>
        <v>-483039.88366662757</v>
      </c>
      <c r="I13" s="450">
        <f>'SEF-15 Adjustments'!AL44</f>
        <v>60791.226002895826</v>
      </c>
      <c r="J13" s="450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50"/>
      <c r="W13" s="450"/>
      <c r="X13" s="450"/>
      <c r="Y13" s="450"/>
      <c r="Z13" s="450">
        <f>SUM(F13:Y13)</f>
        <v>-422248.65766373172</v>
      </c>
      <c r="AA13" s="450">
        <f>D13+Z13</f>
        <v>79508404.960502923</v>
      </c>
      <c r="AB13"/>
      <c r="AC13"/>
      <c r="AD13" s="20"/>
    </row>
    <row r="14" spans="1:30" ht="15" customHeight="1" x14ac:dyDescent="0.2">
      <c r="A14" s="70">
        <f>'SEF-16 2020 PCORC A-1'!A8</f>
        <v>5</v>
      </c>
      <c r="B14" s="13" t="str">
        <f>'SEF-16 2020 PCORC A-1'!B8</f>
        <v>Production Rate Base</v>
      </c>
      <c r="D14" s="450">
        <f>[7]Lead!$E$22</f>
        <v>1527004038.7677004</v>
      </c>
      <c r="E14" s="450"/>
      <c r="F14" s="450"/>
      <c r="G14" s="450"/>
      <c r="H14" s="450">
        <f>'SEF-15 Adjustments'!AF34</f>
        <v>-85555571.279380888</v>
      </c>
      <c r="I14" s="450">
        <f>'SEF-15 Adjustments'!AL31</f>
        <v>340.55977921319663</v>
      </c>
      <c r="J14" s="450">
        <f>'SEF-15 Adjustments'!AR21</f>
        <v>-59062.185362954624</v>
      </c>
      <c r="K14" s="450">
        <f>'SEF-15 Adjustments'!AX22</f>
        <v>-1401982.02</v>
      </c>
      <c r="L14" s="450"/>
      <c r="M14" s="450"/>
      <c r="N14" s="450">
        <f>'SEF-15 Adjustments'!BP29</f>
        <v>-13368818.334699281</v>
      </c>
      <c r="O14" s="450"/>
      <c r="P14" s="450">
        <f>'SEF-15 Adjustments'!CD28</f>
        <v>-340637.09</v>
      </c>
      <c r="Q14" s="450"/>
      <c r="R14" s="450"/>
      <c r="S14" s="450"/>
      <c r="T14" s="450"/>
      <c r="U14" s="450"/>
      <c r="V14" s="450"/>
      <c r="W14" s="450"/>
      <c r="X14" s="450"/>
      <c r="Y14" s="450"/>
      <c r="Z14" s="450">
        <f>SUM(F14:Y14)</f>
        <v>-100725730.34966391</v>
      </c>
      <c r="AA14" s="450">
        <f>D14+Z14</f>
        <v>1426278308.4180365</v>
      </c>
      <c r="AB14"/>
      <c r="AC14"/>
      <c r="AD14" s="20"/>
    </row>
    <row r="15" spans="1:30" ht="15" customHeight="1" x14ac:dyDescent="0.2">
      <c r="A15" s="24"/>
      <c r="D15" s="91">
        <f>SUM(D11:D14)</f>
        <v>1790229036.7658973</v>
      </c>
      <c r="E15" s="91"/>
      <c r="F15" s="91">
        <f t="shared" ref="F15" si="2">SUM(F11:F14)</f>
        <v>0</v>
      </c>
      <c r="G15" s="91">
        <f t="shared" ref="G15" si="3">SUM(G11:G14)</f>
        <v>0</v>
      </c>
      <c r="H15" s="91">
        <f>SUM(H11:H14)</f>
        <v>-17938039.007964194</v>
      </c>
      <c r="I15" s="91">
        <f>SUM(I11:I14)</f>
        <v>61131.785782109022</v>
      </c>
      <c r="J15" s="91">
        <f>SUM(J11:J14)</f>
        <v>-59062.185362954624</v>
      </c>
      <c r="K15" s="91">
        <f t="shared" ref="K15:W15" si="4">SUM(K11:K14)</f>
        <v>-1401982.02</v>
      </c>
      <c r="L15" s="91">
        <f>SUM(L11:L14)</f>
        <v>0</v>
      </c>
      <c r="M15" s="91">
        <f>SUM(M11:M14)</f>
        <v>-25478161.858622536</v>
      </c>
      <c r="N15" s="91">
        <f>SUM(N11:N14)</f>
        <v>-13368818.334699281</v>
      </c>
      <c r="O15" s="91">
        <f t="shared" ref="O15:U15" si="5">SUM(O11:O14)</f>
        <v>-119015765.9463</v>
      </c>
      <c r="P15" s="91">
        <f t="shared" si="5"/>
        <v>-340637.09</v>
      </c>
      <c r="Q15" s="91">
        <f t="shared" si="5"/>
        <v>726066.93705873948</v>
      </c>
      <c r="R15" s="91">
        <f t="shared" si="5"/>
        <v>0</v>
      </c>
      <c r="S15" s="91">
        <f t="shared" si="5"/>
        <v>0</v>
      </c>
      <c r="T15" s="91">
        <f t="shared" si="5"/>
        <v>0</v>
      </c>
      <c r="U15" s="91">
        <f t="shared" si="5"/>
        <v>0</v>
      </c>
      <c r="V15" s="91">
        <f t="shared" si="4"/>
        <v>0</v>
      </c>
      <c r="W15" s="395">
        <f t="shared" si="4"/>
        <v>0</v>
      </c>
      <c r="X15" s="91">
        <f>SUM(X11:X14)</f>
        <v>0</v>
      </c>
      <c r="Y15" s="91">
        <f t="shared" ref="Y15" si="6">SUM(Y11:Y14)</f>
        <v>0</v>
      </c>
      <c r="Z15" s="91">
        <f>SUM(Z11:Z14)</f>
        <v>-176815267.72010812</v>
      </c>
      <c r="AA15" s="91">
        <f>SUM(AA11:AA14)</f>
        <v>1613413769.0457892</v>
      </c>
      <c r="AB15"/>
      <c r="AC15"/>
      <c r="AD15" s="26"/>
    </row>
    <row r="16" spans="1:30" ht="15" customHeight="1" x14ac:dyDescent="0.2">
      <c r="A16" s="24"/>
      <c r="D16" s="27"/>
      <c r="E16" s="27"/>
      <c r="F16" s="27"/>
      <c r="G16" s="27"/>
      <c r="I16" s="68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93"/>
      <c r="X16" s="27"/>
      <c r="Y16" s="27"/>
      <c r="Z16" s="27"/>
      <c r="AA16" s="27"/>
      <c r="AB16"/>
      <c r="AC16"/>
      <c r="AD16" s="16"/>
    </row>
    <row r="17" spans="1:30" ht="15" customHeight="1" x14ac:dyDescent="0.2">
      <c r="A17" s="24">
        <f>'SEF-16 2020 PCORC A-1'!A10</f>
        <v>7</v>
      </c>
      <c r="B17" s="62" t="str">
        <f>'SEF-16 2020 PCORC A-1'!B10</f>
        <v xml:space="preserve">Net of tax rate of return </v>
      </c>
      <c r="D17" s="755">
        <f>+ROR!E23</f>
        <v>6.8000000000000005E-2</v>
      </c>
      <c r="E17" s="27"/>
      <c r="F17" s="27">
        <f t="shared" ref="F17:O17" si="7">ROUND((SUM(F11:F14)*$D$17/0.79)-(SUM(F20,F23:F24)),0)</f>
        <v>0</v>
      </c>
      <c r="G17" s="27">
        <f t="shared" si="7"/>
        <v>0</v>
      </c>
      <c r="H17" s="27"/>
      <c r="I17" s="27">
        <f>ROUND((SUM(I11:I14)*$D$17/0.79)-(SUM(I20,I23:I24)),0)</f>
        <v>0</v>
      </c>
      <c r="J17" s="27">
        <f t="shared" si="7"/>
        <v>0</v>
      </c>
      <c r="K17" s="27">
        <f t="shared" si="7"/>
        <v>0</v>
      </c>
      <c r="L17" s="27">
        <f t="shared" si="7"/>
        <v>0</v>
      </c>
      <c r="M17" s="27">
        <f t="shared" si="7"/>
        <v>0</v>
      </c>
      <c r="N17" s="27">
        <f t="shared" si="7"/>
        <v>0</v>
      </c>
      <c r="O17" s="27">
        <f t="shared" si="7"/>
        <v>0</v>
      </c>
      <c r="P17" s="27">
        <f>ROUND((SUM(P11:P14)*$D$17/0.79)-(SUM(P20,P23:P24)),0)</f>
        <v>0</v>
      </c>
      <c r="Q17" s="27">
        <f>ROUND((SUM(Q11:Q14)*$D$17/0.79)-(SUM(Q20,Q23:Q24)),0)</f>
        <v>0</v>
      </c>
      <c r="R17" s="27">
        <f t="shared" ref="R17:Y17" si="8">ROUND((SUM(R11:R14)*$D$17/0.65)-(SUM(R20,R23:R24)),0)</f>
        <v>0</v>
      </c>
      <c r="S17" s="27">
        <f t="shared" si="8"/>
        <v>0</v>
      </c>
      <c r="T17" s="27">
        <f t="shared" si="8"/>
        <v>0</v>
      </c>
      <c r="U17" s="27">
        <f t="shared" si="8"/>
        <v>0</v>
      </c>
      <c r="V17" s="27">
        <f t="shared" si="8"/>
        <v>0</v>
      </c>
      <c r="W17" s="93">
        <f t="shared" si="8"/>
        <v>0</v>
      </c>
      <c r="X17" s="27">
        <f t="shared" si="8"/>
        <v>0</v>
      </c>
      <c r="Y17" s="27">
        <f t="shared" si="8"/>
        <v>0</v>
      </c>
      <c r="Z17" s="450"/>
      <c r="AA17" s="92">
        <f>D17</f>
        <v>6.8000000000000005E-2</v>
      </c>
      <c r="AB17"/>
      <c r="AC17"/>
      <c r="AD17" s="28"/>
    </row>
    <row r="18" spans="1:30" ht="15" customHeight="1" x14ac:dyDescent="0.2">
      <c r="A18" s="24">
        <v>8</v>
      </c>
      <c r="D18" s="27"/>
      <c r="E18" s="27"/>
      <c r="F18" s="27"/>
      <c r="G18" s="27"/>
      <c r="I18" s="68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93"/>
      <c r="X18" s="27"/>
      <c r="Y18" s="27"/>
      <c r="Z18" s="27"/>
      <c r="AA18" s="27"/>
      <c r="AB18"/>
      <c r="AC18"/>
      <c r="AD18" s="16"/>
    </row>
    <row r="19" spans="1:30" ht="15" customHeight="1" x14ac:dyDescent="0.2">
      <c r="A19" s="24">
        <v>9</v>
      </c>
      <c r="D19" s="27"/>
      <c r="E19" s="27"/>
      <c r="F19" s="27"/>
      <c r="G19" s="27"/>
      <c r="I19" s="68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93"/>
      <c r="X19" s="27"/>
      <c r="Y19" s="27"/>
      <c r="Z19" s="27"/>
      <c r="AA19" s="27"/>
      <c r="AB19"/>
      <c r="AC19"/>
      <c r="AD19" s="16"/>
    </row>
    <row r="20" spans="1:30" ht="15" customHeight="1" x14ac:dyDescent="0.2">
      <c r="A20" s="24">
        <f>'SEF-16 2020 PCORC A-1'!A14</f>
        <v>10</v>
      </c>
      <c r="B20" s="62" t="s">
        <v>667</v>
      </c>
      <c r="C20" s="125" t="s">
        <v>76</v>
      </c>
      <c r="D20" s="64">
        <f>(D11+D12)*$D$17/0.79</f>
        <v>15777234.706129184</v>
      </c>
      <c r="E20" s="64"/>
      <c r="F20" s="64">
        <f t="shared" ref="F20:Q20" si="9">(F11+F12)*$D$17/0.79</f>
        <v>0</v>
      </c>
      <c r="G20" s="64">
        <f t="shared" si="9"/>
        <v>0</v>
      </c>
      <c r="H20" s="64">
        <f>(H11+H12)*$D$17/0.79</f>
        <v>5861821.4006907176</v>
      </c>
      <c r="I20" s="64">
        <f>(I11+I12)*$D$17/0.79</f>
        <v>0</v>
      </c>
      <c r="J20" s="64">
        <f t="shared" si="9"/>
        <v>0</v>
      </c>
      <c r="K20" s="64">
        <f t="shared" si="9"/>
        <v>0</v>
      </c>
      <c r="L20" s="64">
        <f t="shared" si="9"/>
        <v>0</v>
      </c>
      <c r="M20" s="64">
        <f t="shared" si="9"/>
        <v>-2193056.9701092816</v>
      </c>
      <c r="N20" s="64">
        <f t="shared" si="9"/>
        <v>0</v>
      </c>
      <c r="O20" s="64">
        <f t="shared" si="9"/>
        <v>-10244395.043478986</v>
      </c>
      <c r="P20" s="64">
        <f t="shared" si="9"/>
        <v>0</v>
      </c>
      <c r="Q20" s="64">
        <f t="shared" si="9"/>
        <v>62496.900911385179</v>
      </c>
      <c r="R20" s="64">
        <f t="shared" ref="R20:Y20" si="10">R11*$D$17/0.79</f>
        <v>0</v>
      </c>
      <c r="S20" s="64">
        <f t="shared" si="10"/>
        <v>0</v>
      </c>
      <c r="T20" s="64">
        <f t="shared" si="10"/>
        <v>0</v>
      </c>
      <c r="U20" s="64">
        <f t="shared" si="10"/>
        <v>0</v>
      </c>
      <c r="V20" s="64">
        <f t="shared" si="10"/>
        <v>0</v>
      </c>
      <c r="W20" s="64">
        <f t="shared" si="10"/>
        <v>0</v>
      </c>
      <c r="X20" s="64">
        <f t="shared" si="10"/>
        <v>0</v>
      </c>
      <c r="Y20" s="64">
        <f t="shared" si="10"/>
        <v>0</v>
      </c>
      <c r="Z20" s="450">
        <f t="shared" ref="Z20:Z43" si="11">SUM(F20:Y20)</f>
        <v>-6513133.7119861655</v>
      </c>
      <c r="AA20" s="64">
        <f t="shared" ref="AA20:AA43" si="12">D20+Z20</f>
        <v>9264100.9941430185</v>
      </c>
      <c r="AB20"/>
      <c r="AC20"/>
      <c r="AD20" s="21"/>
    </row>
    <row r="21" spans="1:30" ht="15" customHeight="1" x14ac:dyDescent="0.2">
      <c r="A21" s="24" t="str">
        <f>'SEF-16 2020 PCORC A-1'!A15</f>
        <v>10a</v>
      </c>
      <c r="B21" s="62" t="str">
        <f>'SEF-16 2020 PCORC A-1'!B15</f>
        <v>Equity Adder Centralia Coal Transition PPA</v>
      </c>
      <c r="C21" s="125" t="s">
        <v>86</v>
      </c>
      <c r="D21" s="450">
        <v>0</v>
      </c>
      <c r="E21" s="64"/>
      <c r="F21" s="450">
        <f>+'SEF-15 Adjustments'!E32</f>
        <v>4163374.1001599999</v>
      </c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450">
        <f t="shared" si="11"/>
        <v>4163374.1001599999</v>
      </c>
      <c r="AA21" s="450">
        <f t="shared" si="12"/>
        <v>4163374.1001599999</v>
      </c>
      <c r="AB21"/>
      <c r="AC21"/>
      <c r="AD21" s="21"/>
    </row>
    <row r="22" spans="1:30" s="68" customFormat="1" ht="15" hidden="1" customHeight="1" outlineLevel="1" x14ac:dyDescent="0.2">
      <c r="A22" s="70"/>
      <c r="B22" s="138" t="s">
        <v>584</v>
      </c>
      <c r="C22" s="125"/>
      <c r="D22" s="450">
        <v>0</v>
      </c>
      <c r="E22" s="64"/>
      <c r="F22" s="450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450">
        <f t="shared" si="11"/>
        <v>0</v>
      </c>
      <c r="AA22" s="450">
        <f t="shared" si="12"/>
        <v>0</v>
      </c>
      <c r="AB22"/>
      <c r="AC22"/>
      <c r="AD22" s="98"/>
    </row>
    <row r="23" spans="1:30" ht="15" customHeight="1" collapsed="1" x14ac:dyDescent="0.2">
      <c r="A23" s="24">
        <f>'SEF-16 2020 PCORC A-1'!A16</f>
        <v>11</v>
      </c>
      <c r="B23" s="62" t="s">
        <v>666</v>
      </c>
      <c r="C23" s="125" t="s">
        <v>76</v>
      </c>
      <c r="D23" s="450">
        <f>(D13*$D$17/0.79)</f>
        <v>6880106.8937156107</v>
      </c>
      <c r="E23" s="450"/>
      <c r="F23" s="450">
        <f>(F13*$D$17/0.79)</f>
        <v>0</v>
      </c>
      <c r="G23" s="450">
        <f t="shared" ref="F23:U24" si="13">(G13*$D$17/0.79)</f>
        <v>0</v>
      </c>
      <c r="H23" s="450">
        <f>(H13*$D$17/0.79)</f>
        <v>-41578.11656877301</v>
      </c>
      <c r="I23" s="450">
        <f>(I13*$D$17/0.79)</f>
        <v>5232.6624913885016</v>
      </c>
      <c r="J23" s="450">
        <f t="shared" si="13"/>
        <v>0</v>
      </c>
      <c r="K23" s="450">
        <f t="shared" si="13"/>
        <v>0</v>
      </c>
      <c r="L23" s="450">
        <f t="shared" si="13"/>
        <v>0</v>
      </c>
      <c r="M23" s="450">
        <f t="shared" si="13"/>
        <v>0</v>
      </c>
      <c r="N23" s="450">
        <f t="shared" si="13"/>
        <v>0</v>
      </c>
      <c r="O23" s="450">
        <f t="shared" si="13"/>
        <v>0</v>
      </c>
      <c r="P23" s="450">
        <f t="shared" si="13"/>
        <v>0</v>
      </c>
      <c r="Q23" s="450">
        <f>(Q13*$D$17/0.79)</f>
        <v>0</v>
      </c>
      <c r="R23" s="450">
        <f t="shared" ref="R23:Y24" si="14">(R13*$D$17/0.79)</f>
        <v>0</v>
      </c>
      <c r="S23" s="450">
        <f t="shared" si="14"/>
        <v>0</v>
      </c>
      <c r="T23" s="450">
        <f t="shared" si="14"/>
        <v>0</v>
      </c>
      <c r="U23" s="450">
        <f t="shared" si="14"/>
        <v>0</v>
      </c>
      <c r="V23" s="450">
        <f t="shared" si="14"/>
        <v>0</v>
      </c>
      <c r="W23" s="450">
        <f t="shared" si="14"/>
        <v>0</v>
      </c>
      <c r="X23" s="450">
        <f t="shared" si="14"/>
        <v>0</v>
      </c>
      <c r="Y23" s="450">
        <f t="shared" si="14"/>
        <v>0</v>
      </c>
      <c r="Z23" s="450">
        <f t="shared" si="11"/>
        <v>-36345.454077384507</v>
      </c>
      <c r="AA23" s="450">
        <f t="shared" si="12"/>
        <v>6843761.4396382263</v>
      </c>
      <c r="AB23" s="255"/>
      <c r="AC23"/>
      <c r="AD23" s="20"/>
    </row>
    <row r="24" spans="1:30" ht="15" customHeight="1" x14ac:dyDescent="0.2">
      <c r="A24" s="24">
        <f>'SEF-16 2020 PCORC A-1'!A17</f>
        <v>12</v>
      </c>
      <c r="B24" s="62" t="s">
        <v>665</v>
      </c>
      <c r="C24" s="125" t="s">
        <v>76</v>
      </c>
      <c r="D24" s="450">
        <f>(D14*$D$17)/0.79</f>
        <v>131438322.3243084</v>
      </c>
      <c r="E24" s="450"/>
      <c r="F24" s="450">
        <f t="shared" si="13"/>
        <v>0</v>
      </c>
      <c r="G24" s="450">
        <f t="shared" si="13"/>
        <v>0</v>
      </c>
      <c r="H24" s="450">
        <f>(H14*$D$17/0.79)</f>
        <v>-7364277.0215163296</v>
      </c>
      <c r="I24" s="450">
        <f>(I14*$D$17/0.79)</f>
        <v>29.314006312021988</v>
      </c>
      <c r="J24" s="450">
        <f t="shared" si="13"/>
        <v>-5083.8336768112849</v>
      </c>
      <c r="K24" s="450">
        <f t="shared" si="13"/>
        <v>-120676.93336708861</v>
      </c>
      <c r="L24" s="450">
        <f t="shared" si="13"/>
        <v>0</v>
      </c>
      <c r="M24" s="450">
        <f t="shared" si="13"/>
        <v>0</v>
      </c>
      <c r="N24" s="450">
        <f t="shared" si="13"/>
        <v>-1150733.7300753812</v>
      </c>
      <c r="O24" s="450">
        <f t="shared" si="13"/>
        <v>0</v>
      </c>
      <c r="P24" s="450">
        <f t="shared" si="13"/>
        <v>-29320.66091139241</v>
      </c>
      <c r="Q24" s="450">
        <f t="shared" si="13"/>
        <v>0</v>
      </c>
      <c r="R24" s="450">
        <f t="shared" si="13"/>
        <v>0</v>
      </c>
      <c r="S24" s="450">
        <f t="shared" si="13"/>
        <v>0</v>
      </c>
      <c r="T24" s="450">
        <f t="shared" si="13"/>
        <v>0</v>
      </c>
      <c r="U24" s="450">
        <f t="shared" si="13"/>
        <v>0</v>
      </c>
      <c r="V24" s="450">
        <f t="shared" si="14"/>
        <v>0</v>
      </c>
      <c r="W24" s="450">
        <f t="shared" si="14"/>
        <v>0</v>
      </c>
      <c r="X24" s="450">
        <f t="shared" si="14"/>
        <v>0</v>
      </c>
      <c r="Y24" s="450">
        <f t="shared" si="14"/>
        <v>0</v>
      </c>
      <c r="Z24" s="450">
        <f t="shared" si="11"/>
        <v>-8670062.8655406907</v>
      </c>
      <c r="AA24" s="450">
        <f t="shared" si="12"/>
        <v>122768259.45876771</v>
      </c>
      <c r="AB24" s="255"/>
      <c r="AC24"/>
      <c r="AD24" s="20"/>
    </row>
    <row r="25" spans="1:30" ht="15" customHeight="1" x14ac:dyDescent="0.2">
      <c r="A25" s="24">
        <f>'SEF-16 2020 PCORC A-1'!A18</f>
        <v>13</v>
      </c>
      <c r="B25" s="62" t="str">
        <f>'SEF-16 2020 PCORC A-1'!B18</f>
        <v>501-Steam Fuel Incl Reg Amort</v>
      </c>
      <c r="C25" s="125" t="s">
        <v>86</v>
      </c>
      <c r="D25" s="450">
        <f>+[8]Summary!$B$3</f>
        <v>81044146.280000001</v>
      </c>
      <c r="E25" s="450"/>
      <c r="F25" s="450">
        <f>+'SEF-15 Adjustments'!E19</f>
        <v>-38587193.807774864</v>
      </c>
      <c r="G25" s="450"/>
      <c r="I25" s="68"/>
      <c r="J25" s="450"/>
      <c r="K25" s="450"/>
      <c r="L25" s="450"/>
      <c r="M25" s="450"/>
      <c r="N25" s="450"/>
      <c r="O25" s="450"/>
      <c r="P25" s="450"/>
      <c r="Q25" s="450"/>
      <c r="R25" s="450"/>
      <c r="S25" s="450"/>
      <c r="T25" s="450"/>
      <c r="U25" s="450"/>
      <c r="V25" s="450"/>
      <c r="W25" s="450"/>
      <c r="X25" s="450"/>
      <c r="Y25" s="450"/>
      <c r="Z25" s="450">
        <f t="shared" si="11"/>
        <v>-38587193.807774864</v>
      </c>
      <c r="AA25" s="450">
        <f t="shared" si="12"/>
        <v>42456952.472225137</v>
      </c>
      <c r="AB25" s="255"/>
      <c r="AC25"/>
      <c r="AD25" s="20"/>
    </row>
    <row r="26" spans="1:30" ht="15" customHeight="1" x14ac:dyDescent="0.2">
      <c r="A26" s="24">
        <f>'SEF-16 2020 PCORC A-1'!A19</f>
        <v>14</v>
      </c>
      <c r="B26" s="62" t="str">
        <f>'SEF-16 2020 PCORC A-1'!B19</f>
        <v>555-Purchased power Incl Reg Amort</v>
      </c>
      <c r="C26" s="125" t="s">
        <v>86</v>
      </c>
      <c r="D26" s="450">
        <f>+[8]Summary!$B$5</f>
        <v>535009174.27999997</v>
      </c>
      <c r="E26" s="450"/>
      <c r="F26" s="450">
        <f>+'SEF-15 Adjustments'!E21</f>
        <v>1806069.4663930535</v>
      </c>
      <c r="G26" s="450"/>
      <c r="I26" s="68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>
        <f t="shared" si="11"/>
        <v>1806069.4663930535</v>
      </c>
      <c r="AA26" s="450">
        <f t="shared" si="12"/>
        <v>536815243.74639302</v>
      </c>
      <c r="AB26" s="255"/>
      <c r="AC26"/>
      <c r="AD26" s="20"/>
    </row>
    <row r="27" spans="1:30" ht="15" customHeight="1" x14ac:dyDescent="0.2">
      <c r="A27" s="24">
        <f>'SEF-16 2020 PCORC A-1'!A20</f>
        <v>15</v>
      </c>
      <c r="B27" s="62" t="str">
        <f>'SEF-16 2020 PCORC A-1'!B20</f>
        <v>557-Other Power Exp</v>
      </c>
      <c r="C27" s="125" t="s">
        <v>76</v>
      </c>
      <c r="D27" s="418">
        <f>+[8]Summary!$B$7</f>
        <v>-23522407.310000002</v>
      </c>
      <c r="E27" s="450"/>
      <c r="F27" s="450">
        <f>+'SEF-15 Adjustments'!E22</f>
        <v>35457393.090000004</v>
      </c>
      <c r="G27" s="450"/>
      <c r="I27" s="68"/>
      <c r="J27" s="450"/>
      <c r="K27" s="450"/>
      <c r="L27" s="450"/>
      <c r="M27" s="450"/>
      <c r="N27" s="450"/>
      <c r="O27" s="450"/>
      <c r="P27" s="450"/>
      <c r="Q27" s="450">
        <f>'SEF-15 Adjustments'!CJ22</f>
        <v>0</v>
      </c>
      <c r="R27" s="450"/>
      <c r="S27" s="450"/>
      <c r="T27" s="450"/>
      <c r="U27" s="450"/>
      <c r="V27" s="450"/>
      <c r="W27" s="450"/>
      <c r="X27" s="450"/>
      <c r="Y27" s="450"/>
      <c r="Z27" s="450">
        <f t="shared" si="11"/>
        <v>35457393.090000004</v>
      </c>
      <c r="AA27" s="450">
        <f t="shared" si="12"/>
        <v>11934985.780000001</v>
      </c>
      <c r="AB27" s="255"/>
      <c r="AC27"/>
      <c r="AD27" s="20"/>
    </row>
    <row r="28" spans="1:30" ht="15" customHeight="1" x14ac:dyDescent="0.2">
      <c r="A28" s="24" t="str">
        <f>'SEF-16 2020 PCORC A-1'!A21</f>
        <v>15a</v>
      </c>
      <c r="B28" s="18" t="str">
        <f>'SEF-16 2020 PCORC A-1'!B21</f>
        <v>Payroll Overheads - Benefits</v>
      </c>
      <c r="C28" s="125" t="s">
        <v>76</v>
      </c>
      <c r="D28" s="418">
        <f>+[8]Summary!$C$14</f>
        <v>7746401.1699999999</v>
      </c>
      <c r="E28" s="450"/>
      <c r="F28" s="450"/>
      <c r="G28" s="450"/>
      <c r="I28" s="68"/>
      <c r="J28" s="450"/>
      <c r="K28" s="450"/>
      <c r="L28" s="450"/>
      <c r="M28" s="450"/>
      <c r="N28" s="450"/>
      <c r="O28" s="450"/>
      <c r="P28" s="450"/>
      <c r="Q28" s="450"/>
      <c r="R28" s="450"/>
      <c r="S28" s="450"/>
      <c r="T28" s="450"/>
      <c r="U28" s="450"/>
      <c r="V28" s="450"/>
      <c r="W28" s="450"/>
      <c r="X28" s="450"/>
      <c r="Y28" s="450"/>
      <c r="Z28" s="450">
        <f t="shared" si="11"/>
        <v>0</v>
      </c>
      <c r="AA28" s="450">
        <f t="shared" si="12"/>
        <v>7746401.1699999999</v>
      </c>
      <c r="AB28" s="255"/>
      <c r="AC28"/>
      <c r="AD28" s="20"/>
    </row>
    <row r="29" spans="1:30" ht="15" customHeight="1" x14ac:dyDescent="0.2">
      <c r="A29" s="24" t="str">
        <f>'SEF-16 2020 PCORC A-1'!A22</f>
        <v>15b</v>
      </c>
      <c r="B29" s="29" t="str">
        <f>'SEF-16 2020 PCORC A-1'!B22</f>
        <v>Property Insurance</v>
      </c>
      <c r="C29" s="125" t="s">
        <v>76</v>
      </c>
      <c r="D29" s="450">
        <f>[9]Lead!$C$11</f>
        <v>3549801.75</v>
      </c>
      <c r="E29" s="450"/>
      <c r="F29" s="450"/>
      <c r="G29" s="450"/>
      <c r="I29" s="68"/>
      <c r="J29" s="450"/>
      <c r="K29" s="450"/>
      <c r="L29" s="450">
        <f>'SEF-15 Adjustments'!BD19</f>
        <v>59930.25</v>
      </c>
      <c r="M29" s="450"/>
      <c r="N29" s="450"/>
      <c r="O29" s="450"/>
      <c r="P29" s="450"/>
      <c r="Q29" s="450"/>
      <c r="R29" s="450"/>
      <c r="S29" s="450"/>
      <c r="T29" s="450"/>
      <c r="U29" s="450"/>
      <c r="V29" s="450"/>
      <c r="W29" s="450"/>
      <c r="X29" s="450"/>
      <c r="Y29" s="450"/>
      <c r="Z29" s="450">
        <f t="shared" si="11"/>
        <v>59930.25</v>
      </c>
      <c r="AA29" s="450">
        <f t="shared" si="12"/>
        <v>3609732</v>
      </c>
      <c r="AB29" s="255"/>
      <c r="AC29"/>
      <c r="AD29" s="20"/>
    </row>
    <row r="30" spans="1:30" ht="15" customHeight="1" x14ac:dyDescent="0.2">
      <c r="A30" s="24" t="str">
        <f>'SEF-16 2020 PCORC A-1'!A23</f>
        <v>15c</v>
      </c>
      <c r="B30" s="29" t="str">
        <f>'SEF-16 2020 PCORC A-1'!B23</f>
        <v>Montana Electric Energy Tax</v>
      </c>
      <c r="C30" s="125" t="s">
        <v>86</v>
      </c>
      <c r="D30" s="450">
        <f>+[8]Summary!$C$16</f>
        <v>1116935.45</v>
      </c>
      <c r="E30" s="450"/>
      <c r="F30" s="450"/>
      <c r="G30" s="450">
        <f>+'SEF-15 Adjustments'!Z21</f>
        <v>-295489.38219827373</v>
      </c>
      <c r="I30" s="68"/>
      <c r="J30" s="450"/>
      <c r="K30" s="450"/>
      <c r="L30" s="450"/>
      <c r="M30" s="450"/>
      <c r="N30" s="450"/>
      <c r="O30" s="450"/>
      <c r="P30" s="450"/>
      <c r="Q30" s="450"/>
      <c r="R30" s="450"/>
      <c r="S30" s="450"/>
      <c r="T30" s="450"/>
      <c r="U30" s="450"/>
      <c r="V30" s="450"/>
      <c r="W30" s="450"/>
      <c r="X30" s="450"/>
      <c r="Y30" s="450"/>
      <c r="Z30" s="450">
        <f t="shared" si="11"/>
        <v>-295489.38219827373</v>
      </c>
      <c r="AA30" s="450">
        <f t="shared" si="12"/>
        <v>821446.06780172628</v>
      </c>
      <c r="AB30" s="255"/>
      <c r="AC30"/>
      <c r="AD30" s="20"/>
    </row>
    <row r="31" spans="1:30" ht="15" customHeight="1" x14ac:dyDescent="0.2">
      <c r="A31" s="24" t="str">
        <f>'SEF-16 2020 PCORC A-1'!A24</f>
        <v>15d</v>
      </c>
      <c r="B31" s="29" t="str">
        <f>'SEF-16 2020 PCORC A-1'!B24</f>
        <v>Payroll Taxes on Production Wages</v>
      </c>
      <c r="C31" s="125" t="s">
        <v>76</v>
      </c>
      <c r="D31" s="450">
        <f>+[8]Summary!$C$20</f>
        <v>2154161.64</v>
      </c>
      <c r="E31" s="450"/>
      <c r="F31" s="450"/>
      <c r="G31" s="450"/>
      <c r="I31" s="68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  <c r="W31" s="450"/>
      <c r="X31" s="450"/>
      <c r="Y31" s="450"/>
      <c r="Z31" s="450">
        <f t="shared" si="11"/>
        <v>0</v>
      </c>
      <c r="AA31" s="450">
        <f t="shared" si="12"/>
        <v>2154161.64</v>
      </c>
      <c r="AB31" s="255"/>
      <c r="AC31"/>
      <c r="AD31" s="20"/>
    </row>
    <row r="32" spans="1:30" ht="15" customHeight="1" x14ac:dyDescent="0.2">
      <c r="A32" s="24" t="str">
        <f>'SEF-16 2020 PCORC A-1'!A25</f>
        <v>15e</v>
      </c>
      <c r="B32" s="29" t="str">
        <f>'SEF-16 2020 PCORC A-1'!B25</f>
        <v>Brokerage Fees #55700003</v>
      </c>
      <c r="C32" s="125" t="s">
        <v>86</v>
      </c>
      <c r="D32" s="450">
        <f>+[8]Summary!$B$8</f>
        <v>489609.01</v>
      </c>
      <c r="E32" s="450"/>
      <c r="F32" s="450">
        <f>+'SEF-15 Adjustments'!E23</f>
        <v>8245.0157283999724</v>
      </c>
      <c r="G32" s="450"/>
      <c r="I32" s="68"/>
      <c r="J32" s="450"/>
      <c r="K32" s="450"/>
      <c r="L32" s="450"/>
      <c r="M32" s="450"/>
      <c r="N32" s="450"/>
      <c r="O32" s="450"/>
      <c r="P32" s="450"/>
      <c r="Q32" s="450"/>
      <c r="R32" s="450"/>
      <c r="S32" s="450"/>
      <c r="T32" s="450"/>
      <c r="U32" s="450"/>
      <c r="V32" s="450"/>
      <c r="W32" s="450"/>
      <c r="X32" s="450"/>
      <c r="Y32" s="450"/>
      <c r="Z32" s="450">
        <f t="shared" si="11"/>
        <v>8245.0157283999724</v>
      </c>
      <c r="AA32" s="450">
        <f t="shared" si="12"/>
        <v>497854.02572839998</v>
      </c>
      <c r="AB32" s="255"/>
      <c r="AC32"/>
      <c r="AD32" s="20"/>
    </row>
    <row r="33" spans="1:31" ht="15" customHeight="1" x14ac:dyDescent="0.2">
      <c r="A33" s="24">
        <f>'SEF-16 2020 PCORC A-1'!A26</f>
        <v>16</v>
      </c>
      <c r="B33" s="13" t="str">
        <f>'SEF-16 2020 PCORC A-1'!B26</f>
        <v>547-Fuel Incl Reg Amort</v>
      </c>
      <c r="C33" s="125" t="s">
        <v>86</v>
      </c>
      <c r="D33" s="450">
        <f>+[8]Summary!$B$23</f>
        <v>183617976.11000001</v>
      </c>
      <c r="E33" s="450"/>
      <c r="F33" s="450">
        <f>+'SEF-15 Adjustments'!E20</f>
        <v>-25805312.928730458</v>
      </c>
      <c r="G33" s="450"/>
      <c r="I33" s="68"/>
      <c r="J33" s="450"/>
      <c r="K33" s="450"/>
      <c r="L33" s="450"/>
      <c r="M33" s="450"/>
      <c r="N33" s="450"/>
      <c r="O33" s="450"/>
      <c r="P33" s="450"/>
      <c r="Q33" s="450"/>
      <c r="R33" s="450"/>
      <c r="S33" s="450"/>
      <c r="T33" s="450"/>
      <c r="U33" s="450"/>
      <c r="V33" s="450"/>
      <c r="W33" s="450"/>
      <c r="X33" s="450"/>
      <c r="Y33" s="450"/>
      <c r="Z33" s="450">
        <f t="shared" si="11"/>
        <v>-25805312.928730458</v>
      </c>
      <c r="AA33" s="450">
        <f t="shared" si="12"/>
        <v>157812663.18126956</v>
      </c>
      <c r="AB33" s="255"/>
      <c r="AC33"/>
      <c r="AD33" s="20"/>
    </row>
    <row r="34" spans="1:31" ht="15" customHeight="1" x14ac:dyDescent="0.2">
      <c r="A34" s="24">
        <f>'SEF-16 2020 PCORC A-1'!A27</f>
        <v>17</v>
      </c>
      <c r="B34" s="13" t="str">
        <f>'SEF-16 2020 PCORC A-1'!B27</f>
        <v>565-Wheeling Incl Reg Amort</v>
      </c>
      <c r="C34" s="125" t="s">
        <v>86</v>
      </c>
      <c r="D34" s="450">
        <f>+[8]Summary!$B$29</f>
        <v>123883050.72</v>
      </c>
      <c r="E34" s="450"/>
      <c r="F34" s="450">
        <f>+'SEF-15 Adjustments'!E24</f>
        <v>6543312.8064213097</v>
      </c>
      <c r="G34" s="450"/>
      <c r="I34" s="68"/>
      <c r="J34" s="450"/>
      <c r="K34" s="450"/>
      <c r="L34" s="450"/>
      <c r="M34" s="450"/>
      <c r="N34" s="450"/>
      <c r="O34" s="450"/>
      <c r="P34" s="450"/>
      <c r="Q34" s="450"/>
      <c r="R34" s="450"/>
      <c r="S34" s="450"/>
      <c r="T34" s="450"/>
      <c r="U34" s="450"/>
      <c r="V34" s="450"/>
      <c r="W34" s="450"/>
      <c r="X34" s="450"/>
      <c r="Y34" s="450"/>
      <c r="Z34" s="450">
        <f t="shared" si="11"/>
        <v>6543312.8064213097</v>
      </c>
      <c r="AA34" s="450">
        <f t="shared" si="12"/>
        <v>130426363.52642131</v>
      </c>
      <c r="AB34" s="255"/>
      <c r="AC34"/>
      <c r="AD34" s="20"/>
    </row>
    <row r="35" spans="1:31" ht="15" customHeight="1" x14ac:dyDescent="0.2">
      <c r="A35" s="24">
        <f>'SEF-16 2020 PCORC A-1'!A28</f>
        <v>18</v>
      </c>
      <c r="B35" s="138" t="s">
        <v>197</v>
      </c>
      <c r="C35" s="125" t="s">
        <v>76</v>
      </c>
      <c r="D35" s="450">
        <f>[8]Summary!$C$32</f>
        <v>-6480453.6300000008</v>
      </c>
      <c r="E35" s="450"/>
      <c r="F35" s="450">
        <f>+'SEF-15 Adjustments'!E31</f>
        <v>-34966.974523456767</v>
      </c>
      <c r="G35" s="450"/>
      <c r="I35" s="68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>
        <f t="shared" si="11"/>
        <v>-34966.974523456767</v>
      </c>
      <c r="AA35" s="450">
        <f t="shared" si="12"/>
        <v>-6515420.6045234576</v>
      </c>
      <c r="AB35" s="255"/>
      <c r="AC35"/>
      <c r="AD35" s="20"/>
    </row>
    <row r="36" spans="1:31" ht="15" customHeight="1" x14ac:dyDescent="0.2">
      <c r="A36" s="24">
        <f>'SEF-16 2020 PCORC A-1'!A29</f>
        <v>19</v>
      </c>
      <c r="B36" s="13" t="str">
        <f>'SEF-16 2020 PCORC A-1'!B29</f>
        <v>Production O&amp;M</v>
      </c>
      <c r="C36" s="125" t="s">
        <v>76</v>
      </c>
      <c r="D36" s="450">
        <f>+[8]Summary!$C$34</f>
        <v>120717329.15000001</v>
      </c>
      <c r="E36" s="450"/>
      <c r="F36" s="450">
        <f>+'SEF-15 Adjustments'!E29</f>
        <v>-16205127.701646611</v>
      </c>
      <c r="G36" s="450"/>
      <c r="I36" s="68"/>
      <c r="J36" s="450"/>
      <c r="K36" s="450"/>
      <c r="L36" s="450"/>
      <c r="M36" s="450"/>
      <c r="N36" s="450"/>
      <c r="O36" s="450"/>
      <c r="P36" s="450"/>
      <c r="Q36" s="450"/>
      <c r="R36" s="450"/>
      <c r="S36" s="450"/>
      <c r="T36" s="450"/>
      <c r="U36" s="450"/>
      <c r="V36" s="450"/>
      <c r="W36" s="450"/>
      <c r="X36" s="450"/>
      <c r="Y36" s="450"/>
      <c r="Z36" s="450">
        <f t="shared" si="11"/>
        <v>-16205127.701646611</v>
      </c>
      <c r="AA36" s="450">
        <f t="shared" si="12"/>
        <v>104512201.44835339</v>
      </c>
      <c r="AB36" s="255"/>
      <c r="AC36"/>
      <c r="AD36" s="20"/>
    </row>
    <row r="37" spans="1:31" ht="15" customHeight="1" x14ac:dyDescent="0.2">
      <c r="A37" s="24">
        <f>'SEF-16 2020 PCORC A-1'!A30</f>
        <v>20</v>
      </c>
      <c r="B37" s="13" t="str">
        <f>'SEF-16 2020 PCORC A-1'!B30</f>
        <v>447-Sales to Others</v>
      </c>
      <c r="C37" s="125" t="s">
        <v>86</v>
      </c>
      <c r="D37" s="450">
        <f>+[8]Summary!$B$38</f>
        <v>-189780073.88</v>
      </c>
      <c r="E37" s="450"/>
      <c r="F37" s="450">
        <f>+'SEF-15 Adjustments'!E25</f>
        <v>142795932.90087616</v>
      </c>
      <c r="G37" s="450"/>
      <c r="I37" s="68"/>
      <c r="J37" s="450"/>
      <c r="K37" s="450"/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0"/>
      <c r="W37" s="450"/>
      <c r="X37" s="450"/>
      <c r="Y37" s="450"/>
      <c r="Z37" s="450">
        <f t="shared" si="11"/>
        <v>142795932.90087616</v>
      </c>
      <c r="AA37" s="450">
        <f t="shared" si="12"/>
        <v>-46984140.979123831</v>
      </c>
      <c r="AB37" s="255"/>
      <c r="AC37"/>
      <c r="AD37" s="20"/>
    </row>
    <row r="38" spans="1:31" ht="15" customHeight="1" x14ac:dyDescent="0.2">
      <c r="A38" s="24">
        <f>'SEF-16 2020 PCORC A-1'!A31</f>
        <v>21</v>
      </c>
      <c r="B38" s="13" t="str">
        <f>'SEF-16 2020 PCORC A-1'!B31</f>
        <v>456-Purch/Sales Non-Core Gas</v>
      </c>
      <c r="C38" s="125" t="s">
        <v>86</v>
      </c>
      <c r="D38" s="450">
        <f>+[8]Summary!$B$45</f>
        <v>-9520817.3900000006</v>
      </c>
      <c r="E38" s="450"/>
      <c r="F38" s="450">
        <f>+'SEF-15 Adjustments'!E26</f>
        <v>-49089540.37504492</v>
      </c>
      <c r="G38" s="450"/>
      <c r="I38" s="68"/>
      <c r="J38" s="450"/>
      <c r="K38" s="450"/>
      <c r="L38" s="450"/>
      <c r="M38" s="450"/>
      <c r="N38" s="450"/>
      <c r="O38" s="450"/>
      <c r="P38" s="450"/>
      <c r="Q38" s="450"/>
      <c r="R38" s="450"/>
      <c r="S38" s="450"/>
      <c r="T38" s="450"/>
      <c r="U38" s="450"/>
      <c r="V38" s="450"/>
      <c r="W38" s="450"/>
      <c r="X38" s="450"/>
      <c r="Y38" s="450"/>
      <c r="Z38" s="450">
        <f t="shared" si="11"/>
        <v>-49089540.37504492</v>
      </c>
      <c r="AA38" s="450">
        <f t="shared" si="12"/>
        <v>-58610357.76504492</v>
      </c>
      <c r="AB38" s="255"/>
      <c r="AC38"/>
      <c r="AD38" s="20"/>
    </row>
    <row r="39" spans="1:31" ht="15" customHeight="1" x14ac:dyDescent="0.2">
      <c r="A39" s="24">
        <f>'SEF-16 2020 PCORC A-1'!A32</f>
        <v>22</v>
      </c>
      <c r="B39" s="13" t="str">
        <f>'SEF-16 2020 PCORC A-1'!B32</f>
        <v>Transmission Exp - 500KV</v>
      </c>
      <c r="C39" s="125" t="s">
        <v>76</v>
      </c>
      <c r="D39" s="450">
        <f>+[8]Summary!$C$47</f>
        <v>728609.68</v>
      </c>
      <c r="E39" s="450"/>
      <c r="F39" s="450"/>
      <c r="G39" s="450"/>
      <c r="I39" s="68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>
        <f t="shared" si="11"/>
        <v>0</v>
      </c>
      <c r="AA39" s="450">
        <f t="shared" si="12"/>
        <v>728609.68</v>
      </c>
      <c r="AB39" s="255"/>
      <c r="AC39"/>
      <c r="AD39" s="20"/>
    </row>
    <row r="40" spans="1:31" ht="15" customHeight="1" x14ac:dyDescent="0.2">
      <c r="A40" s="24">
        <f>'SEF-16 2020 PCORC A-1'!A33</f>
        <v>23</v>
      </c>
      <c r="B40" s="13" t="str">
        <f>'SEF-16 2020 PCORC A-1'!B33</f>
        <v>Depreciation-Production (FERC 403)</v>
      </c>
      <c r="C40" s="125" t="s">
        <v>76</v>
      </c>
      <c r="D40" s="450">
        <f>'Recon Depr'!E110</f>
        <v>153284670.03999999</v>
      </c>
      <c r="E40" s="450"/>
      <c r="F40" s="450"/>
      <c r="G40" s="450"/>
      <c r="H40" s="449"/>
      <c r="I40" s="449">
        <f>'SEF-15 Adjustments'!AL26</f>
        <v>-8246818.2413349133</v>
      </c>
      <c r="J40" s="450">
        <f>'SEF-15 Adjustments'!AR28</f>
        <v>-2186134.7040000008</v>
      </c>
      <c r="K40" s="450">
        <f>'SEF-15 Adjustments'!AX29</f>
        <v>-203316.52595000001</v>
      </c>
      <c r="L40" s="101"/>
      <c r="M40" s="450"/>
      <c r="N40" s="450">
        <f>'SEF-15 Adjustments'!BP23</f>
        <v>16922554.854049724</v>
      </c>
      <c r="O40" s="450"/>
      <c r="P40" s="450">
        <f>-'SEF-15 Adjustments'!CD18</f>
        <v>0</v>
      </c>
      <c r="Q40" s="450"/>
      <c r="R40" s="450">
        <f>+[10]Lead!$F$15</f>
        <v>-321546.88008670002</v>
      </c>
      <c r="S40" s="450"/>
      <c r="T40" s="450"/>
      <c r="U40" s="450"/>
      <c r="V40" s="450"/>
      <c r="W40" s="450"/>
      <c r="X40" s="450"/>
      <c r="Y40" s="450"/>
      <c r="Z40" s="450">
        <f t="shared" si="11"/>
        <v>5964738.5026781084</v>
      </c>
      <c r="AA40" s="450">
        <f t="shared" si="12"/>
        <v>159249408.54267809</v>
      </c>
      <c r="AB40" s="255"/>
      <c r="AC40"/>
      <c r="AD40" s="20"/>
    </row>
    <row r="41" spans="1:31" ht="15" customHeight="1" x14ac:dyDescent="0.2">
      <c r="A41" s="24">
        <f>'SEF-16 2020 PCORC A-1'!A34</f>
        <v>24</v>
      </c>
      <c r="B41" s="13" t="str">
        <f>'SEF-16 2020 PCORC A-1'!B34</f>
        <v>Depreciation-Transmission</v>
      </c>
      <c r="C41" s="125" t="s">
        <v>76</v>
      </c>
      <c r="D41" s="450">
        <f>'Recon Depr'!E111</f>
        <v>3758629.8740000008</v>
      </c>
      <c r="E41" s="450"/>
      <c r="F41" s="450"/>
      <c r="G41" s="450"/>
      <c r="H41" s="449"/>
      <c r="I41" s="449">
        <f>'SEF-15 Adjustments'!AL39</f>
        <v>-76950.918991007376</v>
      </c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0"/>
      <c r="U41" s="450"/>
      <c r="V41" s="450"/>
      <c r="W41" s="450"/>
      <c r="X41" s="450"/>
      <c r="Y41" s="450"/>
      <c r="Z41" s="450">
        <f t="shared" si="11"/>
        <v>-76950.918991007376</v>
      </c>
      <c r="AA41" s="450">
        <f t="shared" si="12"/>
        <v>3681678.9550089934</v>
      </c>
      <c r="AB41" s="255"/>
      <c r="AC41"/>
      <c r="AD41" s="20"/>
    </row>
    <row r="42" spans="1:31" ht="15" customHeight="1" x14ac:dyDescent="0.2">
      <c r="A42" s="24">
        <f>'SEF-16 2020 PCORC A-1'!A35</f>
        <v>25</v>
      </c>
      <c r="B42" s="13" t="str">
        <f>'SEF-16 2020 PCORC A-1'!B35</f>
        <v>Amortization  - Reg Assets - Non PC Only</v>
      </c>
      <c r="C42" s="125" t="s">
        <v>76</v>
      </c>
      <c r="D42" s="450">
        <f>'SEF-15 Adjustments'!BH51</f>
        <v>11632920.022857659</v>
      </c>
      <c r="E42" s="450"/>
      <c r="F42" s="450"/>
      <c r="G42" s="450"/>
      <c r="I42" s="68"/>
      <c r="J42" s="450"/>
      <c r="K42" s="450"/>
      <c r="L42" s="449"/>
      <c r="M42" s="450">
        <f>'SEF-15 Adjustments'!BJ51</f>
        <v>-8060448.0228576586</v>
      </c>
      <c r="N42" s="450"/>
      <c r="O42" s="450"/>
      <c r="P42" s="450"/>
      <c r="Q42" s="450">
        <f>'SEF-15 Adjustments'!CJ25</f>
        <v>612714.71481750195</v>
      </c>
      <c r="R42" s="450"/>
      <c r="S42" s="450"/>
      <c r="T42" s="450"/>
      <c r="U42" s="450"/>
      <c r="V42" s="450"/>
      <c r="W42" s="450"/>
      <c r="X42" s="450"/>
      <c r="Y42" s="450"/>
      <c r="Z42" s="450">
        <f t="shared" si="11"/>
        <v>-7447733.308040157</v>
      </c>
      <c r="AA42" s="450">
        <f t="shared" si="12"/>
        <v>4185186.7148175016</v>
      </c>
      <c r="AB42" s="255"/>
      <c r="AC42"/>
      <c r="AD42" s="20"/>
    </row>
    <row r="43" spans="1:31" ht="15" customHeight="1" x14ac:dyDescent="0.2">
      <c r="A43" s="70">
        <v>26</v>
      </c>
      <c r="B43" s="13" t="s">
        <v>424</v>
      </c>
      <c r="C43" s="125" t="s">
        <v>76</v>
      </c>
      <c r="D43" s="450">
        <f>'SEF-15 Adjustments'!BT24</f>
        <v>9250000.0199999996</v>
      </c>
      <c r="E43" s="30"/>
      <c r="F43" s="450"/>
      <c r="G43" s="450"/>
      <c r="I43" s="68"/>
      <c r="J43" s="450"/>
      <c r="K43" s="450"/>
      <c r="L43" s="450"/>
      <c r="M43" s="450"/>
      <c r="N43" s="450"/>
      <c r="O43" s="450">
        <f>'SEF-15 Adjustments'!BX24</f>
        <v>-9250000.0199999996</v>
      </c>
      <c r="P43" s="450"/>
      <c r="Q43" s="450"/>
      <c r="R43" s="450"/>
      <c r="S43" s="450"/>
      <c r="T43" s="450"/>
      <c r="U43" s="450"/>
      <c r="V43" s="450"/>
      <c r="W43" s="30"/>
      <c r="X43" s="450"/>
      <c r="Y43" s="450"/>
      <c r="Z43" s="450">
        <f t="shared" si="11"/>
        <v>-9250000.0199999996</v>
      </c>
      <c r="AA43" s="450">
        <f t="shared" si="12"/>
        <v>0</v>
      </c>
      <c r="AB43" s="255"/>
      <c r="AC43"/>
      <c r="AD43" s="20"/>
    </row>
    <row r="44" spans="1:31" ht="15" customHeight="1" x14ac:dyDescent="0.2">
      <c r="A44" s="24">
        <f>'SEF-16 2020 PCORC A-1'!A36</f>
        <v>27</v>
      </c>
      <c r="B44" s="29" t="str">
        <f>'SEF-16 2020 PCORC A-1'!B36</f>
        <v>Subtotal &amp; Baseline Rate</v>
      </c>
      <c r="D44" s="89">
        <f>SUM(D20:D43)</f>
        <v>1162775326.911011</v>
      </c>
      <c r="E44" s="32"/>
      <c r="F44" s="32">
        <f t="shared" ref="F44:AA44" si="15">SUM(F20:F43)</f>
        <v>61052185.591858618</v>
      </c>
      <c r="G44" s="32">
        <f t="shared" si="15"/>
        <v>-295489.38219827373</v>
      </c>
      <c r="H44" s="32">
        <f>SUM(H20:H43)</f>
        <v>-1544033.737394385</v>
      </c>
      <c r="I44" s="32">
        <f>SUM(I20:I43)</f>
        <v>-8318507.1838282198</v>
      </c>
      <c r="J44" s="32">
        <f t="shared" si="15"/>
        <v>-2191218.5376768121</v>
      </c>
      <c r="K44" s="32">
        <f>SUM(K20:K43)</f>
        <v>-323993.45931708859</v>
      </c>
      <c r="L44" s="32">
        <f t="shared" si="15"/>
        <v>59930.25</v>
      </c>
      <c r="M44" s="89">
        <f t="shared" si="15"/>
        <v>-10253504.992966941</v>
      </c>
      <c r="N44" s="32">
        <f t="shared" si="15"/>
        <v>15771821.123974342</v>
      </c>
      <c r="O44" s="32">
        <f t="shared" si="15"/>
        <v>-19494395.063478984</v>
      </c>
      <c r="P44" s="32">
        <f t="shared" si="15"/>
        <v>-29320.66091139241</v>
      </c>
      <c r="Q44" s="32">
        <f t="shared" si="15"/>
        <v>675211.61572888715</v>
      </c>
      <c r="R44" s="32">
        <f t="shared" si="15"/>
        <v>-321546.88008670002</v>
      </c>
      <c r="S44" s="32">
        <f t="shared" si="15"/>
        <v>0</v>
      </c>
      <c r="T44" s="32">
        <f t="shared" si="15"/>
        <v>0</v>
      </c>
      <c r="U44" s="32">
        <f t="shared" si="15"/>
        <v>0</v>
      </c>
      <c r="V44" s="32">
        <f t="shared" si="15"/>
        <v>0</v>
      </c>
      <c r="W44" s="32">
        <f t="shared" si="15"/>
        <v>0</v>
      </c>
      <c r="X44" s="32">
        <f t="shared" si="15"/>
        <v>0</v>
      </c>
      <c r="Y44" s="32">
        <f t="shared" si="15"/>
        <v>0</v>
      </c>
      <c r="Z44" s="32">
        <f t="shared" si="15"/>
        <v>34787138.683703065</v>
      </c>
      <c r="AA44" s="32">
        <f t="shared" si="15"/>
        <v>1197562465.5947134</v>
      </c>
      <c r="AB44" s="255"/>
      <c r="AC44"/>
      <c r="AD44" s="21"/>
    </row>
    <row r="45" spans="1:31" ht="15" customHeight="1" x14ac:dyDescent="0.25">
      <c r="B45" s="823"/>
      <c r="F45" s="31"/>
      <c r="G45" s="31"/>
      <c r="H45" s="216"/>
      <c r="I45" s="31"/>
      <c r="J45" s="31"/>
      <c r="K45" s="31"/>
      <c r="L45" s="31"/>
      <c r="M45" s="823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/>
      <c r="AC45"/>
    </row>
    <row r="46" spans="1:31" ht="1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</row>
    <row r="47" spans="1:31" ht="15" customHeight="1" x14ac:dyDescent="0.2">
      <c r="A47" s="217" t="s">
        <v>98</v>
      </c>
      <c r="B47" s="217" t="s">
        <v>813</v>
      </c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/>
      <c r="AC47"/>
      <c r="AD47"/>
      <c r="AE47"/>
    </row>
    <row r="48" spans="1:31" ht="15" customHeight="1" x14ac:dyDescent="0.2">
      <c r="A48" s="183">
        <v>3</v>
      </c>
      <c r="B48" s="182" t="s">
        <v>179</v>
      </c>
      <c r="C48" s="182"/>
      <c r="D48" s="220">
        <v>163785795.29336357</v>
      </c>
      <c r="E48" s="220"/>
      <c r="F48" s="220"/>
      <c r="G48" s="220"/>
      <c r="H48" s="220"/>
      <c r="I48" s="220"/>
      <c r="J48" s="220"/>
      <c r="K48" s="220"/>
      <c r="L48" s="220"/>
      <c r="M48" s="220">
        <v>-25478161.858622536</v>
      </c>
      <c r="N48" s="220"/>
      <c r="O48" s="220"/>
      <c r="P48" s="220"/>
      <c r="Q48" s="220">
        <v>726066.93705873948</v>
      </c>
      <c r="R48" s="220"/>
      <c r="S48" s="220"/>
      <c r="T48" s="220"/>
      <c r="U48" s="220"/>
      <c r="V48" s="220"/>
      <c r="W48" s="220"/>
      <c r="X48" s="220"/>
      <c r="Y48" s="220"/>
      <c r="Z48" s="220">
        <v>-24752094.921563797</v>
      </c>
      <c r="AA48" s="220">
        <v>139033700.37179977</v>
      </c>
      <c r="AB48"/>
      <c r="AC48"/>
      <c r="AD48"/>
      <c r="AE48"/>
    </row>
    <row r="49" spans="1:31" s="68" customFormat="1" ht="15" customHeight="1" x14ac:dyDescent="0.2">
      <c r="A49" s="183" t="s">
        <v>422</v>
      </c>
      <c r="B49" s="182" t="s">
        <v>423</v>
      </c>
      <c r="C49" s="182"/>
      <c r="D49" s="222">
        <v>19508549.086666666</v>
      </c>
      <c r="E49" s="222"/>
      <c r="F49" s="222"/>
      <c r="G49" s="222"/>
      <c r="H49" s="222">
        <v>68100572.155083328</v>
      </c>
      <c r="I49" s="222"/>
      <c r="J49" s="222"/>
      <c r="K49" s="222"/>
      <c r="L49" s="222"/>
      <c r="M49" s="222"/>
      <c r="N49" s="222"/>
      <c r="O49" s="222">
        <v>-119015765.9463</v>
      </c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>
        <v>-50915193.791216671</v>
      </c>
      <c r="AA49" s="222">
        <v>-31406644.704550005</v>
      </c>
      <c r="AB49"/>
      <c r="AC49"/>
      <c r="AD49"/>
      <c r="AE49"/>
    </row>
    <row r="50" spans="1:31" ht="15" customHeight="1" x14ac:dyDescent="0.2">
      <c r="A50" s="183">
        <v>4</v>
      </c>
      <c r="B50" s="182" t="s">
        <v>180</v>
      </c>
      <c r="C50" s="182"/>
      <c r="D50" s="221">
        <v>79930653.618166655</v>
      </c>
      <c r="E50" s="221"/>
      <c r="F50" s="221"/>
      <c r="G50" s="221"/>
      <c r="H50" s="262">
        <v>-483039.88366662757</v>
      </c>
      <c r="I50" s="262">
        <v>60791.226002895826</v>
      </c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2"/>
      <c r="X50" s="221"/>
      <c r="Y50" s="221"/>
      <c r="Z50" s="221">
        <v>-422248.65766373172</v>
      </c>
      <c r="AA50" s="222">
        <v>79508404.960502923</v>
      </c>
      <c r="AB50"/>
      <c r="AC50"/>
      <c r="AD50"/>
      <c r="AE50"/>
    </row>
    <row r="51" spans="1:31" ht="15" customHeight="1" x14ac:dyDescent="0.2">
      <c r="A51" s="183">
        <v>5</v>
      </c>
      <c r="B51" s="182" t="s">
        <v>181</v>
      </c>
      <c r="C51" s="182"/>
      <c r="D51" s="221">
        <v>1527004038.7677004</v>
      </c>
      <c r="E51" s="222"/>
      <c r="F51" s="222"/>
      <c r="G51" s="222"/>
      <c r="H51" s="222">
        <v>-85555571.279380888</v>
      </c>
      <c r="I51" s="222">
        <v>340.55977921319663</v>
      </c>
      <c r="J51" s="222">
        <v>-59062.185362954624</v>
      </c>
      <c r="K51" s="222">
        <v>-1401982.02</v>
      </c>
      <c r="L51" s="222"/>
      <c r="M51" s="222"/>
      <c r="N51" s="222">
        <v>-13368818.334699281</v>
      </c>
      <c r="O51" s="222"/>
      <c r="P51" s="222">
        <v>-340637.09</v>
      </c>
      <c r="Q51" s="222"/>
      <c r="R51" s="222"/>
      <c r="S51" s="222"/>
      <c r="T51" s="222"/>
      <c r="U51" s="222"/>
      <c r="V51" s="222"/>
      <c r="W51" s="223"/>
      <c r="X51" s="222"/>
      <c r="Y51" s="222"/>
      <c r="Z51" s="222">
        <v>-100725730.34966391</v>
      </c>
      <c r="AA51" s="222">
        <v>1426278308.4180365</v>
      </c>
      <c r="AB51"/>
      <c r="AC51"/>
      <c r="AD51"/>
      <c r="AE51"/>
    </row>
    <row r="52" spans="1:31" ht="15" customHeight="1" x14ac:dyDescent="0.2">
      <c r="A52" s="183"/>
      <c r="B52" s="182"/>
      <c r="C52" s="182"/>
      <c r="D52" s="224">
        <v>1790229036.7658973</v>
      </c>
      <c r="E52" s="224"/>
      <c r="F52" s="224">
        <v>0</v>
      </c>
      <c r="G52" s="224">
        <v>0</v>
      </c>
      <c r="H52" s="357">
        <v>-17938039.007964194</v>
      </c>
      <c r="I52" s="224">
        <v>61131.785782109022</v>
      </c>
      <c r="J52" s="224">
        <v>-59062.185362954624</v>
      </c>
      <c r="K52" s="224">
        <v>-1401982.02</v>
      </c>
      <c r="L52" s="224">
        <v>0</v>
      </c>
      <c r="M52" s="224">
        <v>-25478161.858622536</v>
      </c>
      <c r="N52" s="224">
        <v>-13368818.334699281</v>
      </c>
      <c r="O52" s="224">
        <v>-119015765.9463</v>
      </c>
      <c r="P52" s="224">
        <v>-340637.09</v>
      </c>
      <c r="Q52" s="224">
        <v>726066.93705873948</v>
      </c>
      <c r="R52" s="224">
        <v>0</v>
      </c>
      <c r="S52" s="224">
        <v>0</v>
      </c>
      <c r="T52" s="224">
        <v>0</v>
      </c>
      <c r="U52" s="224">
        <v>0</v>
      </c>
      <c r="V52" s="224">
        <v>0</v>
      </c>
      <c r="W52" s="222">
        <v>0</v>
      </c>
      <c r="X52" s="224">
        <v>0</v>
      </c>
      <c r="Y52" s="224">
        <v>0</v>
      </c>
      <c r="Z52" s="224">
        <v>-176815267.72010812</v>
      </c>
      <c r="AA52" s="224">
        <v>1613413769.0457892</v>
      </c>
      <c r="AB52"/>
      <c r="AC52"/>
      <c r="AD52"/>
      <c r="AE52"/>
    </row>
    <row r="53" spans="1:31" ht="15" customHeight="1" x14ac:dyDescent="0.2">
      <c r="A53" s="183"/>
      <c r="B53" s="182"/>
      <c r="C53" s="182"/>
      <c r="D53" s="225"/>
      <c r="E53" s="225"/>
      <c r="F53" s="225"/>
      <c r="G53" s="225"/>
      <c r="H53" s="182"/>
      <c r="I53" s="182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6"/>
      <c r="X53" s="225"/>
      <c r="Y53" s="225"/>
      <c r="Z53" s="225"/>
      <c r="AA53" s="225"/>
      <c r="AB53"/>
      <c r="AC53"/>
      <c r="AD53"/>
      <c r="AE53"/>
    </row>
    <row r="54" spans="1:31" ht="15" customHeight="1" x14ac:dyDescent="0.2">
      <c r="A54" s="183">
        <v>7</v>
      </c>
      <c r="B54" s="184" t="s">
        <v>126</v>
      </c>
      <c r="C54" s="182"/>
      <c r="D54" s="227">
        <v>6.8000000000000005E-2</v>
      </c>
      <c r="E54" s="225"/>
      <c r="F54" s="228">
        <v>0</v>
      </c>
      <c r="G54" s="228">
        <v>0</v>
      </c>
      <c r="H54" s="228"/>
      <c r="I54" s="228">
        <v>0</v>
      </c>
      <c r="J54" s="228">
        <v>0</v>
      </c>
      <c r="K54" s="228">
        <v>0</v>
      </c>
      <c r="L54" s="228">
        <v>0</v>
      </c>
      <c r="M54" s="228">
        <v>0</v>
      </c>
      <c r="N54" s="228">
        <v>0</v>
      </c>
      <c r="O54" s="228">
        <v>0</v>
      </c>
      <c r="P54" s="228">
        <v>0</v>
      </c>
      <c r="Q54" s="228">
        <v>0</v>
      </c>
      <c r="R54" s="228">
        <v>0</v>
      </c>
      <c r="S54" s="228">
        <v>0</v>
      </c>
      <c r="T54" s="228">
        <v>0</v>
      </c>
      <c r="U54" s="228">
        <v>0</v>
      </c>
      <c r="V54" s="228">
        <v>0</v>
      </c>
      <c r="W54" s="229">
        <v>0</v>
      </c>
      <c r="X54" s="228">
        <v>0</v>
      </c>
      <c r="Y54" s="228">
        <v>0</v>
      </c>
      <c r="Z54" s="222"/>
      <c r="AA54" s="230">
        <v>6.8000000000000005E-2</v>
      </c>
      <c r="AB54"/>
      <c r="AC54"/>
      <c r="AD54"/>
      <c r="AE54"/>
    </row>
    <row r="55" spans="1:31" ht="15" customHeight="1" x14ac:dyDescent="0.2">
      <c r="A55" s="183">
        <v>8</v>
      </c>
      <c r="B55" s="182"/>
      <c r="C55" s="182"/>
      <c r="D55" s="225"/>
      <c r="E55" s="225"/>
      <c r="F55" s="225"/>
      <c r="G55" s="225"/>
      <c r="H55" s="182"/>
      <c r="I55" s="182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6"/>
      <c r="X55" s="225"/>
      <c r="Y55" s="225"/>
      <c r="Z55" s="225"/>
      <c r="AA55" s="225"/>
      <c r="AB55"/>
      <c r="AC55"/>
      <c r="AD55"/>
      <c r="AE55"/>
    </row>
    <row r="56" spans="1:31" ht="15" customHeight="1" x14ac:dyDescent="0.2">
      <c r="A56" s="183">
        <v>9</v>
      </c>
      <c r="B56" s="182"/>
      <c r="C56" s="182"/>
      <c r="D56" s="225"/>
      <c r="E56" s="225"/>
      <c r="F56" s="225"/>
      <c r="G56" s="225"/>
      <c r="H56" s="182"/>
      <c r="I56" s="182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6"/>
      <c r="X56" s="225"/>
      <c r="Y56" s="225"/>
      <c r="Z56" s="225"/>
      <c r="AA56" s="225"/>
      <c r="AB56"/>
      <c r="AC56"/>
      <c r="AD56"/>
      <c r="AE56"/>
    </row>
    <row r="57" spans="1:31" ht="15" customHeight="1" x14ac:dyDescent="0.2">
      <c r="A57" s="183">
        <v>10</v>
      </c>
      <c r="B57" s="184" t="s">
        <v>73</v>
      </c>
      <c r="C57" s="231" t="s">
        <v>76</v>
      </c>
      <c r="D57" s="220">
        <v>15777234.706129184</v>
      </c>
      <c r="E57" s="220"/>
      <c r="F57" s="220">
        <v>0</v>
      </c>
      <c r="G57" s="220">
        <v>0</v>
      </c>
      <c r="H57" s="220">
        <v>5861821.4006907176</v>
      </c>
      <c r="I57" s="220">
        <v>0</v>
      </c>
      <c r="J57" s="220">
        <v>0</v>
      </c>
      <c r="K57" s="220">
        <v>0</v>
      </c>
      <c r="L57" s="220">
        <v>0</v>
      </c>
      <c r="M57" s="220">
        <v>-2193056.9701092816</v>
      </c>
      <c r="N57" s="220">
        <v>0</v>
      </c>
      <c r="O57" s="220">
        <v>-10244395.043478986</v>
      </c>
      <c r="P57" s="220">
        <v>0</v>
      </c>
      <c r="Q57" s="220">
        <v>62496.900911385179</v>
      </c>
      <c r="R57" s="220">
        <v>0</v>
      </c>
      <c r="S57" s="220">
        <v>0</v>
      </c>
      <c r="T57" s="220">
        <v>0</v>
      </c>
      <c r="U57" s="220">
        <v>0</v>
      </c>
      <c r="V57" s="220">
        <v>0</v>
      </c>
      <c r="W57" s="220">
        <v>0</v>
      </c>
      <c r="X57" s="220">
        <v>0</v>
      </c>
      <c r="Y57" s="220">
        <v>0</v>
      </c>
      <c r="Z57" s="222">
        <v>-6513133.7119861655</v>
      </c>
      <c r="AA57" s="220">
        <v>9264100.9941430185</v>
      </c>
      <c r="AB57"/>
      <c r="AC57"/>
      <c r="AD57"/>
      <c r="AE57"/>
    </row>
    <row r="58" spans="1:31" ht="15" customHeight="1" x14ac:dyDescent="0.2">
      <c r="A58" s="183" t="s">
        <v>94</v>
      </c>
      <c r="B58" s="184" t="s">
        <v>95</v>
      </c>
      <c r="C58" s="231" t="s">
        <v>86</v>
      </c>
      <c r="D58" s="222">
        <v>0</v>
      </c>
      <c r="E58" s="220"/>
      <c r="F58" s="222">
        <v>4163374.1001599999</v>
      </c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2">
        <v>4163374.1001599999</v>
      </c>
      <c r="AA58" s="222">
        <v>4163374.1001599999</v>
      </c>
      <c r="AB58"/>
      <c r="AC58"/>
      <c r="AD58"/>
      <c r="AE58"/>
    </row>
    <row r="59" spans="1:31" ht="15" customHeight="1" x14ac:dyDescent="0.2">
      <c r="A59" s="183" t="s">
        <v>191</v>
      </c>
      <c r="B59" s="184" t="s">
        <v>202</v>
      </c>
      <c r="C59" s="231" t="s">
        <v>86</v>
      </c>
      <c r="D59" s="222">
        <v>0</v>
      </c>
      <c r="E59" s="220"/>
      <c r="F59" s="222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2">
        <v>0</v>
      </c>
      <c r="AA59" s="222">
        <v>0</v>
      </c>
      <c r="AB59"/>
      <c r="AC59"/>
      <c r="AD59"/>
      <c r="AE59"/>
    </row>
    <row r="60" spans="1:31" ht="15" customHeight="1" x14ac:dyDescent="0.2">
      <c r="A60" s="183">
        <v>11</v>
      </c>
      <c r="B60" s="184" t="s">
        <v>31</v>
      </c>
      <c r="C60" s="231" t="s">
        <v>76</v>
      </c>
      <c r="D60" s="222">
        <v>6880106.8937156107</v>
      </c>
      <c r="E60" s="222"/>
      <c r="F60" s="222">
        <v>0</v>
      </c>
      <c r="G60" s="222">
        <v>0</v>
      </c>
      <c r="H60" s="222">
        <v>-41578.11656877301</v>
      </c>
      <c r="I60" s="222">
        <v>5232.6624913885016</v>
      </c>
      <c r="J60" s="222">
        <v>0</v>
      </c>
      <c r="K60" s="222">
        <v>0</v>
      </c>
      <c r="L60" s="222">
        <v>0</v>
      </c>
      <c r="M60" s="222">
        <v>0</v>
      </c>
      <c r="N60" s="222">
        <v>0</v>
      </c>
      <c r="O60" s="222">
        <v>0</v>
      </c>
      <c r="P60" s="222">
        <v>0</v>
      </c>
      <c r="Q60" s="222">
        <v>0</v>
      </c>
      <c r="R60" s="222">
        <v>0</v>
      </c>
      <c r="S60" s="222">
        <v>0</v>
      </c>
      <c r="T60" s="222">
        <v>0</v>
      </c>
      <c r="U60" s="222">
        <v>0</v>
      </c>
      <c r="V60" s="222">
        <v>0</v>
      </c>
      <c r="W60" s="222">
        <v>0</v>
      </c>
      <c r="X60" s="222">
        <v>0</v>
      </c>
      <c r="Y60" s="222">
        <v>0</v>
      </c>
      <c r="Z60" s="222">
        <v>-36345.454077384507</v>
      </c>
      <c r="AA60" s="222">
        <v>6843761.4396382263</v>
      </c>
      <c r="AB60"/>
      <c r="AC60"/>
      <c r="AD60"/>
      <c r="AE60"/>
    </row>
    <row r="61" spans="1:31" ht="15" customHeight="1" x14ac:dyDescent="0.2">
      <c r="A61" s="183">
        <v>12</v>
      </c>
      <c r="B61" s="184" t="s">
        <v>32</v>
      </c>
      <c r="C61" s="231" t="s">
        <v>76</v>
      </c>
      <c r="D61" s="222">
        <v>131438322.3243084</v>
      </c>
      <c r="E61" s="222"/>
      <c r="F61" s="222">
        <v>0</v>
      </c>
      <c r="G61" s="222">
        <v>0</v>
      </c>
      <c r="H61" s="222">
        <v>-7364277.0215163296</v>
      </c>
      <c r="I61" s="222">
        <v>29.314006312021988</v>
      </c>
      <c r="J61" s="222">
        <v>-5083.8336768112849</v>
      </c>
      <c r="K61" s="222">
        <v>-120676.93336708861</v>
      </c>
      <c r="L61" s="222">
        <v>0</v>
      </c>
      <c r="M61" s="222">
        <v>0</v>
      </c>
      <c r="N61" s="222">
        <v>-1150733.7300753812</v>
      </c>
      <c r="O61" s="222">
        <v>0</v>
      </c>
      <c r="P61" s="222">
        <v>-29320.66091139241</v>
      </c>
      <c r="Q61" s="222">
        <v>0</v>
      </c>
      <c r="R61" s="222">
        <v>0</v>
      </c>
      <c r="S61" s="222">
        <v>0</v>
      </c>
      <c r="T61" s="222">
        <v>0</v>
      </c>
      <c r="U61" s="222">
        <v>0</v>
      </c>
      <c r="V61" s="222">
        <v>0</v>
      </c>
      <c r="W61" s="222">
        <v>0</v>
      </c>
      <c r="X61" s="222">
        <v>0</v>
      </c>
      <c r="Y61" s="222">
        <v>0</v>
      </c>
      <c r="Z61" s="222">
        <v>-8670062.8655406907</v>
      </c>
      <c r="AA61" s="222">
        <v>122768259.45876771</v>
      </c>
      <c r="AB61"/>
      <c r="AC61"/>
      <c r="AD61"/>
      <c r="AE61"/>
    </row>
    <row r="62" spans="1:31" ht="15" customHeight="1" x14ac:dyDescent="0.2">
      <c r="A62" s="183">
        <v>13</v>
      </c>
      <c r="B62" s="184" t="s">
        <v>182</v>
      </c>
      <c r="C62" s="231" t="s">
        <v>86</v>
      </c>
      <c r="D62" s="222">
        <v>81044146.280000001</v>
      </c>
      <c r="E62" s="222"/>
      <c r="F62" s="222">
        <v>-39134729.18753925</v>
      </c>
      <c r="G62" s="222"/>
      <c r="H62" s="182"/>
      <c r="I62" s="18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>
        <v>-39134729.18753925</v>
      </c>
      <c r="AA62" s="222">
        <v>41909417.092460752</v>
      </c>
      <c r="AB62"/>
      <c r="AC62"/>
      <c r="AD62"/>
      <c r="AE62"/>
    </row>
    <row r="63" spans="1:31" ht="15" customHeight="1" x14ac:dyDescent="0.2">
      <c r="A63" s="183">
        <v>14</v>
      </c>
      <c r="B63" s="184" t="s">
        <v>183</v>
      </c>
      <c r="C63" s="231" t="s">
        <v>86</v>
      </c>
      <c r="D63" s="222">
        <v>535009174.27999997</v>
      </c>
      <c r="E63" s="222"/>
      <c r="F63" s="222">
        <v>-6444443.331415236</v>
      </c>
      <c r="G63" s="222"/>
      <c r="H63" s="182"/>
      <c r="I63" s="18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>
        <v>-6444443.331415236</v>
      </c>
      <c r="AA63" s="222">
        <v>528564730.94858474</v>
      </c>
      <c r="AB63"/>
      <c r="AC63"/>
      <c r="AD63"/>
      <c r="AE63"/>
    </row>
    <row r="64" spans="1:31" ht="15" customHeight="1" x14ac:dyDescent="0.2">
      <c r="A64" s="183">
        <v>15</v>
      </c>
      <c r="B64" s="184" t="s">
        <v>30</v>
      </c>
      <c r="C64" s="231" t="s">
        <v>76</v>
      </c>
      <c r="D64" s="185">
        <v>-23522407.310000002</v>
      </c>
      <c r="E64" s="222"/>
      <c r="F64" s="222">
        <v>35457393.090000004</v>
      </c>
      <c r="G64" s="222"/>
      <c r="H64" s="182"/>
      <c r="I64" s="182"/>
      <c r="J64" s="222"/>
      <c r="K64" s="222"/>
      <c r="L64" s="222"/>
      <c r="M64" s="222"/>
      <c r="N64" s="222"/>
      <c r="O64" s="222"/>
      <c r="P64" s="222"/>
      <c r="Q64" s="222">
        <v>0</v>
      </c>
      <c r="R64" s="222"/>
      <c r="S64" s="222"/>
      <c r="T64" s="222"/>
      <c r="U64" s="222"/>
      <c r="V64" s="222"/>
      <c r="W64" s="222"/>
      <c r="X64" s="222"/>
      <c r="Y64" s="222"/>
      <c r="Z64" s="222">
        <v>35457393.090000004</v>
      </c>
      <c r="AA64" s="222">
        <v>11934985.780000001</v>
      </c>
      <c r="AB64"/>
      <c r="AC64"/>
      <c r="AD64"/>
      <c r="AE64"/>
    </row>
    <row r="65" spans="1:31" ht="15" customHeight="1" x14ac:dyDescent="0.2">
      <c r="A65" s="183" t="s">
        <v>67</v>
      </c>
      <c r="B65" s="232" t="s">
        <v>132</v>
      </c>
      <c r="C65" s="231" t="s">
        <v>76</v>
      </c>
      <c r="D65" s="185">
        <v>7746401.1699999999</v>
      </c>
      <c r="E65" s="222"/>
      <c r="F65" s="222"/>
      <c r="G65" s="222"/>
      <c r="H65" s="182"/>
      <c r="I65" s="18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22"/>
      <c r="Z65" s="222">
        <v>0</v>
      </c>
      <c r="AA65" s="222">
        <v>7746401.1699999999</v>
      </c>
      <c r="AB65"/>
      <c r="AC65"/>
      <c r="AD65"/>
      <c r="AE65"/>
    </row>
    <row r="66" spans="1:31" ht="15" customHeight="1" x14ac:dyDescent="0.2">
      <c r="A66" s="183" t="s">
        <v>68</v>
      </c>
      <c r="B66" s="233" t="s">
        <v>23</v>
      </c>
      <c r="C66" s="231" t="s">
        <v>76</v>
      </c>
      <c r="D66" s="222">
        <v>3549801.75</v>
      </c>
      <c r="E66" s="222"/>
      <c r="F66" s="222"/>
      <c r="G66" s="222"/>
      <c r="H66" s="182"/>
      <c r="I66" s="182"/>
      <c r="J66" s="222"/>
      <c r="K66" s="222"/>
      <c r="L66" s="222">
        <v>59930.25</v>
      </c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22"/>
      <c r="Z66" s="222">
        <v>59930.25</v>
      </c>
      <c r="AA66" s="222">
        <v>3609732</v>
      </c>
      <c r="AB66"/>
      <c r="AC66"/>
      <c r="AD66"/>
      <c r="AE66"/>
    </row>
    <row r="67" spans="1:31" ht="15" customHeight="1" x14ac:dyDescent="0.2">
      <c r="A67" s="183" t="s">
        <v>69</v>
      </c>
      <c r="B67" s="233" t="s">
        <v>58</v>
      </c>
      <c r="C67" s="231" t="s">
        <v>86</v>
      </c>
      <c r="D67" s="222">
        <v>1116935.45</v>
      </c>
      <c r="E67" s="222"/>
      <c r="F67" s="222"/>
      <c r="G67" s="222">
        <v>-306448.51861584914</v>
      </c>
      <c r="H67" s="182"/>
      <c r="I67" s="18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>
        <v>-306448.51861584914</v>
      </c>
      <c r="AA67" s="222">
        <v>810486.93138415087</v>
      </c>
      <c r="AB67"/>
      <c r="AC67"/>
      <c r="AD67"/>
      <c r="AE67"/>
    </row>
    <row r="68" spans="1:31" ht="15" customHeight="1" x14ac:dyDescent="0.2">
      <c r="A68" s="183" t="s">
        <v>70</v>
      </c>
      <c r="B68" s="233" t="s">
        <v>71</v>
      </c>
      <c r="C68" s="231" t="s">
        <v>76</v>
      </c>
      <c r="D68" s="222">
        <v>2154161.64</v>
      </c>
      <c r="E68" s="222"/>
      <c r="F68" s="222"/>
      <c r="G68" s="222"/>
      <c r="H68" s="182"/>
      <c r="I68" s="18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>
        <v>0</v>
      </c>
      <c r="AA68" s="222">
        <v>2154161.64</v>
      </c>
      <c r="AB68"/>
      <c r="AC68"/>
      <c r="AD68"/>
      <c r="AE68"/>
    </row>
    <row r="69" spans="1:31" ht="15" customHeight="1" x14ac:dyDescent="0.2">
      <c r="A69" s="183" t="s">
        <v>133</v>
      </c>
      <c r="B69" s="233" t="s">
        <v>134</v>
      </c>
      <c r="C69" s="231" t="s">
        <v>86</v>
      </c>
      <c r="D69" s="222">
        <v>489609.01</v>
      </c>
      <c r="E69" s="222"/>
      <c r="F69" s="222">
        <v>8245.0157283999724</v>
      </c>
      <c r="G69" s="222"/>
      <c r="H69" s="182"/>
      <c r="I69" s="18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>
        <v>8245.0157283999724</v>
      </c>
      <c r="AA69" s="222">
        <v>497854.02572839998</v>
      </c>
      <c r="AB69"/>
      <c r="AC69"/>
      <c r="AD69"/>
      <c r="AE69"/>
    </row>
    <row r="70" spans="1:31" ht="15" customHeight="1" x14ac:dyDescent="0.2">
      <c r="A70" s="183">
        <v>16</v>
      </c>
      <c r="B70" s="182" t="s">
        <v>184</v>
      </c>
      <c r="C70" s="231" t="s">
        <v>86</v>
      </c>
      <c r="D70" s="222">
        <v>183617976.11000001</v>
      </c>
      <c r="E70" s="222"/>
      <c r="F70" s="222">
        <v>-36706163.665256828</v>
      </c>
      <c r="G70" s="222"/>
      <c r="H70" s="182"/>
      <c r="I70" s="18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22"/>
      <c r="Z70" s="222">
        <v>-36706163.665256828</v>
      </c>
      <c r="AA70" s="222">
        <v>146911812.44474319</v>
      </c>
      <c r="AB70"/>
      <c r="AC70"/>
      <c r="AD70"/>
      <c r="AE70"/>
    </row>
    <row r="71" spans="1:31" ht="15" customHeight="1" x14ac:dyDescent="0.2">
      <c r="A71" s="183">
        <v>17</v>
      </c>
      <c r="B71" s="182" t="s">
        <v>185</v>
      </c>
      <c r="C71" s="231" t="s">
        <v>86</v>
      </c>
      <c r="D71" s="222">
        <v>123883050.72</v>
      </c>
      <c r="E71" s="222"/>
      <c r="F71" s="222">
        <v>6647645.3102374077</v>
      </c>
      <c r="G71" s="222"/>
      <c r="H71" s="182"/>
      <c r="I71" s="18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>
        <v>6647645.3102374077</v>
      </c>
      <c r="AA71" s="222">
        <v>130530696.03023741</v>
      </c>
      <c r="AB71"/>
      <c r="AC71"/>
      <c r="AD71"/>
      <c r="AE71"/>
    </row>
    <row r="72" spans="1:31" ht="15" customHeight="1" x14ac:dyDescent="0.2">
      <c r="A72" s="183">
        <v>18</v>
      </c>
      <c r="B72" s="184" t="s">
        <v>197</v>
      </c>
      <c r="C72" s="231" t="s">
        <v>76</v>
      </c>
      <c r="D72" s="222">
        <v>-6480453.6300000008</v>
      </c>
      <c r="E72" s="222"/>
      <c r="F72" s="222">
        <v>-34966.974523456767</v>
      </c>
      <c r="G72" s="222"/>
      <c r="H72" s="182"/>
      <c r="I72" s="18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>
        <v>-34966.974523456767</v>
      </c>
      <c r="AA72" s="222">
        <v>-6515420.6045234576</v>
      </c>
      <c r="AB72"/>
      <c r="AC72"/>
      <c r="AD72"/>
      <c r="AE72"/>
    </row>
    <row r="73" spans="1:31" ht="15" customHeight="1" x14ac:dyDescent="0.2">
      <c r="A73" s="183">
        <v>19</v>
      </c>
      <c r="B73" s="182" t="s">
        <v>75</v>
      </c>
      <c r="C73" s="231" t="s">
        <v>76</v>
      </c>
      <c r="D73" s="222">
        <v>120717329.15000001</v>
      </c>
      <c r="E73" s="222"/>
      <c r="F73" s="222">
        <v>-16205127.701646611</v>
      </c>
      <c r="G73" s="222"/>
      <c r="H73" s="182"/>
      <c r="I73" s="18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>
        <v>-16205127.701646611</v>
      </c>
      <c r="AA73" s="222">
        <v>104512201.44835339</v>
      </c>
      <c r="AB73"/>
      <c r="AC73"/>
      <c r="AD73"/>
      <c r="AE73"/>
    </row>
    <row r="74" spans="1:31" ht="15" customHeight="1" x14ac:dyDescent="0.2">
      <c r="A74" s="183">
        <v>20</v>
      </c>
      <c r="B74" s="182" t="s">
        <v>34</v>
      </c>
      <c r="C74" s="231" t="s">
        <v>86</v>
      </c>
      <c r="D74" s="222">
        <v>-189780073.88</v>
      </c>
      <c r="E74" s="222"/>
      <c r="F74" s="222">
        <v>148461646.38911802</v>
      </c>
      <c r="G74" s="222"/>
      <c r="H74" s="182"/>
      <c r="I74" s="18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>
        <v>148461646.38911802</v>
      </c>
      <c r="AA74" s="222">
        <v>-41318427.490881979</v>
      </c>
      <c r="AB74"/>
      <c r="AC74"/>
      <c r="AD74"/>
      <c r="AE74"/>
    </row>
    <row r="75" spans="1:31" ht="15" customHeight="1" x14ac:dyDescent="0.2">
      <c r="A75" s="183">
        <v>21</v>
      </c>
      <c r="B75" s="182" t="s">
        <v>100</v>
      </c>
      <c r="C75" s="231" t="s">
        <v>86</v>
      </c>
      <c r="D75" s="222">
        <v>-9520817.3900000006</v>
      </c>
      <c r="E75" s="222"/>
      <c r="F75" s="222">
        <v>-40411725.518260092</v>
      </c>
      <c r="G75" s="222"/>
      <c r="H75" s="182"/>
      <c r="I75" s="18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>
        <v>-40411725.518260092</v>
      </c>
      <c r="AA75" s="222">
        <v>-49932542.908260092</v>
      </c>
      <c r="AB75"/>
      <c r="AC75"/>
      <c r="AD75"/>
      <c r="AE75"/>
    </row>
    <row r="76" spans="1:31" ht="15" customHeight="1" x14ac:dyDescent="0.2">
      <c r="A76" s="183">
        <v>22</v>
      </c>
      <c r="B76" s="182" t="s">
        <v>0</v>
      </c>
      <c r="C76" s="231" t="s">
        <v>76</v>
      </c>
      <c r="D76" s="222">
        <v>728609.68</v>
      </c>
      <c r="E76" s="222"/>
      <c r="F76" s="222"/>
      <c r="G76" s="222"/>
      <c r="H76" s="182"/>
      <c r="I76" s="18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22"/>
      <c r="Z76" s="222">
        <v>0</v>
      </c>
      <c r="AA76" s="222">
        <v>728609.68</v>
      </c>
      <c r="AB76"/>
      <c r="AC76"/>
      <c r="AD76"/>
      <c r="AE76"/>
    </row>
    <row r="77" spans="1:31" ht="15" customHeight="1" x14ac:dyDescent="0.2">
      <c r="A77" s="183">
        <v>23</v>
      </c>
      <c r="B77" s="182" t="s">
        <v>33</v>
      </c>
      <c r="C77" s="231" t="s">
        <v>76</v>
      </c>
      <c r="D77" s="222">
        <v>153284670.03999999</v>
      </c>
      <c r="E77" s="222"/>
      <c r="F77" s="222"/>
      <c r="G77" s="222"/>
      <c r="H77" s="221"/>
      <c r="I77" s="221">
        <v>-8246818.2413349133</v>
      </c>
      <c r="J77" s="222">
        <v>-2186134.7040000008</v>
      </c>
      <c r="K77" s="222">
        <v>-203316.52595000001</v>
      </c>
      <c r="L77" s="234"/>
      <c r="M77" s="222"/>
      <c r="N77" s="222">
        <v>16922554.854049724</v>
      </c>
      <c r="O77" s="222"/>
      <c r="P77" s="222">
        <v>0</v>
      </c>
      <c r="Q77" s="222"/>
      <c r="R77" s="222">
        <v>-321546.88008670002</v>
      </c>
      <c r="S77" s="222"/>
      <c r="T77" s="222"/>
      <c r="U77" s="222"/>
      <c r="V77" s="222"/>
      <c r="W77" s="222"/>
      <c r="X77" s="222"/>
      <c r="Y77" s="222"/>
      <c r="Z77" s="222">
        <v>5964738.5026781084</v>
      </c>
      <c r="AA77" s="222">
        <v>159249408.54267809</v>
      </c>
      <c r="AB77"/>
      <c r="AC77"/>
      <c r="AD77"/>
      <c r="AE77"/>
    </row>
    <row r="78" spans="1:31" ht="15" customHeight="1" x14ac:dyDescent="0.2">
      <c r="A78" s="183">
        <v>24</v>
      </c>
      <c r="B78" s="182" t="s">
        <v>2</v>
      </c>
      <c r="C78" s="231" t="s">
        <v>76</v>
      </c>
      <c r="D78" s="222">
        <v>3758629.8740000008</v>
      </c>
      <c r="E78" s="222"/>
      <c r="F78" s="222"/>
      <c r="G78" s="222"/>
      <c r="H78" s="262"/>
      <c r="I78" s="262">
        <v>-76950.918991007376</v>
      </c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>
        <v>-76950.918991007376</v>
      </c>
      <c r="AA78" s="222">
        <v>3681678.9550089934</v>
      </c>
      <c r="AB78"/>
      <c r="AC78"/>
      <c r="AD78"/>
      <c r="AE78"/>
    </row>
    <row r="79" spans="1:31" ht="15" customHeight="1" x14ac:dyDescent="0.2">
      <c r="A79" s="183">
        <v>25</v>
      </c>
      <c r="B79" s="182" t="s">
        <v>186</v>
      </c>
      <c r="C79" s="231" t="s">
        <v>76</v>
      </c>
      <c r="D79" s="222">
        <v>11632920.022857659</v>
      </c>
      <c r="E79" s="222"/>
      <c r="F79" s="222"/>
      <c r="G79" s="222"/>
      <c r="H79" s="182"/>
      <c r="I79" s="182"/>
      <c r="J79" s="222"/>
      <c r="K79" s="222"/>
      <c r="L79" s="221"/>
      <c r="M79" s="222">
        <v>-8060448.0228576586</v>
      </c>
      <c r="N79" s="222"/>
      <c r="O79" s="222"/>
      <c r="P79" s="222"/>
      <c r="Q79" s="222">
        <v>612714.71481750195</v>
      </c>
      <c r="R79" s="222"/>
      <c r="S79" s="222"/>
      <c r="T79" s="222"/>
      <c r="U79" s="222"/>
      <c r="V79" s="222"/>
      <c r="W79" s="222"/>
      <c r="X79" s="222"/>
      <c r="Y79" s="222"/>
      <c r="Z79" s="222">
        <v>-7447733.308040157</v>
      </c>
      <c r="AA79" s="222">
        <v>4185186.7148175016</v>
      </c>
      <c r="AB79"/>
      <c r="AC79"/>
      <c r="AD79"/>
      <c r="AE79"/>
    </row>
    <row r="80" spans="1:31" ht="15" customHeight="1" x14ac:dyDescent="0.2">
      <c r="A80" s="183">
        <v>26</v>
      </c>
      <c r="B80" s="182" t="s">
        <v>424</v>
      </c>
      <c r="C80" s="231" t="s">
        <v>76</v>
      </c>
      <c r="D80" s="222">
        <v>9250000.0199999996</v>
      </c>
      <c r="E80" s="223"/>
      <c r="F80" s="222"/>
      <c r="G80" s="222"/>
      <c r="H80" s="182"/>
      <c r="I80" s="182"/>
      <c r="J80" s="222"/>
      <c r="K80" s="222"/>
      <c r="L80" s="222"/>
      <c r="M80" s="222"/>
      <c r="N80" s="222"/>
      <c r="O80" s="222">
        <v>-9250000.0199999996</v>
      </c>
      <c r="P80" s="222"/>
      <c r="Q80" s="222"/>
      <c r="R80" s="222"/>
      <c r="S80" s="222"/>
      <c r="T80" s="222"/>
      <c r="U80" s="222"/>
      <c r="V80" s="222"/>
      <c r="W80" s="223"/>
      <c r="X80" s="222"/>
      <c r="Y80" s="222"/>
      <c r="Z80" s="222">
        <v>-9250000.0199999996</v>
      </c>
      <c r="AA80" s="222">
        <v>0</v>
      </c>
      <c r="AB80"/>
      <c r="AC80"/>
      <c r="AD80"/>
      <c r="AE80"/>
    </row>
    <row r="81" spans="1:31" ht="15" customHeight="1" x14ac:dyDescent="0.2">
      <c r="A81" s="183">
        <v>27</v>
      </c>
      <c r="B81" s="233" t="s">
        <v>12</v>
      </c>
      <c r="C81" s="182"/>
      <c r="D81" s="235">
        <v>1162775326.911011</v>
      </c>
      <c r="E81" s="236"/>
      <c r="F81" s="236">
        <v>55801147.526602358</v>
      </c>
      <c r="G81" s="236">
        <v>-306448.51861584914</v>
      </c>
      <c r="H81" s="186">
        <v>-1544033.737394385</v>
      </c>
      <c r="I81" s="236">
        <v>-8318507.1838282198</v>
      </c>
      <c r="J81" s="236">
        <v>-2191218.5376768121</v>
      </c>
      <c r="K81" s="236">
        <v>-323993.45931708859</v>
      </c>
      <c r="L81" s="236">
        <v>59930.25</v>
      </c>
      <c r="M81" s="236">
        <v>-10253504.992966941</v>
      </c>
      <c r="N81" s="236">
        <v>15771821.123974342</v>
      </c>
      <c r="O81" s="236">
        <v>-19494395.063478984</v>
      </c>
      <c r="P81" s="236">
        <v>-29320.66091139241</v>
      </c>
      <c r="Q81" s="236">
        <v>675211.61572888715</v>
      </c>
      <c r="R81" s="236">
        <v>-321546.88008670002</v>
      </c>
      <c r="S81" s="236">
        <v>0</v>
      </c>
      <c r="T81" s="236">
        <v>0</v>
      </c>
      <c r="U81" s="236">
        <v>0</v>
      </c>
      <c r="V81" s="236">
        <v>0</v>
      </c>
      <c r="W81" s="236">
        <v>0</v>
      </c>
      <c r="X81" s="236">
        <v>0</v>
      </c>
      <c r="Y81" s="236">
        <v>0</v>
      </c>
      <c r="Z81" s="236">
        <v>29525141.482029203</v>
      </c>
      <c r="AA81" s="236">
        <v>1192300468.3930399</v>
      </c>
      <c r="AB81"/>
      <c r="AC81"/>
      <c r="AD81"/>
      <c r="AE81"/>
    </row>
    <row r="82" spans="1:31" ht="15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1" ht="15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</row>
    <row r="84" spans="1:31" ht="15" customHeight="1" x14ac:dyDescent="0.2">
      <c r="A84" s="217" t="s">
        <v>98</v>
      </c>
      <c r="B84" s="217" t="s">
        <v>203</v>
      </c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217"/>
      <c r="AB84"/>
      <c r="AC84"/>
      <c r="AD84"/>
      <c r="AE84"/>
    </row>
    <row r="85" spans="1:31" ht="15" customHeight="1" x14ac:dyDescent="0.2">
      <c r="A85" s="183">
        <v>3</v>
      </c>
      <c r="B85" s="182" t="s">
        <v>179</v>
      </c>
      <c r="C85" s="182"/>
      <c r="D85" s="237">
        <f>+D48-D11</f>
        <v>0</v>
      </c>
      <c r="E85" s="237">
        <f t="shared" ref="E85:AA86" si="16">+E48-E11</f>
        <v>0</v>
      </c>
      <c r="F85" s="237">
        <f t="shared" si="16"/>
        <v>0</v>
      </c>
      <c r="G85" s="237">
        <f t="shared" si="16"/>
        <v>0</v>
      </c>
      <c r="H85" s="237">
        <f t="shared" ref="H85:H117" si="17">+H48-H11</f>
        <v>0</v>
      </c>
      <c r="I85" s="237">
        <f t="shared" ref="I85:I118" si="18">+I48-I11</f>
        <v>0</v>
      </c>
      <c r="J85" s="237">
        <f t="shared" si="16"/>
        <v>0</v>
      </c>
      <c r="K85" s="237">
        <f t="shared" si="16"/>
        <v>0</v>
      </c>
      <c r="L85" s="237">
        <f t="shared" si="16"/>
        <v>0</v>
      </c>
      <c r="M85" s="237">
        <f t="shared" si="16"/>
        <v>0</v>
      </c>
      <c r="N85" s="237">
        <f t="shared" si="16"/>
        <v>0</v>
      </c>
      <c r="O85" s="237">
        <f t="shared" si="16"/>
        <v>0</v>
      </c>
      <c r="P85" s="237">
        <f t="shared" si="16"/>
        <v>0</v>
      </c>
      <c r="Q85" s="237">
        <f t="shared" si="16"/>
        <v>0</v>
      </c>
      <c r="R85" s="237">
        <f t="shared" si="16"/>
        <v>0</v>
      </c>
      <c r="S85" s="237">
        <f t="shared" si="16"/>
        <v>0</v>
      </c>
      <c r="T85" s="237">
        <f t="shared" si="16"/>
        <v>0</v>
      </c>
      <c r="U85" s="237">
        <f t="shared" si="16"/>
        <v>0</v>
      </c>
      <c r="V85" s="237">
        <f t="shared" si="16"/>
        <v>0</v>
      </c>
      <c r="W85" s="237">
        <f t="shared" si="16"/>
        <v>0</v>
      </c>
      <c r="X85" s="237">
        <f t="shared" si="16"/>
        <v>0</v>
      </c>
      <c r="Y85" s="237">
        <f t="shared" si="16"/>
        <v>0</v>
      </c>
      <c r="Z85" s="237">
        <f t="shared" si="16"/>
        <v>0</v>
      </c>
      <c r="AA85" s="237">
        <f t="shared" si="16"/>
        <v>0</v>
      </c>
      <c r="AB85"/>
      <c r="AC85"/>
      <c r="AD85"/>
      <c r="AE85"/>
    </row>
    <row r="86" spans="1:31" s="68" customFormat="1" ht="15" customHeight="1" x14ac:dyDescent="0.2">
      <c r="A86" s="183" t="s">
        <v>422</v>
      </c>
      <c r="B86" s="182" t="s">
        <v>423</v>
      </c>
      <c r="C86" s="182"/>
      <c r="D86" s="238">
        <f>+D49-D12</f>
        <v>0</v>
      </c>
      <c r="E86" s="238">
        <f t="shared" si="16"/>
        <v>0</v>
      </c>
      <c r="F86" s="238">
        <f t="shared" si="16"/>
        <v>0</v>
      </c>
      <c r="G86" s="238">
        <f t="shared" si="16"/>
        <v>0</v>
      </c>
      <c r="H86" s="239">
        <f t="shared" si="17"/>
        <v>0</v>
      </c>
      <c r="I86" s="239">
        <f t="shared" si="18"/>
        <v>0</v>
      </c>
      <c r="J86" s="238">
        <f t="shared" si="16"/>
        <v>0</v>
      </c>
      <c r="K86" s="238">
        <f t="shared" si="16"/>
        <v>0</v>
      </c>
      <c r="L86" s="238">
        <f t="shared" si="16"/>
        <v>0</v>
      </c>
      <c r="M86" s="238">
        <f t="shared" si="16"/>
        <v>0</v>
      </c>
      <c r="N86" s="238">
        <f t="shared" si="16"/>
        <v>0</v>
      </c>
      <c r="O86" s="238">
        <f t="shared" si="16"/>
        <v>0</v>
      </c>
      <c r="P86" s="238">
        <f t="shared" si="16"/>
        <v>0</v>
      </c>
      <c r="Q86" s="238">
        <f t="shared" si="16"/>
        <v>0</v>
      </c>
      <c r="R86" s="238">
        <f t="shared" si="16"/>
        <v>0</v>
      </c>
      <c r="S86" s="238">
        <f t="shared" si="16"/>
        <v>0</v>
      </c>
      <c r="T86" s="238">
        <f t="shared" si="16"/>
        <v>0</v>
      </c>
      <c r="U86" s="238">
        <f t="shared" si="16"/>
        <v>0</v>
      </c>
      <c r="V86" s="238">
        <f t="shared" si="16"/>
        <v>0</v>
      </c>
      <c r="W86" s="240">
        <f t="shared" si="16"/>
        <v>0</v>
      </c>
      <c r="X86" s="238">
        <f t="shared" si="16"/>
        <v>0</v>
      </c>
      <c r="Y86" s="238">
        <f t="shared" si="16"/>
        <v>0</v>
      </c>
      <c r="Z86" s="238">
        <f t="shared" si="16"/>
        <v>0</v>
      </c>
      <c r="AA86" s="240">
        <f t="shared" si="16"/>
        <v>0</v>
      </c>
      <c r="AB86"/>
      <c r="AC86"/>
      <c r="AD86"/>
      <c r="AE86"/>
    </row>
    <row r="87" spans="1:31" ht="15" customHeight="1" x14ac:dyDescent="0.2">
      <c r="A87" s="183">
        <v>4</v>
      </c>
      <c r="B87" s="182" t="s">
        <v>180</v>
      </c>
      <c r="C87" s="182"/>
      <c r="D87" s="238">
        <f t="shared" ref="D87:AA87" si="19">+D50-D13</f>
        <v>0</v>
      </c>
      <c r="E87" s="238">
        <f t="shared" si="19"/>
        <v>0</v>
      </c>
      <c r="F87" s="238">
        <f t="shared" si="19"/>
        <v>0</v>
      </c>
      <c r="G87" s="238">
        <f t="shared" si="19"/>
        <v>0</v>
      </c>
      <c r="H87" s="239">
        <f t="shared" si="17"/>
        <v>0</v>
      </c>
      <c r="I87" s="239">
        <f t="shared" si="18"/>
        <v>0</v>
      </c>
      <c r="J87" s="238">
        <f t="shared" si="19"/>
        <v>0</v>
      </c>
      <c r="K87" s="238">
        <f t="shared" si="19"/>
        <v>0</v>
      </c>
      <c r="L87" s="238">
        <f t="shared" si="19"/>
        <v>0</v>
      </c>
      <c r="M87" s="238">
        <f t="shared" si="19"/>
        <v>0</v>
      </c>
      <c r="N87" s="238">
        <f t="shared" si="19"/>
        <v>0</v>
      </c>
      <c r="O87" s="238">
        <f t="shared" si="19"/>
        <v>0</v>
      </c>
      <c r="P87" s="238">
        <f t="shared" si="19"/>
        <v>0</v>
      </c>
      <c r="Q87" s="238">
        <f t="shared" si="19"/>
        <v>0</v>
      </c>
      <c r="R87" s="238">
        <f t="shared" si="19"/>
        <v>0</v>
      </c>
      <c r="S87" s="238">
        <f t="shared" si="19"/>
        <v>0</v>
      </c>
      <c r="T87" s="238">
        <f t="shared" si="19"/>
        <v>0</v>
      </c>
      <c r="U87" s="238">
        <f t="shared" si="19"/>
        <v>0</v>
      </c>
      <c r="V87" s="238">
        <f t="shared" si="19"/>
        <v>0</v>
      </c>
      <c r="W87" s="240">
        <f t="shared" si="19"/>
        <v>0</v>
      </c>
      <c r="X87" s="238">
        <f t="shared" si="19"/>
        <v>0</v>
      </c>
      <c r="Y87" s="238">
        <f t="shared" si="19"/>
        <v>0</v>
      </c>
      <c r="Z87" s="238">
        <f t="shared" si="19"/>
        <v>0</v>
      </c>
      <c r="AA87" s="240">
        <f t="shared" si="19"/>
        <v>0</v>
      </c>
      <c r="AB87"/>
      <c r="AC87"/>
      <c r="AD87"/>
      <c r="AE87"/>
    </row>
    <row r="88" spans="1:31" ht="15" customHeight="1" x14ac:dyDescent="0.2">
      <c r="A88" s="183">
        <v>5</v>
      </c>
      <c r="B88" s="182" t="s">
        <v>181</v>
      </c>
      <c r="C88" s="182"/>
      <c r="D88" s="238">
        <f>+D51-D14</f>
        <v>0</v>
      </c>
      <c r="E88" s="240">
        <f t="shared" ref="E88:AA88" si="20">+E51-E14</f>
        <v>0</v>
      </c>
      <c r="F88" s="240">
        <f t="shared" si="20"/>
        <v>0</v>
      </c>
      <c r="G88" s="240">
        <f t="shared" si="20"/>
        <v>0</v>
      </c>
      <c r="H88" s="240">
        <f t="shared" si="17"/>
        <v>0</v>
      </c>
      <c r="I88" s="240">
        <f t="shared" si="18"/>
        <v>0</v>
      </c>
      <c r="J88" s="240">
        <f t="shared" si="20"/>
        <v>0</v>
      </c>
      <c r="K88" s="240">
        <f t="shared" si="20"/>
        <v>0</v>
      </c>
      <c r="L88" s="240">
        <f t="shared" si="20"/>
        <v>0</v>
      </c>
      <c r="M88" s="240">
        <f t="shared" si="20"/>
        <v>0</v>
      </c>
      <c r="N88" s="240">
        <f t="shared" si="20"/>
        <v>0</v>
      </c>
      <c r="O88" s="240">
        <f t="shared" si="20"/>
        <v>0</v>
      </c>
      <c r="P88" s="240">
        <f t="shared" si="20"/>
        <v>0</v>
      </c>
      <c r="Q88" s="240">
        <f t="shared" si="20"/>
        <v>0</v>
      </c>
      <c r="R88" s="240">
        <f t="shared" si="20"/>
        <v>0</v>
      </c>
      <c r="S88" s="240">
        <f t="shared" si="20"/>
        <v>0</v>
      </c>
      <c r="T88" s="240">
        <f t="shared" si="20"/>
        <v>0</v>
      </c>
      <c r="U88" s="240">
        <f t="shared" si="20"/>
        <v>0</v>
      </c>
      <c r="V88" s="240">
        <f t="shared" si="20"/>
        <v>0</v>
      </c>
      <c r="W88" s="241">
        <f t="shared" si="20"/>
        <v>0</v>
      </c>
      <c r="X88" s="240">
        <f t="shared" si="20"/>
        <v>0</v>
      </c>
      <c r="Y88" s="240">
        <f t="shared" si="20"/>
        <v>0</v>
      </c>
      <c r="Z88" s="240">
        <f t="shared" si="20"/>
        <v>0</v>
      </c>
      <c r="AA88" s="240">
        <f t="shared" si="20"/>
        <v>0</v>
      </c>
      <c r="AB88"/>
      <c r="AC88"/>
      <c r="AD88"/>
      <c r="AE88"/>
    </row>
    <row r="89" spans="1:31" ht="15" customHeight="1" x14ac:dyDescent="0.2">
      <c r="A89" s="183"/>
      <c r="B89" s="182"/>
      <c r="C89" s="182"/>
      <c r="D89" s="242">
        <f t="shared" ref="D89:AA89" si="21">+D52-D15</f>
        <v>0</v>
      </c>
      <c r="E89" s="242">
        <f t="shared" si="21"/>
        <v>0</v>
      </c>
      <c r="F89" s="242">
        <f t="shared" si="21"/>
        <v>0</v>
      </c>
      <c r="G89" s="242">
        <f t="shared" si="21"/>
        <v>0</v>
      </c>
      <c r="H89" s="242">
        <f t="shared" si="17"/>
        <v>0</v>
      </c>
      <c r="I89" s="242">
        <f t="shared" si="18"/>
        <v>0</v>
      </c>
      <c r="J89" s="242">
        <f t="shared" si="21"/>
        <v>0</v>
      </c>
      <c r="K89" s="242">
        <f t="shared" si="21"/>
        <v>0</v>
      </c>
      <c r="L89" s="242">
        <f t="shared" si="21"/>
        <v>0</v>
      </c>
      <c r="M89" s="242">
        <f t="shared" si="21"/>
        <v>0</v>
      </c>
      <c r="N89" s="242">
        <f t="shared" si="21"/>
        <v>0</v>
      </c>
      <c r="O89" s="242">
        <f t="shared" si="21"/>
        <v>0</v>
      </c>
      <c r="P89" s="242">
        <f t="shared" si="21"/>
        <v>0</v>
      </c>
      <c r="Q89" s="242">
        <f t="shared" si="21"/>
        <v>0</v>
      </c>
      <c r="R89" s="242">
        <f t="shared" si="21"/>
        <v>0</v>
      </c>
      <c r="S89" s="242">
        <f t="shared" si="21"/>
        <v>0</v>
      </c>
      <c r="T89" s="242">
        <f t="shared" si="21"/>
        <v>0</v>
      </c>
      <c r="U89" s="242">
        <f t="shared" si="21"/>
        <v>0</v>
      </c>
      <c r="V89" s="242">
        <f t="shared" si="21"/>
        <v>0</v>
      </c>
      <c r="W89" s="240">
        <f t="shared" si="21"/>
        <v>0</v>
      </c>
      <c r="X89" s="242">
        <f t="shared" si="21"/>
        <v>0</v>
      </c>
      <c r="Y89" s="242">
        <f t="shared" si="21"/>
        <v>0</v>
      </c>
      <c r="Z89" s="242">
        <f t="shared" si="21"/>
        <v>0</v>
      </c>
      <c r="AA89" s="242">
        <f t="shared" si="21"/>
        <v>0</v>
      </c>
      <c r="AB89"/>
      <c r="AC89"/>
      <c r="AD89"/>
      <c r="AE89"/>
    </row>
    <row r="90" spans="1:31" ht="15" customHeight="1" x14ac:dyDescent="0.2">
      <c r="A90" s="183"/>
      <c r="B90" s="182"/>
      <c r="C90" s="182"/>
      <c r="D90" s="243">
        <f t="shared" ref="D90:AA90" si="22">+D53-D16</f>
        <v>0</v>
      </c>
      <c r="E90" s="243">
        <f t="shared" si="22"/>
        <v>0</v>
      </c>
      <c r="F90" s="243">
        <f t="shared" si="22"/>
        <v>0</v>
      </c>
      <c r="G90" s="243">
        <f t="shared" si="22"/>
        <v>0</v>
      </c>
      <c r="H90" s="239">
        <f t="shared" si="17"/>
        <v>0</v>
      </c>
      <c r="I90" s="239">
        <f t="shared" si="18"/>
        <v>0</v>
      </c>
      <c r="J90" s="243">
        <f t="shared" si="22"/>
        <v>0</v>
      </c>
      <c r="K90" s="243">
        <f t="shared" si="22"/>
        <v>0</v>
      </c>
      <c r="L90" s="243">
        <f t="shared" si="22"/>
        <v>0</v>
      </c>
      <c r="M90" s="243">
        <f t="shared" si="22"/>
        <v>0</v>
      </c>
      <c r="N90" s="243">
        <f t="shared" si="22"/>
        <v>0</v>
      </c>
      <c r="O90" s="243">
        <f t="shared" si="22"/>
        <v>0</v>
      </c>
      <c r="P90" s="243">
        <f t="shared" si="22"/>
        <v>0</v>
      </c>
      <c r="Q90" s="243">
        <f t="shared" si="22"/>
        <v>0</v>
      </c>
      <c r="R90" s="243">
        <f t="shared" si="22"/>
        <v>0</v>
      </c>
      <c r="S90" s="243">
        <f t="shared" si="22"/>
        <v>0</v>
      </c>
      <c r="T90" s="243">
        <f t="shared" si="22"/>
        <v>0</v>
      </c>
      <c r="U90" s="243">
        <f t="shared" si="22"/>
        <v>0</v>
      </c>
      <c r="V90" s="243">
        <f t="shared" si="22"/>
        <v>0</v>
      </c>
      <c r="W90" s="244">
        <f t="shared" si="22"/>
        <v>0</v>
      </c>
      <c r="X90" s="243">
        <f t="shared" si="22"/>
        <v>0</v>
      </c>
      <c r="Y90" s="243">
        <f t="shared" si="22"/>
        <v>0</v>
      </c>
      <c r="Z90" s="243">
        <f t="shared" si="22"/>
        <v>0</v>
      </c>
      <c r="AA90" s="243">
        <f t="shared" si="22"/>
        <v>0</v>
      </c>
      <c r="AB90"/>
      <c r="AC90"/>
      <c r="AD90"/>
      <c r="AE90"/>
    </row>
    <row r="91" spans="1:31" ht="15" customHeight="1" x14ac:dyDescent="0.2">
      <c r="A91" s="183">
        <v>7</v>
      </c>
      <c r="B91" s="184" t="s">
        <v>126</v>
      </c>
      <c r="C91" s="182"/>
      <c r="D91" s="245">
        <f t="shared" ref="D91:AA91" si="23">+D54-D17</f>
        <v>0</v>
      </c>
      <c r="E91" s="243">
        <f t="shared" si="23"/>
        <v>0</v>
      </c>
      <c r="F91" s="243">
        <f t="shared" si="23"/>
        <v>0</v>
      </c>
      <c r="G91" s="243">
        <f t="shared" si="23"/>
        <v>0</v>
      </c>
      <c r="H91" s="243">
        <f t="shared" si="17"/>
        <v>0</v>
      </c>
      <c r="I91" s="243">
        <f t="shared" si="18"/>
        <v>0</v>
      </c>
      <c r="J91" s="243">
        <f t="shared" si="23"/>
        <v>0</v>
      </c>
      <c r="K91" s="243">
        <f t="shared" si="23"/>
        <v>0</v>
      </c>
      <c r="L91" s="243">
        <f t="shared" si="23"/>
        <v>0</v>
      </c>
      <c r="M91" s="243">
        <f t="shared" si="23"/>
        <v>0</v>
      </c>
      <c r="N91" s="243">
        <f t="shared" si="23"/>
        <v>0</v>
      </c>
      <c r="O91" s="243">
        <f t="shared" si="23"/>
        <v>0</v>
      </c>
      <c r="P91" s="243">
        <f t="shared" si="23"/>
        <v>0</v>
      </c>
      <c r="Q91" s="243">
        <f t="shared" si="23"/>
        <v>0</v>
      </c>
      <c r="R91" s="243">
        <f t="shared" si="23"/>
        <v>0</v>
      </c>
      <c r="S91" s="243">
        <f t="shared" si="23"/>
        <v>0</v>
      </c>
      <c r="T91" s="243">
        <f t="shared" si="23"/>
        <v>0</v>
      </c>
      <c r="U91" s="243">
        <f t="shared" si="23"/>
        <v>0</v>
      </c>
      <c r="V91" s="243">
        <f t="shared" si="23"/>
        <v>0</v>
      </c>
      <c r="W91" s="244">
        <f t="shared" si="23"/>
        <v>0</v>
      </c>
      <c r="X91" s="243">
        <f t="shared" si="23"/>
        <v>0</v>
      </c>
      <c r="Y91" s="243">
        <f t="shared" si="23"/>
        <v>0</v>
      </c>
      <c r="Z91" s="240">
        <f t="shared" si="23"/>
        <v>0</v>
      </c>
      <c r="AA91" s="245">
        <f t="shared" si="23"/>
        <v>0</v>
      </c>
      <c r="AB91"/>
      <c r="AC91"/>
      <c r="AD91"/>
      <c r="AE91"/>
    </row>
    <row r="92" spans="1:31" ht="15" customHeight="1" x14ac:dyDescent="0.2">
      <c r="A92" s="183">
        <v>8</v>
      </c>
      <c r="B92" s="182"/>
      <c r="C92" s="182"/>
      <c r="D92" s="243">
        <f t="shared" ref="D92:AA92" si="24">+D55-D18</f>
        <v>0</v>
      </c>
      <c r="E92" s="243">
        <f t="shared" si="24"/>
        <v>0</v>
      </c>
      <c r="F92" s="243">
        <f t="shared" si="24"/>
        <v>0</v>
      </c>
      <c r="G92" s="243">
        <f t="shared" si="24"/>
        <v>0</v>
      </c>
      <c r="H92" s="239">
        <f t="shared" si="17"/>
        <v>0</v>
      </c>
      <c r="I92" s="239">
        <f t="shared" si="18"/>
        <v>0</v>
      </c>
      <c r="J92" s="243">
        <f t="shared" si="24"/>
        <v>0</v>
      </c>
      <c r="K92" s="243">
        <f t="shared" si="24"/>
        <v>0</v>
      </c>
      <c r="L92" s="243">
        <f t="shared" si="24"/>
        <v>0</v>
      </c>
      <c r="M92" s="243">
        <f t="shared" si="24"/>
        <v>0</v>
      </c>
      <c r="N92" s="243">
        <f t="shared" si="24"/>
        <v>0</v>
      </c>
      <c r="O92" s="243">
        <f t="shared" si="24"/>
        <v>0</v>
      </c>
      <c r="P92" s="243">
        <f t="shared" si="24"/>
        <v>0</v>
      </c>
      <c r="Q92" s="243">
        <f t="shared" si="24"/>
        <v>0</v>
      </c>
      <c r="R92" s="243">
        <f t="shared" si="24"/>
        <v>0</v>
      </c>
      <c r="S92" s="243">
        <f t="shared" si="24"/>
        <v>0</v>
      </c>
      <c r="T92" s="243">
        <f t="shared" si="24"/>
        <v>0</v>
      </c>
      <c r="U92" s="243">
        <f t="shared" si="24"/>
        <v>0</v>
      </c>
      <c r="V92" s="243">
        <f t="shared" si="24"/>
        <v>0</v>
      </c>
      <c r="W92" s="244">
        <f t="shared" si="24"/>
        <v>0</v>
      </c>
      <c r="X92" s="243">
        <f t="shared" si="24"/>
        <v>0</v>
      </c>
      <c r="Y92" s="243">
        <f t="shared" si="24"/>
        <v>0</v>
      </c>
      <c r="Z92" s="243">
        <f t="shared" si="24"/>
        <v>0</v>
      </c>
      <c r="AA92" s="243">
        <f t="shared" si="24"/>
        <v>0</v>
      </c>
      <c r="AB92"/>
      <c r="AC92"/>
      <c r="AD92"/>
      <c r="AE92"/>
    </row>
    <row r="93" spans="1:31" ht="15" customHeight="1" x14ac:dyDescent="0.2">
      <c r="A93" s="183">
        <v>9</v>
      </c>
      <c r="B93" s="182"/>
      <c r="C93" s="182"/>
      <c r="D93" s="243">
        <f t="shared" ref="D93:AA93" si="25">+D56-D19</f>
        <v>0</v>
      </c>
      <c r="E93" s="243">
        <f t="shared" si="25"/>
        <v>0</v>
      </c>
      <c r="F93" s="243">
        <f t="shared" si="25"/>
        <v>0</v>
      </c>
      <c r="G93" s="243">
        <f t="shared" si="25"/>
        <v>0</v>
      </c>
      <c r="H93" s="239">
        <f t="shared" si="17"/>
        <v>0</v>
      </c>
      <c r="I93" s="239">
        <f t="shared" si="18"/>
        <v>0</v>
      </c>
      <c r="J93" s="243">
        <f t="shared" si="25"/>
        <v>0</v>
      </c>
      <c r="K93" s="243">
        <f t="shared" si="25"/>
        <v>0</v>
      </c>
      <c r="L93" s="243">
        <f t="shared" si="25"/>
        <v>0</v>
      </c>
      <c r="M93" s="243">
        <f t="shared" si="25"/>
        <v>0</v>
      </c>
      <c r="N93" s="243">
        <f t="shared" si="25"/>
        <v>0</v>
      </c>
      <c r="O93" s="243">
        <f t="shared" si="25"/>
        <v>0</v>
      </c>
      <c r="P93" s="243">
        <f t="shared" si="25"/>
        <v>0</v>
      </c>
      <c r="Q93" s="243">
        <f t="shared" si="25"/>
        <v>0</v>
      </c>
      <c r="R93" s="243">
        <f t="shared" si="25"/>
        <v>0</v>
      </c>
      <c r="S93" s="243">
        <f t="shared" si="25"/>
        <v>0</v>
      </c>
      <c r="T93" s="243">
        <f t="shared" si="25"/>
        <v>0</v>
      </c>
      <c r="U93" s="243">
        <f t="shared" si="25"/>
        <v>0</v>
      </c>
      <c r="V93" s="243">
        <f t="shared" si="25"/>
        <v>0</v>
      </c>
      <c r="W93" s="244">
        <f t="shared" si="25"/>
        <v>0</v>
      </c>
      <c r="X93" s="243">
        <f t="shared" si="25"/>
        <v>0</v>
      </c>
      <c r="Y93" s="243">
        <f t="shared" si="25"/>
        <v>0</v>
      </c>
      <c r="Z93" s="243">
        <f t="shared" si="25"/>
        <v>0</v>
      </c>
      <c r="AA93" s="243">
        <f t="shared" si="25"/>
        <v>0</v>
      </c>
      <c r="AB93"/>
      <c r="AC93"/>
      <c r="AD93"/>
      <c r="AE93"/>
    </row>
    <row r="94" spans="1:31" ht="15" customHeight="1" x14ac:dyDescent="0.2">
      <c r="A94" s="183">
        <v>10</v>
      </c>
      <c r="B94" s="184" t="s">
        <v>73</v>
      </c>
      <c r="C94" s="231" t="s">
        <v>76</v>
      </c>
      <c r="D94" s="237">
        <f t="shared" ref="D94:AA94" si="26">+D57-D20</f>
        <v>0</v>
      </c>
      <c r="E94" s="237">
        <f t="shared" si="26"/>
        <v>0</v>
      </c>
      <c r="F94" s="237">
        <f t="shared" si="26"/>
        <v>0</v>
      </c>
      <c r="G94" s="237">
        <f t="shared" si="26"/>
        <v>0</v>
      </c>
      <c r="H94" s="237">
        <f t="shared" si="17"/>
        <v>0</v>
      </c>
      <c r="I94" s="237">
        <f t="shared" si="18"/>
        <v>0</v>
      </c>
      <c r="J94" s="237">
        <f t="shared" si="26"/>
        <v>0</v>
      </c>
      <c r="K94" s="237">
        <f t="shared" si="26"/>
        <v>0</v>
      </c>
      <c r="L94" s="237">
        <f t="shared" si="26"/>
        <v>0</v>
      </c>
      <c r="M94" s="237">
        <f t="shared" si="26"/>
        <v>0</v>
      </c>
      <c r="N94" s="237">
        <f t="shared" si="26"/>
        <v>0</v>
      </c>
      <c r="O94" s="237">
        <f t="shared" si="26"/>
        <v>0</v>
      </c>
      <c r="P94" s="237">
        <f t="shared" si="26"/>
        <v>0</v>
      </c>
      <c r="Q94" s="237">
        <f t="shared" si="26"/>
        <v>0</v>
      </c>
      <c r="R94" s="237">
        <f t="shared" si="26"/>
        <v>0</v>
      </c>
      <c r="S94" s="237">
        <f t="shared" si="26"/>
        <v>0</v>
      </c>
      <c r="T94" s="237">
        <f t="shared" si="26"/>
        <v>0</v>
      </c>
      <c r="U94" s="237">
        <f t="shared" si="26"/>
        <v>0</v>
      </c>
      <c r="V94" s="237">
        <f t="shared" si="26"/>
        <v>0</v>
      </c>
      <c r="W94" s="237">
        <f t="shared" si="26"/>
        <v>0</v>
      </c>
      <c r="X94" s="237">
        <f t="shared" si="26"/>
        <v>0</v>
      </c>
      <c r="Y94" s="237">
        <f t="shared" si="26"/>
        <v>0</v>
      </c>
      <c r="Z94" s="240">
        <f t="shared" si="26"/>
        <v>0</v>
      </c>
      <c r="AA94" s="237">
        <f t="shared" si="26"/>
        <v>0</v>
      </c>
      <c r="AB94"/>
      <c r="AC94"/>
      <c r="AD94"/>
      <c r="AE94"/>
    </row>
    <row r="95" spans="1:31" ht="15" customHeight="1" x14ac:dyDescent="0.2">
      <c r="A95" s="183" t="s">
        <v>94</v>
      </c>
      <c r="B95" s="184" t="s">
        <v>95</v>
      </c>
      <c r="C95" s="231" t="s">
        <v>86</v>
      </c>
      <c r="D95" s="240">
        <f t="shared" ref="D95:AA95" si="27">+D58-D21</f>
        <v>0</v>
      </c>
      <c r="E95" s="237">
        <f t="shared" si="27"/>
        <v>0</v>
      </c>
      <c r="F95" s="240">
        <f t="shared" si="27"/>
        <v>0</v>
      </c>
      <c r="G95" s="237">
        <f t="shared" si="27"/>
        <v>0</v>
      </c>
      <c r="H95" s="237">
        <f t="shared" si="17"/>
        <v>0</v>
      </c>
      <c r="I95" s="237">
        <f t="shared" si="18"/>
        <v>0</v>
      </c>
      <c r="J95" s="237">
        <f t="shared" si="27"/>
        <v>0</v>
      </c>
      <c r="K95" s="237">
        <f t="shared" si="27"/>
        <v>0</v>
      </c>
      <c r="L95" s="237">
        <f t="shared" si="27"/>
        <v>0</v>
      </c>
      <c r="M95" s="237">
        <f t="shared" si="27"/>
        <v>0</v>
      </c>
      <c r="N95" s="237">
        <f t="shared" si="27"/>
        <v>0</v>
      </c>
      <c r="O95" s="237">
        <f t="shared" si="27"/>
        <v>0</v>
      </c>
      <c r="P95" s="237">
        <f t="shared" si="27"/>
        <v>0</v>
      </c>
      <c r="Q95" s="237">
        <f t="shared" si="27"/>
        <v>0</v>
      </c>
      <c r="R95" s="237">
        <f t="shared" si="27"/>
        <v>0</v>
      </c>
      <c r="S95" s="237">
        <f t="shared" si="27"/>
        <v>0</v>
      </c>
      <c r="T95" s="237">
        <f t="shared" si="27"/>
        <v>0</v>
      </c>
      <c r="U95" s="237">
        <f t="shared" si="27"/>
        <v>0</v>
      </c>
      <c r="V95" s="237">
        <f t="shared" si="27"/>
        <v>0</v>
      </c>
      <c r="W95" s="237">
        <f t="shared" si="27"/>
        <v>0</v>
      </c>
      <c r="X95" s="237">
        <f t="shared" si="27"/>
        <v>0</v>
      </c>
      <c r="Y95" s="237">
        <f t="shared" si="27"/>
        <v>0</v>
      </c>
      <c r="Z95" s="240">
        <f t="shared" si="27"/>
        <v>0</v>
      </c>
      <c r="AA95" s="240">
        <f t="shared" si="27"/>
        <v>0</v>
      </c>
      <c r="AB95"/>
      <c r="AC95"/>
      <c r="AD95"/>
      <c r="AE95"/>
    </row>
    <row r="96" spans="1:31" ht="15" customHeight="1" x14ac:dyDescent="0.2">
      <c r="A96" s="183" t="s">
        <v>191</v>
      </c>
      <c r="B96" s="184" t="s">
        <v>202</v>
      </c>
      <c r="C96" s="231" t="s">
        <v>86</v>
      </c>
      <c r="D96" s="240">
        <f t="shared" ref="D96:AA96" si="28">+D59-D22</f>
        <v>0</v>
      </c>
      <c r="E96" s="237">
        <f t="shared" si="28"/>
        <v>0</v>
      </c>
      <c r="F96" s="240">
        <f t="shared" si="28"/>
        <v>0</v>
      </c>
      <c r="G96" s="237">
        <f t="shared" si="28"/>
        <v>0</v>
      </c>
      <c r="H96" s="237">
        <f t="shared" si="17"/>
        <v>0</v>
      </c>
      <c r="I96" s="237">
        <f t="shared" si="18"/>
        <v>0</v>
      </c>
      <c r="J96" s="237">
        <f t="shared" si="28"/>
        <v>0</v>
      </c>
      <c r="K96" s="237">
        <f t="shared" si="28"/>
        <v>0</v>
      </c>
      <c r="L96" s="237">
        <f t="shared" si="28"/>
        <v>0</v>
      </c>
      <c r="M96" s="237">
        <f t="shared" si="28"/>
        <v>0</v>
      </c>
      <c r="N96" s="237">
        <f t="shared" si="28"/>
        <v>0</v>
      </c>
      <c r="O96" s="237">
        <f t="shared" si="28"/>
        <v>0</v>
      </c>
      <c r="P96" s="237">
        <f t="shared" si="28"/>
        <v>0</v>
      </c>
      <c r="Q96" s="237">
        <f t="shared" si="28"/>
        <v>0</v>
      </c>
      <c r="R96" s="237">
        <f t="shared" si="28"/>
        <v>0</v>
      </c>
      <c r="S96" s="237">
        <f t="shared" si="28"/>
        <v>0</v>
      </c>
      <c r="T96" s="237">
        <f t="shared" si="28"/>
        <v>0</v>
      </c>
      <c r="U96" s="237">
        <f t="shared" si="28"/>
        <v>0</v>
      </c>
      <c r="V96" s="237">
        <f t="shared" si="28"/>
        <v>0</v>
      </c>
      <c r="W96" s="237">
        <f t="shared" si="28"/>
        <v>0</v>
      </c>
      <c r="X96" s="237">
        <f t="shared" si="28"/>
        <v>0</v>
      </c>
      <c r="Y96" s="237">
        <f t="shared" si="28"/>
        <v>0</v>
      </c>
      <c r="Z96" s="240">
        <f t="shared" si="28"/>
        <v>0</v>
      </c>
      <c r="AA96" s="240">
        <f t="shared" si="28"/>
        <v>0</v>
      </c>
      <c r="AB96"/>
      <c r="AC96"/>
      <c r="AD96"/>
      <c r="AE96"/>
    </row>
    <row r="97" spans="1:31" ht="15" customHeight="1" x14ac:dyDescent="0.2">
      <c r="A97" s="183">
        <v>11</v>
      </c>
      <c r="B97" s="184" t="s">
        <v>666</v>
      </c>
      <c r="C97" s="231" t="s">
        <v>76</v>
      </c>
      <c r="D97" s="240">
        <f t="shared" ref="D97:AA97" si="29">+D60-D23</f>
        <v>0</v>
      </c>
      <c r="E97" s="240">
        <f t="shared" si="29"/>
        <v>0</v>
      </c>
      <c r="F97" s="240">
        <f t="shared" si="29"/>
        <v>0</v>
      </c>
      <c r="G97" s="240">
        <f t="shared" si="29"/>
        <v>0</v>
      </c>
      <c r="H97" s="240">
        <f t="shared" si="17"/>
        <v>0</v>
      </c>
      <c r="I97" s="240">
        <f t="shared" si="18"/>
        <v>0</v>
      </c>
      <c r="J97" s="240">
        <f t="shared" si="29"/>
        <v>0</v>
      </c>
      <c r="K97" s="240">
        <f t="shared" si="29"/>
        <v>0</v>
      </c>
      <c r="L97" s="240">
        <f t="shared" si="29"/>
        <v>0</v>
      </c>
      <c r="M97" s="240">
        <f t="shared" si="29"/>
        <v>0</v>
      </c>
      <c r="N97" s="240">
        <f t="shared" si="29"/>
        <v>0</v>
      </c>
      <c r="O97" s="240">
        <f t="shared" si="29"/>
        <v>0</v>
      </c>
      <c r="P97" s="240">
        <f t="shared" si="29"/>
        <v>0</v>
      </c>
      <c r="Q97" s="240">
        <f t="shared" si="29"/>
        <v>0</v>
      </c>
      <c r="R97" s="240">
        <f t="shared" si="29"/>
        <v>0</v>
      </c>
      <c r="S97" s="240">
        <f t="shared" si="29"/>
        <v>0</v>
      </c>
      <c r="T97" s="240">
        <f t="shared" si="29"/>
        <v>0</v>
      </c>
      <c r="U97" s="240">
        <f t="shared" si="29"/>
        <v>0</v>
      </c>
      <c r="V97" s="240">
        <f t="shared" si="29"/>
        <v>0</v>
      </c>
      <c r="W97" s="240">
        <f t="shared" si="29"/>
        <v>0</v>
      </c>
      <c r="X97" s="240">
        <f t="shared" si="29"/>
        <v>0</v>
      </c>
      <c r="Y97" s="240">
        <f t="shared" si="29"/>
        <v>0</v>
      </c>
      <c r="Z97" s="240">
        <f t="shared" si="29"/>
        <v>0</v>
      </c>
      <c r="AA97" s="240">
        <f t="shared" si="29"/>
        <v>0</v>
      </c>
      <c r="AB97"/>
      <c r="AC97"/>
      <c r="AD97"/>
      <c r="AE97"/>
    </row>
    <row r="98" spans="1:31" ht="15" customHeight="1" x14ac:dyDescent="0.2">
      <c r="A98" s="183">
        <v>12</v>
      </c>
      <c r="B98" s="184" t="s">
        <v>665</v>
      </c>
      <c r="C98" s="231" t="s">
        <v>76</v>
      </c>
      <c r="D98" s="240">
        <f t="shared" ref="D98:AA98" si="30">+D61-D24</f>
        <v>0</v>
      </c>
      <c r="E98" s="240">
        <f t="shared" si="30"/>
        <v>0</v>
      </c>
      <c r="F98" s="240">
        <f t="shared" si="30"/>
        <v>0</v>
      </c>
      <c r="G98" s="240">
        <f t="shared" si="30"/>
        <v>0</v>
      </c>
      <c r="H98" s="240">
        <f t="shared" si="17"/>
        <v>0</v>
      </c>
      <c r="I98" s="240">
        <f t="shared" si="18"/>
        <v>0</v>
      </c>
      <c r="J98" s="240">
        <f t="shared" si="30"/>
        <v>0</v>
      </c>
      <c r="K98" s="240">
        <f t="shared" si="30"/>
        <v>0</v>
      </c>
      <c r="L98" s="240">
        <f t="shared" si="30"/>
        <v>0</v>
      </c>
      <c r="M98" s="240">
        <f t="shared" si="30"/>
        <v>0</v>
      </c>
      <c r="N98" s="240">
        <f t="shared" si="30"/>
        <v>0</v>
      </c>
      <c r="O98" s="240">
        <f t="shared" si="30"/>
        <v>0</v>
      </c>
      <c r="P98" s="240">
        <f t="shared" si="30"/>
        <v>0</v>
      </c>
      <c r="Q98" s="240">
        <f t="shared" si="30"/>
        <v>0</v>
      </c>
      <c r="R98" s="240">
        <f t="shared" si="30"/>
        <v>0</v>
      </c>
      <c r="S98" s="240">
        <f t="shared" si="30"/>
        <v>0</v>
      </c>
      <c r="T98" s="240">
        <f t="shared" si="30"/>
        <v>0</v>
      </c>
      <c r="U98" s="240">
        <f t="shared" si="30"/>
        <v>0</v>
      </c>
      <c r="V98" s="240">
        <f t="shared" si="30"/>
        <v>0</v>
      </c>
      <c r="W98" s="240">
        <f t="shared" si="30"/>
        <v>0</v>
      </c>
      <c r="X98" s="240">
        <f t="shared" si="30"/>
        <v>0</v>
      </c>
      <c r="Y98" s="240">
        <f t="shared" si="30"/>
        <v>0</v>
      </c>
      <c r="Z98" s="240">
        <f t="shared" si="30"/>
        <v>0</v>
      </c>
      <c r="AA98" s="240">
        <f t="shared" si="30"/>
        <v>0</v>
      </c>
      <c r="AB98"/>
      <c r="AC98"/>
      <c r="AD98"/>
      <c r="AE98"/>
    </row>
    <row r="99" spans="1:31" ht="15" customHeight="1" x14ac:dyDescent="0.2">
      <c r="A99" s="183">
        <v>13</v>
      </c>
      <c r="B99" s="184" t="s">
        <v>182</v>
      </c>
      <c r="C99" s="231" t="s">
        <v>86</v>
      </c>
      <c r="D99" s="240">
        <f t="shared" ref="D99:AA99" si="31">+D62-D25</f>
        <v>0</v>
      </c>
      <c r="E99" s="240">
        <f t="shared" si="31"/>
        <v>0</v>
      </c>
      <c r="F99" s="240">
        <f t="shared" si="31"/>
        <v>-547535.37976438552</v>
      </c>
      <c r="G99" s="240">
        <f t="shared" si="31"/>
        <v>0</v>
      </c>
      <c r="H99" s="239">
        <f t="shared" si="17"/>
        <v>0</v>
      </c>
      <c r="I99" s="239">
        <f t="shared" si="18"/>
        <v>0</v>
      </c>
      <c r="J99" s="240">
        <f t="shared" si="31"/>
        <v>0</v>
      </c>
      <c r="K99" s="240">
        <f t="shared" si="31"/>
        <v>0</v>
      </c>
      <c r="L99" s="240">
        <f t="shared" si="31"/>
        <v>0</v>
      </c>
      <c r="M99" s="240">
        <f t="shared" si="31"/>
        <v>0</v>
      </c>
      <c r="N99" s="240">
        <f t="shared" si="31"/>
        <v>0</v>
      </c>
      <c r="O99" s="240">
        <f t="shared" si="31"/>
        <v>0</v>
      </c>
      <c r="P99" s="240">
        <f t="shared" si="31"/>
        <v>0</v>
      </c>
      <c r="Q99" s="240">
        <f t="shared" si="31"/>
        <v>0</v>
      </c>
      <c r="R99" s="240">
        <f t="shared" si="31"/>
        <v>0</v>
      </c>
      <c r="S99" s="240">
        <f t="shared" si="31"/>
        <v>0</v>
      </c>
      <c r="T99" s="240">
        <f t="shared" si="31"/>
        <v>0</v>
      </c>
      <c r="U99" s="240">
        <f t="shared" si="31"/>
        <v>0</v>
      </c>
      <c r="V99" s="240">
        <f t="shared" si="31"/>
        <v>0</v>
      </c>
      <c r="W99" s="240">
        <f t="shared" si="31"/>
        <v>0</v>
      </c>
      <c r="X99" s="240">
        <f t="shared" si="31"/>
        <v>0</v>
      </c>
      <c r="Y99" s="240">
        <f t="shared" si="31"/>
        <v>0</v>
      </c>
      <c r="Z99" s="240">
        <f t="shared" si="31"/>
        <v>-547535.37976438552</v>
      </c>
      <c r="AA99" s="240">
        <f t="shared" si="31"/>
        <v>-547535.37976438552</v>
      </c>
      <c r="AB99"/>
      <c r="AC99"/>
      <c r="AD99"/>
      <c r="AE99"/>
    </row>
    <row r="100" spans="1:31" ht="15" customHeight="1" x14ac:dyDescent="0.2">
      <c r="A100" s="183">
        <v>14</v>
      </c>
      <c r="B100" s="184" t="s">
        <v>183</v>
      </c>
      <c r="C100" s="231" t="s">
        <v>86</v>
      </c>
      <c r="D100" s="240">
        <f t="shared" ref="D100:AA100" si="32">+D63-D26</f>
        <v>0</v>
      </c>
      <c r="E100" s="240">
        <f t="shared" si="32"/>
        <v>0</v>
      </c>
      <c r="F100" s="240">
        <f t="shared" si="32"/>
        <v>-8250512.7978082895</v>
      </c>
      <c r="G100" s="240">
        <f t="shared" si="32"/>
        <v>0</v>
      </c>
      <c r="H100" s="239">
        <f t="shared" si="17"/>
        <v>0</v>
      </c>
      <c r="I100" s="239">
        <f t="shared" si="18"/>
        <v>0</v>
      </c>
      <c r="J100" s="240">
        <f t="shared" si="32"/>
        <v>0</v>
      </c>
      <c r="K100" s="240">
        <f t="shared" si="32"/>
        <v>0</v>
      </c>
      <c r="L100" s="240">
        <f t="shared" si="32"/>
        <v>0</v>
      </c>
      <c r="M100" s="240">
        <f t="shared" si="32"/>
        <v>0</v>
      </c>
      <c r="N100" s="240">
        <f t="shared" si="32"/>
        <v>0</v>
      </c>
      <c r="O100" s="240">
        <f t="shared" si="32"/>
        <v>0</v>
      </c>
      <c r="P100" s="240">
        <f t="shared" si="32"/>
        <v>0</v>
      </c>
      <c r="Q100" s="240">
        <f t="shared" si="32"/>
        <v>0</v>
      </c>
      <c r="R100" s="240">
        <f t="shared" si="32"/>
        <v>0</v>
      </c>
      <c r="S100" s="240">
        <f t="shared" si="32"/>
        <v>0</v>
      </c>
      <c r="T100" s="240">
        <f t="shared" si="32"/>
        <v>0</v>
      </c>
      <c r="U100" s="240">
        <f t="shared" si="32"/>
        <v>0</v>
      </c>
      <c r="V100" s="240">
        <f t="shared" si="32"/>
        <v>0</v>
      </c>
      <c r="W100" s="240">
        <f t="shared" si="32"/>
        <v>0</v>
      </c>
      <c r="X100" s="240">
        <f t="shared" si="32"/>
        <v>0</v>
      </c>
      <c r="Y100" s="240">
        <f t="shared" si="32"/>
        <v>0</v>
      </c>
      <c r="Z100" s="240">
        <f t="shared" si="32"/>
        <v>-8250512.7978082895</v>
      </c>
      <c r="AA100" s="240">
        <f t="shared" si="32"/>
        <v>-8250512.7978082895</v>
      </c>
      <c r="AB100"/>
      <c r="AC100"/>
      <c r="AD100"/>
      <c r="AE100"/>
    </row>
    <row r="101" spans="1:31" ht="15" customHeight="1" x14ac:dyDescent="0.2">
      <c r="A101" s="183">
        <v>15</v>
      </c>
      <c r="B101" s="184" t="s">
        <v>30</v>
      </c>
      <c r="C101" s="231" t="s">
        <v>76</v>
      </c>
      <c r="D101" s="246">
        <f t="shared" ref="D101:AA101" si="33">+D64-D27</f>
        <v>0</v>
      </c>
      <c r="E101" s="240">
        <f t="shared" si="33"/>
        <v>0</v>
      </c>
      <c r="F101" s="240">
        <f t="shared" si="33"/>
        <v>0</v>
      </c>
      <c r="G101" s="240">
        <f t="shared" si="33"/>
        <v>0</v>
      </c>
      <c r="H101" s="239">
        <f t="shared" si="17"/>
        <v>0</v>
      </c>
      <c r="I101" s="239">
        <f t="shared" si="18"/>
        <v>0</v>
      </c>
      <c r="J101" s="240">
        <f t="shared" si="33"/>
        <v>0</v>
      </c>
      <c r="K101" s="240">
        <f t="shared" si="33"/>
        <v>0</v>
      </c>
      <c r="L101" s="240">
        <f t="shared" si="33"/>
        <v>0</v>
      </c>
      <c r="M101" s="240">
        <f t="shared" si="33"/>
        <v>0</v>
      </c>
      <c r="N101" s="240">
        <f t="shared" si="33"/>
        <v>0</v>
      </c>
      <c r="O101" s="240">
        <f t="shared" si="33"/>
        <v>0</v>
      </c>
      <c r="P101" s="240">
        <f t="shared" si="33"/>
        <v>0</v>
      </c>
      <c r="Q101" s="240">
        <f t="shared" si="33"/>
        <v>0</v>
      </c>
      <c r="R101" s="240">
        <f t="shared" si="33"/>
        <v>0</v>
      </c>
      <c r="S101" s="240">
        <f t="shared" si="33"/>
        <v>0</v>
      </c>
      <c r="T101" s="240">
        <f t="shared" si="33"/>
        <v>0</v>
      </c>
      <c r="U101" s="240">
        <f t="shared" si="33"/>
        <v>0</v>
      </c>
      <c r="V101" s="240">
        <f t="shared" si="33"/>
        <v>0</v>
      </c>
      <c r="W101" s="240">
        <f t="shared" si="33"/>
        <v>0</v>
      </c>
      <c r="X101" s="240">
        <f t="shared" si="33"/>
        <v>0</v>
      </c>
      <c r="Y101" s="240">
        <f t="shared" si="33"/>
        <v>0</v>
      </c>
      <c r="Z101" s="240">
        <f t="shared" si="33"/>
        <v>0</v>
      </c>
      <c r="AA101" s="240">
        <f t="shared" si="33"/>
        <v>0</v>
      </c>
      <c r="AB101"/>
      <c r="AC101"/>
      <c r="AD101"/>
      <c r="AE101"/>
    </row>
    <row r="102" spans="1:31" ht="15" customHeight="1" x14ac:dyDescent="0.2">
      <c r="A102" s="183" t="s">
        <v>67</v>
      </c>
      <c r="B102" s="232" t="s">
        <v>132</v>
      </c>
      <c r="C102" s="231" t="s">
        <v>76</v>
      </c>
      <c r="D102" s="240">
        <f t="shared" ref="D102:AA102" si="34">+D65-D28</f>
        <v>0</v>
      </c>
      <c r="E102" s="240">
        <f t="shared" si="34"/>
        <v>0</v>
      </c>
      <c r="F102" s="240">
        <f t="shared" si="34"/>
        <v>0</v>
      </c>
      <c r="G102" s="240">
        <f t="shared" si="34"/>
        <v>0</v>
      </c>
      <c r="H102" s="239">
        <f t="shared" si="17"/>
        <v>0</v>
      </c>
      <c r="I102" s="239">
        <f t="shared" si="18"/>
        <v>0</v>
      </c>
      <c r="J102" s="240">
        <f t="shared" si="34"/>
        <v>0</v>
      </c>
      <c r="K102" s="240">
        <f t="shared" si="34"/>
        <v>0</v>
      </c>
      <c r="L102" s="240">
        <f t="shared" si="34"/>
        <v>0</v>
      </c>
      <c r="M102" s="240">
        <f t="shared" si="34"/>
        <v>0</v>
      </c>
      <c r="N102" s="240">
        <f t="shared" si="34"/>
        <v>0</v>
      </c>
      <c r="O102" s="240">
        <f t="shared" si="34"/>
        <v>0</v>
      </c>
      <c r="P102" s="240">
        <f t="shared" si="34"/>
        <v>0</v>
      </c>
      <c r="Q102" s="240">
        <f t="shared" si="34"/>
        <v>0</v>
      </c>
      <c r="R102" s="240">
        <f t="shared" si="34"/>
        <v>0</v>
      </c>
      <c r="S102" s="240">
        <f t="shared" si="34"/>
        <v>0</v>
      </c>
      <c r="T102" s="240">
        <f t="shared" si="34"/>
        <v>0</v>
      </c>
      <c r="U102" s="240">
        <f t="shared" si="34"/>
        <v>0</v>
      </c>
      <c r="V102" s="240">
        <f t="shared" si="34"/>
        <v>0</v>
      </c>
      <c r="W102" s="240">
        <f t="shared" si="34"/>
        <v>0</v>
      </c>
      <c r="X102" s="240">
        <f t="shared" si="34"/>
        <v>0</v>
      </c>
      <c r="Y102" s="240">
        <f t="shared" si="34"/>
        <v>0</v>
      </c>
      <c r="Z102" s="240">
        <f t="shared" si="34"/>
        <v>0</v>
      </c>
      <c r="AA102" s="240">
        <f t="shared" si="34"/>
        <v>0</v>
      </c>
      <c r="AB102"/>
      <c r="AC102"/>
      <c r="AD102"/>
      <c r="AE102"/>
    </row>
    <row r="103" spans="1:31" ht="15" customHeight="1" x14ac:dyDescent="0.2">
      <c r="A103" s="183" t="s">
        <v>68</v>
      </c>
      <c r="B103" s="233" t="s">
        <v>23</v>
      </c>
      <c r="C103" s="231" t="s">
        <v>76</v>
      </c>
      <c r="D103" s="240">
        <f t="shared" ref="D103:AA103" si="35">+D66-D29</f>
        <v>0</v>
      </c>
      <c r="E103" s="240">
        <f t="shared" si="35"/>
        <v>0</v>
      </c>
      <c r="F103" s="240">
        <f t="shared" si="35"/>
        <v>0</v>
      </c>
      <c r="G103" s="240">
        <f t="shared" si="35"/>
        <v>0</v>
      </c>
      <c r="H103" s="239">
        <f t="shared" si="17"/>
        <v>0</v>
      </c>
      <c r="I103" s="239">
        <f t="shared" si="18"/>
        <v>0</v>
      </c>
      <c r="J103" s="240">
        <f t="shared" si="35"/>
        <v>0</v>
      </c>
      <c r="K103" s="240">
        <f t="shared" si="35"/>
        <v>0</v>
      </c>
      <c r="L103" s="240">
        <f t="shared" si="35"/>
        <v>0</v>
      </c>
      <c r="M103" s="240">
        <f t="shared" si="35"/>
        <v>0</v>
      </c>
      <c r="N103" s="240">
        <f t="shared" si="35"/>
        <v>0</v>
      </c>
      <c r="O103" s="240">
        <f t="shared" si="35"/>
        <v>0</v>
      </c>
      <c r="P103" s="240">
        <f t="shared" si="35"/>
        <v>0</v>
      </c>
      <c r="Q103" s="240">
        <f t="shared" si="35"/>
        <v>0</v>
      </c>
      <c r="R103" s="240">
        <f t="shared" si="35"/>
        <v>0</v>
      </c>
      <c r="S103" s="240">
        <f t="shared" si="35"/>
        <v>0</v>
      </c>
      <c r="T103" s="240">
        <f t="shared" si="35"/>
        <v>0</v>
      </c>
      <c r="U103" s="240">
        <f t="shared" si="35"/>
        <v>0</v>
      </c>
      <c r="V103" s="240">
        <f t="shared" si="35"/>
        <v>0</v>
      </c>
      <c r="W103" s="240">
        <f t="shared" si="35"/>
        <v>0</v>
      </c>
      <c r="X103" s="240">
        <f t="shared" si="35"/>
        <v>0</v>
      </c>
      <c r="Y103" s="240">
        <f t="shared" si="35"/>
        <v>0</v>
      </c>
      <c r="Z103" s="240">
        <f t="shared" si="35"/>
        <v>0</v>
      </c>
      <c r="AA103" s="240">
        <f t="shared" si="35"/>
        <v>0</v>
      </c>
      <c r="AB103"/>
      <c r="AC103"/>
      <c r="AD103"/>
      <c r="AE103"/>
    </row>
    <row r="104" spans="1:31" ht="15" customHeight="1" x14ac:dyDescent="0.2">
      <c r="A104" s="183" t="s">
        <v>69</v>
      </c>
      <c r="B104" s="233" t="s">
        <v>58</v>
      </c>
      <c r="C104" s="231" t="s">
        <v>86</v>
      </c>
      <c r="D104" s="240">
        <f t="shared" ref="D104:AA104" si="36">+D67-D30</f>
        <v>0</v>
      </c>
      <c r="E104" s="240">
        <f t="shared" si="36"/>
        <v>0</v>
      </c>
      <c r="F104" s="240">
        <f t="shared" si="36"/>
        <v>0</v>
      </c>
      <c r="G104" s="240">
        <f t="shared" si="36"/>
        <v>-10959.136417575413</v>
      </c>
      <c r="H104" s="239">
        <f t="shared" si="17"/>
        <v>0</v>
      </c>
      <c r="I104" s="239">
        <f t="shared" si="18"/>
        <v>0</v>
      </c>
      <c r="J104" s="240">
        <f t="shared" si="36"/>
        <v>0</v>
      </c>
      <c r="K104" s="240">
        <f t="shared" si="36"/>
        <v>0</v>
      </c>
      <c r="L104" s="240">
        <f t="shared" si="36"/>
        <v>0</v>
      </c>
      <c r="M104" s="240">
        <f t="shared" si="36"/>
        <v>0</v>
      </c>
      <c r="N104" s="240">
        <f t="shared" si="36"/>
        <v>0</v>
      </c>
      <c r="O104" s="240">
        <f t="shared" si="36"/>
        <v>0</v>
      </c>
      <c r="P104" s="240">
        <f t="shared" si="36"/>
        <v>0</v>
      </c>
      <c r="Q104" s="240">
        <f t="shared" si="36"/>
        <v>0</v>
      </c>
      <c r="R104" s="240">
        <f t="shared" si="36"/>
        <v>0</v>
      </c>
      <c r="S104" s="240">
        <f t="shared" si="36"/>
        <v>0</v>
      </c>
      <c r="T104" s="240">
        <f t="shared" si="36"/>
        <v>0</v>
      </c>
      <c r="U104" s="240">
        <f t="shared" si="36"/>
        <v>0</v>
      </c>
      <c r="V104" s="240">
        <f t="shared" si="36"/>
        <v>0</v>
      </c>
      <c r="W104" s="240">
        <f t="shared" si="36"/>
        <v>0</v>
      </c>
      <c r="X104" s="240">
        <f t="shared" si="36"/>
        <v>0</v>
      </c>
      <c r="Y104" s="240">
        <f t="shared" si="36"/>
        <v>0</v>
      </c>
      <c r="Z104" s="240">
        <f t="shared" si="36"/>
        <v>-10959.136417575413</v>
      </c>
      <c r="AA104" s="240">
        <f t="shared" si="36"/>
        <v>-10959.136417575413</v>
      </c>
      <c r="AB104"/>
      <c r="AC104"/>
      <c r="AD104"/>
      <c r="AE104"/>
    </row>
    <row r="105" spans="1:31" ht="15" customHeight="1" x14ac:dyDescent="0.2">
      <c r="A105" s="183" t="s">
        <v>70</v>
      </c>
      <c r="B105" s="233" t="s">
        <v>71</v>
      </c>
      <c r="C105" s="231" t="s">
        <v>76</v>
      </c>
      <c r="D105" s="240">
        <f t="shared" ref="D105:AA105" si="37">+D68-D31</f>
        <v>0</v>
      </c>
      <c r="E105" s="240">
        <f t="shared" si="37"/>
        <v>0</v>
      </c>
      <c r="F105" s="240">
        <f t="shared" si="37"/>
        <v>0</v>
      </c>
      <c r="G105" s="240">
        <f t="shared" si="37"/>
        <v>0</v>
      </c>
      <c r="H105" s="239">
        <f t="shared" si="17"/>
        <v>0</v>
      </c>
      <c r="I105" s="239">
        <f t="shared" si="18"/>
        <v>0</v>
      </c>
      <c r="J105" s="240">
        <f t="shared" si="37"/>
        <v>0</v>
      </c>
      <c r="K105" s="240">
        <f t="shared" si="37"/>
        <v>0</v>
      </c>
      <c r="L105" s="240">
        <f t="shared" si="37"/>
        <v>0</v>
      </c>
      <c r="M105" s="240">
        <f t="shared" si="37"/>
        <v>0</v>
      </c>
      <c r="N105" s="240">
        <f t="shared" si="37"/>
        <v>0</v>
      </c>
      <c r="O105" s="240">
        <f t="shared" si="37"/>
        <v>0</v>
      </c>
      <c r="P105" s="240">
        <f t="shared" si="37"/>
        <v>0</v>
      </c>
      <c r="Q105" s="240">
        <f t="shared" si="37"/>
        <v>0</v>
      </c>
      <c r="R105" s="240">
        <f t="shared" si="37"/>
        <v>0</v>
      </c>
      <c r="S105" s="240">
        <f t="shared" si="37"/>
        <v>0</v>
      </c>
      <c r="T105" s="240">
        <f t="shared" si="37"/>
        <v>0</v>
      </c>
      <c r="U105" s="240">
        <f t="shared" si="37"/>
        <v>0</v>
      </c>
      <c r="V105" s="240">
        <f t="shared" si="37"/>
        <v>0</v>
      </c>
      <c r="W105" s="240">
        <f t="shared" si="37"/>
        <v>0</v>
      </c>
      <c r="X105" s="240">
        <f t="shared" si="37"/>
        <v>0</v>
      </c>
      <c r="Y105" s="240">
        <f t="shared" si="37"/>
        <v>0</v>
      </c>
      <c r="Z105" s="240">
        <f t="shared" si="37"/>
        <v>0</v>
      </c>
      <c r="AA105" s="240">
        <f t="shared" si="37"/>
        <v>0</v>
      </c>
      <c r="AB105"/>
      <c r="AC105"/>
      <c r="AD105"/>
      <c r="AE105"/>
    </row>
    <row r="106" spans="1:31" ht="15" customHeight="1" x14ac:dyDescent="0.2">
      <c r="A106" s="183" t="s">
        <v>133</v>
      </c>
      <c r="B106" s="233" t="s">
        <v>134</v>
      </c>
      <c r="C106" s="231" t="s">
        <v>86</v>
      </c>
      <c r="D106" s="240">
        <f t="shared" ref="D106:AA106" si="38">+D69-D32</f>
        <v>0</v>
      </c>
      <c r="E106" s="240">
        <f t="shared" si="38"/>
        <v>0</v>
      </c>
      <c r="F106" s="240">
        <f t="shared" si="38"/>
        <v>0</v>
      </c>
      <c r="G106" s="240">
        <f t="shared" si="38"/>
        <v>0</v>
      </c>
      <c r="H106" s="239">
        <f t="shared" si="17"/>
        <v>0</v>
      </c>
      <c r="I106" s="239">
        <f t="shared" si="18"/>
        <v>0</v>
      </c>
      <c r="J106" s="240">
        <f t="shared" si="38"/>
        <v>0</v>
      </c>
      <c r="K106" s="240">
        <f t="shared" si="38"/>
        <v>0</v>
      </c>
      <c r="L106" s="240">
        <f t="shared" si="38"/>
        <v>0</v>
      </c>
      <c r="M106" s="240">
        <f t="shared" si="38"/>
        <v>0</v>
      </c>
      <c r="N106" s="240">
        <f t="shared" si="38"/>
        <v>0</v>
      </c>
      <c r="O106" s="240">
        <f t="shared" si="38"/>
        <v>0</v>
      </c>
      <c r="P106" s="240">
        <f t="shared" si="38"/>
        <v>0</v>
      </c>
      <c r="Q106" s="240">
        <f t="shared" si="38"/>
        <v>0</v>
      </c>
      <c r="R106" s="240">
        <f t="shared" si="38"/>
        <v>0</v>
      </c>
      <c r="S106" s="240">
        <f t="shared" si="38"/>
        <v>0</v>
      </c>
      <c r="T106" s="240">
        <f t="shared" si="38"/>
        <v>0</v>
      </c>
      <c r="U106" s="240">
        <f t="shared" si="38"/>
        <v>0</v>
      </c>
      <c r="V106" s="240">
        <f t="shared" si="38"/>
        <v>0</v>
      </c>
      <c r="W106" s="240">
        <f t="shared" si="38"/>
        <v>0</v>
      </c>
      <c r="X106" s="240">
        <f t="shared" si="38"/>
        <v>0</v>
      </c>
      <c r="Y106" s="240">
        <f t="shared" si="38"/>
        <v>0</v>
      </c>
      <c r="Z106" s="240">
        <f t="shared" si="38"/>
        <v>0</v>
      </c>
      <c r="AA106" s="240">
        <f t="shared" si="38"/>
        <v>0</v>
      </c>
      <c r="AB106"/>
      <c r="AC106"/>
      <c r="AD106"/>
      <c r="AE106"/>
    </row>
    <row r="107" spans="1:31" ht="15" customHeight="1" x14ac:dyDescent="0.2">
      <c r="A107" s="183">
        <v>16</v>
      </c>
      <c r="B107" s="182" t="s">
        <v>184</v>
      </c>
      <c r="C107" s="231" t="s">
        <v>86</v>
      </c>
      <c r="D107" s="240">
        <f t="shared" ref="D107:AA107" si="39">+D70-D33</f>
        <v>0</v>
      </c>
      <c r="E107" s="240">
        <f t="shared" si="39"/>
        <v>0</v>
      </c>
      <c r="F107" s="240">
        <f t="shared" si="39"/>
        <v>-10900850.73652637</v>
      </c>
      <c r="G107" s="240">
        <f t="shared" si="39"/>
        <v>0</v>
      </c>
      <c r="H107" s="239">
        <f t="shared" si="17"/>
        <v>0</v>
      </c>
      <c r="I107" s="239">
        <f t="shared" si="18"/>
        <v>0</v>
      </c>
      <c r="J107" s="240">
        <f t="shared" si="39"/>
        <v>0</v>
      </c>
      <c r="K107" s="240">
        <f t="shared" si="39"/>
        <v>0</v>
      </c>
      <c r="L107" s="240">
        <f t="shared" si="39"/>
        <v>0</v>
      </c>
      <c r="M107" s="240">
        <f t="shared" si="39"/>
        <v>0</v>
      </c>
      <c r="N107" s="240">
        <f t="shared" si="39"/>
        <v>0</v>
      </c>
      <c r="O107" s="240">
        <f t="shared" si="39"/>
        <v>0</v>
      </c>
      <c r="P107" s="240">
        <f t="shared" si="39"/>
        <v>0</v>
      </c>
      <c r="Q107" s="240">
        <f t="shared" si="39"/>
        <v>0</v>
      </c>
      <c r="R107" s="240">
        <f t="shared" si="39"/>
        <v>0</v>
      </c>
      <c r="S107" s="240">
        <f t="shared" si="39"/>
        <v>0</v>
      </c>
      <c r="T107" s="240">
        <f t="shared" si="39"/>
        <v>0</v>
      </c>
      <c r="U107" s="240">
        <f t="shared" si="39"/>
        <v>0</v>
      </c>
      <c r="V107" s="240">
        <f t="shared" si="39"/>
        <v>0</v>
      </c>
      <c r="W107" s="240">
        <f t="shared" si="39"/>
        <v>0</v>
      </c>
      <c r="X107" s="240">
        <f t="shared" si="39"/>
        <v>0</v>
      </c>
      <c r="Y107" s="240">
        <f t="shared" si="39"/>
        <v>0</v>
      </c>
      <c r="Z107" s="240">
        <f t="shared" si="39"/>
        <v>-10900850.73652637</v>
      </c>
      <c r="AA107" s="240">
        <f t="shared" si="39"/>
        <v>-10900850.73652637</v>
      </c>
      <c r="AB107"/>
      <c r="AC107"/>
      <c r="AD107"/>
      <c r="AE107"/>
    </row>
    <row r="108" spans="1:31" ht="15" customHeight="1" x14ac:dyDescent="0.2">
      <c r="A108" s="183">
        <v>17</v>
      </c>
      <c r="B108" s="182" t="s">
        <v>185</v>
      </c>
      <c r="C108" s="231" t="s">
        <v>86</v>
      </c>
      <c r="D108" s="240">
        <f t="shared" ref="D108:AA108" si="40">+D71-D34</f>
        <v>0</v>
      </c>
      <c r="E108" s="240">
        <f t="shared" si="40"/>
        <v>0</v>
      </c>
      <c r="F108" s="240">
        <f t="shared" si="40"/>
        <v>104332.50381609797</v>
      </c>
      <c r="G108" s="240">
        <f t="shared" si="40"/>
        <v>0</v>
      </c>
      <c r="H108" s="239">
        <f t="shared" si="17"/>
        <v>0</v>
      </c>
      <c r="I108" s="239">
        <f t="shared" si="18"/>
        <v>0</v>
      </c>
      <c r="J108" s="240">
        <f t="shared" si="40"/>
        <v>0</v>
      </c>
      <c r="K108" s="240">
        <f t="shared" si="40"/>
        <v>0</v>
      </c>
      <c r="L108" s="240">
        <f t="shared" si="40"/>
        <v>0</v>
      </c>
      <c r="M108" s="240">
        <f t="shared" si="40"/>
        <v>0</v>
      </c>
      <c r="N108" s="240">
        <f t="shared" si="40"/>
        <v>0</v>
      </c>
      <c r="O108" s="240">
        <f t="shared" si="40"/>
        <v>0</v>
      </c>
      <c r="P108" s="240">
        <f t="shared" si="40"/>
        <v>0</v>
      </c>
      <c r="Q108" s="240">
        <f t="shared" si="40"/>
        <v>0</v>
      </c>
      <c r="R108" s="240">
        <f t="shared" si="40"/>
        <v>0</v>
      </c>
      <c r="S108" s="240">
        <f t="shared" si="40"/>
        <v>0</v>
      </c>
      <c r="T108" s="240">
        <f t="shared" si="40"/>
        <v>0</v>
      </c>
      <c r="U108" s="240">
        <f t="shared" si="40"/>
        <v>0</v>
      </c>
      <c r="V108" s="240">
        <f t="shared" si="40"/>
        <v>0</v>
      </c>
      <c r="W108" s="240">
        <f t="shared" si="40"/>
        <v>0</v>
      </c>
      <c r="X108" s="240">
        <f t="shared" si="40"/>
        <v>0</v>
      </c>
      <c r="Y108" s="240">
        <f t="shared" si="40"/>
        <v>0</v>
      </c>
      <c r="Z108" s="240">
        <f t="shared" si="40"/>
        <v>104332.50381609797</v>
      </c>
      <c r="AA108" s="240">
        <f t="shared" si="40"/>
        <v>104332.50381609797</v>
      </c>
      <c r="AB108"/>
      <c r="AC108"/>
      <c r="AD108"/>
      <c r="AE108"/>
    </row>
    <row r="109" spans="1:31" ht="15" customHeight="1" x14ac:dyDescent="0.2">
      <c r="A109" s="183">
        <v>18</v>
      </c>
      <c r="B109" s="184" t="s">
        <v>197</v>
      </c>
      <c r="C109" s="231" t="s">
        <v>76</v>
      </c>
      <c r="D109" s="240">
        <f t="shared" ref="D109:AA109" si="41">+D72-D35</f>
        <v>0</v>
      </c>
      <c r="E109" s="240">
        <f t="shared" si="41"/>
        <v>0</v>
      </c>
      <c r="F109" s="240">
        <f t="shared" si="41"/>
        <v>0</v>
      </c>
      <c r="G109" s="240">
        <f t="shared" si="41"/>
        <v>0</v>
      </c>
      <c r="H109" s="239">
        <f t="shared" si="17"/>
        <v>0</v>
      </c>
      <c r="I109" s="239">
        <f t="shared" si="18"/>
        <v>0</v>
      </c>
      <c r="J109" s="240">
        <f t="shared" si="41"/>
        <v>0</v>
      </c>
      <c r="K109" s="240">
        <f t="shared" si="41"/>
        <v>0</v>
      </c>
      <c r="L109" s="240">
        <f t="shared" si="41"/>
        <v>0</v>
      </c>
      <c r="M109" s="240">
        <f t="shared" si="41"/>
        <v>0</v>
      </c>
      <c r="N109" s="240">
        <f t="shared" si="41"/>
        <v>0</v>
      </c>
      <c r="O109" s="240">
        <f t="shared" si="41"/>
        <v>0</v>
      </c>
      <c r="P109" s="240">
        <f t="shared" si="41"/>
        <v>0</v>
      </c>
      <c r="Q109" s="240">
        <f t="shared" si="41"/>
        <v>0</v>
      </c>
      <c r="R109" s="240">
        <f t="shared" si="41"/>
        <v>0</v>
      </c>
      <c r="S109" s="240">
        <f t="shared" si="41"/>
        <v>0</v>
      </c>
      <c r="T109" s="240">
        <f t="shared" si="41"/>
        <v>0</v>
      </c>
      <c r="U109" s="240">
        <f t="shared" si="41"/>
        <v>0</v>
      </c>
      <c r="V109" s="240">
        <f t="shared" si="41"/>
        <v>0</v>
      </c>
      <c r="W109" s="240">
        <f t="shared" si="41"/>
        <v>0</v>
      </c>
      <c r="X109" s="240">
        <f t="shared" si="41"/>
        <v>0</v>
      </c>
      <c r="Y109" s="240">
        <f t="shared" si="41"/>
        <v>0</v>
      </c>
      <c r="Z109" s="240">
        <f t="shared" si="41"/>
        <v>0</v>
      </c>
      <c r="AA109" s="240">
        <f t="shared" si="41"/>
        <v>0</v>
      </c>
      <c r="AB109"/>
      <c r="AC109"/>
      <c r="AD109"/>
      <c r="AE109"/>
    </row>
    <row r="110" spans="1:31" ht="15" customHeight="1" x14ac:dyDescent="0.2">
      <c r="A110" s="183">
        <v>19</v>
      </c>
      <c r="B110" s="182" t="s">
        <v>75</v>
      </c>
      <c r="C110" s="231" t="s">
        <v>76</v>
      </c>
      <c r="D110" s="240">
        <f t="shared" ref="D110:AA110" si="42">+D73-D36</f>
        <v>0</v>
      </c>
      <c r="E110" s="240">
        <f t="shared" si="42"/>
        <v>0</v>
      </c>
      <c r="F110" s="240">
        <f t="shared" si="42"/>
        <v>0</v>
      </c>
      <c r="G110" s="240">
        <f t="shared" si="42"/>
        <v>0</v>
      </c>
      <c r="H110" s="239">
        <f t="shared" si="17"/>
        <v>0</v>
      </c>
      <c r="I110" s="239">
        <f t="shared" si="18"/>
        <v>0</v>
      </c>
      <c r="J110" s="240">
        <f t="shared" si="42"/>
        <v>0</v>
      </c>
      <c r="K110" s="240">
        <f t="shared" si="42"/>
        <v>0</v>
      </c>
      <c r="L110" s="240">
        <f t="shared" si="42"/>
        <v>0</v>
      </c>
      <c r="M110" s="240">
        <f t="shared" si="42"/>
        <v>0</v>
      </c>
      <c r="N110" s="240">
        <f t="shared" si="42"/>
        <v>0</v>
      </c>
      <c r="O110" s="240">
        <f t="shared" si="42"/>
        <v>0</v>
      </c>
      <c r="P110" s="240">
        <f t="shared" si="42"/>
        <v>0</v>
      </c>
      <c r="Q110" s="240">
        <f t="shared" si="42"/>
        <v>0</v>
      </c>
      <c r="R110" s="240">
        <f t="shared" si="42"/>
        <v>0</v>
      </c>
      <c r="S110" s="240">
        <f t="shared" si="42"/>
        <v>0</v>
      </c>
      <c r="T110" s="240">
        <f t="shared" si="42"/>
        <v>0</v>
      </c>
      <c r="U110" s="240">
        <f t="shared" si="42"/>
        <v>0</v>
      </c>
      <c r="V110" s="240">
        <f t="shared" si="42"/>
        <v>0</v>
      </c>
      <c r="W110" s="240">
        <f t="shared" si="42"/>
        <v>0</v>
      </c>
      <c r="X110" s="240">
        <f t="shared" si="42"/>
        <v>0</v>
      </c>
      <c r="Y110" s="240">
        <f t="shared" si="42"/>
        <v>0</v>
      </c>
      <c r="Z110" s="240">
        <f t="shared" si="42"/>
        <v>0</v>
      </c>
      <c r="AA110" s="240">
        <f t="shared" si="42"/>
        <v>0</v>
      </c>
      <c r="AB110"/>
      <c r="AC110"/>
      <c r="AD110"/>
      <c r="AE110"/>
    </row>
    <row r="111" spans="1:31" ht="15" customHeight="1" x14ac:dyDescent="0.2">
      <c r="A111" s="183">
        <v>20</v>
      </c>
      <c r="B111" s="182" t="s">
        <v>34</v>
      </c>
      <c r="C111" s="231" t="s">
        <v>86</v>
      </c>
      <c r="D111" s="240">
        <f t="shared" ref="D111:AA111" si="43">+D74-D37</f>
        <v>0</v>
      </c>
      <c r="E111" s="240">
        <f t="shared" si="43"/>
        <v>0</v>
      </c>
      <c r="F111" s="240">
        <f t="shared" si="43"/>
        <v>5665713.4882418513</v>
      </c>
      <c r="G111" s="240">
        <f t="shared" si="43"/>
        <v>0</v>
      </c>
      <c r="H111" s="239">
        <f t="shared" si="17"/>
        <v>0</v>
      </c>
      <c r="I111" s="239">
        <f t="shared" si="18"/>
        <v>0</v>
      </c>
      <c r="J111" s="240">
        <f t="shared" si="43"/>
        <v>0</v>
      </c>
      <c r="K111" s="240">
        <f t="shared" si="43"/>
        <v>0</v>
      </c>
      <c r="L111" s="240">
        <f t="shared" si="43"/>
        <v>0</v>
      </c>
      <c r="M111" s="240">
        <f t="shared" si="43"/>
        <v>0</v>
      </c>
      <c r="N111" s="240">
        <f t="shared" si="43"/>
        <v>0</v>
      </c>
      <c r="O111" s="240">
        <f t="shared" si="43"/>
        <v>0</v>
      </c>
      <c r="P111" s="240">
        <f t="shared" si="43"/>
        <v>0</v>
      </c>
      <c r="Q111" s="240">
        <f t="shared" si="43"/>
        <v>0</v>
      </c>
      <c r="R111" s="240">
        <f t="shared" si="43"/>
        <v>0</v>
      </c>
      <c r="S111" s="240">
        <f t="shared" si="43"/>
        <v>0</v>
      </c>
      <c r="T111" s="240">
        <f t="shared" si="43"/>
        <v>0</v>
      </c>
      <c r="U111" s="240">
        <f t="shared" si="43"/>
        <v>0</v>
      </c>
      <c r="V111" s="240">
        <f t="shared" si="43"/>
        <v>0</v>
      </c>
      <c r="W111" s="240">
        <f t="shared" si="43"/>
        <v>0</v>
      </c>
      <c r="X111" s="240">
        <f t="shared" si="43"/>
        <v>0</v>
      </c>
      <c r="Y111" s="240">
        <f t="shared" si="43"/>
        <v>0</v>
      </c>
      <c r="Z111" s="240">
        <f t="shared" si="43"/>
        <v>5665713.4882418513</v>
      </c>
      <c r="AA111" s="240">
        <f t="shared" si="43"/>
        <v>5665713.4882418513</v>
      </c>
      <c r="AB111"/>
      <c r="AC111"/>
      <c r="AD111"/>
      <c r="AE111"/>
    </row>
    <row r="112" spans="1:31" ht="15" customHeight="1" x14ac:dyDescent="0.2">
      <c r="A112" s="183">
        <v>21</v>
      </c>
      <c r="B112" s="182" t="s">
        <v>100</v>
      </c>
      <c r="C112" s="231" t="s">
        <v>86</v>
      </c>
      <c r="D112" s="240">
        <f t="shared" ref="D112:AA112" si="44">+D75-D38</f>
        <v>0</v>
      </c>
      <c r="E112" s="240">
        <f t="shared" si="44"/>
        <v>0</v>
      </c>
      <c r="F112" s="240">
        <f t="shared" si="44"/>
        <v>8677814.856784828</v>
      </c>
      <c r="G112" s="240">
        <f t="shared" si="44"/>
        <v>0</v>
      </c>
      <c r="H112" s="239">
        <f t="shared" si="17"/>
        <v>0</v>
      </c>
      <c r="I112" s="239">
        <f t="shared" si="18"/>
        <v>0</v>
      </c>
      <c r="J112" s="240">
        <f t="shared" si="44"/>
        <v>0</v>
      </c>
      <c r="K112" s="240">
        <f t="shared" si="44"/>
        <v>0</v>
      </c>
      <c r="L112" s="240">
        <f t="shared" si="44"/>
        <v>0</v>
      </c>
      <c r="M112" s="240">
        <f t="shared" si="44"/>
        <v>0</v>
      </c>
      <c r="N112" s="240">
        <f t="shared" si="44"/>
        <v>0</v>
      </c>
      <c r="O112" s="240">
        <f t="shared" si="44"/>
        <v>0</v>
      </c>
      <c r="P112" s="240">
        <f t="shared" si="44"/>
        <v>0</v>
      </c>
      <c r="Q112" s="240">
        <f t="shared" si="44"/>
        <v>0</v>
      </c>
      <c r="R112" s="240">
        <f t="shared" si="44"/>
        <v>0</v>
      </c>
      <c r="S112" s="240">
        <f t="shared" si="44"/>
        <v>0</v>
      </c>
      <c r="T112" s="240">
        <f t="shared" si="44"/>
        <v>0</v>
      </c>
      <c r="U112" s="240">
        <f t="shared" si="44"/>
        <v>0</v>
      </c>
      <c r="V112" s="240">
        <f t="shared" si="44"/>
        <v>0</v>
      </c>
      <c r="W112" s="240">
        <f t="shared" si="44"/>
        <v>0</v>
      </c>
      <c r="X112" s="240">
        <f t="shared" si="44"/>
        <v>0</v>
      </c>
      <c r="Y112" s="240">
        <f t="shared" si="44"/>
        <v>0</v>
      </c>
      <c r="Z112" s="240">
        <f t="shared" si="44"/>
        <v>8677814.856784828</v>
      </c>
      <c r="AA112" s="240">
        <f t="shared" si="44"/>
        <v>8677814.856784828</v>
      </c>
      <c r="AB112"/>
      <c r="AC112"/>
      <c r="AD112"/>
      <c r="AE112"/>
    </row>
    <row r="113" spans="1:33" ht="15" customHeight="1" x14ac:dyDescent="0.2">
      <c r="A113" s="183">
        <v>22</v>
      </c>
      <c r="B113" s="182" t="s">
        <v>0</v>
      </c>
      <c r="C113" s="231" t="s">
        <v>76</v>
      </c>
      <c r="D113" s="240">
        <f t="shared" ref="D113:AA113" si="45">+D76-D39</f>
        <v>0</v>
      </c>
      <c r="E113" s="240">
        <f t="shared" si="45"/>
        <v>0</v>
      </c>
      <c r="F113" s="240">
        <f t="shared" si="45"/>
        <v>0</v>
      </c>
      <c r="G113" s="240">
        <f t="shared" si="45"/>
        <v>0</v>
      </c>
      <c r="H113" s="239">
        <f t="shared" si="17"/>
        <v>0</v>
      </c>
      <c r="I113" s="239">
        <f t="shared" si="18"/>
        <v>0</v>
      </c>
      <c r="J113" s="240">
        <f t="shared" si="45"/>
        <v>0</v>
      </c>
      <c r="K113" s="240">
        <f t="shared" si="45"/>
        <v>0</v>
      </c>
      <c r="L113" s="240">
        <f t="shared" si="45"/>
        <v>0</v>
      </c>
      <c r="M113" s="240">
        <f t="shared" si="45"/>
        <v>0</v>
      </c>
      <c r="N113" s="240">
        <f t="shared" si="45"/>
        <v>0</v>
      </c>
      <c r="O113" s="240">
        <f t="shared" si="45"/>
        <v>0</v>
      </c>
      <c r="P113" s="240">
        <f t="shared" si="45"/>
        <v>0</v>
      </c>
      <c r="Q113" s="240">
        <f t="shared" si="45"/>
        <v>0</v>
      </c>
      <c r="R113" s="240">
        <f t="shared" si="45"/>
        <v>0</v>
      </c>
      <c r="S113" s="240">
        <f t="shared" si="45"/>
        <v>0</v>
      </c>
      <c r="T113" s="240">
        <f t="shared" si="45"/>
        <v>0</v>
      </c>
      <c r="U113" s="240">
        <f t="shared" si="45"/>
        <v>0</v>
      </c>
      <c r="V113" s="240">
        <f t="shared" si="45"/>
        <v>0</v>
      </c>
      <c r="W113" s="240">
        <f t="shared" si="45"/>
        <v>0</v>
      </c>
      <c r="X113" s="240">
        <f t="shared" si="45"/>
        <v>0</v>
      </c>
      <c r="Y113" s="240">
        <f t="shared" si="45"/>
        <v>0</v>
      </c>
      <c r="Z113" s="240">
        <f t="shared" si="45"/>
        <v>0</v>
      </c>
      <c r="AA113" s="240">
        <f t="shared" si="45"/>
        <v>0</v>
      </c>
      <c r="AB113"/>
      <c r="AC113"/>
      <c r="AD113"/>
      <c r="AE113"/>
    </row>
    <row r="114" spans="1:33" ht="15" customHeight="1" x14ac:dyDescent="0.2">
      <c r="A114" s="183">
        <v>23</v>
      </c>
      <c r="B114" s="182" t="s">
        <v>33</v>
      </c>
      <c r="C114" s="231" t="s">
        <v>76</v>
      </c>
      <c r="D114" s="240">
        <f t="shared" ref="D114:AA114" si="46">+D77-D40</f>
        <v>0</v>
      </c>
      <c r="E114" s="240">
        <f t="shared" si="46"/>
        <v>0</v>
      </c>
      <c r="F114" s="240">
        <f t="shared" si="46"/>
        <v>0</v>
      </c>
      <c r="G114" s="240">
        <f t="shared" si="46"/>
        <v>0</v>
      </c>
      <c r="H114" s="238">
        <f t="shared" si="17"/>
        <v>0</v>
      </c>
      <c r="I114" s="238">
        <f t="shared" si="18"/>
        <v>0</v>
      </c>
      <c r="J114" s="240">
        <f t="shared" si="46"/>
        <v>0</v>
      </c>
      <c r="K114" s="240">
        <f t="shared" si="46"/>
        <v>0</v>
      </c>
      <c r="L114" s="247">
        <f t="shared" si="46"/>
        <v>0</v>
      </c>
      <c r="M114" s="240">
        <f t="shared" si="46"/>
        <v>0</v>
      </c>
      <c r="N114" s="240">
        <f t="shared" si="46"/>
        <v>0</v>
      </c>
      <c r="O114" s="240">
        <f t="shared" si="46"/>
        <v>0</v>
      </c>
      <c r="P114" s="240">
        <f t="shared" si="46"/>
        <v>0</v>
      </c>
      <c r="Q114" s="240">
        <f t="shared" si="46"/>
        <v>0</v>
      </c>
      <c r="R114" s="240">
        <f t="shared" si="46"/>
        <v>0</v>
      </c>
      <c r="S114" s="240">
        <f t="shared" si="46"/>
        <v>0</v>
      </c>
      <c r="T114" s="240">
        <f t="shared" si="46"/>
        <v>0</v>
      </c>
      <c r="U114" s="240">
        <f t="shared" si="46"/>
        <v>0</v>
      </c>
      <c r="V114" s="240">
        <f t="shared" si="46"/>
        <v>0</v>
      </c>
      <c r="W114" s="240">
        <f t="shared" si="46"/>
        <v>0</v>
      </c>
      <c r="X114" s="240">
        <f t="shared" si="46"/>
        <v>0</v>
      </c>
      <c r="Y114" s="240">
        <f t="shared" si="46"/>
        <v>0</v>
      </c>
      <c r="Z114" s="240">
        <f t="shared" si="46"/>
        <v>0</v>
      </c>
      <c r="AA114" s="240">
        <f t="shared" si="46"/>
        <v>0</v>
      </c>
      <c r="AB114"/>
      <c r="AC114"/>
      <c r="AD114"/>
      <c r="AE114"/>
    </row>
    <row r="115" spans="1:33" ht="15" customHeight="1" x14ac:dyDescent="0.2">
      <c r="A115" s="183">
        <v>24</v>
      </c>
      <c r="B115" s="182" t="s">
        <v>2</v>
      </c>
      <c r="C115" s="231" t="s">
        <v>76</v>
      </c>
      <c r="D115" s="240">
        <f t="shared" ref="D115:AA115" si="47">+D78-D41</f>
        <v>0</v>
      </c>
      <c r="E115" s="240">
        <f t="shared" si="47"/>
        <v>0</v>
      </c>
      <c r="F115" s="240">
        <f t="shared" si="47"/>
        <v>0</v>
      </c>
      <c r="G115" s="240">
        <f t="shared" si="47"/>
        <v>0</v>
      </c>
      <c r="H115" s="239">
        <f t="shared" si="17"/>
        <v>0</v>
      </c>
      <c r="I115" s="239">
        <f t="shared" si="18"/>
        <v>0</v>
      </c>
      <c r="J115" s="240">
        <f t="shared" si="47"/>
        <v>0</v>
      </c>
      <c r="K115" s="240">
        <f t="shared" si="47"/>
        <v>0</v>
      </c>
      <c r="L115" s="240">
        <f t="shared" si="47"/>
        <v>0</v>
      </c>
      <c r="M115" s="240">
        <f t="shared" si="47"/>
        <v>0</v>
      </c>
      <c r="N115" s="240">
        <f t="shared" si="47"/>
        <v>0</v>
      </c>
      <c r="O115" s="240">
        <f t="shared" si="47"/>
        <v>0</v>
      </c>
      <c r="P115" s="240">
        <f t="shared" si="47"/>
        <v>0</v>
      </c>
      <c r="Q115" s="240">
        <f t="shared" si="47"/>
        <v>0</v>
      </c>
      <c r="R115" s="240">
        <f t="shared" si="47"/>
        <v>0</v>
      </c>
      <c r="S115" s="240">
        <f t="shared" si="47"/>
        <v>0</v>
      </c>
      <c r="T115" s="240">
        <f t="shared" si="47"/>
        <v>0</v>
      </c>
      <c r="U115" s="240">
        <f t="shared" si="47"/>
        <v>0</v>
      </c>
      <c r="V115" s="240">
        <f t="shared" si="47"/>
        <v>0</v>
      </c>
      <c r="W115" s="240">
        <f t="shared" si="47"/>
        <v>0</v>
      </c>
      <c r="X115" s="240">
        <f t="shared" si="47"/>
        <v>0</v>
      </c>
      <c r="Y115" s="240">
        <f t="shared" si="47"/>
        <v>0</v>
      </c>
      <c r="Z115" s="240">
        <f t="shared" si="47"/>
        <v>0</v>
      </c>
      <c r="AA115" s="240">
        <f t="shared" si="47"/>
        <v>0</v>
      </c>
      <c r="AB115"/>
      <c r="AC115"/>
      <c r="AD115"/>
      <c r="AE115"/>
    </row>
    <row r="116" spans="1:33" ht="15" customHeight="1" x14ac:dyDescent="0.2">
      <c r="A116" s="183">
        <v>25</v>
      </c>
      <c r="B116" s="182" t="s">
        <v>186</v>
      </c>
      <c r="C116" s="231" t="s">
        <v>76</v>
      </c>
      <c r="D116" s="240">
        <f t="shared" ref="D116:AA116" si="48">+D79-D42</f>
        <v>0</v>
      </c>
      <c r="E116" s="240">
        <f t="shared" si="48"/>
        <v>0</v>
      </c>
      <c r="F116" s="240">
        <f t="shared" si="48"/>
        <v>0</v>
      </c>
      <c r="G116" s="240">
        <f t="shared" si="48"/>
        <v>0</v>
      </c>
      <c r="H116" s="239">
        <f t="shared" si="17"/>
        <v>0</v>
      </c>
      <c r="I116" s="239">
        <f t="shared" si="18"/>
        <v>0</v>
      </c>
      <c r="J116" s="240">
        <f t="shared" si="48"/>
        <v>0</v>
      </c>
      <c r="K116" s="240">
        <f t="shared" si="48"/>
        <v>0</v>
      </c>
      <c r="L116" s="238">
        <f t="shared" si="48"/>
        <v>0</v>
      </c>
      <c r="M116" s="240">
        <f t="shared" si="48"/>
        <v>0</v>
      </c>
      <c r="N116" s="240">
        <f t="shared" si="48"/>
        <v>0</v>
      </c>
      <c r="O116" s="240">
        <f t="shared" si="48"/>
        <v>0</v>
      </c>
      <c r="P116" s="240">
        <f t="shared" si="48"/>
        <v>0</v>
      </c>
      <c r="Q116" s="240">
        <f t="shared" si="48"/>
        <v>0</v>
      </c>
      <c r="R116" s="240">
        <f t="shared" si="48"/>
        <v>0</v>
      </c>
      <c r="S116" s="240">
        <f t="shared" si="48"/>
        <v>0</v>
      </c>
      <c r="T116" s="240">
        <f t="shared" si="48"/>
        <v>0</v>
      </c>
      <c r="U116" s="240">
        <f t="shared" si="48"/>
        <v>0</v>
      </c>
      <c r="V116" s="240">
        <f t="shared" si="48"/>
        <v>0</v>
      </c>
      <c r="W116" s="240">
        <f t="shared" si="48"/>
        <v>0</v>
      </c>
      <c r="X116" s="240">
        <f t="shared" si="48"/>
        <v>0</v>
      </c>
      <c r="Y116" s="240">
        <f t="shared" si="48"/>
        <v>0</v>
      </c>
      <c r="Z116" s="240">
        <f t="shared" si="48"/>
        <v>0</v>
      </c>
      <c r="AA116" s="240">
        <f t="shared" si="48"/>
        <v>0</v>
      </c>
      <c r="AB116"/>
      <c r="AC116"/>
      <c r="AD116"/>
      <c r="AE116"/>
    </row>
    <row r="117" spans="1:33" ht="15" customHeight="1" x14ac:dyDescent="0.2">
      <c r="A117" s="183">
        <v>26</v>
      </c>
      <c r="B117" s="182" t="s">
        <v>424</v>
      </c>
      <c r="C117" s="231" t="s">
        <v>76</v>
      </c>
      <c r="D117" s="240">
        <f t="shared" ref="D117:AA117" si="49">+D80-D43</f>
        <v>0</v>
      </c>
      <c r="E117" s="241">
        <f t="shared" si="49"/>
        <v>0</v>
      </c>
      <c r="F117" s="240">
        <f t="shared" si="49"/>
        <v>0</v>
      </c>
      <c r="G117" s="240">
        <f t="shared" si="49"/>
        <v>0</v>
      </c>
      <c r="H117" s="239">
        <f t="shared" si="17"/>
        <v>0</v>
      </c>
      <c r="I117" s="239">
        <f t="shared" si="18"/>
        <v>0</v>
      </c>
      <c r="J117" s="240">
        <f t="shared" si="49"/>
        <v>0</v>
      </c>
      <c r="K117" s="240">
        <f t="shared" si="49"/>
        <v>0</v>
      </c>
      <c r="L117" s="240">
        <f t="shared" si="49"/>
        <v>0</v>
      </c>
      <c r="M117" s="240">
        <f t="shared" si="49"/>
        <v>0</v>
      </c>
      <c r="N117" s="240">
        <f t="shared" si="49"/>
        <v>0</v>
      </c>
      <c r="O117" s="240">
        <f t="shared" si="49"/>
        <v>0</v>
      </c>
      <c r="P117" s="240">
        <f t="shared" si="49"/>
        <v>0</v>
      </c>
      <c r="Q117" s="240">
        <f t="shared" si="49"/>
        <v>0</v>
      </c>
      <c r="R117" s="240">
        <f t="shared" si="49"/>
        <v>0</v>
      </c>
      <c r="S117" s="240">
        <f t="shared" si="49"/>
        <v>0</v>
      </c>
      <c r="T117" s="240">
        <f t="shared" si="49"/>
        <v>0</v>
      </c>
      <c r="U117" s="240">
        <f t="shared" si="49"/>
        <v>0</v>
      </c>
      <c r="V117" s="240">
        <f t="shared" si="49"/>
        <v>0</v>
      </c>
      <c r="W117" s="241">
        <f t="shared" si="49"/>
        <v>0</v>
      </c>
      <c r="X117" s="240">
        <f t="shared" si="49"/>
        <v>0</v>
      </c>
      <c r="Y117" s="240">
        <f t="shared" si="49"/>
        <v>0</v>
      </c>
      <c r="Z117" s="240">
        <f t="shared" si="49"/>
        <v>0</v>
      </c>
      <c r="AA117" s="240">
        <f t="shared" si="49"/>
        <v>0</v>
      </c>
      <c r="AB117"/>
      <c r="AC117"/>
      <c r="AD117"/>
      <c r="AE117"/>
    </row>
    <row r="118" spans="1:33" s="219" customFormat="1" ht="15" customHeight="1" x14ac:dyDescent="0.2">
      <c r="A118" s="248">
        <v>27</v>
      </c>
      <c r="B118" s="249" t="s">
        <v>12</v>
      </c>
      <c r="C118" s="250"/>
      <c r="D118" s="251">
        <f t="shared" ref="D118:AA118" si="50">+D81-D44</f>
        <v>0</v>
      </c>
      <c r="E118" s="252">
        <f t="shared" si="50"/>
        <v>0</v>
      </c>
      <c r="F118" s="252">
        <f t="shared" si="50"/>
        <v>-5251038.0652562603</v>
      </c>
      <c r="G118" s="252">
        <f t="shared" si="50"/>
        <v>-10959.136417575413</v>
      </c>
      <c r="H118" s="252">
        <f t="shared" ref="H118" si="51">+H81-H44</f>
        <v>0</v>
      </c>
      <c r="I118" s="252">
        <f t="shared" si="18"/>
        <v>0</v>
      </c>
      <c r="J118" s="252">
        <f t="shared" si="50"/>
        <v>0</v>
      </c>
      <c r="K118" s="252">
        <f t="shared" si="50"/>
        <v>0</v>
      </c>
      <c r="L118" s="252">
        <f t="shared" si="50"/>
        <v>0</v>
      </c>
      <c r="M118" s="252">
        <f t="shared" si="50"/>
        <v>0</v>
      </c>
      <c r="N118" s="252">
        <f t="shared" si="50"/>
        <v>0</v>
      </c>
      <c r="O118" s="252">
        <f t="shared" si="50"/>
        <v>0</v>
      </c>
      <c r="P118" s="252">
        <f t="shared" si="50"/>
        <v>0</v>
      </c>
      <c r="Q118" s="252">
        <f t="shared" si="50"/>
        <v>0</v>
      </c>
      <c r="R118" s="252">
        <f t="shared" si="50"/>
        <v>0</v>
      </c>
      <c r="S118" s="252">
        <f t="shared" si="50"/>
        <v>0</v>
      </c>
      <c r="T118" s="252">
        <f t="shared" si="50"/>
        <v>0</v>
      </c>
      <c r="U118" s="252">
        <f t="shared" si="50"/>
        <v>0</v>
      </c>
      <c r="V118" s="252">
        <f t="shared" si="50"/>
        <v>0</v>
      </c>
      <c r="W118" s="252">
        <f t="shared" si="50"/>
        <v>0</v>
      </c>
      <c r="X118" s="252">
        <f t="shared" si="50"/>
        <v>0</v>
      </c>
      <c r="Y118" s="252">
        <f t="shared" si="50"/>
        <v>0</v>
      </c>
      <c r="Z118" s="252">
        <f t="shared" si="50"/>
        <v>-5261997.2016738616</v>
      </c>
      <c r="AA118" s="252">
        <f t="shared" si="50"/>
        <v>-5261997.2016735077</v>
      </c>
      <c r="AB118"/>
      <c r="AC118"/>
      <c r="AD118" s="218"/>
      <c r="AE118" s="218"/>
    </row>
    <row r="119" spans="1:33" ht="15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</row>
    <row r="120" spans="1:33" ht="15" customHeight="1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</row>
    <row r="121" spans="1:33" ht="15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ht="15" customHeight="1" x14ac:dyDescent="0.2"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ht="15" customHeight="1" x14ac:dyDescent="0.2"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ht="15" customHeight="1" x14ac:dyDescent="0.2"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ht="15" customHeight="1" x14ac:dyDescent="0.2"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1:33" ht="15" customHeight="1" x14ac:dyDescent="0.2"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ht="15" customHeight="1" x14ac:dyDescent="0.2"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ht="15" customHeight="1" x14ac:dyDescent="0.2"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4:33" ht="15" customHeight="1" x14ac:dyDescent="0.2"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4:33" ht="15" customHeight="1" x14ac:dyDescent="0.2"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4:33" ht="15" customHeight="1" x14ac:dyDescent="0.2"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4:33" ht="15" customHeight="1" x14ac:dyDescent="0.2"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4:33" ht="15" customHeight="1" x14ac:dyDescent="0.2"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4:33" ht="15" customHeight="1" x14ac:dyDescent="0.2"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4:33" ht="15" customHeight="1" x14ac:dyDescent="0.2"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4:33" ht="15" customHeight="1" x14ac:dyDescent="0.2"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4:33" ht="15" customHeight="1" x14ac:dyDescent="0.2"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4:33" ht="15" customHeight="1" x14ac:dyDescent="0.2"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4:33" ht="15" customHeight="1" x14ac:dyDescent="0.2"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4:33" ht="15" customHeight="1" x14ac:dyDescent="0.2"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4:33" ht="15" customHeight="1" x14ac:dyDescent="0.2"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4:33" ht="15" customHeight="1" x14ac:dyDescent="0.2"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4:33" ht="15" customHeight="1" x14ac:dyDescent="0.2"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4:33" ht="15" customHeight="1" x14ac:dyDescent="0.2"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4:33" ht="15" customHeight="1" x14ac:dyDescent="0.2"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4:33" ht="15" customHeight="1" x14ac:dyDescent="0.2"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</row>
    <row r="147" spans="4:33" ht="15" customHeight="1" x14ac:dyDescent="0.2"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4:33" ht="15" customHeight="1" x14ac:dyDescent="0.2"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4:33" ht="15" customHeight="1" x14ac:dyDescent="0.2"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4:33" ht="15" customHeight="1" x14ac:dyDescent="0.2"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4:33" ht="15" customHeight="1" x14ac:dyDescent="0.2"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4:33" ht="15" customHeight="1" x14ac:dyDescent="0.2"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</row>
    <row r="153" spans="4:33" ht="15" customHeight="1" x14ac:dyDescent="0.2"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4:33" ht="15" customHeight="1" x14ac:dyDescent="0.2"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</row>
    <row r="155" spans="4:33" ht="15" customHeight="1" x14ac:dyDescent="0.2"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</row>
    <row r="156" spans="4:33" ht="15" customHeight="1" x14ac:dyDescent="0.2"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</row>
    <row r="157" spans="4:33" ht="15" customHeight="1" x14ac:dyDescent="0.2"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4:33" ht="15" customHeight="1" x14ac:dyDescent="0.2"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</row>
    <row r="159" spans="4:33" ht="15" customHeight="1" x14ac:dyDescent="0.2">
      <c r="AB159"/>
      <c r="AC159"/>
    </row>
    <row r="160" spans="4:33" ht="15" customHeight="1" x14ac:dyDescent="0.2">
      <c r="AB160"/>
      <c r="AC160"/>
    </row>
    <row r="161" spans="28:29" ht="15" customHeight="1" x14ac:dyDescent="0.2">
      <c r="AB161"/>
      <c r="AC161"/>
    </row>
    <row r="162" spans="28:29" ht="15" customHeight="1" x14ac:dyDescent="0.2">
      <c r="AB162"/>
      <c r="AC162"/>
    </row>
    <row r="163" spans="28:29" ht="15" customHeight="1" x14ac:dyDescent="0.2">
      <c r="AB163"/>
      <c r="AC163"/>
    </row>
    <row r="164" spans="28:29" ht="15" customHeight="1" x14ac:dyDescent="0.2">
      <c r="AB164"/>
      <c r="AC164"/>
    </row>
    <row r="165" spans="28:29" ht="15" customHeight="1" x14ac:dyDescent="0.2">
      <c r="AB165"/>
      <c r="AC165"/>
    </row>
    <row r="166" spans="28:29" ht="15" customHeight="1" x14ac:dyDescent="0.2">
      <c r="AB166"/>
      <c r="AC166"/>
    </row>
    <row r="167" spans="28:29" ht="15" customHeight="1" x14ac:dyDescent="0.2">
      <c r="AB167"/>
      <c r="AC167"/>
    </row>
    <row r="168" spans="28:29" ht="15" customHeight="1" x14ac:dyDescent="0.2">
      <c r="AB168"/>
      <c r="AC168"/>
    </row>
    <row r="169" spans="28:29" ht="15" customHeight="1" x14ac:dyDescent="0.2">
      <c r="AB169"/>
      <c r="AC169"/>
    </row>
    <row r="170" spans="28:29" ht="15" customHeight="1" x14ac:dyDescent="0.2">
      <c r="AB170"/>
      <c r="AC170"/>
    </row>
    <row r="171" spans="28:29" ht="15" customHeight="1" x14ac:dyDescent="0.2">
      <c r="AB171"/>
      <c r="AC171"/>
    </row>
    <row r="172" spans="28:29" ht="15" customHeight="1" x14ac:dyDescent="0.2">
      <c r="AB172"/>
      <c r="AC172"/>
    </row>
    <row r="173" spans="28:29" ht="15" customHeight="1" x14ac:dyDescent="0.2">
      <c r="AB173"/>
      <c r="AC173"/>
    </row>
    <row r="174" spans="28:29" ht="15" customHeight="1" x14ac:dyDescent="0.2">
      <c r="AB174"/>
      <c r="AC174"/>
    </row>
    <row r="175" spans="28:29" ht="15" customHeight="1" x14ac:dyDescent="0.2">
      <c r="AB175"/>
      <c r="AC175"/>
    </row>
    <row r="176" spans="28:29" ht="15" customHeight="1" x14ac:dyDescent="0.2">
      <c r="AB176"/>
      <c r="AC176"/>
    </row>
    <row r="177" spans="28:29" ht="15" customHeight="1" x14ac:dyDescent="0.2">
      <c r="AB177"/>
      <c r="AC177"/>
    </row>
    <row r="178" spans="28:29" ht="15" customHeight="1" x14ac:dyDescent="0.2">
      <c r="AB178"/>
      <c r="AC178"/>
    </row>
    <row r="179" spans="28:29" ht="15" customHeight="1" x14ac:dyDescent="0.2">
      <c r="AB179"/>
      <c r="AC179"/>
    </row>
    <row r="180" spans="28:29" ht="15" customHeight="1" x14ac:dyDescent="0.2">
      <c r="AB180"/>
      <c r="AC180"/>
    </row>
    <row r="181" spans="28:29" ht="15" customHeight="1" x14ac:dyDescent="0.2">
      <c r="AB181"/>
      <c r="AC181"/>
    </row>
    <row r="182" spans="28:29" ht="15" customHeight="1" x14ac:dyDescent="0.2">
      <c r="AB182"/>
      <c r="AC182"/>
    </row>
    <row r="183" spans="28:29" ht="15" customHeight="1" x14ac:dyDescent="0.2">
      <c r="AB183"/>
      <c r="AC183"/>
    </row>
    <row r="184" spans="28:29" ht="15" customHeight="1" x14ac:dyDescent="0.2">
      <c r="AB184"/>
      <c r="AC184"/>
    </row>
    <row r="185" spans="28:29" ht="15" customHeight="1" x14ac:dyDescent="0.2">
      <c r="AB185"/>
      <c r="AC185"/>
    </row>
    <row r="186" spans="28:29" ht="15" customHeight="1" x14ac:dyDescent="0.2">
      <c r="AB186"/>
      <c r="AC186"/>
    </row>
    <row r="237" spans="1:34" s="16" customFormat="1" ht="15" customHeight="1" x14ac:dyDescent="0.2">
      <c r="A237" s="13"/>
      <c r="B237" s="13"/>
      <c r="C237" s="13"/>
      <c r="D237" s="13"/>
      <c r="E237" s="13"/>
      <c r="F237" s="13"/>
      <c r="G237" s="13"/>
      <c r="H237" s="68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</row>
    <row r="264" spans="6:10" ht="15" customHeight="1" outlineLevel="1" x14ac:dyDescent="0.2">
      <c r="F264" s="16"/>
      <c r="G264" s="16"/>
      <c r="J264" s="16"/>
    </row>
    <row r="265" spans="6:10" ht="15" customHeight="1" outlineLevel="1" x14ac:dyDescent="0.2">
      <c r="F265" s="33"/>
      <c r="G265" s="33"/>
      <c r="J265" s="16"/>
    </row>
    <row r="266" spans="6:10" ht="15" customHeight="1" outlineLevel="1" x14ac:dyDescent="0.2">
      <c r="F266" s="34"/>
      <c r="G266" s="34"/>
      <c r="J266" s="16"/>
    </row>
    <row r="267" spans="6:10" ht="15" customHeight="1" outlineLevel="1" x14ac:dyDescent="0.2">
      <c r="F267" s="34"/>
      <c r="G267" s="34"/>
      <c r="J267" s="16"/>
    </row>
    <row r="268" spans="6:10" ht="15" customHeight="1" outlineLevel="1" x14ac:dyDescent="0.2">
      <c r="F268" s="33"/>
      <c r="G268" s="33"/>
      <c r="J268" s="16"/>
    </row>
    <row r="269" spans="6:10" ht="15" customHeight="1" outlineLevel="1" x14ac:dyDescent="0.2">
      <c r="F269" s="33"/>
      <c r="G269" s="33"/>
      <c r="J269" s="16"/>
    </row>
    <row r="270" spans="6:10" ht="15" customHeight="1" outlineLevel="1" x14ac:dyDescent="0.2">
      <c r="F270" s="33"/>
      <c r="G270" s="33"/>
      <c r="J270" s="16"/>
    </row>
    <row r="271" spans="6:10" ht="15" customHeight="1" outlineLevel="1" x14ac:dyDescent="0.2">
      <c r="F271" s="33"/>
      <c r="G271" s="33"/>
      <c r="J271" s="16"/>
    </row>
    <row r="272" spans="6:10" ht="15" customHeight="1" outlineLevel="1" x14ac:dyDescent="0.2">
      <c r="F272" s="33"/>
      <c r="G272" s="33"/>
      <c r="J272" s="16"/>
    </row>
    <row r="273" spans="6:10" ht="15" customHeight="1" outlineLevel="1" x14ac:dyDescent="0.2">
      <c r="F273" s="33"/>
      <c r="G273" s="33"/>
      <c r="J273" s="16"/>
    </row>
    <row r="274" spans="6:10" ht="15" customHeight="1" outlineLevel="1" x14ac:dyDescent="0.2">
      <c r="F274" s="34"/>
      <c r="G274" s="34"/>
      <c r="J274" s="16"/>
    </row>
    <row r="275" spans="6:10" ht="15" customHeight="1" outlineLevel="1" x14ac:dyDescent="0.2"/>
    <row r="276" spans="6:10" ht="15" customHeight="1" outlineLevel="1" x14ac:dyDescent="0.2"/>
    <row r="277" spans="6:10" ht="15" customHeight="1" outlineLevel="1" x14ac:dyDescent="0.2"/>
  </sheetData>
  <customSheetViews>
    <customSheetView guid="{AD88DA1E-4535-4A0F-86F8-39D7812ED88C}" scale="85" showRuler="0" topLeftCell="L10">
      <selection activeCell="N43" sqref="N43"/>
      <pageMargins left="0.25" right="0.25" top="0.93" bottom="0.25" header="0.5" footer="0.25"/>
      <printOptions horizontalCentered="1"/>
      <pageSetup scale="95" firstPageNumber="2" fitToWidth="2" orientation="landscape" r:id="rId1"/>
      <headerFooter alignWithMargins="0">
        <oddHeader>&amp;C&amp;"Times New Roman,Bold"PUGET SOUND ENERGY
POWER COST ONLY RATE CASE&amp;R&amp;"Arial,Bold"Docket Number UE-031725
Exhibit No.____ (JHS-11)
Page &amp;P of 15</oddHeader>
        <oddFooter>&amp;R&amp;D  &amp;T</oddFooter>
      </headerFooter>
    </customSheetView>
  </customSheetViews>
  <mergeCells count="1">
    <mergeCell ref="D5:D7"/>
  </mergeCells>
  <phoneticPr fontId="7" type="noConversion"/>
  <conditionalFormatting sqref="B4:C4 C5:C6">
    <cfRule type="notContainsBlanks" dxfId="68" priority="22">
      <formula>LEN(TRIM(B4))&gt;0</formula>
    </cfRule>
  </conditionalFormatting>
  <conditionalFormatting sqref="AD17 H54:Y54 H91:Y91">
    <cfRule type="cellIs" dxfId="67" priority="19" operator="notEqual">
      <formula>0</formula>
    </cfRule>
  </conditionalFormatting>
  <conditionalFormatting sqref="F54:G54">
    <cfRule type="cellIs" dxfId="66" priority="4" operator="notEqual">
      <formula>0</formula>
    </cfRule>
  </conditionalFormatting>
  <conditionalFormatting sqref="F91:G91">
    <cfRule type="cellIs" dxfId="65" priority="3" operator="notEqual">
      <formula>0</formula>
    </cfRule>
  </conditionalFormatting>
  <conditionalFormatting sqref="F17:Y17">
    <cfRule type="cellIs" dxfId="64" priority="1" operator="notEqual">
      <formula>0</formula>
    </cfRule>
  </conditionalFormatting>
  <pageMargins left="0.25" right="0.25" top="1.27" bottom="0.5" header="0.5" footer="0.25"/>
  <pageSetup scale="75" firstPageNumber="2" fitToWidth="3" orientation="landscape" r:id="rId2"/>
  <headerFooter alignWithMargins="0">
    <oddHeader>&amp;C&amp;"Times New Roman,Bold"PUGET SOUND ENERGY
POWER COST ONLY RATE CASE
TWELVE MONTHS ENDED JUNE 30, 2020
SUMMARY PAGES&amp;R&amp;"Arial,Bold"Docket Number UE-200980
Exh. SEF-15
Page &amp;P of 23</oddHeader>
    <oddFooter xml:space="preserve">&amp;R&amp;P of &amp;N
</oddFooter>
  </headerFooter>
  <colBreaks count="1" manualBreakCount="1">
    <brk id="27" max="1048575" man="1"/>
  </colBreaks>
  <customProperties>
    <customPr name="_pios_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D186"/>
  <sheetViews>
    <sheetView topLeftCell="CF1" zoomScale="85" zoomScaleNormal="85" workbookViewId="0">
      <pane ySplit="15" topLeftCell="A16" activePane="bottomLeft" state="frozen"/>
      <selection activeCell="G28" sqref="G28"/>
      <selection pane="bottomLeft" activeCell="CH7" sqref="CH7"/>
    </sheetView>
  </sheetViews>
  <sheetFormatPr defaultColWidth="9.28515625" defaultRowHeight="12.75" outlineLevelCol="1" x14ac:dyDescent="0.2"/>
  <cols>
    <col min="1" max="1" width="5" style="454" customWidth="1"/>
    <col min="2" max="2" width="50.7109375" style="454" customWidth="1"/>
    <col min="3" max="3" width="15" style="454" bestFit="1" customWidth="1"/>
    <col min="4" max="4" width="14" style="454" bestFit="1" customWidth="1"/>
    <col min="5" max="5" width="15.140625" style="454" customWidth="1"/>
    <col min="6" max="6" width="3.28515625" style="454" customWidth="1"/>
    <col min="7" max="7" width="4.42578125" style="458" bestFit="1" customWidth="1"/>
    <col min="8" max="8" width="50.7109375" style="454" customWidth="1"/>
    <col min="9" max="9" width="13.42578125" style="458" bestFit="1" customWidth="1"/>
    <col min="10" max="10" width="12.28515625" style="458" bestFit="1" customWidth="1"/>
    <col min="11" max="11" width="15.28515625" style="458" customWidth="1"/>
    <col min="12" max="12" width="2.7109375" style="454" customWidth="1"/>
    <col min="13" max="13" width="5" style="454" bestFit="1" customWidth="1"/>
    <col min="14" max="14" width="50.7109375" style="454" customWidth="1"/>
    <col min="15" max="15" width="14.42578125" style="454" bestFit="1" customWidth="1"/>
    <col min="16" max="16" width="12.28515625" style="454" bestFit="1" customWidth="1"/>
    <col min="17" max="17" width="14.42578125" style="454" bestFit="1" customWidth="1"/>
    <col min="18" max="18" width="2.7109375" style="454" customWidth="1"/>
    <col min="19" max="19" width="14.5703125" style="454" customWidth="1"/>
    <col min="20" max="20" width="2.7109375" style="454" customWidth="1"/>
    <col min="21" max="21" width="5.5703125" style="454" bestFit="1" customWidth="1"/>
    <col min="22" max="22" width="32" style="454" bestFit="1" customWidth="1"/>
    <col min="23" max="23" width="6.7109375" style="454" bestFit="1" customWidth="1"/>
    <col min="24" max="24" width="14.5703125" style="454" bestFit="1" customWidth="1"/>
    <col min="25" max="25" width="14.5703125" style="454" customWidth="1"/>
    <col min="26" max="26" width="20" style="454" customWidth="1"/>
    <col min="27" max="27" width="2.7109375" style="454" customWidth="1"/>
    <col min="28" max="28" width="5.140625" style="456" bestFit="1" customWidth="1"/>
    <col min="29" max="29" width="52.28515625" style="456" customWidth="1"/>
    <col min="30" max="30" width="21.42578125" style="456" bestFit="1" customWidth="1"/>
    <col min="31" max="31" width="20.7109375" style="456" bestFit="1" customWidth="1"/>
    <col min="32" max="32" width="19.7109375" style="456" customWidth="1"/>
    <col min="33" max="33" width="2.7109375" style="454" customWidth="1"/>
    <col min="34" max="34" width="5" style="454" bestFit="1" customWidth="1"/>
    <col min="35" max="35" width="56.85546875" style="454" customWidth="1"/>
    <col min="36" max="36" width="14.7109375" style="454" customWidth="1"/>
    <col min="37" max="37" width="15.42578125" style="454" customWidth="1"/>
    <col min="38" max="38" width="15.28515625" style="454" customWidth="1"/>
    <col min="39" max="39" width="2.7109375" style="454" customWidth="1"/>
    <col min="40" max="40" width="5" style="454" bestFit="1" customWidth="1"/>
    <col min="41" max="41" width="46.7109375" style="454" bestFit="1" customWidth="1"/>
    <col min="42" max="42" width="15.28515625" style="454" customWidth="1"/>
    <col min="43" max="43" width="15.7109375" style="454" customWidth="1"/>
    <col min="44" max="44" width="16.5703125" style="454" customWidth="1"/>
    <col min="45" max="45" width="2.7109375" style="454" customWidth="1"/>
    <col min="46" max="46" width="5" style="454" customWidth="1"/>
    <col min="47" max="47" width="46.7109375" style="454" bestFit="1" customWidth="1"/>
    <col min="48" max="48" width="13.28515625" style="454" customWidth="1"/>
    <col min="49" max="49" width="15.28515625" style="454" bestFit="1" customWidth="1"/>
    <col min="50" max="50" width="15.28515625" style="454" customWidth="1"/>
    <col min="51" max="51" width="2.7109375" style="454" customWidth="1"/>
    <col min="52" max="52" width="6.7109375" style="454" customWidth="1"/>
    <col min="53" max="53" width="54.42578125" style="454" bestFit="1" customWidth="1"/>
    <col min="54" max="56" width="15.28515625" style="454" customWidth="1"/>
    <col min="57" max="57" width="2.7109375" style="454" customWidth="1"/>
    <col min="58" max="58" width="5" style="454" bestFit="1" customWidth="1"/>
    <col min="59" max="59" width="61.85546875" style="454" customWidth="1"/>
    <col min="60" max="61" width="14.7109375" style="454" customWidth="1"/>
    <col min="62" max="62" width="16.5703125" style="454" customWidth="1"/>
    <col min="63" max="63" width="2.42578125" style="454" customWidth="1"/>
    <col min="64" max="64" width="5" style="454" customWidth="1"/>
    <col min="65" max="65" width="68.28515625" style="454" bestFit="1" customWidth="1"/>
    <col min="66" max="66" width="15.28515625" style="454" customWidth="1"/>
    <col min="67" max="67" width="13.7109375" style="454" customWidth="1"/>
    <col min="68" max="68" width="16.5703125" style="454" customWidth="1"/>
    <col min="69" max="69" width="3" style="454" customWidth="1"/>
    <col min="70" max="70" width="5.5703125" style="454" customWidth="1"/>
    <col min="71" max="71" width="51.28515625" style="454" bestFit="1" customWidth="1"/>
    <col min="72" max="74" width="16" style="454" customWidth="1"/>
    <col min="75" max="75" width="13.7109375" style="454" customWidth="1"/>
    <col min="76" max="76" width="15.7109375" style="454" customWidth="1"/>
    <col min="77" max="77" width="2.5703125" style="454" customWidth="1"/>
    <col min="78" max="78" width="5.7109375" style="454" customWidth="1"/>
    <col min="79" max="79" width="41.7109375" style="454" customWidth="1"/>
    <col min="80" max="80" width="15.7109375" style="454" customWidth="1"/>
    <col min="81" max="81" width="13.28515625" style="454" customWidth="1"/>
    <col min="82" max="82" width="15.42578125" style="454" customWidth="1"/>
    <col min="83" max="83" width="2.5703125" style="454" customWidth="1"/>
    <col min="84" max="84" width="5.5703125" style="454" customWidth="1"/>
    <col min="85" max="85" width="63.7109375" style="454" customWidth="1"/>
    <col min="86" max="86" width="13.28515625" style="454" customWidth="1"/>
    <col min="87" max="88" width="14.28515625" style="454" customWidth="1"/>
    <col min="89" max="89" width="2.5703125" style="454" customWidth="1"/>
    <col min="90" max="90" width="5" style="454" hidden="1" customWidth="1" outlineLevel="1"/>
    <col min="91" max="91" width="55.7109375" style="454" hidden="1" customWidth="1" outlineLevel="1"/>
    <col min="92" max="92" width="15.28515625" style="454" hidden="1" customWidth="1" outlineLevel="1"/>
    <col min="93" max="93" width="13.7109375" style="454" hidden="1" customWidth="1" outlineLevel="1"/>
    <col min="94" max="94" width="16.5703125" style="454" hidden="1" customWidth="1" outlineLevel="1"/>
    <col min="95" max="95" width="3" style="454" hidden="1" customWidth="1" outlineLevel="1"/>
    <col min="96" max="96" width="5" style="454" hidden="1" customWidth="1" outlineLevel="1"/>
    <col min="97" max="97" width="13.7109375" style="454" hidden="1" customWidth="1" outlineLevel="1"/>
    <col min="98" max="100" width="14.5703125" style="454" hidden="1" customWidth="1" outlineLevel="1"/>
    <col min="101" max="101" width="6.5703125" style="454" hidden="1" customWidth="1" outlineLevel="1"/>
    <col min="102" max="102" width="5.5703125" style="454" bestFit="1" customWidth="1" collapsed="1"/>
    <col min="103" max="103" width="39.5703125" style="454" customWidth="1"/>
    <col min="104" max="104" width="3.7109375" style="454" customWidth="1"/>
    <col min="105" max="106" width="17.7109375" style="454" customWidth="1"/>
    <col min="107" max="107" width="2.42578125" style="457" customWidth="1"/>
    <col min="108" max="108" width="5" style="454" bestFit="1" customWidth="1"/>
    <col min="109" max="109" width="34.7109375" style="454" customWidth="1"/>
    <col min="110" max="112" width="15.28515625" style="454" customWidth="1"/>
    <col min="113" max="113" width="2.42578125" style="457" customWidth="1"/>
    <col min="114" max="114" width="5.5703125" style="454" bestFit="1" customWidth="1"/>
    <col min="115" max="115" width="69.28515625" style="454" bestFit="1" customWidth="1"/>
    <col min="116" max="116" width="19.7109375" style="454" bestFit="1" customWidth="1"/>
    <col min="117" max="117" width="18.28515625" style="454" bestFit="1" customWidth="1"/>
    <col min="118" max="118" width="21" style="454" customWidth="1"/>
    <col min="119" max="119" width="13.7109375" style="454" bestFit="1" customWidth="1"/>
    <col min="120" max="120" width="14.7109375" style="454" bestFit="1" customWidth="1"/>
    <col min="121" max="121" width="12.7109375" style="454" bestFit="1" customWidth="1"/>
    <col min="122" max="122" width="13" style="454" bestFit="1" customWidth="1"/>
    <col min="123" max="123" width="14.5703125" style="454" bestFit="1" customWidth="1"/>
    <col min="124" max="126" width="15.28515625" style="454" customWidth="1"/>
    <col min="127" max="127" width="18.5703125" style="454" customWidth="1"/>
    <col min="128" max="128" width="2.7109375" style="454" customWidth="1"/>
    <col min="129" max="129" width="5.5703125" style="454" bestFit="1" customWidth="1"/>
    <col min="130" max="130" width="39.7109375" style="454" bestFit="1" customWidth="1"/>
    <col min="131" max="131" width="8.7109375" style="454"/>
    <col min="132" max="132" width="10.42578125" style="454" customWidth="1"/>
    <col min="133" max="133" width="21.7109375" style="454" customWidth="1"/>
    <col min="134" max="134" width="8.7109375" style="454" customWidth="1"/>
    <col min="135" max="16384" width="9.28515625" style="454"/>
  </cols>
  <sheetData>
    <row r="1" spans="1:134" x14ac:dyDescent="0.2">
      <c r="E1" s="455">
        <f>SUM('SEF-15 Summary'!F25:F43,'SEF-15 Summary'!F21)-E33</f>
        <v>0</v>
      </c>
      <c r="Z1" s="455">
        <f>SUM('SEF-15 Summary'!G25:G43,'SEF-15 Summary'!G21)-Z21</f>
        <v>0</v>
      </c>
      <c r="AJ1" s="455">
        <f>'SEF-15 Summary'!H15-(AF34+AF41+AF60)</f>
        <v>0</v>
      </c>
      <c r="AK1" s="455">
        <f>'SEF-15 Summary'!I15-(AL31+AL44)</f>
        <v>0</v>
      </c>
      <c r="AL1" s="455">
        <f>ROUND(SUM('SEF-15 Summary'!I25:I43,'SEF-15 Summary'!I21)-AL26-AL39,0)</f>
        <v>0</v>
      </c>
      <c r="AQ1" s="455">
        <f>'SEF-15 Summary'!J15-AR21</f>
        <v>0</v>
      </c>
      <c r="AR1" s="455">
        <f>SUM('SEF-15 Summary'!J25:J43,'SEF-15 Summary'!J21)-AR28</f>
        <v>0</v>
      </c>
      <c r="AW1" s="455">
        <f>'SEF-15 Summary'!K15-AX22</f>
        <v>0</v>
      </c>
      <c r="AX1" s="455">
        <f>SUM('SEF-15 Summary'!K25:K43,'SEF-15 Summary'!K21)-'SEF-15 Adjustments'!AX29</f>
        <v>0</v>
      </c>
      <c r="BD1" s="455">
        <f>SUM('SEF-15 Summary'!L25:L43,'SEF-15 Summary'!L21)-BD19</f>
        <v>0</v>
      </c>
      <c r="BI1" s="455">
        <f>'SEF-15 Summary'!M15-BJ33</f>
        <v>0</v>
      </c>
      <c r="BJ1" s="455">
        <f>SUM('SEF-15 Summary'!M25:M43,'SEF-15 Summary'!M21)-BJ51</f>
        <v>0</v>
      </c>
      <c r="BO1" s="455">
        <f>'SEF-15 Summary'!N15-BP29</f>
        <v>0</v>
      </c>
      <c r="BP1" s="455">
        <f>SUM('SEF-15 Summary'!N25:N43,'SEF-15 Summary'!N21)-BP23</f>
        <v>0</v>
      </c>
      <c r="BW1" s="455">
        <f>'SEF-15 Summary'!O15-BX20</f>
        <v>0</v>
      </c>
      <c r="BX1" s="455">
        <f>SUM('SEF-15 Summary'!O25:O43,'SEF-15 Summary'!N21)-BX24</f>
        <v>0</v>
      </c>
      <c r="CC1" s="455">
        <f>'SEF-15 Summary'!P15-CD28</f>
        <v>0</v>
      </c>
      <c r="CD1" s="455">
        <f>ROUND(SUM('SEF-15 Summary'!P25:P43,'SEF-15 Summary'!P21)-CD18,0)</f>
        <v>0</v>
      </c>
      <c r="CI1" s="455">
        <f>'SEF-15 Summary'!Q15-CJ20</f>
        <v>0</v>
      </c>
      <c r="CJ1" s="455">
        <f>ROUNDDOWN(SUM('SEF-15 Summary'!Q25:Q43,'SEF-15 Summary'!Q21)-CJ25,0)</f>
        <v>0</v>
      </c>
      <c r="DG1"/>
      <c r="DH1"/>
    </row>
    <row r="2" spans="1:134" x14ac:dyDescent="0.2">
      <c r="A2" s="869" t="s">
        <v>779</v>
      </c>
      <c r="C2" s="458"/>
      <c r="D2" s="459"/>
      <c r="E2" s="459" t="s">
        <v>174</v>
      </c>
      <c r="F2" s="458"/>
      <c r="H2" s="458"/>
      <c r="J2" s="459"/>
      <c r="K2" s="459" t="str">
        <f>$E$2</f>
        <v>Docket Number UE-20____</v>
      </c>
      <c r="L2" s="459"/>
      <c r="M2" s="868"/>
      <c r="N2" s="869"/>
      <c r="O2" s="458"/>
      <c r="P2" s="458"/>
      <c r="Q2" s="458"/>
      <c r="R2" s="458"/>
      <c r="S2" s="459" t="str">
        <f>$E$2</f>
        <v>Docket Number UE-20____</v>
      </c>
      <c r="T2" s="459"/>
      <c r="U2" s="868" t="s">
        <v>779</v>
      </c>
      <c r="V2" s="458"/>
      <c r="W2" s="458"/>
      <c r="X2" s="459"/>
      <c r="Y2" s="459"/>
      <c r="Z2" s="459" t="str">
        <f>+$E$2</f>
        <v>Docket Number UE-20____</v>
      </c>
      <c r="AA2" s="459"/>
      <c r="AB2" s="394"/>
      <c r="AC2" s="394"/>
      <c r="AD2" s="394"/>
      <c r="AE2" s="459"/>
      <c r="AF2" s="459" t="str">
        <f>+$E$2</f>
        <v>Docket Number UE-20____</v>
      </c>
      <c r="AG2" s="459"/>
      <c r="AH2" s="458"/>
      <c r="AI2" s="458"/>
      <c r="AJ2" s="458"/>
      <c r="AK2" s="459"/>
      <c r="AL2" s="459" t="str">
        <f>+$E$2</f>
        <v>Docket Number UE-20____</v>
      </c>
      <c r="AM2" s="459"/>
      <c r="AN2" s="458"/>
      <c r="AO2" s="458"/>
      <c r="AP2" s="458"/>
      <c r="AQ2" s="459"/>
      <c r="AR2" s="459" t="str">
        <f>+$E$2</f>
        <v>Docket Number UE-20____</v>
      </c>
      <c r="AS2" s="458"/>
      <c r="AT2" s="459"/>
      <c r="AU2" s="459"/>
      <c r="AV2" s="459"/>
      <c r="AW2" s="459"/>
      <c r="AX2" s="459" t="str">
        <f>+$E$2</f>
        <v>Docket Number UE-20____</v>
      </c>
      <c r="AY2" s="459"/>
      <c r="AZ2" s="459"/>
      <c r="BA2" s="459"/>
      <c r="BB2" s="459"/>
      <c r="BC2" s="459"/>
      <c r="BD2" s="459" t="str">
        <f>+$E$2</f>
        <v>Docket Number UE-20____</v>
      </c>
      <c r="BE2" s="458"/>
      <c r="BF2" s="460"/>
      <c r="BG2" s="458"/>
      <c r="BH2" s="459"/>
      <c r="BI2" s="458"/>
      <c r="BJ2" s="459" t="str">
        <f>+$E$2</f>
        <v>Docket Number UE-20____</v>
      </c>
      <c r="BK2" s="458"/>
      <c r="BL2" s="458"/>
      <c r="BM2" s="458"/>
      <c r="BN2" s="458"/>
      <c r="BO2" s="459"/>
      <c r="BP2" s="459" t="str">
        <f>+$E$2</f>
        <v>Docket Number UE-20____</v>
      </c>
      <c r="BQ2" s="458"/>
      <c r="BR2" s="458"/>
      <c r="BS2" s="458"/>
      <c r="BT2" s="458"/>
      <c r="BU2" s="458"/>
      <c r="BV2" s="458"/>
      <c r="BW2" s="459"/>
      <c r="BX2" s="459" t="str">
        <f>+$E$2</f>
        <v>Docket Number UE-20____</v>
      </c>
      <c r="BY2" s="458"/>
      <c r="BZ2" s="460"/>
      <c r="CA2" s="458"/>
      <c r="CB2" s="458"/>
      <c r="CC2" s="459"/>
      <c r="CD2" s="459" t="str">
        <f>+$E$2</f>
        <v>Docket Number UE-20____</v>
      </c>
      <c r="CE2" s="458"/>
      <c r="CF2" s="868"/>
      <c r="CG2" s="458"/>
      <c r="CH2" s="459"/>
      <c r="CI2" s="458"/>
      <c r="CJ2" s="459" t="str">
        <f>+$E$2</f>
        <v>Docket Number UE-20____</v>
      </c>
      <c r="CK2" s="458"/>
      <c r="CL2" s="460"/>
      <c r="CM2" s="458"/>
      <c r="CN2" s="459"/>
      <c r="CO2" s="458"/>
      <c r="CP2" s="459" t="str">
        <f>+$E$2</f>
        <v>Docket Number UE-20____</v>
      </c>
      <c r="CQ2" s="459"/>
      <c r="CR2" s="459"/>
      <c r="CS2" s="459"/>
      <c r="CT2" s="459"/>
      <c r="CU2" s="459"/>
      <c r="CV2" s="459" t="str">
        <f>+$E$2</f>
        <v>Docket Number UE-20____</v>
      </c>
      <c r="CW2" s="459"/>
      <c r="CX2" s="459"/>
      <c r="CY2" s="459"/>
      <c r="CZ2" s="459"/>
      <c r="DA2" s="459"/>
      <c r="DB2" s="459" t="str">
        <f>+$E$2</f>
        <v>Docket Number UE-20____</v>
      </c>
      <c r="DC2" s="461"/>
      <c r="DD2" s="868"/>
      <c r="DE2" s="458"/>
      <c r="DF2" s="459"/>
      <c r="DG2" s="458"/>
      <c r="DH2" s="459" t="str">
        <f>+$E$2</f>
        <v>Docket Number UE-20____</v>
      </c>
      <c r="DI2" s="461"/>
    </row>
    <row r="3" spans="1:134" x14ac:dyDescent="0.2">
      <c r="A3" s="458"/>
      <c r="B3" s="458"/>
      <c r="C3" s="458"/>
      <c r="D3" s="459"/>
      <c r="E3" s="459" t="s">
        <v>781</v>
      </c>
      <c r="F3" s="458"/>
      <c r="H3" s="458"/>
      <c r="J3" s="459"/>
      <c r="K3" s="459" t="str">
        <f>$E$3</f>
        <v>Exhibit No. _____ (SEF-15)</v>
      </c>
      <c r="L3" s="459"/>
      <c r="M3" s="459"/>
      <c r="N3" s="458"/>
      <c r="O3" s="458"/>
      <c r="P3" s="458"/>
      <c r="Q3" s="458"/>
      <c r="R3" s="458"/>
      <c r="S3" s="459" t="str">
        <f>$E$3</f>
        <v>Exhibit No. _____ (SEF-15)</v>
      </c>
      <c r="T3" s="459"/>
      <c r="U3" s="460"/>
      <c r="V3" s="458"/>
      <c r="W3" s="458"/>
      <c r="X3" s="459"/>
      <c r="Y3" s="459"/>
      <c r="Z3" s="459" t="str">
        <f>+$E$3</f>
        <v>Exhibit No. _____ (SEF-15)</v>
      </c>
      <c r="AA3" s="459"/>
      <c r="AB3" s="394"/>
      <c r="AC3" s="394"/>
      <c r="AD3" s="394"/>
      <c r="AE3" s="459"/>
      <c r="AF3" s="459" t="str">
        <f>+$E$3</f>
        <v>Exhibit No. _____ (SEF-15)</v>
      </c>
      <c r="AG3" s="459"/>
      <c r="AH3" s="458"/>
      <c r="AI3" s="458"/>
      <c r="AJ3" s="458"/>
      <c r="AK3" s="459"/>
      <c r="AL3" s="459" t="str">
        <f>+$E$3</f>
        <v>Exhibit No. _____ (SEF-15)</v>
      </c>
      <c r="AM3" s="459"/>
      <c r="AN3" s="458"/>
      <c r="AO3" s="458"/>
      <c r="AP3" s="458"/>
      <c r="AQ3" s="459"/>
      <c r="AR3" s="459" t="str">
        <f>+$E$3</f>
        <v>Exhibit No. _____ (SEF-15)</v>
      </c>
      <c r="AS3" s="458"/>
      <c r="AT3" s="459"/>
      <c r="AU3" s="459"/>
      <c r="AV3" s="459"/>
      <c r="AW3" s="459"/>
      <c r="AX3" s="459" t="str">
        <f>+$E$3</f>
        <v>Exhibit No. _____ (SEF-15)</v>
      </c>
      <c r="AY3" s="459"/>
      <c r="AZ3" s="459"/>
      <c r="BA3" s="459"/>
      <c r="BB3" s="459"/>
      <c r="BC3" s="459"/>
      <c r="BD3" s="459" t="str">
        <f>+$E$3</f>
        <v>Exhibit No. _____ (SEF-15)</v>
      </c>
      <c r="BE3" s="458"/>
      <c r="BF3" s="460"/>
      <c r="BG3" s="458"/>
      <c r="BH3" s="459"/>
      <c r="BI3" s="458"/>
      <c r="BJ3" s="459" t="str">
        <f>+$E$3</f>
        <v>Exhibit No. _____ (SEF-15)</v>
      </c>
      <c r="BK3" s="458"/>
      <c r="BL3" s="458"/>
      <c r="BM3" s="458"/>
      <c r="BN3" s="458"/>
      <c r="BO3" s="459"/>
      <c r="BP3" s="459" t="str">
        <f>+$E$3</f>
        <v>Exhibit No. _____ (SEF-15)</v>
      </c>
      <c r="BQ3" s="458"/>
      <c r="BR3" s="458"/>
      <c r="BS3" s="458"/>
      <c r="BT3" s="458"/>
      <c r="BU3" s="458"/>
      <c r="BV3" s="458"/>
      <c r="BW3" s="459"/>
      <c r="BX3" s="459" t="str">
        <f>+$E$3</f>
        <v>Exhibit No. _____ (SEF-15)</v>
      </c>
      <c r="BY3" s="458"/>
      <c r="BZ3" s="460"/>
      <c r="CA3" s="458"/>
      <c r="CB3" s="458"/>
      <c r="CC3" s="459"/>
      <c r="CD3" s="459" t="str">
        <f>+$E$3</f>
        <v>Exhibit No. _____ (SEF-15)</v>
      </c>
      <c r="CE3" s="458"/>
      <c r="CF3" s="460"/>
      <c r="CG3" s="458"/>
      <c r="CH3" s="459"/>
      <c r="CI3" s="458"/>
      <c r="CJ3" s="459" t="str">
        <f>+$E$3</f>
        <v>Exhibit No. _____ (SEF-15)</v>
      </c>
      <c r="CK3" s="458"/>
      <c r="CL3" s="460"/>
      <c r="CM3" s="458"/>
      <c r="CN3" s="459"/>
      <c r="CO3" s="458"/>
      <c r="CP3" s="459" t="str">
        <f>+$E$3</f>
        <v>Exhibit No. _____ (SEF-15)</v>
      </c>
      <c r="CQ3" s="459"/>
      <c r="CR3" s="459"/>
      <c r="CS3" s="459"/>
      <c r="CT3" s="459"/>
      <c r="CU3" s="459"/>
      <c r="CV3" s="459" t="str">
        <f>+$E$3</f>
        <v>Exhibit No. _____ (SEF-15)</v>
      </c>
      <c r="CW3" s="459"/>
      <c r="CX3" s="459"/>
      <c r="CY3" s="459"/>
      <c r="CZ3" s="459"/>
      <c r="DA3" s="459"/>
      <c r="DB3" s="459" t="str">
        <f>+$E$3</f>
        <v>Exhibit No. _____ (SEF-15)</v>
      </c>
      <c r="DC3" s="461"/>
      <c r="DD3" s="460"/>
      <c r="DE3" s="458"/>
      <c r="DF3" s="459"/>
      <c r="DG3" s="458"/>
      <c r="DH3" s="459" t="str">
        <f>+$E$3</f>
        <v>Exhibit No. _____ (SEF-15)</v>
      </c>
      <c r="DI3" s="461"/>
    </row>
    <row r="4" spans="1:134" x14ac:dyDescent="0.2">
      <c r="A4" s="458"/>
      <c r="B4" s="458"/>
      <c r="C4" s="459"/>
      <c r="D4" s="458"/>
      <c r="E4" s="462" t="s">
        <v>113</v>
      </c>
      <c r="F4" s="458"/>
      <c r="H4" s="458"/>
      <c r="K4" s="462" t="str">
        <f>$E$4</f>
        <v>Adjustments to  Test Year Power Cost Rate</v>
      </c>
      <c r="L4" s="462"/>
      <c r="M4" s="462"/>
      <c r="N4" s="458"/>
      <c r="O4" s="463"/>
      <c r="P4" s="463"/>
      <c r="Q4" s="394"/>
      <c r="R4" s="394"/>
      <c r="S4" s="462" t="str">
        <f>$E$4</f>
        <v>Adjustments to  Test Year Power Cost Rate</v>
      </c>
      <c r="T4" s="462"/>
      <c r="U4" s="458"/>
      <c r="V4" s="458"/>
      <c r="W4" s="459"/>
      <c r="X4" s="458"/>
      <c r="Y4" s="458"/>
      <c r="Z4" s="462" t="str">
        <f>+$E$4</f>
        <v>Adjustments to  Test Year Power Cost Rate</v>
      </c>
      <c r="AA4" s="462"/>
      <c r="AB4" s="394"/>
      <c r="AC4" s="394"/>
      <c r="AD4" s="459"/>
      <c r="AE4" s="394"/>
      <c r="AF4" s="462" t="str">
        <f>+$E$4</f>
        <v>Adjustments to  Test Year Power Cost Rate</v>
      </c>
      <c r="AG4" s="462"/>
      <c r="AH4" s="458"/>
      <c r="AI4" s="458"/>
      <c r="AJ4" s="459"/>
      <c r="AK4" s="458"/>
      <c r="AL4" s="462" t="str">
        <f>+$E$4</f>
        <v>Adjustments to  Test Year Power Cost Rate</v>
      </c>
      <c r="AM4" s="462"/>
      <c r="AN4" s="458"/>
      <c r="AO4" s="458"/>
      <c r="AP4" s="459"/>
      <c r="AQ4" s="458"/>
      <c r="AR4" s="462" t="str">
        <f>+$E$4</f>
        <v>Adjustments to  Test Year Power Cost Rate</v>
      </c>
      <c r="AS4" s="458"/>
      <c r="AT4" s="462"/>
      <c r="AU4" s="462"/>
      <c r="AV4" s="462"/>
      <c r="AW4" s="462"/>
      <c r="AX4" s="462" t="str">
        <f>+$E$4</f>
        <v>Adjustments to  Test Year Power Cost Rate</v>
      </c>
      <c r="AY4" s="462"/>
      <c r="AZ4" s="462"/>
      <c r="BA4" s="462"/>
      <c r="BB4" s="462"/>
      <c r="BC4" s="462"/>
      <c r="BD4" s="462" t="str">
        <f>+$E$4</f>
        <v>Adjustments to  Test Year Power Cost Rate</v>
      </c>
      <c r="BE4" s="458"/>
      <c r="BF4" s="458"/>
      <c r="BG4" s="458"/>
      <c r="BH4" s="459"/>
      <c r="BI4" s="458"/>
      <c r="BJ4" s="462" t="str">
        <f>+$E$4</f>
        <v>Adjustments to  Test Year Power Cost Rate</v>
      </c>
      <c r="BK4" s="458"/>
      <c r="BL4" s="458"/>
      <c r="BM4" s="458"/>
      <c r="BN4" s="459"/>
      <c r="BO4" s="458"/>
      <c r="BP4" s="462" t="str">
        <f>+$E$4</f>
        <v>Adjustments to  Test Year Power Cost Rate</v>
      </c>
      <c r="BQ4" s="458"/>
      <c r="BR4" s="458"/>
      <c r="BS4" s="458"/>
      <c r="BT4" s="459"/>
      <c r="BU4" s="459"/>
      <c r="BV4" s="459"/>
      <c r="BW4" s="458"/>
      <c r="BX4" s="462" t="str">
        <f>+$E$4</f>
        <v>Adjustments to  Test Year Power Cost Rate</v>
      </c>
      <c r="BY4" s="458"/>
      <c r="BZ4" s="458"/>
      <c r="CA4" s="458"/>
      <c r="CB4" s="459"/>
      <c r="CC4" s="458"/>
      <c r="CD4" s="462" t="str">
        <f>+$E$4</f>
        <v>Adjustments to  Test Year Power Cost Rate</v>
      </c>
      <c r="CE4" s="458"/>
      <c r="CF4" s="458"/>
      <c r="CG4" s="458"/>
      <c r="CH4" s="459"/>
      <c r="CI4" s="458"/>
      <c r="CJ4" s="462" t="str">
        <f>+$E$4</f>
        <v>Adjustments to  Test Year Power Cost Rate</v>
      </c>
      <c r="CK4" s="458"/>
      <c r="CL4" s="458"/>
      <c r="CM4" s="458"/>
      <c r="CN4" s="459"/>
      <c r="CO4" s="458"/>
      <c r="CP4" s="462" t="str">
        <f>+$E$4</f>
        <v>Adjustments to  Test Year Power Cost Rate</v>
      </c>
      <c r="CQ4" s="462"/>
      <c r="CR4" s="462"/>
      <c r="CS4" s="462"/>
      <c r="CT4" s="462"/>
      <c r="CU4" s="462"/>
      <c r="CV4" s="462" t="str">
        <f>+$E$4</f>
        <v>Adjustments to  Test Year Power Cost Rate</v>
      </c>
      <c r="CW4" s="462"/>
      <c r="CX4" s="462"/>
      <c r="CY4" s="462"/>
      <c r="CZ4" s="462"/>
      <c r="DA4" s="462"/>
      <c r="DB4" s="462" t="str">
        <f>+$E$4</f>
        <v>Adjustments to  Test Year Power Cost Rate</v>
      </c>
      <c r="DC4" s="461"/>
      <c r="DD4" s="458"/>
      <c r="DE4" s="458"/>
      <c r="DF4" s="459"/>
      <c r="DG4" s="458"/>
      <c r="DH4" s="462" t="str">
        <f>+$E$4</f>
        <v>Adjustments to  Test Year Power Cost Rate</v>
      </c>
      <c r="DI4" s="461"/>
    </row>
    <row r="5" spans="1:134" s="458" customFormat="1" ht="13.5" x14ac:dyDescent="0.25">
      <c r="A5" s="464"/>
      <c r="B5" s="465"/>
      <c r="C5" s="465"/>
      <c r="D5" s="465"/>
      <c r="E5" s="462" t="s">
        <v>708</v>
      </c>
      <c r="G5" s="464"/>
      <c r="H5" s="465"/>
      <c r="I5" s="465"/>
      <c r="J5" s="465"/>
      <c r="K5" s="462" t="s">
        <v>709</v>
      </c>
      <c r="L5" s="462"/>
      <c r="M5" s="462"/>
      <c r="N5" s="465"/>
      <c r="O5" s="463"/>
      <c r="P5" s="463"/>
      <c r="Q5" s="394"/>
      <c r="R5" s="394"/>
      <c r="S5" s="462" t="s">
        <v>710</v>
      </c>
      <c r="T5" s="462"/>
      <c r="U5" s="464"/>
      <c r="V5" s="465"/>
      <c r="W5" s="465"/>
      <c r="X5" s="465"/>
      <c r="Y5" s="465"/>
      <c r="Z5" s="462" t="s">
        <v>711</v>
      </c>
      <c r="AB5" s="462"/>
      <c r="AC5" s="462"/>
      <c r="AD5" s="462"/>
      <c r="AE5" s="462"/>
      <c r="AF5" s="462" t="s">
        <v>712</v>
      </c>
      <c r="AH5" s="462"/>
      <c r="AI5" s="462"/>
      <c r="AJ5" s="462"/>
      <c r="AK5" s="462"/>
      <c r="AL5" s="462" t="s">
        <v>713</v>
      </c>
      <c r="AM5" s="462"/>
      <c r="AN5" s="464"/>
      <c r="AO5" s="465"/>
      <c r="AP5" s="465"/>
      <c r="AQ5" s="465"/>
      <c r="AR5" s="462" t="s">
        <v>714</v>
      </c>
      <c r="AS5" s="462"/>
      <c r="AT5" s="462"/>
      <c r="AU5" s="462"/>
      <c r="AV5" s="462"/>
      <c r="AW5" s="462"/>
      <c r="AX5" s="462" t="s">
        <v>715</v>
      </c>
      <c r="AY5" s="462"/>
      <c r="AZ5" s="462"/>
      <c r="BA5" s="462"/>
      <c r="BB5" s="462"/>
      <c r="BC5" s="462"/>
      <c r="BD5" s="462" t="s">
        <v>716</v>
      </c>
      <c r="BF5" s="464"/>
      <c r="BG5" s="465"/>
      <c r="BH5" s="465"/>
      <c r="BI5" s="465"/>
      <c r="BJ5" s="462" t="s">
        <v>717</v>
      </c>
      <c r="BL5" s="464"/>
      <c r="BM5" s="465"/>
      <c r="BN5" s="465"/>
      <c r="BO5" s="465"/>
      <c r="BP5" s="462" t="s">
        <v>718</v>
      </c>
      <c r="BR5" s="464"/>
      <c r="BS5" s="465"/>
      <c r="BT5" s="465"/>
      <c r="BU5" s="465"/>
      <c r="BV5" s="465"/>
      <c r="BW5" s="465"/>
      <c r="BX5" s="462" t="s">
        <v>719</v>
      </c>
      <c r="BZ5" s="464"/>
      <c r="CA5" s="465"/>
      <c r="CB5" s="465"/>
      <c r="CC5" s="465"/>
      <c r="CD5" s="462" t="s">
        <v>720</v>
      </c>
      <c r="CF5" s="464"/>
      <c r="CG5" s="465"/>
      <c r="CH5" s="465"/>
      <c r="CI5" s="465"/>
      <c r="CJ5" s="462" t="s">
        <v>721</v>
      </c>
      <c r="CL5" s="464"/>
      <c r="CM5" s="465"/>
      <c r="CN5" s="465"/>
      <c r="CO5" s="465"/>
      <c r="CP5" s="462" t="s">
        <v>720</v>
      </c>
      <c r="CQ5" s="462"/>
      <c r="CR5" s="466"/>
      <c r="CS5" s="467"/>
      <c r="CT5" s="467"/>
      <c r="CU5" s="467"/>
      <c r="CV5" s="462" t="s">
        <v>722</v>
      </c>
      <c r="CW5" s="464"/>
      <c r="CX5" s="465"/>
      <c r="CY5" s="465"/>
      <c r="CZ5" s="465"/>
      <c r="DB5" s="462" t="s">
        <v>722</v>
      </c>
      <c r="DC5" s="462"/>
      <c r="DD5" s="464"/>
      <c r="DE5" s="465"/>
      <c r="DF5" s="465"/>
      <c r="DG5" s="465"/>
      <c r="DH5" s="462" t="s">
        <v>721</v>
      </c>
      <c r="DI5" s="461"/>
      <c r="DJ5" s="454"/>
      <c r="DK5" s="454"/>
      <c r="DL5" s="454"/>
      <c r="DM5" s="454"/>
      <c r="DN5" s="454"/>
      <c r="DO5" s="454"/>
      <c r="DP5" s="454"/>
      <c r="DQ5" s="454"/>
      <c r="DR5" s="454"/>
      <c r="DS5" s="454"/>
      <c r="DT5" s="454"/>
      <c r="DU5" s="454"/>
      <c r="DV5" s="454"/>
      <c r="DW5" s="454"/>
      <c r="DX5" s="454"/>
      <c r="DY5" s="454"/>
      <c r="DZ5" s="454"/>
      <c r="EA5" s="454"/>
      <c r="EB5" s="454"/>
      <c r="EC5" s="454"/>
      <c r="ED5" s="454"/>
    </row>
    <row r="6" spans="1:134" ht="14.25" thickBot="1" x14ac:dyDescent="0.3">
      <c r="A6" s="465"/>
      <c r="B6" s="465"/>
      <c r="C6" s="465"/>
      <c r="D6" s="465"/>
      <c r="E6" s="465"/>
      <c r="F6" s="468"/>
      <c r="G6" s="465"/>
      <c r="H6" s="465"/>
      <c r="I6" s="465"/>
      <c r="J6" s="465"/>
      <c r="K6" s="465"/>
      <c r="L6" s="469"/>
      <c r="M6" s="469"/>
      <c r="N6" s="465"/>
      <c r="O6" s="463"/>
      <c r="P6" s="463"/>
      <c r="Q6" s="394"/>
      <c r="R6" s="394"/>
      <c r="S6" s="465"/>
      <c r="T6" s="469"/>
      <c r="U6" s="465"/>
      <c r="V6" s="465"/>
      <c r="W6" s="465"/>
      <c r="X6" s="465"/>
      <c r="Y6" s="465"/>
      <c r="Z6" s="470"/>
      <c r="AA6" s="470"/>
      <c r="AB6" s="467"/>
      <c r="AC6" s="467"/>
      <c r="AD6" s="467"/>
      <c r="AE6" s="467"/>
      <c r="AF6" s="471"/>
      <c r="AG6" s="470"/>
      <c r="AH6" s="465"/>
      <c r="AI6" s="465"/>
      <c r="AJ6" s="465"/>
      <c r="AK6" s="465"/>
      <c r="AL6" s="470"/>
      <c r="AM6" s="470"/>
      <c r="AN6" s="465"/>
      <c r="AO6" s="465"/>
      <c r="AP6" s="465"/>
      <c r="AQ6" s="465"/>
      <c r="AR6" s="470"/>
      <c r="AS6" s="458"/>
      <c r="AT6" s="470"/>
      <c r="AU6" s="470"/>
      <c r="AV6" s="470"/>
      <c r="AW6" s="470"/>
      <c r="AX6" s="470"/>
      <c r="AY6" s="470"/>
      <c r="AZ6" s="470"/>
      <c r="BA6" s="470"/>
      <c r="BB6" s="470"/>
      <c r="BC6" s="470"/>
      <c r="BD6" s="470"/>
      <c r="BE6" s="458"/>
      <c r="BF6" s="465"/>
      <c r="BG6" s="465"/>
      <c r="BH6" s="465"/>
      <c r="BI6" s="465"/>
      <c r="BJ6" s="470"/>
      <c r="BK6" s="458"/>
      <c r="BL6" s="465"/>
      <c r="BM6" s="465"/>
      <c r="BN6" s="465"/>
      <c r="BO6" s="465"/>
      <c r="BP6" s="470"/>
      <c r="BQ6" s="458"/>
      <c r="BR6" s="465"/>
      <c r="BS6" s="465"/>
      <c r="BT6" s="465"/>
      <c r="BU6" s="465"/>
      <c r="BV6" s="465"/>
      <c r="BW6" s="465"/>
      <c r="BX6" s="470"/>
      <c r="BY6" s="458"/>
      <c r="BZ6" s="465"/>
      <c r="CA6" s="465"/>
      <c r="CB6" s="465"/>
      <c r="CC6" s="465"/>
      <c r="CD6" s="470"/>
      <c r="CE6" s="458"/>
      <c r="CF6" s="465"/>
      <c r="CG6" s="465"/>
      <c r="CH6" s="465"/>
      <c r="CI6" s="465"/>
      <c r="CJ6" s="470"/>
      <c r="CK6" s="458"/>
      <c r="CL6" s="465"/>
      <c r="CM6" s="465"/>
      <c r="CN6" s="465"/>
      <c r="CO6" s="465"/>
      <c r="CP6" s="470"/>
      <c r="CQ6" s="470"/>
      <c r="CR6" s="467"/>
      <c r="CS6" s="467"/>
      <c r="CT6" s="467"/>
      <c r="CU6" s="467"/>
      <c r="CV6" s="471"/>
      <c r="CW6" s="470"/>
      <c r="CX6" s="465"/>
      <c r="CY6" s="465"/>
      <c r="CZ6" s="465"/>
      <c r="DA6" s="465"/>
      <c r="DB6" s="470"/>
      <c r="DC6" s="461"/>
      <c r="DD6" s="465"/>
      <c r="DE6" s="465"/>
      <c r="DF6" s="465"/>
      <c r="DG6" s="465"/>
      <c r="DH6" s="470"/>
      <c r="DI6" s="461"/>
    </row>
    <row r="7" spans="1:134" ht="13.5" thickBot="1" x14ac:dyDescent="0.25">
      <c r="A7" s="460"/>
      <c r="B7" s="460"/>
      <c r="C7" s="460"/>
      <c r="D7" s="460"/>
      <c r="E7" s="758" t="s">
        <v>723</v>
      </c>
      <c r="F7" s="460"/>
      <c r="G7" s="460"/>
      <c r="H7" s="460"/>
      <c r="I7" s="460"/>
      <c r="J7" s="460"/>
      <c r="K7" s="758" t="s">
        <v>724</v>
      </c>
      <c r="L7" s="472"/>
      <c r="M7" s="472"/>
      <c r="N7" s="460"/>
      <c r="O7" s="463"/>
      <c r="P7" s="463"/>
      <c r="Q7" s="394"/>
      <c r="R7" s="394"/>
      <c r="S7" s="758" t="s">
        <v>725</v>
      </c>
      <c r="T7" s="472"/>
      <c r="U7" s="460"/>
      <c r="V7" s="460"/>
      <c r="W7" s="460"/>
      <c r="X7" s="460"/>
      <c r="Y7" s="460"/>
      <c r="Z7" s="473">
        <f>+'SEF-15 Summary'!G4</f>
        <v>2</v>
      </c>
      <c r="AB7" s="463"/>
      <c r="AC7" s="463"/>
      <c r="AD7" s="463"/>
      <c r="AE7" s="463"/>
      <c r="AF7" s="473">
        <f>+'SEF-15 Summary'!H4</f>
        <v>3</v>
      </c>
      <c r="AG7" s="474"/>
      <c r="AH7" s="460"/>
      <c r="AI7" s="460"/>
      <c r="AJ7" s="460"/>
      <c r="AK7" s="460"/>
      <c r="AL7" s="473">
        <f>+'SEF-15 Summary'!I4</f>
        <v>4</v>
      </c>
      <c r="AM7" s="474"/>
      <c r="AN7" s="460"/>
      <c r="AO7" s="460"/>
      <c r="AP7" s="460"/>
      <c r="AQ7" s="460"/>
      <c r="AR7" s="473">
        <f>+'SEF-15 Summary'!J4</f>
        <v>5</v>
      </c>
      <c r="AS7" s="458"/>
      <c r="AT7" s="469"/>
      <c r="AU7" s="469"/>
      <c r="AV7" s="469"/>
      <c r="AW7" s="469"/>
      <c r="AX7" s="473">
        <f>+'SEF-15 Summary'!K4</f>
        <v>6</v>
      </c>
      <c r="AY7" s="469"/>
      <c r="AZ7" s="469"/>
      <c r="BA7" s="469"/>
      <c r="BB7" s="469"/>
      <c r="BC7" s="469"/>
      <c r="BD7" s="473">
        <f>+'SEF-15 Summary'!L4</f>
        <v>7</v>
      </c>
      <c r="BE7" s="458"/>
      <c r="BF7" s="475"/>
      <c r="BG7" s="475"/>
      <c r="BH7" s="475"/>
      <c r="BI7" s="475"/>
      <c r="BJ7" s="473">
        <f>+'SEF-15 Summary'!M4</f>
        <v>8</v>
      </c>
      <c r="BK7" s="458"/>
      <c r="BL7" s="476"/>
      <c r="BM7" s="476"/>
      <c r="BN7" s="476"/>
      <c r="BO7" s="476"/>
      <c r="BP7" s="477">
        <f>+'SEF-15 Summary'!N4</f>
        <v>9</v>
      </c>
      <c r="BQ7" s="458"/>
      <c r="BR7" s="476"/>
      <c r="BS7" s="476"/>
      <c r="BT7" s="476"/>
      <c r="BU7" s="476"/>
      <c r="BV7" s="476"/>
      <c r="BW7" s="476"/>
      <c r="BX7" s="477">
        <f>+'SEF-15 Summary'!O4</f>
        <v>10</v>
      </c>
      <c r="BY7" s="458"/>
      <c r="BZ7" s="460"/>
      <c r="CA7" s="460"/>
      <c r="CB7" s="460"/>
      <c r="CC7" s="460"/>
      <c r="CD7" s="473">
        <f>+'SEF-15 Summary'!P4</f>
        <v>11</v>
      </c>
      <c r="CE7" s="458"/>
      <c r="CF7" s="475"/>
      <c r="CG7" s="475"/>
      <c r="CH7" s="475"/>
      <c r="CI7" s="475"/>
      <c r="CJ7" s="473">
        <f>CD7+1</f>
        <v>12</v>
      </c>
      <c r="CK7" s="458"/>
      <c r="CL7" s="475"/>
      <c r="CM7" s="475"/>
      <c r="CN7" s="475"/>
      <c r="CO7" s="475"/>
      <c r="CP7" s="473">
        <f>CJ7+1</f>
        <v>13</v>
      </c>
      <c r="CQ7" s="469"/>
      <c r="CR7" s="478"/>
      <c r="CS7" s="478"/>
      <c r="CT7" s="478"/>
      <c r="CU7" s="478"/>
      <c r="CV7" s="473"/>
      <c r="CW7" s="469"/>
      <c r="CX7" s="475"/>
      <c r="CY7" s="475"/>
      <c r="CZ7" s="475"/>
      <c r="DA7" s="475"/>
      <c r="DB7" s="473" t="s">
        <v>632</v>
      </c>
      <c r="DC7" s="461"/>
      <c r="DD7" s="475"/>
      <c r="DE7" s="475"/>
      <c r="DF7" s="475"/>
      <c r="DG7" s="475"/>
      <c r="DH7" s="473">
        <f>+'SEF-15 Summary'!R4</f>
        <v>13</v>
      </c>
      <c r="DI7" s="461"/>
    </row>
    <row r="8" spans="1:134" x14ac:dyDescent="0.2">
      <c r="A8" s="479" t="s">
        <v>22</v>
      </c>
      <c r="B8" s="479"/>
      <c r="C8" s="475"/>
      <c r="D8" s="475"/>
      <c r="E8" s="475"/>
      <c r="F8" s="463"/>
      <c r="G8" s="479" t="s">
        <v>22</v>
      </c>
      <c r="H8" s="479"/>
      <c r="I8" s="479"/>
      <c r="J8" s="475"/>
      <c r="K8" s="475"/>
      <c r="L8" s="480"/>
      <c r="M8" s="479" t="s">
        <v>22</v>
      </c>
      <c r="N8" s="479"/>
      <c r="O8" s="479"/>
      <c r="P8" s="479"/>
      <c r="Q8" s="476"/>
      <c r="R8" s="476"/>
      <c r="S8" s="481"/>
      <c r="T8" s="480"/>
      <c r="U8" s="479" t="s">
        <v>22</v>
      </c>
      <c r="V8" s="479"/>
      <c r="W8" s="475"/>
      <c r="X8" s="475"/>
      <c r="Y8" s="475"/>
      <c r="Z8" s="475"/>
      <c r="AA8" s="475"/>
      <c r="AB8" s="479" t="s">
        <v>22</v>
      </c>
      <c r="AC8" s="479"/>
      <c r="AD8" s="479"/>
      <c r="AE8" s="479"/>
      <c r="AF8" s="479"/>
      <c r="AG8" s="475"/>
      <c r="AH8" s="479" t="s">
        <v>22</v>
      </c>
      <c r="AI8" s="479"/>
      <c r="AJ8" s="479"/>
      <c r="AK8" s="479"/>
      <c r="AL8" s="479"/>
      <c r="AM8" s="475"/>
      <c r="AN8" s="479" t="s">
        <v>22</v>
      </c>
      <c r="AO8" s="479"/>
      <c r="AP8" s="475"/>
      <c r="AQ8" s="475"/>
      <c r="AR8" s="475"/>
      <c r="AS8" s="458"/>
      <c r="AT8" s="479" t="s">
        <v>22</v>
      </c>
      <c r="AU8" s="479"/>
      <c r="AV8" s="479"/>
      <c r="AW8" s="479"/>
      <c r="AX8" s="479"/>
      <c r="AY8" s="475"/>
      <c r="AZ8" s="479" t="s">
        <v>22</v>
      </c>
      <c r="BA8" s="479"/>
      <c r="BB8" s="479"/>
      <c r="BC8" s="479"/>
      <c r="BD8" s="479"/>
      <c r="BE8" s="458"/>
      <c r="BF8" s="479" t="s">
        <v>22</v>
      </c>
      <c r="BG8" s="479"/>
      <c r="BH8" s="475"/>
      <c r="BI8" s="475"/>
      <c r="BJ8" s="475"/>
      <c r="BK8" s="458"/>
      <c r="BL8" s="479" t="s">
        <v>22</v>
      </c>
      <c r="BM8" s="479"/>
      <c r="BN8" s="475"/>
      <c r="BO8" s="475"/>
      <c r="BP8" s="475"/>
      <c r="BQ8" s="458"/>
      <c r="BR8" s="479" t="s">
        <v>22</v>
      </c>
      <c r="BS8" s="479"/>
      <c r="BT8" s="475"/>
      <c r="BU8" s="475"/>
      <c r="BV8" s="475"/>
      <c r="BW8" s="475"/>
      <c r="BX8" s="475"/>
      <c r="BY8" s="458"/>
      <c r="BZ8" s="479" t="s">
        <v>22</v>
      </c>
      <c r="CA8" s="479"/>
      <c r="CB8" s="475"/>
      <c r="CC8" s="475"/>
      <c r="CD8" s="475"/>
      <c r="CE8" s="458"/>
      <c r="CF8" s="479" t="s">
        <v>22</v>
      </c>
      <c r="CG8" s="479"/>
      <c r="CH8" s="475"/>
      <c r="CI8" s="475"/>
      <c r="CJ8" s="475"/>
      <c r="CK8" s="458"/>
      <c r="CL8" s="479" t="s">
        <v>22</v>
      </c>
      <c r="CM8" s="479"/>
      <c r="CN8" s="475"/>
      <c r="CO8" s="475"/>
      <c r="CP8" s="475"/>
      <c r="CQ8" s="482"/>
      <c r="CR8" s="479" t="s">
        <v>22</v>
      </c>
      <c r="CS8" s="479"/>
      <c r="CT8" s="479"/>
      <c r="CU8" s="479"/>
      <c r="CV8" s="479"/>
      <c r="CW8" s="482"/>
      <c r="CX8" s="479" t="s">
        <v>22</v>
      </c>
      <c r="CY8" s="479"/>
      <c r="CZ8" s="479"/>
      <c r="DA8" s="479"/>
      <c r="DB8" s="479"/>
      <c r="DC8" s="483"/>
      <c r="DD8" s="479" t="s">
        <v>22</v>
      </c>
      <c r="DE8" s="479"/>
      <c r="DF8" s="475"/>
      <c r="DG8" s="475"/>
      <c r="DH8" s="475"/>
      <c r="DI8" s="483"/>
    </row>
    <row r="9" spans="1:134" x14ac:dyDescent="0.2">
      <c r="A9" s="475" t="s">
        <v>45</v>
      </c>
      <c r="B9" s="475"/>
      <c r="C9" s="475"/>
      <c r="D9" s="475"/>
      <c r="E9" s="484"/>
      <c r="F9" s="485"/>
      <c r="G9" s="475" t="s">
        <v>45</v>
      </c>
      <c r="H9" s="475"/>
      <c r="I9" s="475"/>
      <c r="J9" s="475"/>
      <c r="K9" s="484"/>
      <c r="L9" s="486"/>
      <c r="M9" s="475" t="s">
        <v>45</v>
      </c>
      <c r="N9" s="475"/>
      <c r="O9" s="475"/>
      <c r="P9" s="475"/>
      <c r="Q9" s="476"/>
      <c r="R9" s="476"/>
      <c r="S9" s="476"/>
      <c r="T9" s="486"/>
      <c r="U9" s="475" t="str">
        <f>+$A$9</f>
        <v xml:space="preserve"> POWER COST ONLY RATE CASE</v>
      </c>
      <c r="V9" s="475"/>
      <c r="W9" s="475"/>
      <c r="X9" s="475"/>
      <c r="Y9" s="475"/>
      <c r="Z9" s="484"/>
      <c r="AA9" s="484"/>
      <c r="AB9" s="475" t="str">
        <f>+$A$9</f>
        <v xml:space="preserve"> POWER COST ONLY RATE CASE</v>
      </c>
      <c r="AC9" s="475"/>
      <c r="AD9" s="475"/>
      <c r="AE9" s="475"/>
      <c r="AF9" s="475"/>
      <c r="AG9" s="484"/>
      <c r="AH9" s="475" t="str">
        <f>+$A$9</f>
        <v xml:space="preserve"> POWER COST ONLY RATE CASE</v>
      </c>
      <c r="AI9" s="475"/>
      <c r="AJ9" s="475"/>
      <c r="AK9" s="475"/>
      <c r="AL9" s="475"/>
      <c r="AM9" s="484"/>
      <c r="AN9" s="475" t="str">
        <f>+$A$9</f>
        <v xml:space="preserve"> POWER COST ONLY RATE CASE</v>
      </c>
      <c r="AO9" s="475"/>
      <c r="AP9" s="475"/>
      <c r="AQ9" s="475"/>
      <c r="AR9" s="484"/>
      <c r="AS9" s="458"/>
      <c r="AT9" s="475" t="str">
        <f>+$A$9</f>
        <v xml:space="preserve"> POWER COST ONLY RATE CASE</v>
      </c>
      <c r="AU9" s="475"/>
      <c r="AV9" s="475"/>
      <c r="AW9" s="475"/>
      <c r="AX9" s="475"/>
      <c r="AY9" s="484"/>
      <c r="AZ9" s="475" t="str">
        <f>+$A$9</f>
        <v xml:space="preserve"> POWER COST ONLY RATE CASE</v>
      </c>
      <c r="BA9" s="475"/>
      <c r="BB9" s="475"/>
      <c r="BC9" s="475"/>
      <c r="BD9" s="475"/>
      <c r="BE9" s="458"/>
      <c r="BF9" s="475" t="str">
        <f>+$A$9</f>
        <v xml:space="preserve"> POWER COST ONLY RATE CASE</v>
      </c>
      <c r="BG9" s="475"/>
      <c r="BH9" s="475"/>
      <c r="BI9" s="475"/>
      <c r="BJ9" s="475"/>
      <c r="BK9" s="458"/>
      <c r="BL9" s="475" t="str">
        <f>+$A$9</f>
        <v xml:space="preserve"> POWER COST ONLY RATE CASE</v>
      </c>
      <c r="BM9" s="475"/>
      <c r="BN9" s="475"/>
      <c r="BO9" s="475"/>
      <c r="BP9" s="484"/>
      <c r="BQ9" s="458"/>
      <c r="BR9" s="475" t="str">
        <f>+$A$9</f>
        <v xml:space="preserve"> POWER COST ONLY RATE CASE</v>
      </c>
      <c r="BS9" s="475"/>
      <c r="BT9" s="475"/>
      <c r="BU9" s="475"/>
      <c r="BV9" s="475"/>
      <c r="BW9" s="475"/>
      <c r="BX9" s="484"/>
      <c r="BY9" s="458"/>
      <c r="BZ9" s="475" t="str">
        <f>+$A$9</f>
        <v xml:space="preserve"> POWER COST ONLY RATE CASE</v>
      </c>
      <c r="CA9" s="475"/>
      <c r="CB9" s="475"/>
      <c r="CC9" s="475"/>
      <c r="CD9" s="484"/>
      <c r="CE9" s="458"/>
      <c r="CF9" s="475" t="str">
        <f>+$A$9</f>
        <v xml:space="preserve"> POWER COST ONLY RATE CASE</v>
      </c>
      <c r="CG9" s="475"/>
      <c r="CH9" s="475"/>
      <c r="CI9" s="475"/>
      <c r="CJ9" s="484"/>
      <c r="CK9" s="458"/>
      <c r="CL9" s="475" t="str">
        <f>+$A$9</f>
        <v xml:space="preserve"> POWER COST ONLY RATE CASE</v>
      </c>
      <c r="CM9" s="475"/>
      <c r="CN9" s="475"/>
      <c r="CO9" s="475"/>
      <c r="CP9" s="484"/>
      <c r="CQ9" s="482"/>
      <c r="CR9" s="475" t="str">
        <f>+$A$9</f>
        <v xml:space="preserve"> POWER COST ONLY RATE CASE</v>
      </c>
      <c r="CS9" s="479"/>
      <c r="CT9" s="479"/>
      <c r="CU9" s="479"/>
      <c r="CV9" s="479"/>
      <c r="CW9" s="482"/>
      <c r="CX9" s="475" t="str">
        <f>+$A$9</f>
        <v xml:space="preserve"> POWER COST ONLY RATE CASE</v>
      </c>
      <c r="CY9" s="479"/>
      <c r="CZ9" s="479"/>
      <c r="DA9" s="479"/>
      <c r="DB9" s="479"/>
      <c r="DC9" s="461"/>
      <c r="DD9" s="475" t="str">
        <f>+$A$9</f>
        <v xml:space="preserve"> POWER COST ONLY RATE CASE</v>
      </c>
      <c r="DE9" s="475"/>
      <c r="DF9" s="475"/>
      <c r="DG9" s="475"/>
      <c r="DH9" s="484"/>
      <c r="DI9" s="461"/>
    </row>
    <row r="10" spans="1:134" x14ac:dyDescent="0.2">
      <c r="A10" s="475" t="str">
        <f>TY</f>
        <v>TEST YEAR 12 MONTHS ENDED JUNE 30, 2020</v>
      </c>
      <c r="B10" s="475"/>
      <c r="C10" s="475"/>
      <c r="D10" s="475"/>
      <c r="E10" s="487"/>
      <c r="F10" s="488"/>
      <c r="G10" s="475" t="str">
        <f>TY</f>
        <v>TEST YEAR 12 MONTHS ENDED JUNE 30, 2020</v>
      </c>
      <c r="H10" s="475"/>
      <c r="I10" s="475"/>
      <c r="J10" s="475"/>
      <c r="K10" s="487"/>
      <c r="L10" s="489"/>
      <c r="M10" s="475" t="str">
        <f>TY</f>
        <v>TEST YEAR 12 MONTHS ENDED JUNE 30, 2020</v>
      </c>
      <c r="N10" s="475"/>
      <c r="O10" s="475"/>
      <c r="P10" s="475"/>
      <c r="Q10" s="481"/>
      <c r="R10" s="481"/>
      <c r="S10" s="481"/>
      <c r="T10" s="489"/>
      <c r="U10" s="475" t="str">
        <f>+$A$10</f>
        <v>TEST YEAR 12 MONTHS ENDED JUNE 30, 2020</v>
      </c>
      <c r="V10" s="475"/>
      <c r="W10" s="475"/>
      <c r="X10" s="475"/>
      <c r="Y10" s="475"/>
      <c r="Z10" s="487"/>
      <c r="AA10" s="487"/>
      <c r="AB10" s="475" t="str">
        <f>+$A$10</f>
        <v>TEST YEAR 12 MONTHS ENDED JUNE 30, 2020</v>
      </c>
      <c r="AC10" s="475"/>
      <c r="AD10" s="475"/>
      <c r="AE10" s="475"/>
      <c r="AF10" s="475"/>
      <c r="AG10" s="487"/>
      <c r="AH10" s="475" t="str">
        <f>+$A$10</f>
        <v>TEST YEAR 12 MONTHS ENDED JUNE 30, 2020</v>
      </c>
      <c r="AI10" s="475"/>
      <c r="AJ10" s="475"/>
      <c r="AK10" s="475"/>
      <c r="AL10" s="475"/>
      <c r="AM10" s="487"/>
      <c r="AN10" s="475" t="str">
        <f>+$A$10</f>
        <v>TEST YEAR 12 MONTHS ENDED JUNE 30, 2020</v>
      </c>
      <c r="AO10" s="475"/>
      <c r="AP10" s="475"/>
      <c r="AQ10" s="475"/>
      <c r="AR10" s="487"/>
      <c r="AS10" s="458"/>
      <c r="AT10" s="475" t="str">
        <f>+$A$10</f>
        <v>TEST YEAR 12 MONTHS ENDED JUNE 30, 2020</v>
      </c>
      <c r="AU10" s="475"/>
      <c r="AV10" s="475"/>
      <c r="AW10" s="475"/>
      <c r="AX10" s="475"/>
      <c r="AY10" s="487"/>
      <c r="AZ10" s="475" t="str">
        <f>+$A$10</f>
        <v>TEST YEAR 12 MONTHS ENDED JUNE 30, 2020</v>
      </c>
      <c r="BA10" s="475"/>
      <c r="BB10" s="475"/>
      <c r="BC10" s="475"/>
      <c r="BD10" s="475"/>
      <c r="BE10" s="458"/>
      <c r="BF10" s="475" t="str">
        <f>+$A$10</f>
        <v>TEST YEAR 12 MONTHS ENDED JUNE 30, 2020</v>
      </c>
      <c r="BG10" s="475"/>
      <c r="BH10" s="475"/>
      <c r="BI10" s="475"/>
      <c r="BJ10" s="475"/>
      <c r="BK10" s="458"/>
      <c r="BL10" s="475" t="str">
        <f>+$A$10</f>
        <v>TEST YEAR 12 MONTHS ENDED JUNE 30, 2020</v>
      </c>
      <c r="BM10" s="475"/>
      <c r="BN10" s="475"/>
      <c r="BO10" s="475"/>
      <c r="BP10" s="487"/>
      <c r="BQ10" s="458"/>
      <c r="BR10" s="475" t="str">
        <f>+$A$10</f>
        <v>TEST YEAR 12 MONTHS ENDED JUNE 30, 2020</v>
      </c>
      <c r="BS10" s="475"/>
      <c r="BT10" s="475"/>
      <c r="BU10" s="475"/>
      <c r="BV10" s="475"/>
      <c r="BW10" s="475"/>
      <c r="BX10" s="487"/>
      <c r="BY10" s="458"/>
      <c r="BZ10" s="475" t="str">
        <f>+$A$10</f>
        <v>TEST YEAR 12 MONTHS ENDED JUNE 30, 2020</v>
      </c>
      <c r="CA10" s="475"/>
      <c r="CB10" s="475"/>
      <c r="CC10" s="475"/>
      <c r="CD10" s="487"/>
      <c r="CE10" s="458"/>
      <c r="CF10" s="475" t="str">
        <f>+$A$10</f>
        <v>TEST YEAR 12 MONTHS ENDED JUNE 30, 2020</v>
      </c>
      <c r="CG10" s="475"/>
      <c r="CH10" s="475"/>
      <c r="CI10" s="475"/>
      <c r="CJ10" s="487"/>
      <c r="CK10" s="458"/>
      <c r="CL10" s="475" t="str">
        <f>+$A$10</f>
        <v>TEST YEAR 12 MONTHS ENDED JUNE 30, 2020</v>
      </c>
      <c r="CM10" s="475"/>
      <c r="CN10" s="475"/>
      <c r="CO10" s="475"/>
      <c r="CP10" s="487"/>
      <c r="CQ10" s="482"/>
      <c r="CR10" s="475" t="str">
        <f>+$A$10</f>
        <v>TEST YEAR 12 MONTHS ENDED JUNE 30, 2020</v>
      </c>
      <c r="CS10" s="479"/>
      <c r="CT10" s="479"/>
      <c r="CU10" s="479"/>
      <c r="CV10" s="479"/>
      <c r="CW10" s="482"/>
      <c r="CX10" s="475" t="str">
        <f>+$A$10</f>
        <v>TEST YEAR 12 MONTHS ENDED JUNE 30, 2020</v>
      </c>
      <c r="CY10" s="479"/>
      <c r="CZ10" s="479"/>
      <c r="DA10" s="479"/>
      <c r="DB10" s="479"/>
      <c r="DC10" s="490"/>
      <c r="DD10" s="475" t="str">
        <f>+$A$10</f>
        <v>TEST YEAR 12 MONTHS ENDED JUNE 30, 2020</v>
      </c>
      <c r="DE10" s="475"/>
      <c r="DF10" s="475"/>
      <c r="DG10" s="475"/>
      <c r="DH10" s="487"/>
      <c r="DI10" s="490"/>
    </row>
    <row r="11" spans="1:134" s="458" customFormat="1" x14ac:dyDescent="0.2">
      <c r="A11" s="475" t="str">
        <f>RY</f>
        <v>RATE YEAR 12 MONTHS ENDED MAY 31, 2022</v>
      </c>
      <c r="B11" s="475"/>
      <c r="C11" s="475"/>
      <c r="D11" s="475"/>
      <c r="E11" s="487"/>
      <c r="F11" s="488"/>
      <c r="G11" s="475" t="str">
        <f>RY</f>
        <v>RATE YEAR 12 MONTHS ENDED MAY 31, 2022</v>
      </c>
      <c r="H11" s="475"/>
      <c r="I11" s="475"/>
      <c r="J11" s="475"/>
      <c r="K11" s="487"/>
      <c r="L11" s="489"/>
      <c r="M11" s="475" t="str">
        <f>RY</f>
        <v>RATE YEAR 12 MONTHS ENDED MAY 31, 2022</v>
      </c>
      <c r="N11" s="475"/>
      <c r="O11" s="475"/>
      <c r="P11" s="475"/>
      <c r="Q11" s="476"/>
      <c r="R11" s="476"/>
      <c r="S11" s="476"/>
      <c r="T11" s="489"/>
      <c r="U11" s="475" t="str">
        <f>+$A$11</f>
        <v>RATE YEAR 12 MONTHS ENDED MAY 31, 2022</v>
      </c>
      <c r="V11" s="475"/>
      <c r="W11" s="475"/>
      <c r="X11" s="475"/>
      <c r="Y11" s="475"/>
      <c r="Z11" s="487"/>
      <c r="AA11" s="487"/>
      <c r="AB11" s="475" t="str">
        <f>+$A$11</f>
        <v>RATE YEAR 12 MONTHS ENDED MAY 31, 2022</v>
      </c>
      <c r="AC11" s="475"/>
      <c r="AD11" s="475"/>
      <c r="AE11" s="475"/>
      <c r="AF11" s="475"/>
      <c r="AG11" s="487"/>
      <c r="AH11" s="475" t="str">
        <f>+$A$11</f>
        <v>RATE YEAR 12 MONTHS ENDED MAY 31, 2022</v>
      </c>
      <c r="AI11" s="475"/>
      <c r="AJ11" s="475"/>
      <c r="AK11" s="475"/>
      <c r="AL11" s="475"/>
      <c r="AM11" s="487"/>
      <c r="AN11" s="475" t="str">
        <f>+$A$11</f>
        <v>RATE YEAR 12 MONTHS ENDED MAY 31, 2022</v>
      </c>
      <c r="AO11" s="475"/>
      <c r="AP11" s="475"/>
      <c r="AQ11" s="475"/>
      <c r="AR11" s="487"/>
      <c r="AT11" s="475" t="str">
        <f>+$A$11</f>
        <v>RATE YEAR 12 MONTHS ENDED MAY 31, 2022</v>
      </c>
      <c r="AU11" s="475"/>
      <c r="AV11" s="475"/>
      <c r="AW11" s="475"/>
      <c r="AX11" s="475"/>
      <c r="AY11" s="487"/>
      <c r="AZ11" s="475" t="str">
        <f>+$A$11</f>
        <v>RATE YEAR 12 MONTHS ENDED MAY 31, 2022</v>
      </c>
      <c r="BA11" s="475"/>
      <c r="BB11" s="475"/>
      <c r="BC11" s="475"/>
      <c r="BD11" s="475"/>
      <c r="BF11" s="475" t="str">
        <f>+$A$11</f>
        <v>RATE YEAR 12 MONTHS ENDED MAY 31, 2022</v>
      </c>
      <c r="BG11" s="475"/>
      <c r="BH11" s="475"/>
      <c r="BI11" s="475"/>
      <c r="BJ11" s="475"/>
      <c r="BL11" s="475" t="str">
        <f>+$A$11</f>
        <v>RATE YEAR 12 MONTHS ENDED MAY 31, 2022</v>
      </c>
      <c r="BM11" s="475"/>
      <c r="BN11" s="475"/>
      <c r="BO11" s="475"/>
      <c r="BP11" s="487"/>
      <c r="BR11" s="475" t="str">
        <f>+$A$11</f>
        <v>RATE YEAR 12 MONTHS ENDED MAY 31, 2022</v>
      </c>
      <c r="BS11" s="475"/>
      <c r="BT11" s="475"/>
      <c r="BU11" s="475"/>
      <c r="BV11" s="475"/>
      <c r="BW11" s="475"/>
      <c r="BX11" s="487"/>
      <c r="BZ11" s="475" t="str">
        <f>+$A$11</f>
        <v>RATE YEAR 12 MONTHS ENDED MAY 31, 2022</v>
      </c>
      <c r="CA11" s="475"/>
      <c r="CB11" s="475"/>
      <c r="CC11" s="475"/>
      <c r="CD11" s="487"/>
      <c r="CF11" s="475" t="str">
        <f>+$A$11</f>
        <v>RATE YEAR 12 MONTHS ENDED MAY 31, 2022</v>
      </c>
      <c r="CG11" s="475"/>
      <c r="CH11" s="475"/>
      <c r="CI11" s="475"/>
      <c r="CJ11" s="487"/>
      <c r="CL11" s="475" t="str">
        <f>+$A$11</f>
        <v>RATE YEAR 12 MONTHS ENDED MAY 31, 2022</v>
      </c>
      <c r="CM11" s="475"/>
      <c r="CN11" s="475"/>
      <c r="CO11" s="475"/>
      <c r="CP11" s="487"/>
      <c r="CQ11" s="482"/>
      <c r="CR11" s="475" t="str">
        <f>+$A$11</f>
        <v>RATE YEAR 12 MONTHS ENDED MAY 31, 2022</v>
      </c>
      <c r="CS11" s="479"/>
      <c r="CT11" s="479"/>
      <c r="CU11" s="479"/>
      <c r="CV11" s="479"/>
      <c r="CW11" s="482"/>
      <c r="CX11" s="475" t="str">
        <f>+$A$11</f>
        <v>RATE YEAR 12 MONTHS ENDED MAY 31, 2022</v>
      </c>
      <c r="CY11" s="479"/>
      <c r="CZ11" s="479"/>
      <c r="DA11" s="479"/>
      <c r="DB11" s="479"/>
      <c r="DC11" s="461"/>
      <c r="DD11" s="475" t="str">
        <f>+$A$11</f>
        <v>RATE YEAR 12 MONTHS ENDED MAY 31, 2022</v>
      </c>
      <c r="DE11" s="475"/>
      <c r="DF11" s="475"/>
      <c r="DG11" s="475"/>
      <c r="DH11" s="487"/>
      <c r="DI11" s="461"/>
      <c r="DJ11" s="454"/>
      <c r="DK11" s="454"/>
      <c r="DL11" s="454"/>
      <c r="DM11" s="454"/>
      <c r="DN11" s="454"/>
      <c r="DO11" s="454"/>
      <c r="DP11" s="454"/>
      <c r="DQ11" s="454"/>
      <c r="DR11" s="454"/>
      <c r="DS11" s="454"/>
      <c r="DT11" s="454"/>
      <c r="DU11" s="454"/>
      <c r="DV11" s="454"/>
      <c r="DW11" s="454"/>
      <c r="DX11" s="454"/>
      <c r="DY11" s="454"/>
      <c r="DZ11" s="454"/>
      <c r="EA11" s="454"/>
      <c r="EB11" s="454"/>
      <c r="EC11" s="454"/>
      <c r="ED11" s="454"/>
    </row>
    <row r="12" spans="1:134" s="501" customFormat="1" x14ac:dyDescent="0.2">
      <c r="A12" s="491" t="s">
        <v>173</v>
      </c>
      <c r="B12" s="491"/>
      <c r="C12" s="491"/>
      <c r="D12" s="491"/>
      <c r="E12" s="492"/>
      <c r="F12" s="493"/>
      <c r="G12" s="491" t="s">
        <v>175</v>
      </c>
      <c r="H12" s="491"/>
      <c r="I12" s="491"/>
      <c r="J12" s="491"/>
      <c r="K12" s="492"/>
      <c r="L12" s="494"/>
      <c r="M12" s="491" t="s">
        <v>178</v>
      </c>
      <c r="N12" s="491"/>
      <c r="O12" s="491"/>
      <c r="P12" s="491"/>
      <c r="Q12" s="495"/>
      <c r="R12" s="495"/>
      <c r="S12" s="495"/>
      <c r="T12" s="494"/>
      <c r="U12" s="491" t="s">
        <v>78</v>
      </c>
      <c r="V12" s="491"/>
      <c r="W12" s="491"/>
      <c r="X12" s="491"/>
      <c r="Y12" s="491"/>
      <c r="Z12" s="492"/>
      <c r="AA12" s="492"/>
      <c r="AB12" s="491" t="s">
        <v>426</v>
      </c>
      <c r="AC12" s="491"/>
      <c r="AD12" s="491"/>
      <c r="AE12" s="491"/>
      <c r="AF12" s="492"/>
      <c r="AG12" s="492"/>
      <c r="AH12" s="491" t="s">
        <v>425</v>
      </c>
      <c r="AI12" s="491"/>
      <c r="AJ12" s="491"/>
      <c r="AK12" s="491"/>
      <c r="AL12" s="492"/>
      <c r="AM12" s="492"/>
      <c r="AN12" s="491" t="s">
        <v>192</v>
      </c>
      <c r="AO12" s="491"/>
      <c r="AP12" s="491"/>
      <c r="AQ12" s="491"/>
      <c r="AR12" s="492"/>
      <c r="AS12" s="496"/>
      <c r="AT12" s="491" t="s">
        <v>77</v>
      </c>
      <c r="AU12" s="492"/>
      <c r="AV12" s="492"/>
      <c r="AW12" s="492"/>
      <c r="AX12" s="492"/>
      <c r="AY12" s="492"/>
      <c r="AZ12" s="491" t="s">
        <v>193</v>
      </c>
      <c r="BA12" s="492"/>
      <c r="BB12" s="492"/>
      <c r="BC12" s="492"/>
      <c r="BD12" s="492"/>
      <c r="BE12" s="496"/>
      <c r="BF12" s="491" t="s">
        <v>750</v>
      </c>
      <c r="BG12" s="491"/>
      <c r="BH12" s="497"/>
      <c r="BI12" s="491"/>
      <c r="BJ12" s="492"/>
      <c r="BK12" s="496"/>
      <c r="BL12" s="491" t="s">
        <v>194</v>
      </c>
      <c r="BM12" s="491"/>
      <c r="BN12" s="491"/>
      <c r="BO12" s="491"/>
      <c r="BP12" s="492"/>
      <c r="BQ12" s="496"/>
      <c r="BR12" s="491" t="s">
        <v>441</v>
      </c>
      <c r="BS12" s="491"/>
      <c r="BT12" s="491"/>
      <c r="BU12" s="491"/>
      <c r="BV12" s="491"/>
      <c r="BW12" s="491"/>
      <c r="BX12" s="492"/>
      <c r="BY12" s="496"/>
      <c r="BZ12" s="491" t="s">
        <v>195</v>
      </c>
      <c r="CA12" s="491"/>
      <c r="CB12" s="491"/>
      <c r="CC12" s="491"/>
      <c r="CD12" s="492"/>
      <c r="CE12" s="496"/>
      <c r="CF12" s="491" t="s">
        <v>243</v>
      </c>
      <c r="CG12" s="491"/>
      <c r="CH12" s="497"/>
      <c r="CI12" s="491"/>
      <c r="CJ12" s="492"/>
      <c r="CK12" s="496"/>
      <c r="CL12" s="491" t="s">
        <v>196</v>
      </c>
      <c r="CM12" s="491"/>
      <c r="CN12" s="497"/>
      <c r="CO12" s="491"/>
      <c r="CP12" s="492"/>
      <c r="CQ12" s="498"/>
      <c r="CR12" s="757"/>
      <c r="CS12" s="1008" t="s">
        <v>196</v>
      </c>
      <c r="CT12" s="1008"/>
      <c r="CU12" s="1008"/>
      <c r="CV12" s="1008"/>
      <c r="CW12" s="498"/>
      <c r="CX12" s="491" t="s">
        <v>46</v>
      </c>
      <c r="CY12" s="499"/>
      <c r="CZ12" s="499"/>
      <c r="DA12" s="499"/>
      <c r="DB12" s="499"/>
      <c r="DC12" s="500"/>
      <c r="DD12" s="491" t="s">
        <v>786</v>
      </c>
      <c r="DE12" s="491"/>
      <c r="DF12" s="497"/>
      <c r="DG12" s="491"/>
      <c r="DH12" s="492"/>
      <c r="DI12" s="500"/>
      <c r="DJ12" s="454"/>
      <c r="DK12" s="454"/>
      <c r="DL12" s="454"/>
      <c r="DM12" s="454"/>
      <c r="DN12" s="454"/>
      <c r="DO12" s="454"/>
      <c r="DP12" s="454"/>
      <c r="DQ12" s="454"/>
      <c r="DR12" s="454"/>
      <c r="DS12" s="454"/>
      <c r="DT12" s="454"/>
      <c r="DU12" s="454"/>
      <c r="DV12" s="454"/>
      <c r="DW12" s="454"/>
      <c r="DX12" s="454"/>
      <c r="DY12" s="454"/>
      <c r="DZ12" s="454"/>
      <c r="EA12" s="454"/>
      <c r="EB12" s="454"/>
      <c r="EC12" s="454"/>
      <c r="ED12" s="454"/>
    </row>
    <row r="13" spans="1:134" x14ac:dyDescent="0.2">
      <c r="A13" s="460"/>
      <c r="B13" s="458"/>
      <c r="C13" s="460"/>
      <c r="D13" s="266"/>
      <c r="E13" s="460"/>
      <c r="F13" s="460"/>
      <c r="H13" s="458"/>
      <c r="L13" s="502"/>
      <c r="M13" s="502"/>
      <c r="N13" s="458"/>
      <c r="T13" s="502"/>
      <c r="U13" s="460"/>
      <c r="V13" s="458"/>
      <c r="W13" s="460"/>
      <c r="X13" s="266"/>
      <c r="Y13" s="266"/>
      <c r="Z13" s="460"/>
      <c r="AA13" s="460"/>
      <c r="AB13" s="463"/>
      <c r="AC13" s="394"/>
      <c r="AD13" s="454"/>
      <c r="AE13" s="454"/>
      <c r="AF13" s="454"/>
      <c r="AG13" s="460"/>
      <c r="AH13" s="460"/>
      <c r="AI13" s="458"/>
      <c r="AJ13" s="460"/>
      <c r="AK13" s="266"/>
      <c r="AL13" s="460"/>
      <c r="AM13" s="460"/>
      <c r="AN13" s="460"/>
      <c r="AO13" s="458"/>
      <c r="AS13" s="458"/>
      <c r="AT13" s="460"/>
      <c r="AU13" s="460"/>
      <c r="AV13" s="460"/>
      <c r="AW13" s="460"/>
      <c r="AX13" s="460"/>
      <c r="AY13" s="460"/>
      <c r="AZ13" s="460"/>
      <c r="BA13" s="460"/>
      <c r="BB13" s="460"/>
      <c r="BC13" s="460"/>
      <c r="BD13" s="460"/>
      <c r="BE13" s="458"/>
      <c r="BF13" s="460"/>
      <c r="BG13" s="458"/>
      <c r="BH13" s="458"/>
      <c r="BI13" s="266"/>
      <c r="BJ13" s="460"/>
      <c r="BK13" s="458"/>
      <c r="BL13" s="458"/>
      <c r="BM13" s="458"/>
      <c r="BN13" s="458"/>
      <c r="BO13" s="458"/>
      <c r="BP13" s="458"/>
      <c r="BQ13" s="458"/>
      <c r="BR13" s="458"/>
      <c r="BS13" s="458"/>
      <c r="BT13" s="458"/>
      <c r="BU13" s="458"/>
      <c r="BV13" s="458"/>
      <c r="BW13" s="458"/>
      <c r="BX13" s="458"/>
      <c r="BY13" s="458"/>
      <c r="BZ13" s="460"/>
      <c r="CA13" s="458"/>
      <c r="CB13" s="460"/>
      <c r="CC13" s="266"/>
      <c r="CD13" s="460"/>
      <c r="CE13" s="458"/>
      <c r="CH13" s="454" t="s">
        <v>747</v>
      </c>
      <c r="CI13" s="612">
        <f>+'[11]Lead Sheet'!$C$23</f>
        <v>0</v>
      </c>
      <c r="CK13" s="458"/>
      <c r="CL13" s="460"/>
      <c r="CM13" s="458"/>
      <c r="CN13" s="458"/>
      <c r="CO13" s="266"/>
      <c r="CP13" s="460"/>
      <c r="CQ13" s="460"/>
      <c r="CR13" s="482"/>
      <c r="CS13" s="482"/>
      <c r="CT13" s="482"/>
      <c r="CU13" s="482"/>
      <c r="CV13" s="482"/>
      <c r="CW13" s="482"/>
      <c r="CX13" s="1007"/>
      <c r="CY13" s="1007"/>
      <c r="CZ13" s="1007"/>
      <c r="DA13" s="1007"/>
      <c r="DB13" s="1007"/>
      <c r="DC13" s="503"/>
      <c r="DF13" s="454" t="s">
        <v>747</v>
      </c>
      <c r="DG13" s="612">
        <f>+'[11]Lead Sheet'!$C$23</f>
        <v>0</v>
      </c>
      <c r="DI13" s="503"/>
    </row>
    <row r="14" spans="1:134" ht="13.5" x14ac:dyDescent="0.25">
      <c r="F14" s="478"/>
      <c r="I14" s="764" t="s">
        <v>25</v>
      </c>
      <c r="J14" s="765"/>
      <c r="K14" s="765"/>
      <c r="L14" s="504"/>
      <c r="M14" s="472"/>
      <c r="O14" s="759" t="s">
        <v>28</v>
      </c>
      <c r="P14" s="759"/>
      <c r="Q14" s="760"/>
      <c r="R14" s="760"/>
      <c r="S14" s="760"/>
      <c r="T14" s="504"/>
      <c r="U14" s="482" t="s">
        <v>4</v>
      </c>
      <c r="V14" s="460"/>
      <c r="W14" s="478"/>
      <c r="X14" s="478"/>
      <c r="Y14" s="478" t="s">
        <v>27</v>
      </c>
      <c r="Z14" s="478"/>
      <c r="AB14" s="756" t="s">
        <v>4</v>
      </c>
      <c r="AC14" s="460"/>
      <c r="AD14" s="478"/>
      <c r="AE14" s="478" t="s">
        <v>27</v>
      </c>
      <c r="AF14" s="478"/>
      <c r="AH14" s="482" t="s">
        <v>4</v>
      </c>
      <c r="AI14" s="460"/>
      <c r="AJ14" s="478"/>
      <c r="AK14" s="478" t="s">
        <v>27</v>
      </c>
      <c r="AL14" s="478"/>
      <c r="AN14" s="482" t="s">
        <v>4</v>
      </c>
      <c r="AO14" s="460"/>
      <c r="AP14" s="478" t="s">
        <v>657</v>
      </c>
      <c r="AQ14" s="478" t="s">
        <v>27</v>
      </c>
      <c r="AR14" s="478"/>
      <c r="AT14" s="482" t="s">
        <v>4</v>
      </c>
      <c r="AU14" s="478"/>
      <c r="AV14" s="478" t="s">
        <v>657</v>
      </c>
      <c r="AW14" s="478" t="s">
        <v>27</v>
      </c>
      <c r="AX14" s="478"/>
      <c r="AZ14" s="482" t="s">
        <v>4</v>
      </c>
      <c r="BA14" s="478"/>
      <c r="BB14" s="478"/>
      <c r="BC14" s="478" t="s">
        <v>27</v>
      </c>
      <c r="BD14" s="478"/>
      <c r="BF14" s="482" t="s">
        <v>4</v>
      </c>
      <c r="BG14" s="460"/>
      <c r="BH14" s="478" t="s">
        <v>602</v>
      </c>
      <c r="BI14" s="478" t="s">
        <v>27</v>
      </c>
      <c r="BJ14" s="478"/>
      <c r="BL14" s="482" t="s">
        <v>4</v>
      </c>
      <c r="BM14" s="460"/>
      <c r="BN14" s="478" t="s">
        <v>657</v>
      </c>
      <c r="BO14" s="478" t="s">
        <v>27</v>
      </c>
      <c r="BP14" s="478"/>
      <c r="BR14" s="482" t="s">
        <v>4</v>
      </c>
      <c r="BS14" s="460"/>
      <c r="BT14" s="478"/>
      <c r="BU14" s="478" t="s">
        <v>437</v>
      </c>
      <c r="BV14" s="478" t="s">
        <v>438</v>
      </c>
      <c r="BW14" s="478" t="s">
        <v>27</v>
      </c>
      <c r="BX14" s="478" t="s">
        <v>201</v>
      </c>
      <c r="BZ14" s="482" t="s">
        <v>4</v>
      </c>
      <c r="CA14" s="460"/>
      <c r="CB14" s="478"/>
      <c r="CC14" s="478" t="s">
        <v>27</v>
      </c>
      <c r="CD14" s="478"/>
      <c r="CF14" s="482" t="s">
        <v>4</v>
      </c>
      <c r="CG14" s="460"/>
      <c r="CH14" s="478"/>
      <c r="CI14" s="478" t="s">
        <v>27</v>
      </c>
      <c r="CJ14" s="478"/>
      <c r="CL14" s="482" t="s">
        <v>4</v>
      </c>
      <c r="CM14" s="460"/>
      <c r="CN14" s="478"/>
      <c r="CO14" s="478" t="s">
        <v>27</v>
      </c>
      <c r="CP14" s="478"/>
      <c r="CQ14" s="478"/>
      <c r="CR14" s="482" t="s">
        <v>4</v>
      </c>
      <c r="CS14" s="460"/>
      <c r="CT14" s="478"/>
      <c r="CU14" s="478" t="s">
        <v>27</v>
      </c>
      <c r="CV14" s="478"/>
      <c r="CW14" s="478"/>
      <c r="CX14" s="482" t="s">
        <v>4</v>
      </c>
      <c r="CY14" s="460"/>
      <c r="CZ14" s="478"/>
      <c r="DA14" s="478"/>
      <c r="DB14" s="478"/>
      <c r="DD14" s="882" t="s">
        <v>4</v>
      </c>
      <c r="DE14" s="460"/>
      <c r="DF14" s="478"/>
      <c r="DG14" s="478" t="s">
        <v>27</v>
      </c>
      <c r="DH14" s="478"/>
      <c r="DI14" s="505"/>
    </row>
    <row r="15" spans="1:134" ht="13.5" x14ac:dyDescent="0.25">
      <c r="F15" s="506"/>
      <c r="I15" s="761"/>
      <c r="J15" s="474"/>
      <c r="K15" s="766" t="s">
        <v>177</v>
      </c>
      <c r="L15" s="504"/>
      <c r="M15" s="472"/>
      <c r="O15" s="761"/>
      <c r="P15" s="761"/>
      <c r="Q15" s="460"/>
      <c r="R15" s="460"/>
      <c r="S15" s="478" t="s">
        <v>49</v>
      </c>
      <c r="T15" s="504"/>
      <c r="U15" s="507" t="s">
        <v>5</v>
      </c>
      <c r="V15" s="508" t="s">
        <v>6</v>
      </c>
      <c r="W15" s="507"/>
      <c r="X15" s="507" t="s">
        <v>25</v>
      </c>
      <c r="Y15" s="507" t="s">
        <v>44</v>
      </c>
      <c r="Z15" s="507" t="s">
        <v>20</v>
      </c>
      <c r="AB15" s="507" t="s">
        <v>5</v>
      </c>
      <c r="AC15" s="508" t="s">
        <v>6</v>
      </c>
      <c r="AD15" s="507" t="s">
        <v>25</v>
      </c>
      <c r="AE15" s="507" t="s">
        <v>44</v>
      </c>
      <c r="AF15" s="507" t="s">
        <v>20</v>
      </c>
      <c r="AH15" s="507" t="s">
        <v>5</v>
      </c>
      <c r="AI15" s="508" t="s">
        <v>6</v>
      </c>
      <c r="AJ15" s="507" t="s">
        <v>25</v>
      </c>
      <c r="AK15" s="507" t="s">
        <v>44</v>
      </c>
      <c r="AL15" s="507" t="s">
        <v>20</v>
      </c>
      <c r="AN15" s="507" t="s">
        <v>5</v>
      </c>
      <c r="AO15" s="508" t="s">
        <v>6</v>
      </c>
      <c r="AP15" s="507" t="s">
        <v>658</v>
      </c>
      <c r="AQ15" s="507" t="s">
        <v>44</v>
      </c>
      <c r="AR15" s="507" t="s">
        <v>20</v>
      </c>
      <c r="AT15" s="507" t="s">
        <v>5</v>
      </c>
      <c r="AU15" s="508" t="s">
        <v>6</v>
      </c>
      <c r="AV15" s="507" t="s">
        <v>658</v>
      </c>
      <c r="AW15" s="507" t="s">
        <v>44</v>
      </c>
      <c r="AX15" s="507" t="s">
        <v>20</v>
      </c>
      <c r="AZ15" s="507" t="s">
        <v>5</v>
      </c>
      <c r="BA15" s="508" t="s">
        <v>6</v>
      </c>
      <c r="BB15" s="507" t="str">
        <f>+C17</f>
        <v>TEST YEAR</v>
      </c>
      <c r="BC15" s="507" t="s">
        <v>44</v>
      </c>
      <c r="BD15" s="507" t="s">
        <v>20</v>
      </c>
      <c r="BF15" s="507" t="s">
        <v>5</v>
      </c>
      <c r="BG15" s="508" t="s">
        <v>6</v>
      </c>
      <c r="BH15" s="507" t="str">
        <f>+C17</f>
        <v>TEST YEAR</v>
      </c>
      <c r="BI15" s="507" t="s">
        <v>44</v>
      </c>
      <c r="BJ15" s="507" t="s">
        <v>20</v>
      </c>
      <c r="BL15" s="507" t="s">
        <v>5</v>
      </c>
      <c r="BM15" s="508" t="s">
        <v>6</v>
      </c>
      <c r="BN15" s="507" t="s">
        <v>658</v>
      </c>
      <c r="BO15" s="507" t="s">
        <v>44</v>
      </c>
      <c r="BP15" s="507" t="s">
        <v>20</v>
      </c>
      <c r="BQ15" s="458"/>
      <c r="BR15" s="507" t="s">
        <v>5</v>
      </c>
      <c r="BS15" s="508" t="s">
        <v>6</v>
      </c>
      <c r="BT15" s="507" t="str">
        <f>+BN15</f>
        <v xml:space="preserve">ADJS. #3 &amp; #4 </v>
      </c>
      <c r="BU15" s="507" t="s">
        <v>439</v>
      </c>
      <c r="BV15" s="507" t="s">
        <v>440</v>
      </c>
      <c r="BW15" s="507" t="s">
        <v>44</v>
      </c>
      <c r="BX15" s="507" t="s">
        <v>20</v>
      </c>
      <c r="BZ15" s="507" t="s">
        <v>5</v>
      </c>
      <c r="CA15" s="508" t="s">
        <v>6</v>
      </c>
      <c r="CB15" s="507" t="s">
        <v>658</v>
      </c>
      <c r="CC15" s="507" t="s">
        <v>44</v>
      </c>
      <c r="CD15" s="507" t="s">
        <v>20</v>
      </c>
      <c r="CF15" s="507" t="s">
        <v>5</v>
      </c>
      <c r="CG15" s="508" t="s">
        <v>6</v>
      </c>
      <c r="CH15" s="507" t="s">
        <v>25</v>
      </c>
      <c r="CI15" s="507" t="s">
        <v>44</v>
      </c>
      <c r="CJ15" s="507" t="s">
        <v>20</v>
      </c>
      <c r="CL15" s="507" t="s">
        <v>5</v>
      </c>
      <c r="CM15" s="508" t="s">
        <v>6</v>
      </c>
      <c r="CN15" s="507" t="str">
        <f>+BH15</f>
        <v>TEST YEAR</v>
      </c>
      <c r="CO15" s="507" t="s">
        <v>44</v>
      </c>
      <c r="CP15" s="507" t="s">
        <v>20</v>
      </c>
      <c r="CQ15" s="474"/>
      <c r="CR15" s="507" t="s">
        <v>5</v>
      </c>
      <c r="CS15" s="508" t="s">
        <v>6</v>
      </c>
      <c r="CT15" s="507" t="str">
        <f>+BN15</f>
        <v xml:space="preserve">ADJS. #3 &amp; #4 </v>
      </c>
      <c r="CU15" s="507" t="s">
        <v>44</v>
      </c>
      <c r="CV15" s="507" t="s">
        <v>20</v>
      </c>
      <c r="CW15" s="509"/>
      <c r="CX15" s="507" t="s">
        <v>5</v>
      </c>
      <c r="CY15" s="508" t="s">
        <v>6</v>
      </c>
      <c r="CZ15" s="507"/>
      <c r="DA15" s="507"/>
      <c r="DB15" s="507" t="s">
        <v>66</v>
      </c>
      <c r="DD15" s="507" t="s">
        <v>5</v>
      </c>
      <c r="DE15" s="508" t="s">
        <v>6</v>
      </c>
      <c r="DF15" s="507" t="s">
        <v>25</v>
      </c>
      <c r="DG15" s="507" t="s">
        <v>44</v>
      </c>
      <c r="DH15" s="507" t="s">
        <v>20</v>
      </c>
      <c r="DI15" s="505"/>
    </row>
    <row r="16" spans="1:134" x14ac:dyDescent="0.2">
      <c r="A16" s="482" t="s">
        <v>4</v>
      </c>
      <c r="B16" s="460"/>
      <c r="C16" s="478"/>
      <c r="D16" s="478"/>
      <c r="E16" s="478"/>
      <c r="F16" s="458"/>
      <c r="G16" s="756" t="s">
        <v>4</v>
      </c>
      <c r="H16" s="460"/>
      <c r="I16" s="478" t="s">
        <v>40</v>
      </c>
      <c r="J16" s="478" t="s">
        <v>82</v>
      </c>
      <c r="K16" s="478" t="s">
        <v>51</v>
      </c>
      <c r="L16" s="257"/>
      <c r="M16" s="756" t="s">
        <v>4</v>
      </c>
      <c r="N16" s="460"/>
      <c r="O16" s="478" t="s">
        <v>40</v>
      </c>
      <c r="P16" s="478" t="s">
        <v>41</v>
      </c>
      <c r="Q16" s="478" t="s">
        <v>47</v>
      </c>
      <c r="R16" s="478"/>
      <c r="S16" s="478" t="s">
        <v>50</v>
      </c>
      <c r="T16" s="257"/>
      <c r="U16" s="967" t="s">
        <v>801</v>
      </c>
      <c r="V16" s="496"/>
      <c r="W16" s="458"/>
      <c r="Z16" s="458"/>
      <c r="AA16" s="478"/>
      <c r="AG16" s="478"/>
      <c r="AM16" s="474"/>
      <c r="AN16" s="458"/>
      <c r="AO16" s="496"/>
      <c r="AQ16" s="458"/>
      <c r="AR16" s="458"/>
      <c r="AS16" s="458"/>
      <c r="AT16" s="458"/>
      <c r="AU16" s="496"/>
      <c r="AW16" s="458"/>
      <c r="AX16" s="458"/>
      <c r="AY16" s="478"/>
      <c r="AZ16" s="458"/>
      <c r="BA16" s="496"/>
      <c r="BC16" s="458"/>
      <c r="BD16" s="458"/>
      <c r="BE16" s="458"/>
      <c r="BF16" s="458"/>
      <c r="BG16" s="256" t="s">
        <v>411</v>
      </c>
      <c r="BH16" s="510"/>
      <c r="BI16" s="458"/>
      <c r="BJ16" s="458"/>
      <c r="BK16" s="458"/>
      <c r="BL16" s="458"/>
      <c r="BM16" s="496"/>
      <c r="BN16" s="458"/>
      <c r="BO16" s="458"/>
      <c r="BP16" s="458"/>
      <c r="BQ16" s="458"/>
      <c r="BR16" s="458"/>
      <c r="BS16" s="496" t="s">
        <v>1</v>
      </c>
      <c r="BW16" s="458"/>
      <c r="BX16" s="458"/>
      <c r="BY16" s="458"/>
      <c r="BZ16" s="458"/>
      <c r="CA16" s="496"/>
      <c r="CC16" s="458"/>
      <c r="CD16" s="458"/>
      <c r="CE16" s="458"/>
      <c r="CF16" s="458"/>
      <c r="CG16" s="496"/>
      <c r="CI16" s="458"/>
      <c r="CJ16" s="458"/>
      <c r="CK16" s="458"/>
      <c r="CL16" s="458"/>
      <c r="CM16" s="496"/>
      <c r="CO16" s="458"/>
      <c r="CP16" s="458"/>
      <c r="CQ16" s="458"/>
      <c r="CR16" s="458"/>
      <c r="CS16" s="496"/>
      <c r="CT16" s="458"/>
      <c r="CU16" s="458"/>
      <c r="CV16" s="458"/>
      <c r="CW16" s="458"/>
      <c r="CX16" s="458"/>
      <c r="CY16" s="496"/>
      <c r="CZ16" s="458"/>
      <c r="DA16" s="458"/>
      <c r="DB16" s="458"/>
      <c r="DC16" s="505"/>
      <c r="DD16" s="458"/>
      <c r="DE16" s="496"/>
      <c r="DG16" s="458"/>
      <c r="DH16" s="458"/>
      <c r="DI16" s="511"/>
    </row>
    <row r="17" spans="1:119" ht="15" x14ac:dyDescent="0.25">
      <c r="A17" s="507" t="s">
        <v>5</v>
      </c>
      <c r="B17" s="508" t="s">
        <v>6</v>
      </c>
      <c r="C17" s="507" t="s">
        <v>25</v>
      </c>
      <c r="D17" s="507" t="s">
        <v>44</v>
      </c>
      <c r="E17" s="507" t="s">
        <v>20</v>
      </c>
      <c r="F17" s="512"/>
      <c r="G17" s="507" t="s">
        <v>5</v>
      </c>
      <c r="H17" s="508" t="s">
        <v>24</v>
      </c>
      <c r="I17" s="767">
        <v>44012</v>
      </c>
      <c r="J17" s="768" t="s">
        <v>42</v>
      </c>
      <c r="K17" s="768" t="s">
        <v>176</v>
      </c>
      <c r="L17" s="504"/>
      <c r="M17" s="507" t="s">
        <v>5</v>
      </c>
      <c r="N17" s="508" t="s">
        <v>24</v>
      </c>
      <c r="O17" s="762">
        <v>44712</v>
      </c>
      <c r="P17" s="507" t="s">
        <v>42</v>
      </c>
      <c r="Q17" s="507" t="s">
        <v>48</v>
      </c>
      <c r="R17" s="474"/>
      <c r="S17" s="763">
        <f>+'[1]Power Cost Lead'!$K$13</f>
        <v>1.01684</v>
      </c>
      <c r="T17" s="504"/>
      <c r="U17" s="266">
        <v>1</v>
      </c>
      <c r="V17" s="263" t="s">
        <v>248</v>
      </c>
      <c r="W17" s="263"/>
      <c r="X17" s="267"/>
      <c r="Y17" s="613"/>
      <c r="Z17" s="613"/>
      <c r="AA17" s="474"/>
      <c r="AB17" s="266">
        <v>1</v>
      </c>
      <c r="AC17" s="463" t="s">
        <v>214</v>
      </c>
      <c r="AD17" s="394"/>
      <c r="AE17" s="394"/>
      <c r="AF17" s="394"/>
      <c r="AG17" s="474"/>
      <c r="AH17" s="266">
        <v>1</v>
      </c>
      <c r="AI17" s="460" t="s">
        <v>214</v>
      </c>
      <c r="AJ17" s="458"/>
      <c r="AK17" s="458"/>
      <c r="AL17" s="458"/>
      <c r="AM17" s="474"/>
      <c r="AN17" s="266">
        <v>1</v>
      </c>
      <c r="AO17" s="556" t="s">
        <v>90</v>
      </c>
      <c r="AP17" s="458"/>
      <c r="AQ17" s="458"/>
      <c r="AR17" s="458"/>
      <c r="AS17" s="458"/>
      <c r="AT17" s="266">
        <v>1</v>
      </c>
      <c r="AU17" s="514" t="s">
        <v>745</v>
      </c>
      <c r="AY17" s="474"/>
      <c r="AZ17" s="266">
        <v>1</v>
      </c>
      <c r="BA17" s="515" t="s">
        <v>114</v>
      </c>
      <c r="BE17" s="458"/>
      <c r="BF17" s="266">
        <v>1</v>
      </c>
      <c r="BG17" s="257" t="s">
        <v>445</v>
      </c>
      <c r="BH17" s="513">
        <f>'[12]Lead E'!$D13</f>
        <v>62500.000000000466</v>
      </c>
      <c r="BI17" s="513">
        <f>'[12]Lead E'!$E13</f>
        <v>0</v>
      </c>
      <c r="BJ17" s="516">
        <f>BI17-BH17</f>
        <v>-62500.000000000466</v>
      </c>
      <c r="BK17" s="458"/>
      <c r="BL17" s="266">
        <v>1</v>
      </c>
      <c r="BM17" s="517" t="s">
        <v>217</v>
      </c>
      <c r="BN17" s="518"/>
      <c r="BO17" s="518"/>
      <c r="BP17" s="518"/>
      <c r="BQ17" s="458"/>
      <c r="BR17" s="266">
        <v>1</v>
      </c>
      <c r="BS17" s="518" t="s">
        <v>652</v>
      </c>
      <c r="BT17" s="519"/>
      <c r="BU17" s="519"/>
      <c r="BV17" s="519"/>
      <c r="BW17" s="519"/>
      <c r="BX17" s="458"/>
      <c r="BY17" s="458"/>
      <c r="BZ17" s="743">
        <v>1</v>
      </c>
      <c r="CA17" s="744" t="s">
        <v>200</v>
      </c>
      <c r="CB17" s="744"/>
      <c r="CC17" s="744"/>
      <c r="CD17" s="744"/>
      <c r="CE17" s="458"/>
      <c r="CF17" s="266">
        <v>1</v>
      </c>
      <c r="CG17" s="256" t="s">
        <v>223</v>
      </c>
      <c r="CH17" s="519"/>
      <c r="CI17" s="519"/>
      <c r="CJ17" s="519"/>
      <c r="CK17" s="458"/>
      <c r="CL17" s="266">
        <v>1</v>
      </c>
      <c r="CM17" s="520"/>
      <c r="CN17" s="521"/>
      <c r="CO17" s="521"/>
      <c r="CP17" s="521"/>
      <c r="CQ17" s="458"/>
      <c r="CR17" s="266">
        <v>1</v>
      </c>
      <c r="CS17"/>
      <c r="CT17"/>
      <c r="CU17"/>
      <c r="CV17"/>
      <c r="CW17" s="522"/>
      <c r="CX17" s="266">
        <v>1</v>
      </c>
      <c r="CY17" s="257" t="s">
        <v>37</v>
      </c>
      <c r="CZ17" s="458"/>
      <c r="DA17" s="523"/>
      <c r="DB17" s="524">
        <f>[13]Lead!$E$14</f>
        <v>8.4790000000000004E-3</v>
      </c>
      <c r="DC17" s="505"/>
      <c r="DD17" s="266">
        <v>1</v>
      </c>
      <c r="DE17" s="884" t="s">
        <v>200</v>
      </c>
      <c r="DF17" s="519"/>
      <c r="DG17" s="519"/>
      <c r="DH17" s="519"/>
      <c r="DI17" s="525"/>
      <c r="DJ17" s="458"/>
      <c r="DK17" s="458"/>
      <c r="DL17" s="458"/>
      <c r="DM17" s="458"/>
      <c r="DN17" s="458"/>
      <c r="DO17" s="458"/>
    </row>
    <row r="18" spans="1:119" ht="15.75" thickBot="1" x14ac:dyDescent="0.3">
      <c r="A18" s="967" t="s">
        <v>801</v>
      </c>
      <c r="B18" s="496"/>
      <c r="D18" s="458"/>
      <c r="E18" s="458"/>
      <c r="F18" s="512"/>
      <c r="H18" s="496"/>
      <c r="L18" s="257"/>
      <c r="M18" s="458"/>
      <c r="N18" s="496"/>
      <c r="O18" s="266"/>
      <c r="P18" s="266"/>
      <c r="Q18" s="458"/>
      <c r="R18" s="518"/>
      <c r="S18" s="266"/>
      <c r="T18" s="257"/>
      <c r="U18" s="266">
        <f t="shared" ref="U18:U21" si="0">+U17+1</f>
        <v>2</v>
      </c>
      <c r="V18" s="264" t="s">
        <v>249</v>
      </c>
      <c r="W18" s="268"/>
      <c r="X18" s="567">
        <f>+[2]Lead!D10</f>
        <v>1116935.45</v>
      </c>
      <c r="Y18" s="567">
        <f>+[2]Lead!E10</f>
        <v>807842.00838059699</v>
      </c>
      <c r="Z18" s="567">
        <f>+Y18-X18</f>
        <v>-309093.44161940296</v>
      </c>
      <c r="AA18" s="458"/>
      <c r="AB18" s="266">
        <f>AB17+1</f>
        <v>2</v>
      </c>
      <c r="AC18" s="394"/>
      <c r="AD18" s="394"/>
      <c r="AE18" s="394"/>
      <c r="AF18" s="394"/>
      <c r="AG18" s="458"/>
      <c r="AH18" s="266">
        <f>AH17+1</f>
        <v>2</v>
      </c>
      <c r="AJ18" s="458"/>
      <c r="AK18" s="458"/>
      <c r="AL18" s="458"/>
      <c r="AM18" s="518"/>
      <c r="AN18" s="266">
        <f t="shared" ref="AN18:AN28" si="1">AN17+1</f>
        <v>2</v>
      </c>
      <c r="AO18" s="526" t="s">
        <v>35</v>
      </c>
      <c r="AP18" s="513">
        <f>[7]Lead!$G$11</f>
        <v>2683622.25</v>
      </c>
      <c r="AQ18" s="878"/>
      <c r="AR18" s="521">
        <f>AQ18-AP18</f>
        <v>-2683622.25</v>
      </c>
      <c r="AS18" s="458"/>
      <c r="AT18" s="266">
        <v>2</v>
      </c>
      <c r="AU18" s="527" t="s">
        <v>63</v>
      </c>
      <c r="AY18" s="458"/>
      <c r="AZ18" s="266">
        <f t="shared" ref="AZ18:AZ19" si="2">AZ17+1</f>
        <v>2</v>
      </c>
      <c r="BA18" s="504" t="s">
        <v>659</v>
      </c>
      <c r="BB18" s="741">
        <f>[9]Lead!$C$11</f>
        <v>3549801.75</v>
      </c>
      <c r="BC18" s="741">
        <f>[9]Lead!$D$11</f>
        <v>3609732</v>
      </c>
      <c r="BD18" s="528">
        <f>+BC18-BB18</f>
        <v>59930.25</v>
      </c>
      <c r="BE18" s="458"/>
      <c r="BF18" s="266">
        <f t="shared" ref="BF18:BF56" si="3">BF17+1</f>
        <v>2</v>
      </c>
      <c r="BG18" s="257" t="s">
        <v>224</v>
      </c>
      <c r="BH18" s="533">
        <f>'[12]Lead E'!$D14</f>
        <v>45753.118444445863</v>
      </c>
      <c r="BI18" s="533">
        <f>'[12]Lead E'!$E14</f>
        <v>-0.20155555414385162</v>
      </c>
      <c r="BJ18" s="455">
        <f t="shared" ref="BJ18:BJ32" si="4">BI18-BH18</f>
        <v>-45753.320000000007</v>
      </c>
      <c r="BK18" s="458"/>
      <c r="BL18" s="266">
        <v>2</v>
      </c>
      <c r="BM18" s="529"/>
      <c r="BN18" s="458"/>
      <c r="BO18" s="458"/>
      <c r="BP18" s="458"/>
      <c r="BQ18" s="458"/>
      <c r="BR18" s="266">
        <f t="shared" ref="BR18:BR24" si="5">BR17+1</f>
        <v>2</v>
      </c>
      <c r="BS18" s="393" t="s">
        <v>653</v>
      </c>
      <c r="BT18" s="521">
        <f>'[14]Lead Sheet'!C18</f>
        <v>24694365.932500001</v>
      </c>
      <c r="BU18" s="521">
        <f>AE38</f>
        <v>110897621.825</v>
      </c>
      <c r="BV18" s="521">
        <f>'[14]Lead Sheet'!$E$18</f>
        <v>-150652868.28645569</v>
      </c>
      <c r="BW18" s="521">
        <f>BU18+BV18</f>
        <v>-39755246.461455688</v>
      </c>
      <c r="BX18" s="521">
        <f>BW18-BU18</f>
        <v>-150652868.28645569</v>
      </c>
      <c r="BY18" s="458"/>
      <c r="BZ18" s="743">
        <v>2</v>
      </c>
      <c r="CA18" s="744" t="s">
        <v>239</v>
      </c>
      <c r="CB18" s="745">
        <f>ROUNDDOWN('[15]Software Amort'!$D$6,0)</f>
        <v>0</v>
      </c>
      <c r="CC18" s="745">
        <v>0</v>
      </c>
      <c r="CD18" s="745">
        <f>CC18-CB18</f>
        <v>0</v>
      </c>
      <c r="CE18" s="458"/>
      <c r="CF18" s="266">
        <f t="shared" ref="CF18:CF25" si="6">CF17+1</f>
        <v>2</v>
      </c>
      <c r="CG18" s="264" t="s">
        <v>241</v>
      </c>
      <c r="CH18" s="567">
        <f>'[11]Lead Sheet'!$D$17</f>
        <v>0</v>
      </c>
      <c r="CI18" s="546">
        <f>'[11]Lead Sheet'!$E$17</f>
        <v>919072.07222625264</v>
      </c>
      <c r="CJ18" s="546">
        <f>SUM(CH18:CI18)</f>
        <v>919072.07222625264</v>
      </c>
      <c r="CK18" s="458"/>
      <c r="CL18" s="266">
        <f t="shared" ref="CL18:CL31" si="7">CL17+1</f>
        <v>2</v>
      </c>
      <c r="CM18" s="393"/>
      <c r="CN18" s="521"/>
      <c r="CO18" s="521"/>
      <c r="CP18" s="521">
        <f>+CO18-CN18</f>
        <v>0</v>
      </c>
      <c r="CQ18" s="458"/>
      <c r="CR18" s="266">
        <f>CR17+1</f>
        <v>2</v>
      </c>
      <c r="CS18"/>
      <c r="CT18"/>
      <c r="CU18"/>
      <c r="CV18"/>
      <c r="CW18" s="522"/>
      <c r="CX18" s="266">
        <v>2</v>
      </c>
      <c r="CY18" s="257" t="s">
        <v>38</v>
      </c>
      <c r="CZ18" s="458"/>
      <c r="DA18" s="523"/>
      <c r="DB18" s="524">
        <f>[13]Lead!$E$15</f>
        <v>2E-3</v>
      </c>
      <c r="DC18" s="511"/>
      <c r="DD18" s="266">
        <f t="shared" ref="DD18:DD25" si="8">DD17+1</f>
        <v>2</v>
      </c>
      <c r="DE18" s="885" t="s">
        <v>785</v>
      </c>
      <c r="DF18" s="567">
        <f>+[10]Lead!$D$15</f>
        <v>321546.88008670002</v>
      </c>
      <c r="DG18" s="546"/>
      <c r="DH18" s="546">
        <f>SUM(DF18:DG18)</f>
        <v>321546.88008670002</v>
      </c>
      <c r="DI18" s="530"/>
      <c r="DJ18" s="458"/>
      <c r="DK18" s="458"/>
      <c r="DL18" s="458"/>
      <c r="DM18" s="458"/>
      <c r="DN18" s="458"/>
      <c r="DO18" s="458"/>
    </row>
    <row r="19" spans="1:119" ht="15.75" thickTop="1" x14ac:dyDescent="0.25">
      <c r="A19" s="266">
        <v>1</v>
      </c>
      <c r="B19" s="257" t="s">
        <v>726</v>
      </c>
      <c r="C19" s="546">
        <f>+'SEF-15 Adjustments'!K19</f>
        <v>81044146.280000001</v>
      </c>
      <c r="D19" s="546">
        <f>+'SEF-15 Adjustments'!S19</f>
        <v>42456952.472225137</v>
      </c>
      <c r="E19" s="531">
        <f t="shared" ref="E19:E26" si="9">+D19-C19</f>
        <v>-38587193.807774864</v>
      </c>
      <c r="F19" s="512"/>
      <c r="G19" s="266">
        <v>1</v>
      </c>
      <c r="H19" s="257" t="s">
        <v>726</v>
      </c>
      <c r="I19" s="546">
        <f>+'[1]Power Cost Lead'!E19</f>
        <v>81044146.280000001</v>
      </c>
      <c r="J19" s="546">
        <f>+'[1]Power Cost Lead'!F19</f>
        <v>0</v>
      </c>
      <c r="K19" s="531">
        <f t="shared" ref="K19:K26" si="10">SUM(I19:J19)</f>
        <v>81044146.280000001</v>
      </c>
      <c r="L19" s="531"/>
      <c r="M19" s="266">
        <v>1</v>
      </c>
      <c r="N19" s="257" t="s">
        <v>726</v>
      </c>
      <c r="O19" s="546">
        <f>+'[1]Power Cost Lead'!H19</f>
        <v>41753818.174172081</v>
      </c>
      <c r="P19" s="546">
        <f>+'[1]Power Cost Lead'!I19</f>
        <v>0</v>
      </c>
      <c r="Q19" s="531">
        <f>SUM(O19:P19)</f>
        <v>41753818.174172081</v>
      </c>
      <c r="R19" s="519"/>
      <c r="S19" s="531">
        <f t="shared" ref="S19:S23" si="11">Q19*$S$17</f>
        <v>42456952.472225137</v>
      </c>
      <c r="T19" s="257"/>
      <c r="U19" s="266">
        <f t="shared" si="0"/>
        <v>3</v>
      </c>
      <c r="V19" s="264" t="s">
        <v>739</v>
      </c>
      <c r="W19" s="264"/>
      <c r="X19" s="614">
        <f>+X18</f>
        <v>1116935.45</v>
      </c>
      <c r="Y19" s="614">
        <f t="shared" ref="Y19:Z19" si="12">+Y18</f>
        <v>807842.00838059699</v>
      </c>
      <c r="Z19" s="614">
        <f t="shared" si="12"/>
        <v>-309093.44161940296</v>
      </c>
      <c r="AA19" s="458"/>
      <c r="AB19" s="266">
        <f t="shared" ref="AB19:AB37" si="13">AB18+1</f>
        <v>3</v>
      </c>
      <c r="AC19" s="615" t="s">
        <v>638</v>
      </c>
      <c r="AD19" s="729">
        <f>[7]Lead!E7</f>
        <v>418626650.62125003</v>
      </c>
      <c r="AE19" s="729">
        <f>[7]Lead!I7</f>
        <v>336350908.62000006</v>
      </c>
      <c r="AF19" s="729">
        <f>AE19-AD19</f>
        <v>-82275742.001249969</v>
      </c>
      <c r="AG19" s="458"/>
      <c r="AH19" s="266">
        <f t="shared" ref="AH19:AH44" si="14">AH18+1</f>
        <v>3</v>
      </c>
      <c r="AI19" s="454" t="s">
        <v>205</v>
      </c>
      <c r="AJ19" s="513">
        <f>'[15]Lead Electric'!D13</f>
        <v>129583081.42000031</v>
      </c>
      <c r="AK19" s="513">
        <f>'[15]Lead Electric'!E13</f>
        <v>121228083.29346541</v>
      </c>
      <c r="AL19" s="513">
        <f>AK19-AJ19</f>
        <v>-8354998.126534909</v>
      </c>
      <c r="AM19" s="519"/>
      <c r="AN19" s="266">
        <f t="shared" si="1"/>
        <v>3</v>
      </c>
      <c r="AO19" s="526" t="s">
        <v>65</v>
      </c>
      <c r="AP19" s="533">
        <f>[7]Lead!$H$11</f>
        <v>-1777545.5254166669</v>
      </c>
      <c r="AQ19" s="879"/>
      <c r="AR19" s="534">
        <f>AQ19-AP19</f>
        <v>1777545.5254166669</v>
      </c>
      <c r="AS19" s="458"/>
      <c r="AT19" s="266">
        <v>3</v>
      </c>
      <c r="AU19" s="535" t="s">
        <v>35</v>
      </c>
      <c r="AV19" s="521">
        <f>[7]Lead!$G$10</f>
        <v>4539303</v>
      </c>
      <c r="AW19" s="521">
        <v>0</v>
      </c>
      <c r="AX19" s="521">
        <f>AW19-AV19</f>
        <v>-4539303</v>
      </c>
      <c r="AY19" s="458"/>
      <c r="AZ19" s="266">
        <f t="shared" si="2"/>
        <v>3</v>
      </c>
      <c r="BA19" s="536" t="s">
        <v>26</v>
      </c>
      <c r="BB19" s="521">
        <f>SUM(BB18:BB18)</f>
        <v>3549801.75</v>
      </c>
      <c r="BC19" s="521">
        <f>SUM(BC18:BC18)</f>
        <v>3609732</v>
      </c>
      <c r="BD19" s="521">
        <f>BC19-BB19</f>
        <v>59930.25</v>
      </c>
      <c r="BE19" s="458"/>
      <c r="BF19" s="266">
        <f t="shared" si="3"/>
        <v>3</v>
      </c>
      <c r="BG19" s="257" t="s">
        <v>225</v>
      </c>
      <c r="BH19" s="533">
        <f>'[12]Lead E'!$D15</f>
        <v>62723.058252429</v>
      </c>
      <c r="BI19" s="533">
        <f>'[12]Lead E'!$E15</f>
        <v>-0.32174757100438001</v>
      </c>
      <c r="BJ19" s="455">
        <f t="shared" si="4"/>
        <v>-62723.380000000005</v>
      </c>
      <c r="BK19" s="458"/>
      <c r="BL19" s="266">
        <v>3</v>
      </c>
      <c r="BM19" s="537" t="s">
        <v>443</v>
      </c>
      <c r="BN19" s="458"/>
      <c r="BO19" s="458"/>
      <c r="BP19" s="458"/>
      <c r="BQ19" s="458"/>
      <c r="BR19" s="266">
        <v>3</v>
      </c>
      <c r="BS19" s="393" t="s">
        <v>636</v>
      </c>
      <c r="BT19" s="541">
        <f>'[14]Lead Sheet'!C19</f>
        <v>-5185816.8458333332</v>
      </c>
      <c r="BU19" s="541">
        <f>AE39</f>
        <v>-23288500.583250001</v>
      </c>
      <c r="BV19" s="541">
        <f>'[14]Lead Sheet'!$E$19</f>
        <v>31637102.340155691</v>
      </c>
      <c r="BW19" s="541">
        <f>BU19+BV19</f>
        <v>8348601.7569056898</v>
      </c>
      <c r="BX19" s="541">
        <f>BW19-BU19</f>
        <v>31637102.340155691</v>
      </c>
      <c r="BY19" s="458"/>
      <c r="BZ19" s="743">
        <v>3</v>
      </c>
      <c r="CA19" s="744" t="s">
        <v>634</v>
      </c>
      <c r="CB19" s="744"/>
      <c r="CC19" s="744"/>
      <c r="CD19" s="744"/>
      <c r="CE19" s="519"/>
      <c r="CF19" s="266">
        <f t="shared" si="6"/>
        <v>3</v>
      </c>
      <c r="CG19" s="264" t="s">
        <v>246</v>
      </c>
      <c r="CH19" s="567">
        <f>'[11]Lead Sheet'!$D$18</f>
        <v>0</v>
      </c>
      <c r="CI19" s="546">
        <f>'[11]Lead Sheet'!$E$18</f>
        <v>-193005.13516751316</v>
      </c>
      <c r="CJ19" s="567">
        <f>SUM(CH19:CI19)</f>
        <v>-193005.13516751316</v>
      </c>
      <c r="CK19" s="458"/>
      <c r="CL19" s="266">
        <f t="shared" si="7"/>
        <v>3</v>
      </c>
      <c r="CM19" s="393"/>
      <c r="CN19" s="538"/>
      <c r="CO19" s="538"/>
      <c r="CP19" s="538">
        <f>+CO19-CN19</f>
        <v>0</v>
      </c>
      <c r="CQ19" s="458"/>
      <c r="CR19" s="266">
        <f t="shared" ref="CR19:CR29" si="15">CR18+1</f>
        <v>3</v>
      </c>
      <c r="CS19"/>
      <c r="CT19"/>
      <c r="CU19"/>
      <c r="CV19"/>
      <c r="CW19" s="522"/>
      <c r="CX19" s="266">
        <v>3</v>
      </c>
      <c r="CY19" s="257" t="str">
        <f>"STATE UTILITY TAX ( ( 1 - LINE 1 ) * "&amp;DA19*100&amp;"% )"</f>
        <v>STATE UTILITY TAX ( ( 1 - LINE 1 ) * 3.8734% )</v>
      </c>
      <c r="CZ19" s="458"/>
      <c r="DA19" s="746">
        <f>[13]Lead!$D$16</f>
        <v>3.8733999999999998E-2</v>
      </c>
      <c r="DB19" s="747">
        <f>[13]Lead!$E$16</f>
        <v>3.8406000000000003E-2</v>
      </c>
      <c r="DC19" s="525"/>
      <c r="DD19" s="266">
        <f t="shared" si="8"/>
        <v>3</v>
      </c>
      <c r="DE19" s="886" t="s">
        <v>783</v>
      </c>
      <c r="DF19" s="567">
        <f>+[10]Lead!$D$16</f>
        <v>0</v>
      </c>
      <c r="DG19" s="546"/>
      <c r="DH19" s="567">
        <f>SUM(DF19:DG19)</f>
        <v>0</v>
      </c>
      <c r="DI19" s="530"/>
      <c r="DJ19" s="458"/>
      <c r="DK19" s="458"/>
      <c r="DL19" s="458"/>
      <c r="DM19" s="458"/>
      <c r="DN19" s="458"/>
      <c r="DO19" s="458"/>
    </row>
    <row r="20" spans="1:119" ht="15.75" thickBot="1" x14ac:dyDescent="0.3">
      <c r="A20" s="266">
        <f t="shared" ref="A20:A33" si="16">A19+1</f>
        <v>2</v>
      </c>
      <c r="B20" s="257" t="s">
        <v>727</v>
      </c>
      <c r="C20" s="546">
        <f>+'SEF-15 Adjustments'!K20</f>
        <v>183617976.11000001</v>
      </c>
      <c r="D20" s="546">
        <f>+'SEF-15 Adjustments'!S20</f>
        <v>157812663.18126956</v>
      </c>
      <c r="E20" s="546">
        <f t="shared" si="9"/>
        <v>-25805312.928730458</v>
      </c>
      <c r="F20" s="539"/>
      <c r="G20" s="266">
        <f>G19+1</f>
        <v>2</v>
      </c>
      <c r="H20" s="257" t="s">
        <v>727</v>
      </c>
      <c r="I20" s="546">
        <f>+'[1]Power Cost Lead'!E20</f>
        <v>183617976.11000001</v>
      </c>
      <c r="J20" s="546">
        <f>+'[1]Power Cost Lead'!F20</f>
        <v>0</v>
      </c>
      <c r="K20" s="546">
        <f t="shared" si="10"/>
        <v>183617976.11000001</v>
      </c>
      <c r="L20" s="540"/>
      <c r="M20" s="266">
        <f>M19+1</f>
        <v>2</v>
      </c>
      <c r="N20" s="257" t="s">
        <v>727</v>
      </c>
      <c r="O20" s="546">
        <f>+'[1]Power Cost Lead'!H20</f>
        <v>155199110.16607291</v>
      </c>
      <c r="P20" s="546">
        <f>+'[1]Power Cost Lead'!I20</f>
        <v>0</v>
      </c>
      <c r="Q20" s="546">
        <f t="shared" ref="Q20:Q26" si="17">SUM(O20:P20)</f>
        <v>155199110.16607291</v>
      </c>
      <c r="R20" s="567"/>
      <c r="S20" s="546">
        <f t="shared" si="11"/>
        <v>157812663.18126956</v>
      </c>
      <c r="T20" s="531"/>
      <c r="U20" s="266">
        <f t="shared" si="0"/>
        <v>4</v>
      </c>
      <c r="V20" s="264" t="s">
        <v>740</v>
      </c>
      <c r="W20" s="269">
        <f>+'[1]Power Cost Lead'!$K$13</f>
        <v>1.01684</v>
      </c>
      <c r="X20" s="730"/>
      <c r="Y20" s="730">
        <f>-(1-W20)*Y19</f>
        <v>13604.059421129226</v>
      </c>
      <c r="Z20" s="730">
        <f>+Y20-X20</f>
        <v>13604.059421129226</v>
      </c>
      <c r="AA20" s="458"/>
      <c r="AB20" s="266">
        <f t="shared" si="13"/>
        <v>4</v>
      </c>
      <c r="AC20" s="615" t="s">
        <v>639</v>
      </c>
      <c r="AD20" s="731">
        <f>[7]Lead!E8</f>
        <v>532612048.31958318</v>
      </c>
      <c r="AE20" s="731">
        <f>[7]Lead!I8</f>
        <v>524035174.56000006</v>
      </c>
      <c r="AF20" s="731">
        <f t="shared" ref="AF20:AF32" si="18">AE20-AD20</f>
        <v>-8576873.7595831156</v>
      </c>
      <c r="AG20" s="458"/>
      <c r="AH20" s="266">
        <f t="shared" si="14"/>
        <v>4</v>
      </c>
      <c r="AI20" s="454" t="s">
        <v>207</v>
      </c>
      <c r="AJ20" s="541">
        <f>'[15]Lead Electric'!D14</f>
        <v>1201842.0499999998</v>
      </c>
      <c r="AK20" s="541">
        <f>'[15]Lead Electric'!E14</f>
        <v>1193954.9999999995</v>
      </c>
      <c r="AL20" s="541">
        <f t="shared" ref="AL20" si="19">AK20-AJ20</f>
        <v>-7887.0500000002794</v>
      </c>
      <c r="AM20" s="538"/>
      <c r="AN20" s="266">
        <f t="shared" si="1"/>
        <v>4</v>
      </c>
      <c r="AO20" s="526" t="s">
        <v>636</v>
      </c>
      <c r="AP20" s="541">
        <f>-[7]DFIT!$R$76</f>
        <v>-847014.5392203785</v>
      </c>
      <c r="AQ20" s="880"/>
      <c r="AR20" s="534">
        <f>AQ20-AP20</f>
        <v>847014.5392203785</v>
      </c>
      <c r="AS20" s="458"/>
      <c r="AT20" s="266">
        <v>4</v>
      </c>
      <c r="AU20" s="535" t="s">
        <v>36</v>
      </c>
      <c r="AV20" s="534">
        <f>[7]Lead!$H$10</f>
        <v>-2438000</v>
      </c>
      <c r="AW20" s="534">
        <v>0</v>
      </c>
      <c r="AX20" s="533">
        <f>AW20-AV20</f>
        <v>2438000</v>
      </c>
      <c r="AY20" s="521"/>
      <c r="BE20" s="458"/>
      <c r="BF20" s="266">
        <f t="shared" si="3"/>
        <v>4</v>
      </c>
      <c r="BG20" s="257" t="s">
        <v>751</v>
      </c>
      <c r="BH20" s="533">
        <f>'[12]Lead E'!$D16</f>
        <v>8929369.2699999958</v>
      </c>
      <c r="BI20" s="533">
        <f>'[12]Lead E'!$E16</f>
        <v>7465974.1908618575</v>
      </c>
      <c r="BJ20" s="455">
        <f t="shared" si="4"/>
        <v>-1463395.0791381383</v>
      </c>
      <c r="BK20" s="458"/>
      <c r="BL20" s="266">
        <v>4</v>
      </c>
      <c r="BM20" s="529" t="s">
        <v>219</v>
      </c>
      <c r="BN20" s="513">
        <f>'[16]Lead Electric'!D16</f>
        <v>24173718.963481996</v>
      </c>
      <c r="BO20" s="513">
        <f>'[16]Lead Electric'!E16</f>
        <v>41096273.81753172</v>
      </c>
      <c r="BP20" s="513">
        <f>BO20-BN20</f>
        <v>16922554.854049724</v>
      </c>
      <c r="BQ20" s="458"/>
      <c r="BR20" s="266">
        <f t="shared" si="5"/>
        <v>4</v>
      </c>
      <c r="BS20" s="393" t="s">
        <v>654</v>
      </c>
      <c r="BT20" s="542">
        <f>'[14]Lead Sheet'!C20</f>
        <v>19508549.086666666</v>
      </c>
      <c r="BU20" s="542">
        <f>'[14]Lead Sheet'!D20</f>
        <v>87609121.241750002</v>
      </c>
      <c r="BV20" s="542">
        <f>'[14]Lead Sheet'!E20</f>
        <v>-119015765.9463</v>
      </c>
      <c r="BW20" s="542">
        <f>'[14]Lead Sheet'!F20</f>
        <v>-31406644.704549998</v>
      </c>
      <c r="BX20" s="542">
        <f>'[14]Lead Sheet'!G20</f>
        <v>-119015765.9463</v>
      </c>
      <c r="BY20" s="458"/>
      <c r="BZ20" s="743">
        <v>4</v>
      </c>
      <c r="CA20" s="744" t="s">
        <v>634</v>
      </c>
      <c r="CB20" s="744"/>
      <c r="CC20" s="744"/>
      <c r="CD20" s="744"/>
      <c r="CE20" s="519"/>
      <c r="CF20" s="266">
        <f t="shared" si="6"/>
        <v>4</v>
      </c>
      <c r="CG20" s="264" t="s">
        <v>242</v>
      </c>
      <c r="CH20" s="614">
        <f>SUM(CH18:CH19)</f>
        <v>0</v>
      </c>
      <c r="CI20" s="614">
        <f t="shared" ref="CI20:CJ20" si="20">SUM(CI18:CI19)</f>
        <v>726066.93705873948</v>
      </c>
      <c r="CJ20" s="614">
        <f t="shared" si="20"/>
        <v>726066.93705873948</v>
      </c>
      <c r="CK20" s="458"/>
      <c r="CL20" s="266">
        <f t="shared" si="7"/>
        <v>4</v>
      </c>
      <c r="CM20" s="393"/>
      <c r="CN20" s="538"/>
      <c r="CO20" s="538"/>
      <c r="CP20" s="538">
        <f>+CO20-CN20</f>
        <v>0</v>
      </c>
      <c r="CQ20" s="458"/>
      <c r="CR20" s="266">
        <f>CR19+1</f>
        <v>4</v>
      </c>
      <c r="CS20"/>
      <c r="CT20"/>
      <c r="CU20"/>
      <c r="CV20"/>
      <c r="CW20" s="522"/>
      <c r="CX20" s="266">
        <v>4</v>
      </c>
      <c r="CY20" s="257"/>
      <c r="CZ20" s="458"/>
      <c r="DA20" s="458"/>
      <c r="DB20" s="543"/>
      <c r="DC20" s="530"/>
      <c r="DD20" s="266">
        <f t="shared" si="8"/>
        <v>4</v>
      </c>
      <c r="DE20" s="886" t="s">
        <v>784</v>
      </c>
      <c r="DF20" s="614">
        <f>SUM(DF18:DF19)</f>
        <v>321546.88008670002</v>
      </c>
      <c r="DG20" s="614">
        <f t="shared" ref="DG20:DH20" si="21">SUM(DG18:DG19)</f>
        <v>0</v>
      </c>
      <c r="DH20" s="614">
        <f t="shared" si="21"/>
        <v>321546.88008670002</v>
      </c>
      <c r="DI20" s="530"/>
      <c r="DJ20" s="458"/>
      <c r="DK20" s="458"/>
      <c r="DL20" s="458"/>
      <c r="DM20" s="458"/>
      <c r="DN20" s="458"/>
      <c r="DO20" s="458"/>
    </row>
    <row r="21" spans="1:119" ht="15" thickTop="1" thickBot="1" x14ac:dyDescent="0.3">
      <c r="A21" s="266">
        <f t="shared" si="16"/>
        <v>3</v>
      </c>
      <c r="B21" s="257" t="s">
        <v>728</v>
      </c>
      <c r="C21" s="546">
        <f>+'SEF-15 Adjustments'!K21</f>
        <v>535009174.27999997</v>
      </c>
      <c r="D21" s="546">
        <f>+'SEF-15 Adjustments'!S21</f>
        <v>536815243.74639302</v>
      </c>
      <c r="E21" s="546">
        <f t="shared" si="9"/>
        <v>1806069.4663930535</v>
      </c>
      <c r="F21" s="458"/>
      <c r="G21" s="266">
        <f>G20+1</f>
        <v>3</v>
      </c>
      <c r="H21" s="257" t="s">
        <v>728</v>
      </c>
      <c r="I21" s="546">
        <f>+'[1]Power Cost Lead'!E21</f>
        <v>535009174.27999997</v>
      </c>
      <c r="J21" s="546">
        <f>+'[1]Power Cost Lead'!F21</f>
        <v>0</v>
      </c>
      <c r="K21" s="546">
        <f t="shared" si="10"/>
        <v>535009174.27999997</v>
      </c>
      <c r="L21" s="540"/>
      <c r="M21" s="266">
        <f>M20+1</f>
        <v>3</v>
      </c>
      <c r="N21" s="257" t="s">
        <v>728</v>
      </c>
      <c r="O21" s="546">
        <f>+'[1]Power Cost Lead'!H21</f>
        <v>527924986.96588749</v>
      </c>
      <c r="P21" s="546">
        <f>+'[1]Power Cost Lead'!I21</f>
        <v>0</v>
      </c>
      <c r="Q21" s="546">
        <f t="shared" si="17"/>
        <v>527924986.96588749</v>
      </c>
      <c r="R21" s="567"/>
      <c r="S21" s="546">
        <f t="shared" si="11"/>
        <v>536815243.74639302</v>
      </c>
      <c r="T21" s="540"/>
      <c r="U21" s="266">
        <f t="shared" si="0"/>
        <v>5</v>
      </c>
      <c r="V21" s="265" t="s">
        <v>749</v>
      </c>
      <c r="X21" s="614">
        <f>SUM(X19:X20)</f>
        <v>1116935.45</v>
      </c>
      <c r="Y21" s="614">
        <f t="shared" ref="Y21:Z21" si="22">SUM(Y19:Y20)</f>
        <v>821446.06780172617</v>
      </c>
      <c r="Z21" s="614">
        <f t="shared" si="22"/>
        <v>-295489.38219827373</v>
      </c>
      <c r="AA21" s="519"/>
      <c r="AB21" s="266">
        <f t="shared" si="13"/>
        <v>5</v>
      </c>
      <c r="AC21" s="615" t="s">
        <v>640</v>
      </c>
      <c r="AD21" s="731">
        <f>[7]Lead!E9</f>
        <v>1116884837.384584</v>
      </c>
      <c r="AE21" s="731">
        <f>[7]Lead!I9</f>
        <v>1095820012.71</v>
      </c>
      <c r="AF21" s="731">
        <f t="shared" si="18"/>
        <v>-21064824.674583912</v>
      </c>
      <c r="AG21" s="519"/>
      <c r="AH21" s="266">
        <f t="shared" si="14"/>
        <v>5</v>
      </c>
      <c r="AI21" s="454" t="s">
        <v>208</v>
      </c>
      <c r="AJ21" s="533">
        <f>'[15]Lead Electric'!D15</f>
        <v>130784923.47000031</v>
      </c>
      <c r="AK21" s="533">
        <f>'[15]Lead Electric'!E15</f>
        <v>122422038.29346541</v>
      </c>
      <c r="AL21" s="533">
        <f>'[15]Lead Electric'!F15</f>
        <v>-8362885.1765349098</v>
      </c>
      <c r="AM21" s="519"/>
      <c r="AN21" s="266">
        <f t="shared" si="1"/>
        <v>5</v>
      </c>
      <c r="AO21" s="393" t="s">
        <v>237</v>
      </c>
      <c r="AP21" s="542">
        <f>SUM(AP18:AP20)</f>
        <v>59062.185362954624</v>
      </c>
      <c r="AQ21" s="881">
        <f>SUM(AQ18:AQ20)</f>
        <v>0</v>
      </c>
      <c r="AR21" s="542">
        <f>SUM(AR18:AR20)</f>
        <v>-59062.185362954624</v>
      </c>
      <c r="AS21" s="458"/>
      <c r="AT21" s="266">
        <v>5</v>
      </c>
      <c r="AU21" s="535" t="s">
        <v>636</v>
      </c>
      <c r="AV21" s="541">
        <f>-[7]DFIT!$I$276</f>
        <v>-699320.98</v>
      </c>
      <c r="AW21" s="541">
        <v>0</v>
      </c>
      <c r="AX21" s="541">
        <f>AW21-AV21</f>
        <v>699320.98</v>
      </c>
      <c r="AY21" s="534"/>
      <c r="BE21" s="458"/>
      <c r="BF21" s="266">
        <f t="shared" si="3"/>
        <v>5</v>
      </c>
      <c r="BG21" s="257" t="s">
        <v>415</v>
      </c>
      <c r="BH21" s="533">
        <f>'[12]Lead E'!$D17</f>
        <v>72210989.068333358</v>
      </c>
      <c r="BI21" s="533">
        <f>'[12]Lead E'!$E17</f>
        <v>64796327.29774306</v>
      </c>
      <c r="BJ21" s="455">
        <f t="shared" si="4"/>
        <v>-7414661.7705902979</v>
      </c>
      <c r="BK21" s="458"/>
      <c r="BL21" s="266">
        <v>5</v>
      </c>
      <c r="BM21" s="529"/>
      <c r="BN21" s="546"/>
      <c r="BO21" s="546"/>
      <c r="BP21" s="546"/>
      <c r="BQ21" s="458"/>
      <c r="BR21" s="266">
        <v>5</v>
      </c>
      <c r="BS21" s="393" t="s">
        <v>634</v>
      </c>
      <c r="BT21" s="521"/>
      <c r="BU21" s="521"/>
      <c r="BV21" s="521"/>
      <c r="BW21" s="521"/>
      <c r="BX21" s="521"/>
      <c r="BY21" s="458"/>
      <c r="BZ21" s="743">
        <v>5</v>
      </c>
      <c r="CA21" s="744" t="s">
        <v>634</v>
      </c>
      <c r="CB21" s="744"/>
      <c r="CC21" s="744"/>
      <c r="CD21" s="744"/>
      <c r="CE21" s="539"/>
      <c r="CF21" s="266">
        <f t="shared" si="6"/>
        <v>5</v>
      </c>
      <c r="CG21" s="264"/>
      <c r="CH21" s="567"/>
      <c r="CI21" s="567"/>
      <c r="CJ21" s="567"/>
      <c r="CK21" s="458"/>
      <c r="CL21" s="266">
        <f t="shared" si="7"/>
        <v>5</v>
      </c>
      <c r="CM21" s="393"/>
      <c r="CN21" s="538"/>
      <c r="CO21" s="547"/>
      <c r="CP21" s="538">
        <f>+CO21-CN21</f>
        <v>0</v>
      </c>
      <c r="CQ21" s="458"/>
      <c r="CR21" s="266">
        <f t="shared" si="15"/>
        <v>5</v>
      </c>
      <c r="CS21"/>
      <c r="CT21"/>
      <c r="CU21"/>
      <c r="CV21"/>
      <c r="CW21" s="522"/>
      <c r="CX21" s="266">
        <v>5</v>
      </c>
      <c r="CY21" s="257" t="s">
        <v>39</v>
      </c>
      <c r="CZ21" s="458"/>
      <c r="DA21" s="458"/>
      <c r="DB21" s="524">
        <f>ROUND(SUM(DB17:DB19),6)</f>
        <v>4.8884999999999998E-2</v>
      </c>
      <c r="DC21" s="530"/>
      <c r="DD21" s="266">
        <f t="shared" si="8"/>
        <v>5</v>
      </c>
      <c r="DE21"/>
      <c r="DF21"/>
      <c r="DG21"/>
      <c r="DH21"/>
      <c r="DI21" s="530"/>
      <c r="DJ21" s="458"/>
      <c r="DK21" s="458"/>
      <c r="DL21" s="458"/>
      <c r="DM21" s="458"/>
      <c r="DN21" s="458"/>
      <c r="DO21" s="458"/>
    </row>
    <row r="22" spans="1:119" ht="13.5" thickTop="1" x14ac:dyDescent="0.2">
      <c r="A22" s="266">
        <f t="shared" si="16"/>
        <v>4</v>
      </c>
      <c r="B22" s="257" t="s">
        <v>729</v>
      </c>
      <c r="C22" s="546">
        <f>+'SEF-15 Adjustments'!K22</f>
        <v>-23522407.310000002</v>
      </c>
      <c r="D22" s="546">
        <f>+'SEF-15 Adjustments'!S22</f>
        <v>11934985.780000003</v>
      </c>
      <c r="E22" s="546">
        <f t="shared" si="9"/>
        <v>35457393.090000004</v>
      </c>
      <c r="F22" s="512"/>
      <c r="G22" s="266">
        <f>G21+1</f>
        <v>4</v>
      </c>
      <c r="H22" s="257" t="s">
        <v>729</v>
      </c>
      <c r="I22" s="546">
        <f>+'[1]Power Cost Lead'!E22</f>
        <v>-21224501.000000004</v>
      </c>
      <c r="J22" s="546">
        <f>+'[1]Power Cost Lead'!F22</f>
        <v>-2297906.31</v>
      </c>
      <c r="K22" s="546">
        <f t="shared" si="10"/>
        <v>-23522407.310000002</v>
      </c>
      <c r="L22" s="540"/>
      <c r="M22" s="266">
        <f>M21+1</f>
        <v>4</v>
      </c>
      <c r="N22" s="257" t="s">
        <v>729</v>
      </c>
      <c r="O22" s="546">
        <f>+'[1]Power Cost Lead'!H22</f>
        <v>14232892.090000004</v>
      </c>
      <c r="P22" s="546">
        <f>+'[1]Power Cost Lead'!I22</f>
        <v>-2297906.31</v>
      </c>
      <c r="Q22" s="546">
        <f t="shared" si="17"/>
        <v>11934985.780000003</v>
      </c>
      <c r="R22" s="567"/>
      <c r="S22" s="546">
        <f>Q22</f>
        <v>11934985.780000003</v>
      </c>
      <c r="T22" s="540"/>
      <c r="X22" s="458"/>
      <c r="Y22" s="458"/>
      <c r="Z22" s="458"/>
      <c r="AA22" s="538"/>
      <c r="AB22" s="266">
        <f t="shared" si="13"/>
        <v>6</v>
      </c>
      <c r="AC22" s="615" t="s">
        <v>641</v>
      </c>
      <c r="AD22" s="731">
        <f>[7]Lead!E10</f>
        <v>2207007</v>
      </c>
      <c r="AE22" s="731">
        <f>[7]Lead!I10</f>
        <v>2101303</v>
      </c>
      <c r="AF22" s="731">
        <f t="shared" si="18"/>
        <v>-105704</v>
      </c>
      <c r="AG22" s="538"/>
      <c r="AH22" s="266">
        <f t="shared" si="14"/>
        <v>6</v>
      </c>
      <c r="AI22" s="454" t="s">
        <v>209</v>
      </c>
      <c r="AJ22" s="533">
        <f>'[15]Lead Electric'!D16</f>
        <v>7464653.5799999991</v>
      </c>
      <c r="AK22" s="533">
        <f>'[15]Lead Electric'!E16</f>
        <v>7646709.719999996</v>
      </c>
      <c r="AL22" s="533">
        <f t="shared" ref="AL22:AL25" si="23">AK22-AJ22</f>
        <v>182056.13999999687</v>
      </c>
      <c r="AM22" s="538"/>
      <c r="AN22" s="266">
        <f t="shared" si="1"/>
        <v>6</v>
      </c>
      <c r="AO22" s="393"/>
      <c r="AP22" s="548"/>
      <c r="AQ22" s="548"/>
      <c r="AR22" s="534"/>
      <c r="AS22" s="458"/>
      <c r="AT22" s="266">
        <v>6</v>
      </c>
      <c r="AU22" s="529" t="s">
        <v>743</v>
      </c>
      <c r="AV22" s="513">
        <f>SUM(AV19:AV21)</f>
        <v>1401982.02</v>
      </c>
      <c r="AW22" s="513">
        <f t="shared" ref="AW22:AX22" si="24">SUM(AW19:AW21)</f>
        <v>0</v>
      </c>
      <c r="AX22" s="513">
        <f t="shared" si="24"/>
        <v>-1401982.02</v>
      </c>
      <c r="AY22" s="534"/>
      <c r="BE22" s="458"/>
      <c r="BF22" s="266">
        <f t="shared" si="3"/>
        <v>6</v>
      </c>
      <c r="BG22" s="257" t="s">
        <v>227</v>
      </c>
      <c r="BH22" s="533">
        <f>'[12]Lead E'!$D18</f>
        <v>18500000</v>
      </c>
      <c r="BI22" s="533">
        <f>'[12]Lead E'!$E18</f>
        <v>18500000</v>
      </c>
      <c r="BJ22" s="455">
        <f t="shared" si="4"/>
        <v>0</v>
      </c>
      <c r="BK22" s="458"/>
      <c r="BL22" s="266">
        <v>6</v>
      </c>
      <c r="BM22" s="529"/>
      <c r="BN22" s="546"/>
      <c r="BO22" s="546"/>
      <c r="BP22" s="546"/>
      <c r="BQ22" s="458"/>
      <c r="BR22" s="266">
        <f t="shared" si="5"/>
        <v>6</v>
      </c>
      <c r="BS22" s="519" t="s">
        <v>634</v>
      </c>
      <c r="BT22" s="478" t="s">
        <v>25</v>
      </c>
      <c r="BU22" s="478"/>
      <c r="BV22" s="478"/>
      <c r="BW22" s="478" t="s">
        <v>27</v>
      </c>
      <c r="BX22" s="549" t="s">
        <v>44</v>
      </c>
      <c r="BY22" s="458"/>
      <c r="BZ22" s="743">
        <v>6</v>
      </c>
      <c r="CA22" s="744" t="s">
        <v>634</v>
      </c>
      <c r="CB22" s="744"/>
      <c r="CC22" s="744"/>
      <c r="CD22" s="744"/>
      <c r="CE22" s="539"/>
      <c r="CF22" s="266">
        <f t="shared" si="6"/>
        <v>6</v>
      </c>
      <c r="CG22" s="258" t="s">
        <v>235</v>
      </c>
      <c r="CH22" s="567"/>
      <c r="CI22" s="567"/>
      <c r="CJ22" s="567"/>
      <c r="CK22" s="458"/>
      <c r="CL22" s="266">
        <f t="shared" si="7"/>
        <v>6</v>
      </c>
      <c r="CM22" s="393"/>
      <c r="CN22" s="550"/>
      <c r="CO22" s="550"/>
      <c r="CP22" s="538">
        <f>+CO22-CN22</f>
        <v>0</v>
      </c>
      <c r="CQ22" s="458"/>
      <c r="CR22" s="266">
        <f t="shared" si="15"/>
        <v>6</v>
      </c>
      <c r="CS22"/>
      <c r="CT22"/>
      <c r="CU22"/>
      <c r="CV22"/>
      <c r="CW22" s="522"/>
      <c r="CX22" s="266">
        <v>6</v>
      </c>
      <c r="CY22" s="458"/>
      <c r="CZ22" s="458"/>
      <c r="DA22" s="458"/>
      <c r="DB22" s="524"/>
      <c r="DC22" s="530"/>
      <c r="DD22" s="266">
        <f t="shared" si="8"/>
        <v>6</v>
      </c>
      <c r="DE22"/>
      <c r="DF22"/>
      <c r="DG22"/>
      <c r="DH22"/>
      <c r="DI22" s="530"/>
      <c r="DJ22" s="458"/>
      <c r="DK22" s="458"/>
      <c r="DL22" s="458"/>
      <c r="DM22" s="458"/>
      <c r="DN22" s="458"/>
      <c r="DO22" s="458"/>
    </row>
    <row r="23" spans="1:119" ht="14.25" thickBot="1" x14ac:dyDescent="0.3">
      <c r="A23" s="266">
        <f t="shared" si="16"/>
        <v>5</v>
      </c>
      <c r="B23" s="257" t="s">
        <v>730</v>
      </c>
      <c r="C23" s="546">
        <f>+'SEF-15 Adjustments'!K23</f>
        <v>489609.01</v>
      </c>
      <c r="D23" s="546">
        <f>+'SEF-15 Adjustments'!S23</f>
        <v>497854.02572839998</v>
      </c>
      <c r="E23" s="546">
        <f t="shared" si="9"/>
        <v>8245.0157283999724</v>
      </c>
      <c r="G23" s="266">
        <f>G22+1</f>
        <v>5</v>
      </c>
      <c r="H23" s="257" t="s">
        <v>730</v>
      </c>
      <c r="I23" s="546">
        <f>+'[1]Power Cost Lead'!E23</f>
        <v>489609.01</v>
      </c>
      <c r="J23" s="546">
        <f>+'[1]Power Cost Lead'!F23</f>
        <v>0</v>
      </c>
      <c r="K23" s="546">
        <f t="shared" si="10"/>
        <v>489609.01</v>
      </c>
      <c r="M23" s="266">
        <f>M22+1</f>
        <v>5</v>
      </c>
      <c r="N23" s="257" t="s">
        <v>730</v>
      </c>
      <c r="O23" s="546">
        <f>+'[1]Power Cost Lead'!H23</f>
        <v>489609.01</v>
      </c>
      <c r="P23" s="546">
        <f>+'[1]Power Cost Lead'!I23</f>
        <v>0</v>
      </c>
      <c r="Q23" s="546">
        <f t="shared" si="17"/>
        <v>489609.01</v>
      </c>
      <c r="R23" s="458"/>
      <c r="S23" s="546">
        <f t="shared" si="11"/>
        <v>497854.02572839998</v>
      </c>
      <c r="T23" s="540"/>
      <c r="U23" s="967" t="s">
        <v>797</v>
      </c>
      <c r="V23" s="823"/>
      <c r="X23" s="458"/>
      <c r="Y23" s="458"/>
      <c r="Z23" s="458"/>
      <c r="AA23" s="534"/>
      <c r="AB23" s="266">
        <f t="shared" si="13"/>
        <v>7</v>
      </c>
      <c r="AC23" s="615" t="s">
        <v>642</v>
      </c>
      <c r="AD23" s="731">
        <f>[7]Lead!E11</f>
        <v>1173209.1928333351</v>
      </c>
      <c r="AE23" s="731">
        <f>[7]Lead!I11</f>
        <v>906076.72458333313</v>
      </c>
      <c r="AF23" s="731">
        <f t="shared" si="18"/>
        <v>-267132.46825000201</v>
      </c>
      <c r="AG23" s="534"/>
      <c r="AH23" s="266">
        <f t="shared" si="14"/>
        <v>7</v>
      </c>
      <c r="AI23" s="454" t="s">
        <v>210</v>
      </c>
      <c r="AJ23" s="534">
        <f>'[15]Lead Electric'!D17</f>
        <v>3553168.6199999996</v>
      </c>
      <c r="AK23" s="534">
        <f>'[15]Lead Electric'!E17</f>
        <v>3487179.4151999997</v>
      </c>
      <c r="AL23" s="534">
        <f t="shared" si="23"/>
        <v>-65989.204799999949</v>
      </c>
      <c r="AM23" s="538"/>
      <c r="AN23" s="266">
        <f>AN22+1</f>
        <v>7</v>
      </c>
      <c r="AO23" s="458"/>
      <c r="AP23" s="458"/>
      <c r="AQ23" s="458"/>
      <c r="AR23" s="458"/>
      <c r="AS23" s="458"/>
      <c r="AT23" s="266">
        <v>7</v>
      </c>
      <c r="AU23" s="393"/>
      <c r="AV23" s="458"/>
      <c r="AW23" s="458"/>
      <c r="AX23" s="458"/>
      <c r="AY23" s="534"/>
      <c r="BE23" s="458"/>
      <c r="BF23" s="266">
        <f>BF22+1</f>
        <v>7</v>
      </c>
      <c r="BG23" s="257" t="s">
        <v>417</v>
      </c>
      <c r="BH23" s="533">
        <f>'[12]Lead E'!$D19</f>
        <v>55678656.244999997</v>
      </c>
      <c r="BI23" s="533">
        <f>'[12]Lead E'!$E19</f>
        <v>47760710.165185846</v>
      </c>
      <c r="BJ23" s="455">
        <f t="shared" si="4"/>
        <v>-7917946.0798141509</v>
      </c>
      <c r="BK23" s="458"/>
      <c r="BL23" s="266">
        <v>7</v>
      </c>
      <c r="BM23" s="529" t="s">
        <v>26</v>
      </c>
      <c r="BN23" s="542">
        <f>SUM(BN20:BN22)</f>
        <v>24173718.963481996</v>
      </c>
      <c r="BO23" s="542">
        <f>SUM(BO20:BO22)</f>
        <v>41096273.81753172</v>
      </c>
      <c r="BP23" s="542">
        <f>SUM(BP20:BP22)</f>
        <v>16922554.854049724</v>
      </c>
      <c r="BQ23" s="458"/>
      <c r="BR23" s="266">
        <v>7</v>
      </c>
      <c r="BS23" s="458" t="s">
        <v>655</v>
      </c>
      <c r="BT23" s="507" t="s">
        <v>443</v>
      </c>
      <c r="BU23" s="507"/>
      <c r="BV23" s="507"/>
      <c r="BW23" s="507" t="s">
        <v>44</v>
      </c>
      <c r="BX23" s="478" t="s">
        <v>20</v>
      </c>
      <c r="BY23" s="458"/>
      <c r="BZ23" s="743">
        <v>7</v>
      </c>
      <c r="CA23" s="744" t="s">
        <v>201</v>
      </c>
      <c r="CB23" s="744"/>
      <c r="CC23" s="744"/>
      <c r="CD23" s="744"/>
      <c r="CE23" s="539"/>
      <c r="CF23" s="266">
        <f>CF22+1</f>
        <v>7</v>
      </c>
      <c r="CG23" s="536" t="s">
        <v>236</v>
      </c>
      <c r="CH23" s="567">
        <f>'[11]Lead Sheet'!$D$22</f>
        <v>0</v>
      </c>
      <c r="CI23" s="567">
        <f>'[11]Lead Sheet'!$E$22</f>
        <v>612714.71481750195</v>
      </c>
      <c r="CJ23" s="567">
        <f>SUM(CH23:CI23)</f>
        <v>612714.71481750195</v>
      </c>
      <c r="CK23" s="458"/>
      <c r="CL23" s="266">
        <f>CL22+1</f>
        <v>7</v>
      </c>
      <c r="CM23" s="539"/>
      <c r="CN23" s="542">
        <f>SUM(CN18:CN22)</f>
        <v>0</v>
      </c>
      <c r="CO23" s="542">
        <f>SUM(CO18:CO22)</f>
        <v>0</v>
      </c>
      <c r="CP23" s="542">
        <f>SUM(CP18:CP22)</f>
        <v>0</v>
      </c>
      <c r="CQ23" s="458"/>
      <c r="CR23" s="266">
        <f>CR22+1</f>
        <v>7</v>
      </c>
      <c r="CS23"/>
      <c r="CT23"/>
      <c r="CU23"/>
      <c r="CV23"/>
      <c r="CW23" s="522"/>
      <c r="CX23" s="266">
        <v>7</v>
      </c>
      <c r="CY23" s="257" t="str">
        <f>"CONVERSION FACTOR ( 1 - LINE "&amp;CX21&amp;" )"</f>
        <v>CONVERSION FACTOR ( 1 - LINE 5 )</v>
      </c>
      <c r="CZ23" s="458"/>
      <c r="DA23" s="458"/>
      <c r="DB23" s="748">
        <f>ROUND(1-DB21,6)</f>
        <v>0.95111500000000004</v>
      </c>
      <c r="DC23" s="530"/>
      <c r="DD23" s="266">
        <f>DD22+1</f>
        <v>7</v>
      </c>
      <c r="DE23"/>
      <c r="DF23"/>
      <c r="DG23"/>
      <c r="DH23"/>
      <c r="DI23" s="530"/>
      <c r="DJ23" s="458"/>
      <c r="DK23" s="458"/>
      <c r="DL23" s="458"/>
      <c r="DM23" s="458"/>
      <c r="DN23" s="458"/>
      <c r="DO23" s="458"/>
    </row>
    <row r="24" spans="1:119" ht="14.25" thickTop="1" thickBot="1" x14ac:dyDescent="0.25">
      <c r="A24" s="266">
        <f t="shared" si="16"/>
        <v>6</v>
      </c>
      <c r="B24" s="257" t="s">
        <v>731</v>
      </c>
      <c r="C24" s="546">
        <f>+'SEF-15 Adjustments'!K24</f>
        <v>123883050.72</v>
      </c>
      <c r="D24" s="546">
        <f>+'SEF-15 Adjustments'!S24</f>
        <v>130426363.52642131</v>
      </c>
      <c r="E24" s="567">
        <f t="shared" si="9"/>
        <v>6543312.8064213097</v>
      </c>
      <c r="F24" s="512"/>
      <c r="G24" s="266">
        <f>G22+1</f>
        <v>5</v>
      </c>
      <c r="H24" s="257" t="s">
        <v>731</v>
      </c>
      <c r="I24" s="546">
        <f>+'[1]Power Cost Lead'!E24</f>
        <v>123883050.72</v>
      </c>
      <c r="J24" s="546">
        <f>+'[1]Power Cost Lead'!F24</f>
        <v>0</v>
      </c>
      <c r="K24" s="567">
        <f t="shared" si="10"/>
        <v>123883050.72</v>
      </c>
      <c r="L24" s="538"/>
      <c r="M24" s="266">
        <f>M22+1</f>
        <v>5</v>
      </c>
      <c r="N24" s="257" t="s">
        <v>731</v>
      </c>
      <c r="O24" s="546">
        <f>+'[1]Power Cost Lead'!H24</f>
        <v>128266358.05674571</v>
      </c>
      <c r="P24" s="546">
        <f>+'[1]Power Cost Lead'!I24</f>
        <v>0</v>
      </c>
      <c r="Q24" s="567">
        <f t="shared" si="17"/>
        <v>128266358.05674571</v>
      </c>
      <c r="R24" s="567"/>
      <c r="S24" s="567">
        <f>Q24*$S$17</f>
        <v>130426363.52642131</v>
      </c>
      <c r="T24" s="538"/>
      <c r="U24" s="932">
        <v>1</v>
      </c>
      <c r="V24" s="958" t="s">
        <v>248</v>
      </c>
      <c r="W24" s="958"/>
      <c r="X24" s="959"/>
      <c r="Y24" s="960"/>
      <c r="Z24" s="960"/>
      <c r="AA24" s="538"/>
      <c r="AB24" s="266">
        <f t="shared" si="13"/>
        <v>8</v>
      </c>
      <c r="AC24" s="615" t="s">
        <v>643</v>
      </c>
      <c r="AD24" s="731">
        <f>[7]Lead!E12</f>
        <v>340636.73</v>
      </c>
      <c r="AE24" s="731">
        <f>[7]Lead!I12</f>
        <v>340636.55000000005</v>
      </c>
      <c r="AF24" s="731">
        <f t="shared" si="18"/>
        <v>-0.17999999993480742</v>
      </c>
      <c r="AG24" s="538"/>
      <c r="AH24" s="266">
        <f t="shared" si="14"/>
        <v>8</v>
      </c>
      <c r="AI24" s="454" t="s">
        <v>630</v>
      </c>
      <c r="AJ24" s="534">
        <f>'[15]Lead Electric'!D18</f>
        <v>2608551.2440000013</v>
      </c>
      <c r="AK24" s="534">
        <f>'[15]Lead Electric'!E18</f>
        <v>2608551.2440000013</v>
      </c>
      <c r="AL24" s="534">
        <f t="shared" si="23"/>
        <v>0</v>
      </c>
      <c r="AM24" s="519"/>
      <c r="AN24" s="266">
        <f t="shared" si="1"/>
        <v>8</v>
      </c>
      <c r="AO24" s="458"/>
      <c r="AP24" s="458"/>
      <c r="AQ24" s="458"/>
      <c r="AR24" s="458"/>
      <c r="AS24" s="458"/>
      <c r="AT24" s="266">
        <v>8</v>
      </c>
      <c r="AU24" s="458"/>
      <c r="AV24" s="458"/>
      <c r="AW24" s="458"/>
      <c r="AX24" s="458"/>
      <c r="AY24" s="534"/>
      <c r="BE24" s="458"/>
      <c r="BF24" s="266">
        <f t="shared" si="3"/>
        <v>8</v>
      </c>
      <c r="BG24" s="257" t="s">
        <v>416</v>
      </c>
      <c r="BH24" s="533">
        <f>'[12]Lead E'!$D20</f>
        <v>7603989</v>
      </c>
      <c r="BI24" s="533">
        <f>'[12]Lead E'!$E20</f>
        <v>8434836.8844743464</v>
      </c>
      <c r="BJ24" s="455">
        <f t="shared" si="4"/>
        <v>830847.88447434641</v>
      </c>
      <c r="BK24" s="458"/>
      <c r="BL24" s="266">
        <v>8</v>
      </c>
      <c r="BM24" s="529"/>
      <c r="BN24" s="513"/>
      <c r="BO24" s="513"/>
      <c r="BP24" s="513"/>
      <c r="BQ24" s="458"/>
      <c r="BR24" s="266">
        <f t="shared" si="5"/>
        <v>8</v>
      </c>
      <c r="BS24" s="393" t="s">
        <v>656</v>
      </c>
      <c r="BT24" s="542">
        <f>'[14]Lead Sheet'!C24</f>
        <v>9250000.0199999996</v>
      </c>
      <c r="BU24" s="542">
        <f>'[14]Lead Sheet'!D24</f>
        <v>0</v>
      </c>
      <c r="BV24" s="542">
        <f>'[14]Lead Sheet'!E24</f>
        <v>0</v>
      </c>
      <c r="BW24" s="542">
        <f>'[14]Lead Sheet'!F24</f>
        <v>0</v>
      </c>
      <c r="BX24" s="542">
        <f>'[14]Lead Sheet'!G24</f>
        <v>-9250000.0199999996</v>
      </c>
      <c r="BY24" s="458"/>
      <c r="BZ24" s="743">
        <v>8</v>
      </c>
      <c r="CA24" s="744" t="s">
        <v>663</v>
      </c>
      <c r="CB24" s="749">
        <f>[7]Lead!$G$12</f>
        <v>340637.09</v>
      </c>
      <c r="CC24" s="749">
        <v>0</v>
      </c>
      <c r="CD24" s="749">
        <f t="shared" ref="CD24:CD26" si="25">CC24-CB24</f>
        <v>-340637.09</v>
      </c>
      <c r="CE24" s="519"/>
      <c r="CF24" s="266">
        <f t="shared" si="6"/>
        <v>8</v>
      </c>
      <c r="CG24" s="552" t="s">
        <v>247</v>
      </c>
      <c r="CH24" s="458"/>
      <c r="CI24" s="567">
        <f>'[11]Lead Sheet'!$E$23</f>
        <v>0</v>
      </c>
      <c r="CJ24" s="567">
        <f>SUM(CH24:CI24)</f>
        <v>0</v>
      </c>
      <c r="CK24" s="458"/>
      <c r="CL24" s="266">
        <f t="shared" si="7"/>
        <v>8</v>
      </c>
      <c r="CM24" s="519"/>
      <c r="CN24" s="533"/>
      <c r="CO24" s="533"/>
      <c r="CP24" s="533"/>
      <c r="CQ24" s="458"/>
      <c r="CR24" s="266">
        <f>CR23+1</f>
        <v>8</v>
      </c>
      <c r="CS24"/>
      <c r="CT24"/>
      <c r="CU24"/>
      <c r="CV24"/>
      <c r="CW24" s="522"/>
      <c r="CX24" s="266"/>
      <c r="CY24" s="257"/>
      <c r="CZ24" s="458"/>
      <c r="DA24" s="458"/>
      <c r="DB24" s="553"/>
      <c r="DC24" s="530"/>
      <c r="DD24" s="266">
        <f t="shared" si="8"/>
        <v>8</v>
      </c>
      <c r="DE24"/>
      <c r="DF24"/>
      <c r="DG24"/>
      <c r="DH24"/>
      <c r="DI24" s="530"/>
      <c r="DJ24" s="458"/>
      <c r="DK24" s="458"/>
      <c r="DL24" s="458"/>
      <c r="DM24" s="458"/>
      <c r="DN24" s="458"/>
      <c r="DO24" s="458"/>
    </row>
    <row r="25" spans="1:119" ht="14.25" thickTop="1" x14ac:dyDescent="0.25">
      <c r="A25" s="266">
        <f>A24+1</f>
        <v>7</v>
      </c>
      <c r="B25" s="257" t="s">
        <v>732</v>
      </c>
      <c r="C25" s="546">
        <f>+'SEF-15 Adjustments'!K25</f>
        <v>-189780073.88</v>
      </c>
      <c r="D25" s="546">
        <f>+'SEF-15 Adjustments'!S25</f>
        <v>-46984140.979123838</v>
      </c>
      <c r="E25" s="546">
        <f t="shared" si="9"/>
        <v>142795932.90087616</v>
      </c>
      <c r="F25" s="512"/>
      <c r="G25" s="266">
        <f>G24+1</f>
        <v>6</v>
      </c>
      <c r="H25" s="257" t="s">
        <v>732</v>
      </c>
      <c r="I25" s="546">
        <f>+'[1]Power Cost Lead'!E25</f>
        <v>-189780073.88</v>
      </c>
      <c r="J25" s="546">
        <f>+'[1]Power Cost Lead'!F25</f>
        <v>0</v>
      </c>
      <c r="K25" s="546">
        <f t="shared" si="10"/>
        <v>-189780073.88</v>
      </c>
      <c r="L25" s="540"/>
      <c r="M25" s="266">
        <f>M24+1</f>
        <v>6</v>
      </c>
      <c r="N25" s="257" t="s">
        <v>732</v>
      </c>
      <c r="O25" s="546">
        <f>+'[1]Power Cost Lead'!H25</f>
        <v>-46206031.410176471</v>
      </c>
      <c r="P25" s="546">
        <f>+'[1]Power Cost Lead'!I25</f>
        <v>0</v>
      </c>
      <c r="Q25" s="546">
        <f t="shared" si="17"/>
        <v>-46206031.410176471</v>
      </c>
      <c r="R25" s="567"/>
      <c r="S25" s="546">
        <f>Q25*$S$17</f>
        <v>-46984140.979123838</v>
      </c>
      <c r="T25" s="540"/>
      <c r="U25" s="932">
        <v>2</v>
      </c>
      <c r="V25" s="961" t="s">
        <v>249</v>
      </c>
      <c r="W25" s="962"/>
      <c r="X25" s="939">
        <v>1116935.45</v>
      </c>
      <c r="Y25" s="939">
        <v>797064.36743651982</v>
      </c>
      <c r="Z25" s="939">
        <v>-319871.08256348013</v>
      </c>
      <c r="AA25" s="458"/>
      <c r="AB25" s="266">
        <f t="shared" si="13"/>
        <v>9</v>
      </c>
      <c r="AC25" s="615" t="s">
        <v>644</v>
      </c>
      <c r="AD25" s="731">
        <f>[7]Lead!E13</f>
        <v>401648</v>
      </c>
      <c r="AE25" s="731">
        <f>[7]Lead!I13</f>
        <v>179711.19999999984</v>
      </c>
      <c r="AF25" s="731">
        <f t="shared" si="18"/>
        <v>-221936.80000000016</v>
      </c>
      <c r="AG25" s="458"/>
      <c r="AH25" s="266">
        <f t="shared" si="14"/>
        <v>9</v>
      </c>
      <c r="AI25" s="454" t="s">
        <v>631</v>
      </c>
      <c r="AJ25" s="533">
        <f>'[15]Lead Electric'!D19</f>
        <v>9121496.040000001</v>
      </c>
      <c r="AK25" s="533">
        <f>'[15]Lead Electric'!E19</f>
        <v>9121496.040000001</v>
      </c>
      <c r="AL25" s="533">
        <f t="shared" si="23"/>
        <v>0</v>
      </c>
      <c r="AM25" s="538"/>
      <c r="AN25" s="266">
        <f t="shared" si="1"/>
        <v>9</v>
      </c>
      <c r="AO25" s="393"/>
      <c r="AP25" s="548"/>
      <c r="AQ25" s="548"/>
      <c r="AR25" s="534"/>
      <c r="AS25" s="458"/>
      <c r="AT25" s="266">
        <v>9</v>
      </c>
      <c r="AU25" s="458"/>
      <c r="AV25" s="458"/>
      <c r="AW25" s="458"/>
      <c r="AX25" s="458"/>
      <c r="AY25" s="534"/>
      <c r="BE25" s="458"/>
      <c r="BF25" s="266">
        <f t="shared" si="3"/>
        <v>9</v>
      </c>
      <c r="BG25" s="257" t="s">
        <v>229</v>
      </c>
      <c r="BH25" s="533">
        <f>'[12]Lead E'!$D21</f>
        <v>-78555.810000000012</v>
      </c>
      <c r="BI25" s="533">
        <f>'[12]Lead E'!$E21</f>
        <v>0</v>
      </c>
      <c r="BJ25" s="455">
        <f t="shared" si="4"/>
        <v>78555.810000000012</v>
      </c>
      <c r="BK25" s="458"/>
      <c r="BL25" s="266">
        <v>9</v>
      </c>
      <c r="BM25" s="537" t="s">
        <v>201</v>
      </c>
      <c r="BN25" s="513"/>
      <c r="BO25" s="513"/>
      <c r="BP25" s="513"/>
      <c r="BQ25" s="458"/>
      <c r="BR25" s="458"/>
      <c r="BS25" s="458"/>
      <c r="BU25" s="458"/>
      <c r="BV25" s="458"/>
      <c r="BW25" s="458"/>
      <c r="BX25" s="458"/>
      <c r="BY25" s="458"/>
      <c r="BZ25" s="743">
        <v>9</v>
      </c>
      <c r="CA25" s="744" t="s">
        <v>36</v>
      </c>
      <c r="CB25" s="750">
        <f>ROUNDDOWN([7]Lead!$H$12,0)</f>
        <v>0</v>
      </c>
      <c r="CC25" s="750">
        <v>0</v>
      </c>
      <c r="CD25" s="750">
        <f t="shared" si="25"/>
        <v>0</v>
      </c>
      <c r="CE25" s="458"/>
      <c r="CF25" s="266">
        <f t="shared" si="6"/>
        <v>9</v>
      </c>
      <c r="CG25" s="536" t="s">
        <v>244</v>
      </c>
      <c r="CH25" s="614">
        <f t="shared" ref="CH25:CJ25" si="26">SUM(CH23:CH24)</f>
        <v>0</v>
      </c>
      <c r="CI25" s="614">
        <f t="shared" si="26"/>
        <v>612714.71481750195</v>
      </c>
      <c r="CJ25" s="614">
        <f t="shared" si="26"/>
        <v>612714.71481750195</v>
      </c>
      <c r="CK25" s="458"/>
      <c r="CL25" s="266">
        <f t="shared" si="7"/>
        <v>9</v>
      </c>
      <c r="CM25" s="555"/>
      <c r="CN25" s="458"/>
      <c r="CO25" s="458"/>
      <c r="CP25" s="458"/>
      <c r="CQ25" s="458"/>
      <c r="CR25" s="266">
        <f t="shared" si="15"/>
        <v>9</v>
      </c>
      <c r="CS25"/>
      <c r="CT25"/>
      <c r="CU25"/>
      <c r="CV25"/>
      <c r="CW25" s="522"/>
      <c r="CX25" s="458"/>
      <c r="CY25" s="458"/>
      <c r="CZ25" s="458"/>
      <c r="DA25" s="458"/>
      <c r="DB25" s="458"/>
      <c r="DC25" s="530"/>
      <c r="DD25" s="266">
        <f t="shared" si="8"/>
        <v>9</v>
      </c>
      <c r="DE25"/>
      <c r="DF25"/>
      <c r="DG25"/>
      <c r="DH25"/>
      <c r="DI25" s="530"/>
      <c r="DJ25" s="458"/>
      <c r="DK25" s="458"/>
      <c r="DL25" s="458"/>
      <c r="DM25" s="458"/>
      <c r="DN25" s="458"/>
      <c r="DO25" s="458"/>
    </row>
    <row r="26" spans="1:119" x14ac:dyDescent="0.2">
      <c r="A26" s="266">
        <f t="shared" si="16"/>
        <v>8</v>
      </c>
      <c r="B26" s="257" t="s">
        <v>733</v>
      </c>
      <c r="C26" s="546">
        <f>+'SEF-15 Adjustments'!K26</f>
        <v>-9520817.3900000006</v>
      </c>
      <c r="D26" s="546">
        <f>+'SEF-15 Adjustments'!S26</f>
        <v>-58610357.76504492</v>
      </c>
      <c r="E26" s="546">
        <f t="shared" si="9"/>
        <v>-49089540.37504492</v>
      </c>
      <c r="F26" s="539"/>
      <c r="G26" s="266">
        <f t="shared" ref="G26:G32" si="27">G25+1</f>
        <v>7</v>
      </c>
      <c r="H26" s="257" t="s">
        <v>733</v>
      </c>
      <c r="I26" s="546">
        <f>+'[1]Power Cost Lead'!E26</f>
        <v>-9520817.3900000006</v>
      </c>
      <c r="J26" s="546">
        <f>+'[1]Power Cost Lead'!F26</f>
        <v>0</v>
      </c>
      <c r="K26" s="546">
        <f t="shared" si="10"/>
        <v>-9520817.3900000006</v>
      </c>
      <c r="L26" s="540"/>
      <c r="M26" s="266">
        <f t="shared" ref="M26:M32" si="28">M25+1</f>
        <v>7</v>
      </c>
      <c r="N26" s="257" t="s">
        <v>733</v>
      </c>
      <c r="O26" s="546">
        <f>+'[1]Power Cost Lead'!H26</f>
        <v>-57639705.130644865</v>
      </c>
      <c r="P26" s="546">
        <f>+'[1]Power Cost Lead'!I26</f>
        <v>0</v>
      </c>
      <c r="Q26" s="546">
        <f t="shared" si="17"/>
        <v>-57639705.130644865</v>
      </c>
      <c r="R26" s="567"/>
      <c r="S26" s="546">
        <f>Q26*$S$17</f>
        <v>-58610357.76504492</v>
      </c>
      <c r="T26" s="540"/>
      <c r="U26" s="932">
        <v>3</v>
      </c>
      <c r="V26" s="961" t="s">
        <v>739</v>
      </c>
      <c r="W26" s="961"/>
      <c r="X26" s="963">
        <v>1116935.45</v>
      </c>
      <c r="Y26" s="963">
        <v>797064.36743651982</v>
      </c>
      <c r="Z26" s="963">
        <v>-319871.08256348013</v>
      </c>
      <c r="AA26" s="519"/>
      <c r="AB26" s="266">
        <f t="shared" si="13"/>
        <v>10</v>
      </c>
      <c r="AC26" s="615" t="s">
        <v>645</v>
      </c>
      <c r="AD26" s="731">
        <f>[7]Lead!E14</f>
        <v>40925231</v>
      </c>
      <c r="AE26" s="731">
        <f>[7]Lead!I14</f>
        <v>40373437.299999997</v>
      </c>
      <c r="AF26" s="731">
        <f t="shared" si="18"/>
        <v>-551793.70000000298</v>
      </c>
      <c r="AG26" s="519"/>
      <c r="AH26" s="266">
        <f t="shared" si="14"/>
        <v>10</v>
      </c>
      <c r="AI26" s="551" t="s">
        <v>26</v>
      </c>
      <c r="AJ26" s="740">
        <f>SUM(AJ21:AJ25)</f>
        <v>153532792.95400029</v>
      </c>
      <c r="AK26" s="740">
        <f>SUM(AK21:AK25)</f>
        <v>145285974.71266538</v>
      </c>
      <c r="AL26" s="740">
        <f>SUM(AL21:AL25)</f>
        <v>-8246818.2413349133</v>
      </c>
      <c r="AM26" s="538"/>
      <c r="AN26" s="266">
        <f t="shared" si="1"/>
        <v>10</v>
      </c>
      <c r="AO26" s="556" t="s">
        <v>238</v>
      </c>
      <c r="AP26" s="548"/>
      <c r="AQ26" s="548"/>
      <c r="AR26" s="534"/>
      <c r="AS26" s="458"/>
      <c r="AT26" s="266">
        <v>10</v>
      </c>
      <c r="AU26" s="535"/>
      <c r="AV26" s="518"/>
      <c r="AW26" s="518"/>
      <c r="AX26" s="518"/>
      <c r="AY26" s="534"/>
      <c r="BE26" s="458"/>
      <c r="BF26" s="266">
        <f t="shared" si="3"/>
        <v>10</v>
      </c>
      <c r="BG26" s="257" t="s">
        <v>230</v>
      </c>
      <c r="BH26" s="533">
        <f>'[12]Lead E'!$D22</f>
        <v>-308479.03999999998</v>
      </c>
      <c r="BI26" s="533">
        <f>'[12]Lead E'!$E22</f>
        <v>5.95245425356552E-2</v>
      </c>
      <c r="BJ26" s="455">
        <f t="shared" si="4"/>
        <v>308479.09952454251</v>
      </c>
      <c r="BK26" s="458"/>
      <c r="BL26" s="266">
        <v>10</v>
      </c>
      <c r="BM26" s="529" t="s">
        <v>220</v>
      </c>
      <c r="BN26" s="513">
        <f>'[16]Lead Electric'!D22</f>
        <v>-24173718.963481996</v>
      </c>
      <c r="BO26" s="513">
        <f>'[16]Lead Electric'!E22</f>
        <v>-41096273.81753172</v>
      </c>
      <c r="BP26" s="513">
        <f>'[16]Lead Electric'!F22</f>
        <v>-16922554.854049724</v>
      </c>
      <c r="BQ26" s="458"/>
      <c r="BR26" s="458"/>
      <c r="BS26" s="458"/>
      <c r="BU26" s="458"/>
      <c r="BV26" s="458"/>
      <c r="BW26" s="458"/>
      <c r="BX26" s="458"/>
      <c r="BY26" s="458"/>
      <c r="BZ26" s="743">
        <v>10</v>
      </c>
      <c r="CA26" s="744" t="s">
        <v>664</v>
      </c>
      <c r="CB26" s="750">
        <f>-[7]DFIT!$R$186</f>
        <v>0</v>
      </c>
      <c r="CC26" s="750">
        <v>0</v>
      </c>
      <c r="CD26" s="750">
        <f t="shared" si="25"/>
        <v>0</v>
      </c>
      <c r="CE26" s="458"/>
      <c r="CF26" s="458"/>
      <c r="CG26" s="458"/>
      <c r="CH26" s="458"/>
      <c r="CI26" s="458"/>
      <c r="CJ26" s="458"/>
      <c r="CK26" s="458"/>
      <c r="CL26" s="266">
        <f t="shared" si="7"/>
        <v>10</v>
      </c>
      <c r="CM26" s="393"/>
      <c r="CN26" s="521"/>
      <c r="CO26" s="521"/>
      <c r="CP26" s="521">
        <f>+CO26-CN26</f>
        <v>0</v>
      </c>
      <c r="CQ26" s="458"/>
      <c r="CR26" s="266">
        <f t="shared" si="15"/>
        <v>10</v>
      </c>
      <c r="CS26"/>
      <c r="CT26"/>
      <c r="CU26"/>
      <c r="CV26"/>
      <c r="CW26" s="522"/>
      <c r="CX26" s="458"/>
      <c r="CY26" s="458"/>
      <c r="CZ26" s="458"/>
      <c r="DA26" s="458"/>
      <c r="DB26" s="458"/>
      <c r="DC26" s="530"/>
      <c r="DD26" s="458"/>
      <c r="DE26" s="458"/>
      <c r="DF26" s="458"/>
      <c r="DG26" s="458"/>
      <c r="DH26" s="458"/>
      <c r="DI26" s="530"/>
      <c r="DJ26" s="458"/>
      <c r="DK26" s="458"/>
      <c r="DL26" s="458"/>
      <c r="DM26" s="458"/>
      <c r="DN26" s="458"/>
      <c r="DO26" s="458"/>
    </row>
    <row r="27" spans="1:119" ht="13.5" x14ac:dyDescent="0.25">
      <c r="A27" s="266">
        <f t="shared" si="16"/>
        <v>9</v>
      </c>
      <c r="B27" s="458" t="s">
        <v>734</v>
      </c>
      <c r="C27" s="558">
        <f>SUM(C19:C26)</f>
        <v>701220657.81999993</v>
      </c>
      <c r="D27" s="558">
        <f>SUM(D19:D26)</f>
        <v>774349563.98786855</v>
      </c>
      <c r="E27" s="558">
        <f>SUM(E19:E26)</f>
        <v>73128906.167868704</v>
      </c>
      <c r="F27" s="539"/>
      <c r="G27" s="266">
        <f t="shared" si="27"/>
        <v>8</v>
      </c>
      <c r="H27" s="458" t="s">
        <v>734</v>
      </c>
      <c r="I27" s="558">
        <f>SUM(I19:I26)</f>
        <v>703518564.13</v>
      </c>
      <c r="J27" s="558">
        <f>SUM(J19:J26)</f>
        <v>-2297906.31</v>
      </c>
      <c r="K27" s="558">
        <f>SUM(K19:K26)</f>
        <v>701220657.81999993</v>
      </c>
      <c r="L27" s="538"/>
      <c r="M27" s="266">
        <f t="shared" si="28"/>
        <v>8</v>
      </c>
      <c r="N27" s="458" t="s">
        <v>734</v>
      </c>
      <c r="O27" s="558">
        <f>SUM(O19:O26)</f>
        <v>764021037.92205679</v>
      </c>
      <c r="P27" s="558">
        <f>SUM(P19:P26)</f>
        <v>-2297906.31</v>
      </c>
      <c r="Q27" s="558">
        <f>SUM(Q19:Q26)</f>
        <v>761723131.61205661</v>
      </c>
      <c r="R27" s="567"/>
      <c r="S27" s="558">
        <f>SUM(S19:S26)</f>
        <v>774349563.98786855</v>
      </c>
      <c r="T27" s="538"/>
      <c r="U27" s="932">
        <v>4</v>
      </c>
      <c r="V27" s="961" t="s">
        <v>740</v>
      </c>
      <c r="W27" s="964">
        <v>1.01684</v>
      </c>
      <c r="X27" s="965"/>
      <c r="Y27" s="965">
        <v>13422.563947630966</v>
      </c>
      <c r="Z27" s="965">
        <v>13422.563947630966</v>
      </c>
      <c r="AA27" s="458"/>
      <c r="AB27" s="266">
        <f t="shared" si="13"/>
        <v>11</v>
      </c>
      <c r="AC27" s="608" t="s">
        <v>646</v>
      </c>
      <c r="AD27" s="731">
        <f>[7]Lead!E15</f>
        <v>1578274.6299999158</v>
      </c>
      <c r="AE27" s="731">
        <f>[7]Lead!I15</f>
        <v>1400940.2499999157</v>
      </c>
      <c r="AF27" s="731">
        <f t="shared" si="18"/>
        <v>-177334.38000000012</v>
      </c>
      <c r="AG27" s="458"/>
      <c r="AH27" s="266">
        <f t="shared" si="14"/>
        <v>11</v>
      </c>
      <c r="AI27" s="551"/>
      <c r="AJ27" s="521"/>
      <c r="AK27" s="521"/>
      <c r="AL27" s="521"/>
      <c r="AM27" s="538"/>
      <c r="AN27" s="266">
        <f t="shared" si="1"/>
        <v>11</v>
      </c>
      <c r="AO27" s="393" t="s">
        <v>239</v>
      </c>
      <c r="AP27" s="513">
        <f>SUM('[15]Software Amort'!$D$4:$D$5)</f>
        <v>2186134.7040000008</v>
      </c>
      <c r="AQ27" s="878"/>
      <c r="AR27" s="521">
        <f>AQ27-AP27</f>
        <v>-2186134.7040000008</v>
      </c>
      <c r="AS27" s="458"/>
      <c r="AT27" s="266">
        <v>11</v>
      </c>
      <c r="AU27" s="514" t="s">
        <v>744</v>
      </c>
      <c r="AV27" s="518"/>
      <c r="AW27" s="518"/>
      <c r="AX27" s="518"/>
      <c r="AY27" s="534"/>
      <c r="BE27" s="458"/>
      <c r="BF27" s="266">
        <f t="shared" si="3"/>
        <v>11</v>
      </c>
      <c r="BG27" s="257" t="s">
        <v>231</v>
      </c>
      <c r="BH27" s="533">
        <f>'[12]Lead E'!$D23</f>
        <v>-961846.34124999982</v>
      </c>
      <c r="BI27" s="533">
        <f>'[12]Lead E'!$E23</f>
        <v>0.46279960731044412</v>
      </c>
      <c r="BJ27" s="455">
        <f t="shared" si="4"/>
        <v>961846.80404960713</v>
      </c>
      <c r="BK27" s="458"/>
      <c r="BL27" s="266">
        <v>11</v>
      </c>
      <c r="BM27" s="529" t="s">
        <v>221</v>
      </c>
      <c r="BN27" s="546">
        <f>'[16]Lead Electric'!D23</f>
        <v>5076480.9823312191</v>
      </c>
      <c r="BO27" s="546">
        <f>'[16]Lead Electric'!E23</f>
        <v>8630217.5016816612</v>
      </c>
      <c r="BP27" s="546">
        <f>'[16]Lead Electric'!F23</f>
        <v>3553736.5193504421</v>
      </c>
      <c r="BQ27" s="458"/>
      <c r="BR27" s="266"/>
      <c r="BS27" s="458"/>
      <c r="BU27" s="458"/>
      <c r="BV27" s="458"/>
      <c r="BW27" s="458"/>
      <c r="BX27" s="458"/>
      <c r="BY27" s="458"/>
      <c r="BZ27" s="559">
        <v>11</v>
      </c>
      <c r="CA27" s="560" t="s">
        <v>634</v>
      </c>
      <c r="CB27" s="561"/>
      <c r="CC27" s="561"/>
      <c r="CD27" s="561"/>
      <c r="CE27" s="539"/>
      <c r="CF27" s="458"/>
      <c r="CG27" s="823"/>
      <c r="CH27" s="458"/>
      <c r="CI27" s="458"/>
      <c r="CJ27" s="458"/>
      <c r="CK27" s="458"/>
      <c r="CL27" s="266">
        <f t="shared" si="7"/>
        <v>11</v>
      </c>
      <c r="CM27" s="393"/>
      <c r="CN27" s="538"/>
      <c r="CO27" s="538"/>
      <c r="CP27" s="538">
        <f>+CO27-CN27</f>
        <v>0</v>
      </c>
      <c r="CQ27" s="458"/>
      <c r="CR27" s="266">
        <f t="shared" si="15"/>
        <v>11</v>
      </c>
      <c r="CS27"/>
      <c r="CT27"/>
      <c r="CU27"/>
      <c r="CV27"/>
      <c r="CW27" s="522"/>
      <c r="CX27" s="458"/>
      <c r="CY27" s="458"/>
      <c r="CZ27" s="458"/>
      <c r="DA27" s="458"/>
      <c r="DB27" s="458"/>
      <c r="DC27" s="530"/>
      <c r="DD27" s="458"/>
      <c r="DE27" s="823"/>
      <c r="DF27" s="458"/>
      <c r="DG27" s="458"/>
      <c r="DH27" s="458"/>
      <c r="DI27" s="530"/>
      <c r="DJ27" s="458"/>
      <c r="DK27" s="458"/>
      <c r="DL27" s="458"/>
      <c r="DM27" s="458"/>
      <c r="DN27" s="458"/>
      <c r="DO27" s="458"/>
    </row>
    <row r="28" spans="1:119" ht="14.25" thickBot="1" x14ac:dyDescent="0.3">
      <c r="A28" s="266">
        <f t="shared" si="16"/>
        <v>10</v>
      </c>
      <c r="B28" s="454" t="s">
        <v>634</v>
      </c>
      <c r="C28" s="562"/>
      <c r="D28" s="562"/>
      <c r="E28" s="562"/>
      <c r="F28" s="512"/>
      <c r="G28" s="266">
        <f t="shared" si="27"/>
        <v>9</v>
      </c>
      <c r="H28" s="454" t="s">
        <v>634</v>
      </c>
      <c r="I28" s="562"/>
      <c r="J28" s="562"/>
      <c r="K28" s="562"/>
      <c r="L28" s="538"/>
      <c r="M28" s="266">
        <f t="shared" si="28"/>
        <v>9</v>
      </c>
      <c r="N28" s="454" t="s">
        <v>634</v>
      </c>
      <c r="O28" s="562"/>
      <c r="P28" s="562"/>
      <c r="Q28" s="562"/>
      <c r="R28" s="567"/>
      <c r="S28" s="562"/>
      <c r="T28" s="538"/>
      <c r="U28" s="932">
        <v>5</v>
      </c>
      <c r="V28" s="966" t="s">
        <v>749</v>
      </c>
      <c r="W28" s="940"/>
      <c r="X28" s="963">
        <v>1116935.45</v>
      </c>
      <c r="Y28" s="963">
        <v>810486.93138415075</v>
      </c>
      <c r="Z28" s="963">
        <v>-306448.51861584914</v>
      </c>
      <c r="AA28" s="458"/>
      <c r="AB28" s="266">
        <f t="shared" si="13"/>
        <v>12</v>
      </c>
      <c r="AC28" s="608" t="s">
        <v>647</v>
      </c>
      <c r="AD28" s="731">
        <f>[7]Lead!E16</f>
        <v>467755.39350000006</v>
      </c>
      <c r="AE28" s="731">
        <f>[7]Lead!I16</f>
        <v>415599.7905</v>
      </c>
      <c r="AF28" s="731">
        <f t="shared" si="18"/>
        <v>-52155.603000000061</v>
      </c>
      <c r="AG28" s="458"/>
      <c r="AH28" s="266">
        <f t="shared" si="14"/>
        <v>12</v>
      </c>
      <c r="AI28" s="454" t="s">
        <v>216</v>
      </c>
      <c r="AJ28" s="513"/>
      <c r="AK28" s="513"/>
      <c r="AL28" s="513"/>
      <c r="AM28" s="539"/>
      <c r="AN28" s="266">
        <f t="shared" si="1"/>
        <v>12</v>
      </c>
      <c r="AO28" s="563" t="s">
        <v>88</v>
      </c>
      <c r="AP28" s="542">
        <f>SUM(AP27:AP27)</f>
        <v>2186134.7040000008</v>
      </c>
      <c r="AQ28" s="881">
        <f>SUM(AQ27:AQ27)</f>
        <v>0</v>
      </c>
      <c r="AR28" s="542">
        <f>SUM(AR27:AR27)</f>
        <v>-2186134.7040000008</v>
      </c>
      <c r="AS28" s="458"/>
      <c r="AT28" s="266">
        <v>12</v>
      </c>
      <c r="AU28" s="564" t="s">
        <v>64</v>
      </c>
      <c r="AV28" s="741">
        <f>'[15]Production Plant'!$K$2229+'[15]Production Plant'!$K$2606</f>
        <v>203316.52595000001</v>
      </c>
      <c r="AW28" s="741">
        <v>0</v>
      </c>
      <c r="AX28" s="541">
        <f>AW28-AV28</f>
        <v>-203316.52595000001</v>
      </c>
      <c r="AY28" s="534"/>
      <c r="BE28" s="458"/>
      <c r="BF28" s="266">
        <f t="shared" si="3"/>
        <v>12</v>
      </c>
      <c r="BG28" s="257" t="s">
        <v>232</v>
      </c>
      <c r="BH28" s="533">
        <f>'[12]Lead E'!$D24</f>
        <v>56004.06</v>
      </c>
      <c r="BI28" s="533">
        <f>'[12]Lead E'!$E24</f>
        <v>-0.15212960774078965</v>
      </c>
      <c r="BJ28" s="455">
        <f t="shared" si="4"/>
        <v>-56004.212129607738</v>
      </c>
      <c r="BK28" s="458"/>
      <c r="BL28" s="266">
        <v>12</v>
      </c>
      <c r="BM28" s="529" t="s">
        <v>222</v>
      </c>
      <c r="BN28" s="546">
        <f>'[16]Lead Electric'!D24</f>
        <v>2900846.2756178402</v>
      </c>
      <c r="BO28" s="546">
        <f>'[16]Lead Electric'!E24</f>
        <v>2900846.2756178402</v>
      </c>
      <c r="BP28" s="546">
        <f>'[16]Lead Electric'!F24</f>
        <v>0</v>
      </c>
      <c r="BQ28" s="458"/>
      <c r="BR28" s="266"/>
      <c r="BS28" s="458"/>
      <c r="BU28" s="458"/>
      <c r="BV28" s="458"/>
      <c r="BW28" s="458"/>
      <c r="BX28" s="458"/>
      <c r="BY28" s="458"/>
      <c r="BZ28" s="559">
        <v>12</v>
      </c>
      <c r="CA28" s="560" t="s">
        <v>662</v>
      </c>
      <c r="CB28" s="745">
        <f>SUM(CB24:CB27)</f>
        <v>340637.09</v>
      </c>
      <c r="CC28" s="745">
        <f>SUM(CC24:CC27)</f>
        <v>0</v>
      </c>
      <c r="CD28" s="745">
        <f>SUM(CD24:CD27)</f>
        <v>-340637.09</v>
      </c>
      <c r="CE28" s="539"/>
      <c r="CF28" s="265"/>
      <c r="CG28" s="265"/>
      <c r="CH28" s="265"/>
      <c r="CI28" s="265"/>
      <c r="CJ28" s="265"/>
      <c r="CK28" s="458"/>
      <c r="CL28" s="266">
        <f t="shared" si="7"/>
        <v>12</v>
      </c>
      <c r="CM28" s="393"/>
      <c r="CN28" s="538"/>
      <c r="CO28" s="538"/>
      <c r="CP28" s="538">
        <f>+CO28-CN28</f>
        <v>0</v>
      </c>
      <c r="CQ28" s="458"/>
      <c r="CR28" s="266">
        <f t="shared" si="15"/>
        <v>12</v>
      </c>
      <c r="CS28"/>
      <c r="CT28"/>
      <c r="CU28"/>
      <c r="CV28"/>
      <c r="CW28" s="522"/>
      <c r="CX28" s="458"/>
      <c r="CY28" s="458"/>
      <c r="CZ28" s="458"/>
      <c r="DA28" s="458"/>
      <c r="DB28" s="458"/>
      <c r="DC28" s="530"/>
      <c r="DD28" s="743"/>
      <c r="DE28" s="743"/>
      <c r="DF28" s="743"/>
      <c r="DG28" s="743"/>
      <c r="DH28" s="743"/>
      <c r="DI28" s="530"/>
      <c r="DJ28" s="458"/>
      <c r="DK28" s="458"/>
      <c r="DL28" s="458"/>
      <c r="DM28" s="458"/>
      <c r="DN28" s="458"/>
      <c r="DO28" s="458"/>
    </row>
    <row r="29" spans="1:119" ht="14.25" thickTop="1" thickBot="1" x14ac:dyDescent="0.25">
      <c r="A29" s="266">
        <f t="shared" si="16"/>
        <v>11</v>
      </c>
      <c r="B29" s="504" t="s">
        <v>735</v>
      </c>
      <c r="C29" s="567">
        <f>+'SEF-15 Adjustments'!K29</f>
        <v>120717329.14999999</v>
      </c>
      <c r="D29" s="567">
        <f>+'SEF-15 Adjustments'!S29</f>
        <v>104512201.44835338</v>
      </c>
      <c r="E29" s="546">
        <f t="shared" ref="E29:E32" si="29">+D29-C29</f>
        <v>-16205127.701646611</v>
      </c>
      <c r="F29" s="512"/>
      <c r="G29" s="266">
        <f t="shared" si="27"/>
        <v>10</v>
      </c>
      <c r="H29" s="565" t="s">
        <v>735</v>
      </c>
      <c r="I29" s="567">
        <f>+'[1]Power Cost Lead'!E30</f>
        <v>128319985.64999999</v>
      </c>
      <c r="J29" s="567">
        <f>+'[1]Power Cost Lead'!F30</f>
        <v>-7602656.5</v>
      </c>
      <c r="K29" s="546">
        <f>SUM(I29:J29)</f>
        <v>120717329.14999999</v>
      </c>
      <c r="L29" s="540"/>
      <c r="M29" s="266">
        <f t="shared" si="28"/>
        <v>10</v>
      </c>
      <c r="N29" s="565" t="s">
        <v>735</v>
      </c>
      <c r="O29" s="567">
        <f>+'[1]Power Cost Lead'!H30</f>
        <v>112114857.94835338</v>
      </c>
      <c r="P29" s="567">
        <f>+'[1]Power Cost Lead'!I30</f>
        <v>-7602656.5</v>
      </c>
      <c r="Q29" s="546">
        <f t="shared" ref="Q29:Q32" si="30">SUM(O29:P29)</f>
        <v>104512201.44835338</v>
      </c>
      <c r="R29" s="567"/>
      <c r="S29" s="546">
        <f>Q29</f>
        <v>104512201.44835338</v>
      </c>
      <c r="T29" s="540"/>
      <c r="X29"/>
      <c r="Y29"/>
      <c r="Z29"/>
      <c r="AA29" s="458"/>
      <c r="AB29" s="266">
        <f t="shared" si="13"/>
        <v>13</v>
      </c>
      <c r="AC29" s="458" t="s">
        <v>648</v>
      </c>
      <c r="AD29" s="731">
        <f>[7]Lead!E17</f>
        <v>136296380.04000002</v>
      </c>
      <c r="AE29" s="731">
        <f>[7]Lead!I17</f>
        <v>132089183.46000004</v>
      </c>
      <c r="AF29" s="731">
        <f t="shared" si="18"/>
        <v>-4207196.5799999833</v>
      </c>
      <c r="AG29" s="458"/>
      <c r="AH29" s="266">
        <f t="shared" si="14"/>
        <v>13</v>
      </c>
      <c r="AI29" s="454" t="s">
        <v>752</v>
      </c>
      <c r="AJ29" s="513"/>
      <c r="AK29" s="513"/>
      <c r="AL29" s="521">
        <f>'[15]Lead Electric'!F25</f>
        <v>431.08832811797038</v>
      </c>
      <c r="AM29" s="539"/>
      <c r="AN29" s="458"/>
      <c r="AO29" s="458"/>
      <c r="AP29" s="458"/>
      <c r="AQ29" s="458"/>
      <c r="AR29" s="458"/>
      <c r="AS29" s="458"/>
      <c r="AT29" s="266">
        <v>13</v>
      </c>
      <c r="AU29" s="565" t="s">
        <v>240</v>
      </c>
      <c r="AV29" s="513">
        <f>AV28</f>
        <v>203316.52595000001</v>
      </c>
      <c r="AW29" s="513">
        <f t="shared" ref="AW29:AX29" si="31">AW28</f>
        <v>0</v>
      </c>
      <c r="AX29" s="513">
        <f t="shared" si="31"/>
        <v>-203316.52595000001</v>
      </c>
      <c r="AY29" s="534"/>
      <c r="BE29" s="458"/>
      <c r="BF29" s="266">
        <f t="shared" si="3"/>
        <v>13</v>
      </c>
      <c r="BG29" s="257" t="s">
        <v>233</v>
      </c>
      <c r="BH29" s="533">
        <f>'[12]Lead E'!$D25</f>
        <v>193459.84</v>
      </c>
      <c r="BI29" s="533">
        <f>'[12]Lead E'!$E25</f>
        <v>0</v>
      </c>
      <c r="BJ29" s="455">
        <f t="shared" si="4"/>
        <v>-193459.84</v>
      </c>
      <c r="BK29" s="458"/>
      <c r="BL29" s="266">
        <v>13</v>
      </c>
      <c r="BM29" s="529" t="s">
        <v>212</v>
      </c>
      <c r="BN29" s="542">
        <f>'[16]Lead Electric'!D25</f>
        <v>-16196391.705532936</v>
      </c>
      <c r="BO29" s="542">
        <f>'[16]Lead Electric'!E25</f>
        <v>-29565210.040232215</v>
      </c>
      <c r="BP29" s="542">
        <f>'[16]Lead Electric'!F25</f>
        <v>-13368818.334699281</v>
      </c>
      <c r="BQ29" s="458"/>
      <c r="BR29" s="266"/>
      <c r="BS29" s="458"/>
      <c r="BU29" s="458"/>
      <c r="BV29" s="458"/>
      <c r="BW29" s="458"/>
      <c r="BX29" s="458"/>
      <c r="BY29" s="458"/>
      <c r="BZ29" s="458"/>
      <c r="CA29" s="458"/>
      <c r="CB29" s="458"/>
      <c r="CC29" s="458"/>
      <c r="CD29" s="458"/>
      <c r="CE29" s="458"/>
      <c r="CF29" s="265"/>
      <c r="CG29" s="265"/>
      <c r="CH29"/>
      <c r="CI29"/>
      <c r="CJ29"/>
      <c r="CK29" s="458"/>
      <c r="CL29" s="266">
        <f t="shared" si="7"/>
        <v>13</v>
      </c>
      <c r="CM29" s="393"/>
      <c r="CN29" s="538"/>
      <c r="CO29" s="547"/>
      <c r="CP29" s="538">
        <f>+CO29-CN29</f>
        <v>0</v>
      </c>
      <c r="CQ29" s="458"/>
      <c r="CR29" s="266">
        <f t="shared" si="15"/>
        <v>13</v>
      </c>
      <c r="CS29"/>
      <c r="CT29"/>
      <c r="CU29"/>
      <c r="CV29"/>
      <c r="CW29" s="566"/>
      <c r="CX29" s="458"/>
      <c r="CY29" s="458"/>
      <c r="CZ29" s="458"/>
      <c r="DA29" s="458"/>
      <c r="DB29" s="458"/>
      <c r="DC29" s="530"/>
      <c r="DD29" s="458"/>
      <c r="DE29" s="458"/>
      <c r="DF29" s="458"/>
      <c r="DG29" s="458"/>
      <c r="DH29" s="458"/>
      <c r="DI29" s="530"/>
      <c r="DJ29" s="458"/>
      <c r="DK29" s="458"/>
      <c r="DL29" s="458"/>
      <c r="DM29" s="458"/>
      <c r="DN29" s="458"/>
      <c r="DO29" s="458"/>
    </row>
    <row r="30" spans="1:119" ht="13.5" thickTop="1" x14ac:dyDescent="0.2">
      <c r="A30" s="266">
        <f t="shared" si="16"/>
        <v>12</v>
      </c>
      <c r="B30" s="257" t="s">
        <v>736</v>
      </c>
      <c r="C30" s="567">
        <f>+'SEF-15 Adjustments'!K30</f>
        <v>728609.68</v>
      </c>
      <c r="D30" s="567">
        <f>+'SEF-15 Adjustments'!S30</f>
        <v>728609.68</v>
      </c>
      <c r="E30" s="546">
        <f t="shared" si="29"/>
        <v>0</v>
      </c>
      <c r="F30" s="458"/>
      <c r="G30" s="266">
        <f t="shared" si="27"/>
        <v>11</v>
      </c>
      <c r="H30" s="257" t="s">
        <v>736</v>
      </c>
      <c r="I30" s="567">
        <f>+'[1]Power Cost Lead'!E31</f>
        <v>728609.68</v>
      </c>
      <c r="J30" s="567">
        <f>+'[1]Power Cost Lead'!F31</f>
        <v>0</v>
      </c>
      <c r="K30" s="546">
        <f>SUM(I30:J30)</f>
        <v>728609.68</v>
      </c>
      <c r="L30" s="540"/>
      <c r="M30" s="266">
        <f t="shared" si="28"/>
        <v>11</v>
      </c>
      <c r="N30" s="257" t="s">
        <v>736</v>
      </c>
      <c r="O30" s="567">
        <f>+'[1]Power Cost Lead'!H31</f>
        <v>728609.68</v>
      </c>
      <c r="P30" s="567">
        <f>+'[1]Power Cost Lead'!I31</f>
        <v>0</v>
      </c>
      <c r="Q30" s="546">
        <f t="shared" si="30"/>
        <v>728609.68</v>
      </c>
      <c r="R30" s="567"/>
      <c r="S30" s="546">
        <f>Q30</f>
        <v>728609.68</v>
      </c>
      <c r="T30" s="540"/>
      <c r="U30" s="967" t="s">
        <v>802</v>
      </c>
      <c r="X30"/>
      <c r="Y30"/>
      <c r="Z30"/>
      <c r="AA30" s="458"/>
      <c r="AB30" s="266">
        <f t="shared" si="13"/>
        <v>14</v>
      </c>
      <c r="AC30" s="615" t="s">
        <v>649</v>
      </c>
      <c r="AD30" s="731">
        <f>[7]Lead!E18</f>
        <v>-150654882.25291669</v>
      </c>
      <c r="AE30" s="731">
        <f>[7]Lead!I18</f>
        <v>-150865209.69</v>
      </c>
      <c r="AF30" s="731">
        <f t="shared" si="18"/>
        <v>-210327.43708330393</v>
      </c>
      <c r="AG30" s="458"/>
      <c r="AH30" s="266">
        <f t="shared" si="14"/>
        <v>14</v>
      </c>
      <c r="AI30" s="454" t="s">
        <v>636</v>
      </c>
      <c r="AJ30" s="513"/>
      <c r="AK30" s="513"/>
      <c r="AL30" s="541">
        <f>-AL29*0.21</f>
        <v>-90.528548904773771</v>
      </c>
      <c r="AM30" s="539"/>
      <c r="AN30" s="458"/>
      <c r="AO30" s="458"/>
      <c r="AP30" s="458"/>
      <c r="AQ30" s="458"/>
      <c r="AR30" s="458"/>
      <c r="AS30" s="458"/>
      <c r="AT30" s="458"/>
      <c r="AU30" s="458"/>
      <c r="AV30" s="458"/>
      <c r="AW30" s="458"/>
      <c r="AX30" s="458"/>
      <c r="AY30" s="534"/>
      <c r="BE30" s="458"/>
      <c r="BF30" s="266">
        <f t="shared" si="3"/>
        <v>14</v>
      </c>
      <c r="BG30" s="257" t="s">
        <v>234</v>
      </c>
      <c r="BH30" s="533">
        <f>'[12]Lead E'!$D26</f>
        <v>-530083.09</v>
      </c>
      <c r="BI30" s="533">
        <f>'[12]Lead E'!$E26</f>
        <v>0.16050000127870589</v>
      </c>
      <c r="BJ30" s="455">
        <f t="shared" si="4"/>
        <v>530083.25050000125</v>
      </c>
      <c r="BN30" s="458"/>
      <c r="BO30" s="458"/>
      <c r="BP30" s="458"/>
      <c r="BQ30" s="458"/>
      <c r="BR30" s="266"/>
      <c r="BS30" s="458"/>
      <c r="BU30" s="458"/>
      <c r="BV30" s="458"/>
      <c r="BW30" s="458"/>
      <c r="BX30" s="458"/>
      <c r="BY30" s="458"/>
      <c r="BZ30" s="458"/>
      <c r="CA30" s="458"/>
      <c r="CB30" s="458"/>
      <c r="CC30" s="458"/>
      <c r="CD30" s="458"/>
      <c r="CE30" s="458"/>
      <c r="CF30" s="266"/>
      <c r="CG30" s="458"/>
      <c r="CH30"/>
      <c r="CI30"/>
      <c r="CJ30"/>
      <c r="CK30" s="458"/>
      <c r="CL30" s="266">
        <f t="shared" si="7"/>
        <v>14</v>
      </c>
      <c r="CM30" s="393"/>
      <c r="CN30" s="550"/>
      <c r="CO30" s="550"/>
      <c r="CP30" s="538">
        <f>+CO30-CN30</f>
        <v>0</v>
      </c>
      <c r="CQ30" s="458"/>
      <c r="CR30" s="266"/>
      <c r="CS30"/>
      <c r="CT30"/>
      <c r="CU30"/>
      <c r="CV30"/>
      <c r="CW30" s="458"/>
      <c r="CX30" s="458"/>
      <c r="CY30" s="458"/>
      <c r="CZ30" s="458"/>
      <c r="DA30" s="458"/>
      <c r="DB30" s="458"/>
      <c r="DC30" s="530"/>
      <c r="DD30" s="458"/>
      <c r="DE30" s="458"/>
      <c r="DF30" s="458"/>
      <c r="DG30" s="458"/>
      <c r="DH30" s="458"/>
      <c r="DI30" s="530"/>
      <c r="DJ30" s="458"/>
      <c r="DK30" s="458"/>
      <c r="DL30" s="458"/>
      <c r="DM30" s="458"/>
      <c r="DN30" s="458"/>
      <c r="DO30" s="458"/>
    </row>
    <row r="31" spans="1:119" ht="13.5" thickBot="1" x14ac:dyDescent="0.25">
      <c r="A31" s="266">
        <f t="shared" si="16"/>
        <v>13</v>
      </c>
      <c r="B31" s="257" t="s">
        <v>737</v>
      </c>
      <c r="C31" s="567">
        <f>+'SEF-15 Adjustments'!K31</f>
        <v>-6480453.6300000008</v>
      </c>
      <c r="D31" s="567">
        <f>+'SEF-15 Adjustments'!S31</f>
        <v>-6515420.6045234576</v>
      </c>
      <c r="E31" s="546">
        <f t="shared" si="29"/>
        <v>-34966.974523456767</v>
      </c>
      <c r="F31" s="512"/>
      <c r="G31" s="266">
        <f t="shared" si="27"/>
        <v>12</v>
      </c>
      <c r="H31" s="257" t="s">
        <v>737</v>
      </c>
      <c r="I31" s="567">
        <f>+'[1]Power Cost Lead'!E32</f>
        <v>-6480453.6300000008</v>
      </c>
      <c r="J31" s="567">
        <f>+'[1]Power Cost Lead'!F32</f>
        <v>0</v>
      </c>
      <c r="K31" s="546">
        <f>SUM(I31:J31)</f>
        <v>-6480453.6300000008</v>
      </c>
      <c r="L31" s="540"/>
      <c r="M31" s="266">
        <f t="shared" si="28"/>
        <v>12</v>
      </c>
      <c r="N31" s="257" t="s">
        <v>737</v>
      </c>
      <c r="O31" s="567">
        <f>+'[1]Power Cost Lead'!H32</f>
        <v>-6515420.6045234576</v>
      </c>
      <c r="P31" s="567">
        <f>+'[1]Power Cost Lead'!I32</f>
        <v>0</v>
      </c>
      <c r="Q31" s="546">
        <f t="shared" si="30"/>
        <v>-6515420.6045234576</v>
      </c>
      <c r="R31" s="567"/>
      <c r="S31" s="546">
        <f>Q31</f>
        <v>-6515420.6045234576</v>
      </c>
      <c r="T31" s="540"/>
      <c r="U31" s="932">
        <v>1</v>
      </c>
      <c r="V31" s="958" t="s">
        <v>248</v>
      </c>
      <c r="W31" s="958"/>
      <c r="X31" s="959"/>
      <c r="Y31" s="960"/>
      <c r="Z31" s="960"/>
      <c r="AA31" s="458"/>
      <c r="AB31" s="266">
        <f t="shared" si="13"/>
        <v>15</v>
      </c>
      <c r="AC31" s="615" t="s">
        <v>636</v>
      </c>
      <c r="AD31" s="731">
        <f>[7]Lead!E19</f>
        <v>-488477983.55321652</v>
      </c>
      <c r="AE31" s="731">
        <f>[7]Lead!I19</f>
        <v>-464140049.55676377</v>
      </c>
      <c r="AF31" s="731">
        <f t="shared" si="18"/>
        <v>24337933.996452749</v>
      </c>
      <c r="AG31" s="458"/>
      <c r="AH31" s="266">
        <f t="shared" si="14"/>
        <v>15</v>
      </c>
      <c r="AI31" s="454" t="s">
        <v>212</v>
      </c>
      <c r="AJ31" s="513"/>
      <c r="AK31" s="513"/>
      <c r="AL31" s="542">
        <f>SUM(AL29:AL30)</f>
        <v>340.55977921319663</v>
      </c>
      <c r="AM31" s="518"/>
      <c r="AN31" s="266"/>
      <c r="AO31" s="569"/>
      <c r="AP31" s="548"/>
      <c r="AQ31" s="548"/>
      <c r="AR31" s="534"/>
      <c r="AS31" s="458"/>
      <c r="AT31" s="458"/>
      <c r="AU31" s="458"/>
      <c r="AV31" s="458"/>
      <c r="AW31" s="458"/>
      <c r="AX31" s="458"/>
      <c r="AY31" s="548"/>
      <c r="BE31" s="458"/>
      <c r="BF31" s="266">
        <f t="shared" si="3"/>
        <v>15</v>
      </c>
      <c r="BG31" s="257" t="s">
        <v>418</v>
      </c>
      <c r="BH31" s="533">
        <f>'[12]Lead E'!$D27</f>
        <v>2321315.9145833328</v>
      </c>
      <c r="BI31" s="533">
        <f>'[12]Lead E'!$E27</f>
        <v>3.6183103919029236E-2</v>
      </c>
      <c r="BJ31" s="455">
        <f t="shared" si="4"/>
        <v>-2321315.8784002289</v>
      </c>
      <c r="BN31" s="458"/>
      <c r="BO31" s="458"/>
      <c r="BP31" s="458"/>
      <c r="BQ31" s="458"/>
      <c r="BR31" s="266"/>
      <c r="BS31" s="458"/>
      <c r="BU31" s="458"/>
      <c r="BV31" s="458"/>
      <c r="BW31" s="458"/>
      <c r="BX31" s="458"/>
      <c r="BY31" s="458"/>
      <c r="BZ31" s="458"/>
      <c r="CA31" s="458"/>
      <c r="CB31" s="458"/>
      <c r="CC31" s="458"/>
      <c r="CD31" s="458"/>
      <c r="CE31" s="458"/>
      <c r="CF31" s="266"/>
      <c r="CG31" s="458"/>
      <c r="CH31"/>
      <c r="CI31"/>
      <c r="CJ31"/>
      <c r="CK31" s="458"/>
      <c r="CL31" s="266">
        <f t="shared" si="7"/>
        <v>15</v>
      </c>
      <c r="CM31" s="539"/>
      <c r="CN31" s="542">
        <f>SUM(CN26:CN30)</f>
        <v>0</v>
      </c>
      <c r="CO31" s="542">
        <f>SUM(CO26:CO30)</f>
        <v>0</v>
      </c>
      <c r="CP31" s="542">
        <f>SUM(CP26:CP30)</f>
        <v>0</v>
      </c>
      <c r="CQ31" s="458"/>
      <c r="CR31" s="266"/>
      <c r="CS31"/>
      <c r="CT31"/>
      <c r="CU31"/>
      <c r="CV31"/>
      <c r="CW31" s="458"/>
      <c r="CX31" s="458"/>
      <c r="CY31" s="458"/>
      <c r="CZ31" s="458"/>
      <c r="DA31" s="458"/>
      <c r="DB31" s="458"/>
      <c r="DC31" s="530"/>
      <c r="DD31" s="458"/>
      <c r="DE31" s="458"/>
      <c r="DF31" s="458"/>
      <c r="DG31" s="458"/>
      <c r="DH31" s="458"/>
      <c r="DI31" s="530"/>
      <c r="DJ31" s="458"/>
      <c r="DK31" s="458"/>
      <c r="DL31" s="458"/>
      <c r="DM31" s="458"/>
      <c r="DN31" s="458"/>
      <c r="DO31" s="458"/>
    </row>
    <row r="32" spans="1:119" ht="13.5" thickTop="1" x14ac:dyDescent="0.2">
      <c r="A32" s="266">
        <f t="shared" si="16"/>
        <v>14</v>
      </c>
      <c r="B32" s="257" t="s">
        <v>738</v>
      </c>
      <c r="C32" s="567">
        <f>+'SEF-15 Adjustments'!K32</f>
        <v>0</v>
      </c>
      <c r="D32" s="567">
        <f>+'SEF-15 Adjustments'!S32</f>
        <v>4163374.1001599999</v>
      </c>
      <c r="E32" s="546">
        <f t="shared" si="29"/>
        <v>4163374.1001599999</v>
      </c>
      <c r="G32" s="266">
        <f t="shared" si="27"/>
        <v>13</v>
      </c>
      <c r="H32" s="257" t="s">
        <v>738</v>
      </c>
      <c r="I32" s="567">
        <f>+'[1]Power Cost Lead'!E33</f>
        <v>0</v>
      </c>
      <c r="J32" s="567">
        <f>+'[1]Power Cost Lead'!F33</f>
        <v>0</v>
      </c>
      <c r="K32" s="546">
        <f>SUM(I32:J32)</f>
        <v>0</v>
      </c>
      <c r="L32" s="540"/>
      <c r="M32" s="266">
        <f t="shared" si="28"/>
        <v>13</v>
      </c>
      <c r="N32" s="257" t="s">
        <v>738</v>
      </c>
      <c r="O32" s="567">
        <f>+'[1]Power Cost Lead'!H33</f>
        <v>4094424</v>
      </c>
      <c r="P32" s="567">
        <f>+'[1]Power Cost Lead'!I33</f>
        <v>0</v>
      </c>
      <c r="Q32" s="546">
        <f t="shared" si="30"/>
        <v>4094424</v>
      </c>
      <c r="R32" s="567"/>
      <c r="S32" s="546">
        <f>Q32*$S$17</f>
        <v>4163374.1001599999</v>
      </c>
      <c r="T32" s="540"/>
      <c r="U32" s="932">
        <v>2</v>
      </c>
      <c r="V32" s="961" t="s">
        <v>249</v>
      </c>
      <c r="W32" s="962"/>
      <c r="X32" s="939">
        <f>+X18-X25</f>
        <v>0</v>
      </c>
      <c r="Y32" s="939">
        <f t="shared" ref="Y32:Z32" si="32">+Y18-Y25</f>
        <v>10777.640944077168</v>
      </c>
      <c r="Z32" s="939">
        <f t="shared" si="32"/>
        <v>10777.640944077168</v>
      </c>
      <c r="AA32" s="458"/>
      <c r="AB32" s="266">
        <f t="shared" si="13"/>
        <v>16</v>
      </c>
      <c r="AC32" s="615" t="s">
        <v>637</v>
      </c>
      <c r="AD32" s="731">
        <f>[7]Lead!E20</f>
        <v>-85376773.737916663</v>
      </c>
      <c r="AE32" s="731">
        <f>[7]Lead!I20</f>
        <v>-77559257.430000007</v>
      </c>
      <c r="AF32" s="731">
        <f t="shared" si="18"/>
        <v>7817516.3079166561</v>
      </c>
      <c r="AG32" s="458"/>
      <c r="AH32" s="266">
        <f t="shared" si="14"/>
        <v>16</v>
      </c>
      <c r="AI32" s="551"/>
      <c r="AJ32" s="513"/>
      <c r="AK32" s="513"/>
      <c r="AL32" s="458"/>
      <c r="AM32" s="539"/>
      <c r="AN32" s="572"/>
      <c r="AO32" s="569"/>
      <c r="AP32" s="569"/>
      <c r="AQ32" s="569"/>
      <c r="AR32" s="569"/>
      <c r="AS32" s="458"/>
      <c r="AT32" s="266"/>
      <c r="AU32" s="564"/>
      <c r="AV32" s="458"/>
      <c r="AW32" s="458"/>
      <c r="AX32" s="458"/>
      <c r="AY32" s="534"/>
      <c r="BE32" s="458"/>
      <c r="BF32" s="266">
        <f t="shared" si="3"/>
        <v>16</v>
      </c>
      <c r="BG32" s="257" t="s">
        <v>444</v>
      </c>
      <c r="BH32" s="533">
        <f>'[12]Lead E'!$D28</f>
        <v>0</v>
      </c>
      <c r="BI32" s="533">
        <f>'[12]Lead E'!$E28</f>
        <v>-8650215.1470986065</v>
      </c>
      <c r="BJ32" s="455">
        <f t="shared" si="4"/>
        <v>-8650215.1470986065</v>
      </c>
      <c r="BL32" s="266"/>
      <c r="BM32" s="529"/>
      <c r="BN32" s="458"/>
      <c r="BO32" s="458"/>
      <c r="BP32" s="458"/>
      <c r="BQ32" s="458"/>
      <c r="BR32" s="266"/>
      <c r="BS32" s="458"/>
      <c r="BU32" s="458"/>
      <c r="BV32" s="458"/>
      <c r="BW32" s="458"/>
      <c r="BX32" s="458"/>
      <c r="BY32" s="458"/>
      <c r="BZ32" s="458"/>
      <c r="CA32" s="458"/>
      <c r="CB32" s="458"/>
      <c r="CC32" s="458"/>
      <c r="CD32" s="458"/>
      <c r="CE32" s="458"/>
      <c r="CF32" s="266"/>
      <c r="CG32" s="458"/>
      <c r="CH32"/>
      <c r="CI32"/>
      <c r="CJ32"/>
      <c r="CK32" s="458"/>
      <c r="CL32" s="458"/>
      <c r="CM32" s="458"/>
      <c r="CN32" s="458"/>
      <c r="CO32" s="458"/>
      <c r="CP32" s="458"/>
      <c r="CQ32" s="458"/>
      <c r="CR32" s="458"/>
      <c r="CS32" s="458"/>
      <c r="CT32" s="458"/>
      <c r="CU32" s="458"/>
      <c r="CV32" s="458"/>
      <c r="CW32" s="458"/>
      <c r="CX32" s="458"/>
      <c r="CY32" s="458"/>
      <c r="CZ32" s="458"/>
      <c r="DA32" s="458"/>
      <c r="DB32" s="458"/>
      <c r="DC32" s="530"/>
      <c r="DD32" s="458"/>
      <c r="DE32" s="458"/>
      <c r="DF32" s="458"/>
      <c r="DG32" s="458"/>
      <c r="DH32" s="458"/>
      <c r="DI32" s="530"/>
      <c r="DJ32" s="458"/>
      <c r="DK32" s="458"/>
      <c r="DL32" s="458"/>
      <c r="DM32" s="458"/>
      <c r="DN32" s="458"/>
      <c r="DO32" s="458"/>
    </row>
    <row r="33" spans="1:119" ht="13.5" thickBot="1" x14ac:dyDescent="0.25">
      <c r="A33" s="266">
        <f t="shared" si="16"/>
        <v>15</v>
      </c>
      <c r="B33" s="504" t="s">
        <v>26</v>
      </c>
      <c r="C33" s="542">
        <f>SUM(C27,C29:C32)</f>
        <v>816186143.01999986</v>
      </c>
      <c r="D33" s="542">
        <f>SUM(D27,D29:D32)</f>
        <v>877238328.61185849</v>
      </c>
      <c r="E33" s="542">
        <f>SUM(E27,E29:E32)</f>
        <v>61052185.59185864</v>
      </c>
      <c r="H33" s="565" t="s">
        <v>26</v>
      </c>
      <c r="I33" s="542">
        <f>SUM(I27,I29:I32)</f>
        <v>826086705.82999992</v>
      </c>
      <c r="J33" s="542">
        <f>SUM(J27,J29:J32)</f>
        <v>-9900562.8100000005</v>
      </c>
      <c r="K33" s="542">
        <f>SUM(K27,K29:K32)</f>
        <v>816186143.01999986</v>
      </c>
      <c r="M33" s="458"/>
      <c r="N33" s="565" t="s">
        <v>26</v>
      </c>
      <c r="O33" s="542">
        <f>SUM(O27,O29:O32)</f>
        <v>874443508.94588673</v>
      </c>
      <c r="P33" s="542">
        <f>SUM(P27,P29:P32)</f>
        <v>-9900562.8100000005</v>
      </c>
      <c r="Q33" s="542">
        <f>SUM(Q27,Q29:Q32)</f>
        <v>864542946.13588655</v>
      </c>
      <c r="R33" s="532"/>
      <c r="S33" s="542">
        <f>SUM(S27,S29:S32)</f>
        <v>877238328.61185849</v>
      </c>
      <c r="T33" s="519"/>
      <c r="U33" s="932">
        <v>3</v>
      </c>
      <c r="V33" s="961" t="s">
        <v>739</v>
      </c>
      <c r="W33" s="961"/>
      <c r="X33" s="963">
        <f t="shared" ref="X33:Z33" si="33">+X19-X26</f>
        <v>0</v>
      </c>
      <c r="Y33" s="963">
        <f t="shared" si="33"/>
        <v>10777.640944077168</v>
      </c>
      <c r="Z33" s="963">
        <f t="shared" si="33"/>
        <v>10777.640944077168</v>
      </c>
      <c r="AA33" s="458"/>
      <c r="AB33" s="266">
        <f t="shared" si="13"/>
        <v>17</v>
      </c>
      <c r="AC33" s="615" t="s">
        <v>634</v>
      </c>
      <c r="AD33" s="732"/>
      <c r="AE33" s="732"/>
      <c r="AF33" s="732"/>
      <c r="AG33" s="458"/>
      <c r="AH33" s="266">
        <f t="shared" si="14"/>
        <v>17</v>
      </c>
      <c r="AI33" s="571" t="s">
        <v>215</v>
      </c>
      <c r="AJ33" s="513"/>
      <c r="AK33" s="513"/>
      <c r="AL33" s="458"/>
      <c r="AM33" s="539"/>
      <c r="AN33" s="572"/>
      <c r="AO33" s="569"/>
      <c r="AP33" s="458"/>
      <c r="AQ33" s="458"/>
      <c r="AR33" s="573"/>
      <c r="AS33" s="458"/>
      <c r="AT33" s="266"/>
      <c r="AU33" s="529"/>
      <c r="AV33" s="548"/>
      <c r="AW33" s="548"/>
      <c r="AX33" s="534"/>
      <c r="AY33" s="534"/>
      <c r="BE33" s="458"/>
      <c r="BF33" s="266">
        <f t="shared" si="3"/>
        <v>17</v>
      </c>
      <c r="BG33" s="769" t="s">
        <v>746</v>
      </c>
      <c r="BH33" s="542">
        <f>SUM(BH17:BH32)</f>
        <v>163785795.29336357</v>
      </c>
      <c r="BI33" s="542">
        <f>SUM(BI17:BI32)</f>
        <v>138307633.43474102</v>
      </c>
      <c r="BJ33" s="542">
        <f>SUM(BJ17:BJ32)</f>
        <v>-25478161.858622536</v>
      </c>
      <c r="BL33" s="266"/>
      <c r="BM33" s="529"/>
      <c r="BN33" s="458"/>
      <c r="BO33" s="458"/>
      <c r="BP33" s="458"/>
      <c r="BQ33" s="458"/>
      <c r="BR33" s="266"/>
      <c r="BS33" s="458"/>
      <c r="BU33" s="458"/>
      <c r="BV33" s="458"/>
      <c r="BW33" s="458"/>
      <c r="BX33" s="458"/>
      <c r="BY33" s="458"/>
      <c r="BZ33" s="266"/>
      <c r="CA33" s="458"/>
      <c r="CB33" s="518"/>
      <c r="CC33" s="518"/>
      <c r="CD33" s="518"/>
      <c r="CE33" s="458"/>
      <c r="CF33" s="458"/>
      <c r="CG33" s="458"/>
      <c r="CH33"/>
      <c r="CI33"/>
      <c r="CJ33"/>
      <c r="CK33" s="458"/>
      <c r="CL33" s="458"/>
      <c r="CM33" s="458"/>
      <c r="CN33" s="458"/>
      <c r="CO33" s="458"/>
      <c r="CP33" s="458"/>
      <c r="CQ33" s="458"/>
      <c r="CR33" s="458"/>
      <c r="CS33" s="458"/>
      <c r="CT33" s="458"/>
      <c r="CU33" s="458"/>
      <c r="CV33" s="458"/>
      <c r="CW33" s="458"/>
      <c r="CX33" s="458"/>
      <c r="CY33" s="458"/>
      <c r="CZ33" s="458"/>
      <c r="DA33" s="458"/>
      <c r="DB33" s="458"/>
      <c r="DC33" s="530"/>
      <c r="DD33" s="458"/>
      <c r="DE33" s="458"/>
      <c r="DF33" s="458"/>
      <c r="DG33" s="458"/>
      <c r="DH33" s="458"/>
      <c r="DI33" s="530"/>
      <c r="DJ33" s="458"/>
      <c r="DK33" s="458"/>
      <c r="DL33" s="458"/>
      <c r="DM33" s="458"/>
      <c r="DN33" s="458"/>
      <c r="DO33" s="458"/>
    </row>
    <row r="34" spans="1:119" ht="14.25" thickTop="1" thickBot="1" x14ac:dyDescent="0.25">
      <c r="A34" s="266"/>
      <c r="B34" s="616" t="s">
        <v>198</v>
      </c>
      <c r="C34" s="574">
        <f>+'[1]Power Cost Lead'!$G$34-C33</f>
        <v>0</v>
      </c>
      <c r="D34" s="574">
        <f>+'[1]Power Cost Lead'!$K$34-D33</f>
        <v>0</v>
      </c>
      <c r="E34" s="574">
        <f>+'SEF-15 Summary'!F44-E33</f>
        <v>0</v>
      </c>
      <c r="H34" s="616" t="s">
        <v>198</v>
      </c>
      <c r="I34" s="574">
        <f>+'[1]Power Cost Lead'!E34-I33</f>
        <v>0</v>
      </c>
      <c r="J34" s="574">
        <f>+'[1]Power Cost Lead'!F34-J33</f>
        <v>0</v>
      </c>
      <c r="K34" s="574">
        <f>+'[1]Power Cost Lead'!G34-K33</f>
        <v>0</v>
      </c>
      <c r="N34" s="616" t="s">
        <v>198</v>
      </c>
      <c r="O34" s="574">
        <f>+'[1]Power Cost Lead'!H34-O33</f>
        <v>0</v>
      </c>
      <c r="P34" s="574">
        <f>+'[1]Power Cost Lead'!I34-P33</f>
        <v>0</v>
      </c>
      <c r="Q34" s="574">
        <f>+'[1]Power Cost Lead'!J34-Q33</f>
        <v>0</v>
      </c>
      <c r="S34" s="574">
        <f>+'[1]Power Cost Lead'!$K$34-S33</f>
        <v>0</v>
      </c>
      <c r="U34" s="932">
        <v>4</v>
      </c>
      <c r="V34" s="961" t="s">
        <v>740</v>
      </c>
      <c r="W34" s="964">
        <v>1.01684</v>
      </c>
      <c r="X34" s="965">
        <f t="shared" ref="X34:Z34" si="34">+X20-X27</f>
        <v>0</v>
      </c>
      <c r="Y34" s="965">
        <f t="shared" si="34"/>
        <v>181.49547349826025</v>
      </c>
      <c r="Z34" s="965">
        <f t="shared" si="34"/>
        <v>181.49547349826025</v>
      </c>
      <c r="AA34" s="458"/>
      <c r="AB34" s="266">
        <f t="shared" si="13"/>
        <v>18</v>
      </c>
      <c r="AC34" s="615" t="s">
        <v>635</v>
      </c>
      <c r="AD34" s="733">
        <f>SUM(AD19:AD33)</f>
        <v>1527004038.7677004</v>
      </c>
      <c r="AE34" s="733">
        <f>SUM(AE19:AE33)</f>
        <v>1441448467.4883196</v>
      </c>
      <c r="AF34" s="733">
        <f>SUM(AF19:AF33)</f>
        <v>-85555571.279380888</v>
      </c>
      <c r="AG34" s="458"/>
      <c r="AH34" s="266">
        <f t="shared" si="14"/>
        <v>18</v>
      </c>
      <c r="AJ34" s="513"/>
      <c r="AK34" s="513"/>
      <c r="AL34" s="513"/>
      <c r="AM34" s="458"/>
      <c r="AN34" s="572"/>
      <c r="AO34" s="575"/>
      <c r="AP34" s="576"/>
      <c r="AQ34" s="534"/>
      <c r="AR34" s="576"/>
      <c r="AS34" s="458"/>
      <c r="AT34" s="458"/>
      <c r="AU34" s="458"/>
      <c r="AV34" s="458"/>
      <c r="AW34" s="458"/>
      <c r="AX34" s="458"/>
      <c r="AY34" s="534"/>
      <c r="BE34" s="458"/>
      <c r="BF34" s="266">
        <f t="shared" si="3"/>
        <v>18</v>
      </c>
      <c r="BG34" s="257"/>
      <c r="BH34" s="257"/>
      <c r="BI34" s="257"/>
      <c r="BJ34" s="257"/>
      <c r="BL34" s="577"/>
      <c r="BM34" s="458"/>
      <c r="BN34" s="458"/>
      <c r="BO34" s="458"/>
      <c r="BP34" s="458"/>
      <c r="BQ34" s="458"/>
      <c r="BR34" s="266"/>
      <c r="BS34" s="458"/>
      <c r="BU34" s="458"/>
      <c r="BV34" s="458"/>
      <c r="BW34" s="458"/>
      <c r="BX34" s="458"/>
      <c r="BY34" s="458"/>
      <c r="BZ34" s="266"/>
      <c r="CA34" s="458"/>
      <c r="CB34" s="518"/>
      <c r="CC34" s="518"/>
      <c r="CD34" s="518"/>
      <c r="CE34" s="458"/>
      <c r="CF34" s="458"/>
      <c r="CG34" s="458"/>
      <c r="CH34"/>
      <c r="CI34"/>
      <c r="CJ34"/>
      <c r="CK34" s="458"/>
      <c r="CL34" s="504"/>
      <c r="CM34" s="504"/>
      <c r="CN34" s="578"/>
      <c r="CO34" s="578"/>
      <c r="CP34" s="578"/>
      <c r="CQ34" s="458"/>
      <c r="CR34" s="266"/>
      <c r="CS34" s="568"/>
      <c r="CT34" s="458"/>
      <c r="CU34" s="458"/>
      <c r="CV34" s="458"/>
      <c r="CW34" s="458"/>
      <c r="CX34" s="458"/>
      <c r="CY34" s="458"/>
      <c r="CZ34" s="458"/>
      <c r="DA34" s="458"/>
      <c r="DB34" s="458"/>
      <c r="DC34" s="530"/>
      <c r="DD34" s="458"/>
      <c r="DE34" s="458"/>
      <c r="DF34" s="458"/>
      <c r="DG34" s="458"/>
      <c r="DH34" s="458"/>
      <c r="DI34" s="530"/>
      <c r="DJ34" s="458"/>
      <c r="DK34" s="458"/>
      <c r="DL34" s="458"/>
      <c r="DM34" s="458"/>
      <c r="DN34" s="458"/>
      <c r="DO34" s="458"/>
    </row>
    <row r="35" spans="1:119" ht="13.5" thickTop="1" x14ac:dyDescent="0.2">
      <c r="A35" s="967" t="s">
        <v>797</v>
      </c>
      <c r="Q35" s="594"/>
      <c r="S35" s="594"/>
      <c r="U35" s="932">
        <v>5</v>
      </c>
      <c r="V35" s="966" t="s">
        <v>749</v>
      </c>
      <c r="W35" s="940"/>
      <c r="X35" s="963">
        <f t="shared" ref="X35:Z35" si="35">+X21-X28</f>
        <v>0</v>
      </c>
      <c r="Y35" s="963">
        <f t="shared" si="35"/>
        <v>10959.136417575413</v>
      </c>
      <c r="Z35" s="963">
        <f t="shared" si="35"/>
        <v>10959.136417575413</v>
      </c>
      <c r="AA35" s="458"/>
      <c r="AB35" s="266">
        <f t="shared" si="13"/>
        <v>19</v>
      </c>
      <c r="AC35" s="615"/>
      <c r="AD35" s="563"/>
      <c r="AE35" s="563"/>
      <c r="AF35" s="563"/>
      <c r="AG35" s="458"/>
      <c r="AH35" s="266">
        <f t="shared" si="14"/>
        <v>19</v>
      </c>
      <c r="AI35" s="454" t="s">
        <v>206</v>
      </c>
      <c r="AJ35" s="513">
        <f>'[15]Lead Electric'!D31</f>
        <v>3510506.9600000023</v>
      </c>
      <c r="AK35" s="513">
        <f>'[15]Lead Electric'!E31</f>
        <v>3433556.0410089949</v>
      </c>
      <c r="AL35" s="521">
        <f t="shared" ref="AL35:AL36" si="36">AK35-AJ35</f>
        <v>-76950.918991007376</v>
      </c>
      <c r="AM35" s="458"/>
      <c r="AN35" s="572"/>
      <c r="AO35" s="575"/>
      <c r="AP35" s="576"/>
      <c r="AQ35" s="534"/>
      <c r="AR35" s="576"/>
      <c r="AS35" s="458"/>
      <c r="AT35" s="458"/>
      <c r="AU35" s="458"/>
      <c r="AY35" s="534"/>
      <c r="BE35" s="458"/>
      <c r="BF35" s="266">
        <f t="shared" si="3"/>
        <v>19</v>
      </c>
      <c r="BG35" s="257"/>
      <c r="BH35" s="257"/>
      <c r="BI35" s="257"/>
      <c r="BJ35" s="257"/>
      <c r="BL35" s="577"/>
      <c r="BM35" s="458"/>
      <c r="BN35" s="458"/>
      <c r="BO35" s="458"/>
      <c r="BP35" s="458"/>
      <c r="BQ35" s="458"/>
      <c r="BR35" s="266"/>
      <c r="BS35" s="458"/>
      <c r="BT35" s="534"/>
      <c r="BU35" s="534"/>
      <c r="BV35" s="534"/>
      <c r="BW35" s="534"/>
      <c r="BX35" s="534"/>
      <c r="BY35" s="458"/>
      <c r="BZ35" s="266"/>
      <c r="CA35" s="458"/>
      <c r="CB35" s="518"/>
      <c r="CC35" s="518"/>
      <c r="CD35" s="518"/>
      <c r="CE35" s="458"/>
      <c r="CF35" s="458"/>
      <c r="CG35" s="458"/>
      <c r="CH35"/>
      <c r="CI35"/>
      <c r="CJ35"/>
      <c r="CK35" s="458"/>
      <c r="CL35" s="579"/>
      <c r="CM35" s="458"/>
      <c r="CN35" s="458"/>
      <c r="CO35" s="458"/>
      <c r="CP35" s="458"/>
      <c r="CQ35" s="458"/>
      <c r="CR35" s="266"/>
      <c r="CS35" s="580"/>
      <c r="CT35" s="580"/>
      <c r="CU35" s="580"/>
      <c r="CV35" s="458"/>
      <c r="CW35" s="458"/>
      <c r="CX35" s="458"/>
      <c r="CY35" s="458"/>
      <c r="CZ35" s="458"/>
      <c r="DA35" s="458"/>
      <c r="DB35" s="458"/>
      <c r="DC35" s="530"/>
      <c r="DD35" s="458"/>
      <c r="DE35" s="458"/>
      <c r="DF35" s="458"/>
      <c r="DG35" s="458"/>
      <c r="DH35" s="458"/>
      <c r="DI35" s="530"/>
      <c r="DJ35" s="458"/>
      <c r="DK35" s="458"/>
      <c r="DL35" s="458"/>
      <c r="DM35" s="458"/>
      <c r="DN35" s="458"/>
      <c r="DO35" s="458"/>
    </row>
    <row r="36" spans="1:119" x14ac:dyDescent="0.2">
      <c r="A36" s="932">
        <v>1</v>
      </c>
      <c r="B36" s="933" t="s">
        <v>726</v>
      </c>
      <c r="C36" s="934">
        <v>81044146.280000001</v>
      </c>
      <c r="D36" s="934">
        <v>41909417.092460752</v>
      </c>
      <c r="E36" s="935">
        <v>-39134729.18753925</v>
      </c>
      <c r="F36" s="936"/>
      <c r="G36" s="932">
        <v>1</v>
      </c>
      <c r="H36" s="933" t="s">
        <v>726</v>
      </c>
      <c r="I36" s="934">
        <v>81044146.280000001</v>
      </c>
      <c r="J36" s="934">
        <v>0</v>
      </c>
      <c r="K36" s="935">
        <v>81044146.280000001</v>
      </c>
      <c r="L36" s="935"/>
      <c r="M36" s="932">
        <v>1</v>
      </c>
      <c r="N36" s="933" t="s">
        <v>726</v>
      </c>
      <c r="O36" s="934">
        <v>41215350.588549577</v>
      </c>
      <c r="P36" s="934">
        <v>0</v>
      </c>
      <c r="Q36" s="935">
        <v>41215350.588549577</v>
      </c>
      <c r="R36" s="937"/>
      <c r="S36" s="935">
        <v>41909417.092460752</v>
      </c>
      <c r="X36"/>
      <c r="Y36"/>
      <c r="Z36"/>
      <c r="AA36" s="458"/>
      <c r="AB36" s="266">
        <f t="shared" si="13"/>
        <v>20</v>
      </c>
      <c r="AC36" s="463" t="s">
        <v>633</v>
      </c>
      <c r="AD36" s="734"/>
      <c r="AE36" s="734"/>
      <c r="AF36" s="734"/>
      <c r="AG36" s="458"/>
      <c r="AH36" s="266">
        <f t="shared" si="14"/>
        <v>20</v>
      </c>
      <c r="AI36" s="454" t="s">
        <v>631</v>
      </c>
      <c r="AJ36" s="541">
        <f>'[15]Lead Electric'!D32</f>
        <v>248122.91400000011</v>
      </c>
      <c r="AK36" s="541">
        <f>'[15]Lead Electric'!E32</f>
        <v>248122.91400000011</v>
      </c>
      <c r="AL36" s="541">
        <f t="shared" si="36"/>
        <v>0</v>
      </c>
      <c r="AM36" s="458"/>
      <c r="AN36" s="572"/>
      <c r="AO36" s="583"/>
      <c r="AP36" s="576"/>
      <c r="AQ36" s="534"/>
      <c r="AR36" s="576"/>
      <c r="AS36" s="458"/>
      <c r="AT36" s="458"/>
      <c r="AU36" s="458"/>
      <c r="AY36" s="534"/>
      <c r="BE36" s="458"/>
      <c r="BF36" s="266">
        <f t="shared" si="3"/>
        <v>20</v>
      </c>
      <c r="BG36" s="257"/>
      <c r="BH36" s="521"/>
      <c r="BI36" s="521"/>
      <c r="BJ36" s="521"/>
      <c r="BL36" s="518"/>
      <c r="BM36" s="458"/>
      <c r="BP36" s="458"/>
      <c r="BQ36" s="458"/>
      <c r="BR36" s="266"/>
      <c r="BS36" s="458"/>
      <c r="BT36" s="458"/>
      <c r="BU36" s="458"/>
      <c r="BV36" s="458"/>
      <c r="BW36" s="458"/>
      <c r="BX36" s="458"/>
      <c r="BY36" s="458"/>
      <c r="BZ36" s="266"/>
      <c r="CA36" s="458"/>
      <c r="CB36" s="518"/>
      <c r="CC36" s="518"/>
      <c r="CD36" s="518"/>
      <c r="CE36" s="458"/>
      <c r="CF36" s="458"/>
      <c r="CG36" s="458"/>
      <c r="CH36"/>
      <c r="CI36"/>
      <c r="CJ36"/>
      <c r="CK36" s="458"/>
      <c r="CL36" s="572"/>
      <c r="CM36" s="458"/>
      <c r="CN36" s="458"/>
      <c r="CO36" s="458"/>
      <c r="CP36" s="458"/>
      <c r="CQ36" s="458"/>
      <c r="CR36" s="266"/>
      <c r="CS36" s="458"/>
      <c r="CT36" s="533"/>
      <c r="CU36" s="533"/>
      <c r="CV36" s="458"/>
      <c r="CW36" s="458"/>
      <c r="CX36" s="458"/>
      <c r="CY36" s="458"/>
      <c r="CZ36" s="458"/>
      <c r="DA36" s="458"/>
      <c r="DB36" s="458"/>
      <c r="DC36" s="530"/>
      <c r="DD36" s="458"/>
      <c r="DE36" s="458"/>
      <c r="DF36" s="458"/>
      <c r="DG36" s="458"/>
      <c r="DH36" s="458"/>
      <c r="DI36" s="530"/>
      <c r="DJ36" s="458"/>
      <c r="DK36" s="458"/>
      <c r="DL36" s="458"/>
      <c r="DM36" s="458"/>
      <c r="DN36" s="458"/>
      <c r="DO36" s="458"/>
    </row>
    <row r="37" spans="1:119" x14ac:dyDescent="0.2">
      <c r="A37" s="932">
        <v>2</v>
      </c>
      <c r="B37" s="933" t="s">
        <v>727</v>
      </c>
      <c r="C37" s="934">
        <v>183617976.11000001</v>
      </c>
      <c r="D37" s="934">
        <v>146911812.44474319</v>
      </c>
      <c r="E37" s="934">
        <v>-36706163.665256828</v>
      </c>
      <c r="F37" s="938"/>
      <c r="G37" s="932">
        <v>2</v>
      </c>
      <c r="H37" s="933" t="s">
        <v>727</v>
      </c>
      <c r="I37" s="934">
        <v>183617976.11000001</v>
      </c>
      <c r="J37" s="934">
        <v>0</v>
      </c>
      <c r="K37" s="934">
        <v>183617976.11000001</v>
      </c>
      <c r="L37" s="934"/>
      <c r="M37" s="932">
        <v>2</v>
      </c>
      <c r="N37" s="933" t="s">
        <v>727</v>
      </c>
      <c r="O37" s="934">
        <v>144478789.62741747</v>
      </c>
      <c r="P37" s="934">
        <v>0</v>
      </c>
      <c r="Q37" s="934">
        <v>144478789.62741747</v>
      </c>
      <c r="R37" s="939"/>
      <c r="S37" s="934">
        <v>146911812.44474319</v>
      </c>
      <c r="X37" s="458"/>
      <c r="Y37" s="458"/>
      <c r="Z37" s="458"/>
      <c r="AA37" s="458"/>
      <c r="AB37" s="266">
        <f t="shared" si="13"/>
        <v>21</v>
      </c>
      <c r="AC37" s="394"/>
      <c r="AD37" s="581"/>
      <c r="AE37" s="582"/>
      <c r="AF37" s="581"/>
      <c r="AG37" s="458"/>
      <c r="AH37" s="266">
        <f t="shared" si="14"/>
        <v>21</v>
      </c>
      <c r="AI37" s="454" t="s">
        <v>213</v>
      </c>
      <c r="AJ37" s="513">
        <f>'[15]Lead Electric'!D31</f>
        <v>3510506.9600000023</v>
      </c>
      <c r="AK37" s="513">
        <f>'[15]Lead Electric'!E31</f>
        <v>3433556.0410089949</v>
      </c>
      <c r="AL37" s="513">
        <f>SUM(AL35:AL36)</f>
        <v>-76950.918991007376</v>
      </c>
      <c r="AM37" s="458"/>
      <c r="AN37" s="572"/>
      <c r="AO37" s="583"/>
      <c r="AP37" s="584"/>
      <c r="AQ37" s="548"/>
      <c r="AR37" s="576"/>
      <c r="AS37" s="458"/>
      <c r="AT37" s="458"/>
      <c r="AU37" s="458"/>
      <c r="AY37" s="534"/>
      <c r="BE37" s="458"/>
      <c r="BF37" s="266">
        <f t="shared" si="3"/>
        <v>21</v>
      </c>
      <c r="BG37" s="585"/>
      <c r="BH37" s="458"/>
      <c r="BI37" s="458"/>
      <c r="BL37" s="586"/>
      <c r="BM37" s="518"/>
      <c r="BN37" s="572"/>
      <c r="BO37" s="572"/>
      <c r="BP37" s="572"/>
      <c r="BQ37" s="458"/>
      <c r="BR37" s="266"/>
      <c r="BS37" s="458"/>
      <c r="BT37" s="458"/>
      <c r="BU37" s="458"/>
      <c r="BV37" s="458"/>
      <c r="BW37" s="458"/>
      <c r="BX37" s="458"/>
      <c r="BY37" s="458"/>
      <c r="BZ37" s="266" t="s">
        <v>1</v>
      </c>
      <c r="CA37" s="458"/>
      <c r="CB37" s="538"/>
      <c r="CC37" s="538"/>
      <c r="CD37" s="538"/>
      <c r="CE37" s="458"/>
      <c r="CF37" s="458"/>
      <c r="CG37" s="458"/>
      <c r="CH37"/>
      <c r="CI37"/>
      <c r="CJ37"/>
      <c r="CK37" s="458"/>
      <c r="CL37" s="577"/>
      <c r="CM37" s="458"/>
      <c r="CN37" s="458"/>
      <c r="CO37" s="458"/>
      <c r="CP37" s="458"/>
      <c r="CQ37" s="458"/>
      <c r="CR37" s="266"/>
      <c r="CS37" s="458"/>
      <c r="CT37" s="458"/>
      <c r="CU37" s="533"/>
      <c r="CV37" s="458"/>
      <c r="CW37" s="458"/>
      <c r="CX37" s="458"/>
      <c r="CY37" s="458"/>
      <c r="CZ37" s="458"/>
      <c r="DA37" s="458"/>
      <c r="DB37" s="458"/>
      <c r="DC37" s="530"/>
      <c r="DD37" s="458"/>
      <c r="DE37" s="458"/>
      <c r="DF37" s="458"/>
      <c r="DG37" s="458"/>
      <c r="DH37" s="458"/>
      <c r="DI37" s="530"/>
      <c r="DJ37" s="458"/>
      <c r="DK37" s="458"/>
      <c r="DL37" s="458"/>
      <c r="DM37" s="458"/>
      <c r="DN37" s="458"/>
      <c r="DO37" s="458"/>
    </row>
    <row r="38" spans="1:119" x14ac:dyDescent="0.2">
      <c r="A38" s="932">
        <v>3</v>
      </c>
      <c r="B38" s="933" t="s">
        <v>728</v>
      </c>
      <c r="C38" s="934">
        <v>535009174.27999997</v>
      </c>
      <c r="D38" s="934">
        <v>528564730.94858474</v>
      </c>
      <c r="E38" s="934">
        <v>-6444443.331415236</v>
      </c>
      <c r="F38" s="940"/>
      <c r="G38" s="932">
        <v>3</v>
      </c>
      <c r="H38" s="933" t="s">
        <v>728</v>
      </c>
      <c r="I38" s="934">
        <v>535009174.27999997</v>
      </c>
      <c r="J38" s="934">
        <v>0</v>
      </c>
      <c r="K38" s="934">
        <v>535009174.27999997</v>
      </c>
      <c r="L38" s="934"/>
      <c r="M38" s="932">
        <v>3</v>
      </c>
      <c r="N38" s="933" t="s">
        <v>728</v>
      </c>
      <c r="O38" s="934">
        <v>519811111.82544428</v>
      </c>
      <c r="P38" s="934">
        <v>0</v>
      </c>
      <c r="Q38" s="934">
        <v>519811111.82544428</v>
      </c>
      <c r="R38" s="939"/>
      <c r="S38" s="934">
        <v>528564730.94858474</v>
      </c>
      <c r="X38" s="458"/>
      <c r="Y38" s="458"/>
      <c r="Z38" s="458"/>
      <c r="AA38" s="458"/>
      <c r="AB38" s="266">
        <f>AB37+1</f>
        <v>22</v>
      </c>
      <c r="AC38" s="615" t="s">
        <v>436</v>
      </c>
      <c r="AD38" s="729">
        <f>'[14]Colstrip Reg Asset AMA'!$C$18</f>
        <v>24694365.932500001</v>
      </c>
      <c r="AE38" s="729">
        <f>[14]Detail!$D$6</f>
        <v>110897621.825</v>
      </c>
      <c r="AF38" s="729">
        <f t="shared" ref="AF38:AF39" si="37">AE38-AD38</f>
        <v>86203255.892499998</v>
      </c>
      <c r="AG38" s="458"/>
      <c r="AH38" s="266">
        <f t="shared" si="14"/>
        <v>22</v>
      </c>
      <c r="AJ38" s="513"/>
      <c r="AK38" s="513"/>
      <c r="AL38" s="513"/>
      <c r="AM38" s="458"/>
      <c r="AN38" s="572"/>
      <c r="AO38" s="583"/>
      <c r="AP38" s="587"/>
      <c r="AQ38" s="548"/>
      <c r="AR38" s="576"/>
      <c r="AS38" s="458"/>
      <c r="AT38" s="458"/>
      <c r="AU38" s="458"/>
      <c r="AY38" s="534"/>
      <c r="BE38" s="458"/>
      <c r="BF38" s="266">
        <f t="shared" si="3"/>
        <v>22</v>
      </c>
      <c r="BG38" s="258" t="s">
        <v>235</v>
      </c>
      <c r="BH38" s="458"/>
      <c r="BI38" s="458"/>
      <c r="BL38" s="572"/>
      <c r="BM38" s="518"/>
      <c r="BN38" s="572"/>
      <c r="BO38" s="572"/>
      <c r="BP38" s="572"/>
      <c r="BQ38" s="458"/>
      <c r="BR38" s="266"/>
      <c r="BS38" s="458"/>
      <c r="BT38" s="458"/>
      <c r="BU38" s="458"/>
      <c r="BV38" s="458"/>
      <c r="BW38" s="458"/>
      <c r="BX38" s="458"/>
      <c r="BY38" s="458"/>
      <c r="BZ38" s="266" t="s">
        <v>80</v>
      </c>
      <c r="CA38" s="458"/>
      <c r="CB38" s="518"/>
      <c r="CC38" s="518"/>
      <c r="CD38" s="572"/>
      <c r="CE38" s="458"/>
      <c r="CF38" s="266"/>
      <c r="CG38" s="564"/>
      <c r="CH38"/>
      <c r="CI38"/>
      <c r="CJ38"/>
      <c r="CK38" s="458"/>
      <c r="CL38" s="588"/>
      <c r="CM38" s="458"/>
      <c r="CN38" s="458"/>
      <c r="CO38" s="458"/>
      <c r="CP38" s="458"/>
      <c r="CQ38" s="458"/>
      <c r="CR38" s="458"/>
      <c r="CS38" s="458"/>
      <c r="CT38" s="458"/>
      <c r="CU38" s="458"/>
      <c r="CV38" s="458"/>
      <c r="CW38" s="458"/>
      <c r="CX38" s="458"/>
      <c r="CY38" s="458"/>
      <c r="CZ38" s="458"/>
      <c r="DA38" s="458"/>
      <c r="DB38" s="458"/>
      <c r="DC38" s="530"/>
      <c r="DD38" s="458"/>
      <c r="DE38" s="458"/>
      <c r="DF38" s="458"/>
      <c r="DG38" s="458"/>
      <c r="DH38" s="458"/>
      <c r="DI38" s="530"/>
      <c r="DJ38" s="458"/>
      <c r="DK38" s="458"/>
      <c r="DL38" s="458"/>
      <c r="DM38" s="458"/>
      <c r="DN38" s="458"/>
      <c r="DO38" s="458"/>
    </row>
    <row r="39" spans="1:119" x14ac:dyDescent="0.2">
      <c r="A39" s="932">
        <v>4</v>
      </c>
      <c r="B39" s="933" t="s">
        <v>729</v>
      </c>
      <c r="C39" s="934">
        <v>-23522407.310000002</v>
      </c>
      <c r="D39" s="934">
        <v>11934985.780000003</v>
      </c>
      <c r="E39" s="934">
        <v>35457393.090000004</v>
      </c>
      <c r="F39" s="936"/>
      <c r="G39" s="932">
        <v>4</v>
      </c>
      <c r="H39" s="933" t="s">
        <v>729</v>
      </c>
      <c r="I39" s="934">
        <v>-21224501.000000004</v>
      </c>
      <c r="J39" s="934">
        <v>-2297906.31</v>
      </c>
      <c r="K39" s="934">
        <v>-23522407.310000002</v>
      </c>
      <c r="L39" s="934"/>
      <c r="M39" s="932">
        <v>4</v>
      </c>
      <c r="N39" s="933" t="s">
        <v>729</v>
      </c>
      <c r="O39" s="934">
        <v>14232892.090000004</v>
      </c>
      <c r="P39" s="934">
        <v>-2297906.31</v>
      </c>
      <c r="Q39" s="934">
        <v>11934985.780000003</v>
      </c>
      <c r="R39" s="939"/>
      <c r="S39" s="934">
        <v>11934985.780000003</v>
      </c>
      <c r="X39" s="458"/>
      <c r="Y39" s="458"/>
      <c r="Z39" s="458"/>
      <c r="AA39" s="458"/>
      <c r="AB39" s="266">
        <f>AB38+1</f>
        <v>23</v>
      </c>
      <c r="AC39" s="615" t="s">
        <v>211</v>
      </c>
      <c r="AD39" s="735">
        <f>'[14]Colstrip Reg Asset AMA'!$C$41</f>
        <v>-5185816.8458333332</v>
      </c>
      <c r="AE39" s="735">
        <f>[14]Detail!$D$25</f>
        <v>-23288500.583250001</v>
      </c>
      <c r="AF39" s="736">
        <f t="shared" si="37"/>
        <v>-18102683.73741667</v>
      </c>
      <c r="AG39" s="458"/>
      <c r="AH39" s="266">
        <f t="shared" si="14"/>
        <v>23</v>
      </c>
      <c r="AI39" s="454" t="s">
        <v>26</v>
      </c>
      <c r="AJ39" s="513"/>
      <c r="AK39" s="513"/>
      <c r="AL39" s="513">
        <f>AL37</f>
        <v>-76950.918991007376</v>
      </c>
      <c r="AM39" s="458"/>
      <c r="AN39" s="572"/>
      <c r="AO39" s="583"/>
      <c r="AP39" s="576"/>
      <c r="AQ39" s="548"/>
      <c r="AR39" s="576"/>
      <c r="AS39" s="458"/>
      <c r="AT39" s="458"/>
      <c r="AU39" s="458"/>
      <c r="AY39" s="570"/>
      <c r="BE39" s="458"/>
      <c r="BF39" s="266">
        <f t="shared" si="3"/>
        <v>23</v>
      </c>
      <c r="BG39" s="257" t="str">
        <f>BG20</f>
        <v>MINT FARM DEFERRED - 15 YEARS - MARCH 2025</v>
      </c>
      <c r="BH39" s="513">
        <f>'[12]Lead E'!$D37</f>
        <v>2885052</v>
      </c>
      <c r="BI39" s="513">
        <f>'[12]Lead E'!$E37</f>
        <v>2885052</v>
      </c>
      <c r="BJ39" s="516">
        <f>+BI39-BH39</f>
        <v>0</v>
      </c>
      <c r="BL39" s="518"/>
      <c r="BM39" s="518"/>
      <c r="BN39" s="518"/>
      <c r="BO39" s="518"/>
      <c r="BP39" s="518"/>
      <c r="BQ39" s="458"/>
      <c r="BR39" s="266"/>
      <c r="BS39" s="518"/>
      <c r="BT39" s="544"/>
      <c r="BU39" s="534"/>
      <c r="BV39" s="534"/>
      <c r="BW39" s="534"/>
      <c r="BX39" s="534"/>
      <c r="BY39" s="458"/>
      <c r="BZ39" s="266" t="s">
        <v>1</v>
      </c>
      <c r="CA39" s="458"/>
      <c r="CB39" s="577"/>
      <c r="CC39" s="577"/>
      <c r="CD39" s="577"/>
      <c r="CE39" s="458"/>
      <c r="CF39" s="266"/>
      <c r="CG39" s="564"/>
      <c r="CH39"/>
      <c r="CI39"/>
      <c r="CJ39"/>
      <c r="CK39" s="458"/>
      <c r="CL39" s="589"/>
      <c r="CM39" s="458"/>
      <c r="CN39" s="458"/>
      <c r="CO39" s="458"/>
      <c r="CP39" s="458"/>
      <c r="CQ39" s="458"/>
      <c r="CR39" s="458"/>
      <c r="CS39" s="458"/>
      <c r="CT39" s="458"/>
      <c r="CU39" s="458"/>
      <c r="CV39" s="458"/>
      <c r="CW39" s="458"/>
      <c r="CX39" s="458"/>
      <c r="CY39" s="458"/>
      <c r="CZ39" s="458"/>
      <c r="DA39" s="458"/>
      <c r="DB39" s="458"/>
      <c r="DC39" s="530"/>
      <c r="DD39" s="458"/>
      <c r="DE39" s="458"/>
      <c r="DF39" s="458"/>
      <c r="DG39" s="458"/>
      <c r="DH39" s="458"/>
      <c r="DI39" s="530"/>
      <c r="DJ39" s="458"/>
      <c r="DK39" s="458"/>
      <c r="DL39" s="458"/>
      <c r="DM39" s="458"/>
      <c r="DN39" s="458"/>
      <c r="DO39" s="458"/>
    </row>
    <row r="40" spans="1:119" x14ac:dyDescent="0.2">
      <c r="A40" s="932">
        <v>5</v>
      </c>
      <c r="B40" s="933" t="s">
        <v>730</v>
      </c>
      <c r="C40" s="934">
        <v>489609.01</v>
      </c>
      <c r="D40" s="934">
        <v>497854.02572839998</v>
      </c>
      <c r="E40" s="934">
        <v>8245.0157283999724</v>
      </c>
      <c r="F40" s="940"/>
      <c r="G40" s="932">
        <v>5</v>
      </c>
      <c r="H40" s="933" t="s">
        <v>730</v>
      </c>
      <c r="I40" s="934">
        <v>489609.01</v>
      </c>
      <c r="J40" s="934">
        <v>0</v>
      </c>
      <c r="K40" s="934">
        <v>489609.01</v>
      </c>
      <c r="L40" s="940"/>
      <c r="M40" s="932">
        <v>5</v>
      </c>
      <c r="N40" s="933" t="s">
        <v>730</v>
      </c>
      <c r="O40" s="934">
        <v>489609.01</v>
      </c>
      <c r="P40" s="934">
        <v>0</v>
      </c>
      <c r="Q40" s="934">
        <v>489609.01</v>
      </c>
      <c r="R40" s="940"/>
      <c r="S40" s="934">
        <v>497854.02572839998</v>
      </c>
      <c r="V40" s="458"/>
      <c r="W40" s="458"/>
      <c r="X40" s="458"/>
      <c r="Y40" s="458"/>
      <c r="Z40" s="458"/>
      <c r="AA40" s="458"/>
      <c r="AB40" s="266">
        <f>AB39+1</f>
        <v>24</v>
      </c>
      <c r="AC40" s="458"/>
      <c r="AD40" s="732"/>
      <c r="AE40" s="732"/>
      <c r="AF40" s="732"/>
      <c r="AG40" s="458"/>
      <c r="AH40" s="266">
        <f t="shared" si="14"/>
        <v>24</v>
      </c>
      <c r="AJ40" s="458"/>
      <c r="AK40" s="458"/>
      <c r="AL40" s="458"/>
      <c r="AM40" s="458"/>
      <c r="AN40" s="572"/>
      <c r="AO40" s="583"/>
      <c r="AP40" s="584"/>
      <c r="AQ40" s="548"/>
      <c r="AR40" s="576"/>
      <c r="AS40" s="458"/>
      <c r="AT40" s="458"/>
      <c r="AU40" s="458"/>
      <c r="AY40" s="570"/>
      <c r="BE40" s="458"/>
      <c r="BF40" s="266">
        <f t="shared" si="3"/>
        <v>24</v>
      </c>
      <c r="BG40" s="259" t="s">
        <v>226</v>
      </c>
      <c r="BH40" s="351" t="s">
        <v>685</v>
      </c>
      <c r="BI40" s="742"/>
      <c r="BJ40" s="481"/>
      <c r="BL40" s="572"/>
      <c r="BM40" s="504"/>
      <c r="BN40" s="519"/>
      <c r="BO40" s="519"/>
      <c r="BP40" s="519"/>
      <c r="BQ40" s="458"/>
      <c r="BR40" s="266"/>
      <c r="BS40" s="590"/>
      <c r="BT40" s="544"/>
      <c r="BU40" s="534"/>
      <c r="BV40" s="534"/>
      <c r="BW40" s="534"/>
      <c r="BX40" s="534"/>
      <c r="BY40" s="458"/>
      <c r="BZ40" s="266" t="s">
        <v>1</v>
      </c>
      <c r="CA40" s="458"/>
      <c r="CB40" s="519"/>
      <c r="CC40" s="519"/>
      <c r="CD40" s="519"/>
      <c r="CE40" s="458"/>
      <c r="CF40" s="266"/>
      <c r="CG40" s="458"/>
      <c r="CH40"/>
      <c r="CI40"/>
      <c r="CJ40"/>
      <c r="CK40" s="458"/>
      <c r="CL40" s="589"/>
      <c r="CM40" s="458"/>
      <c r="CN40" s="458"/>
      <c r="CO40" s="458"/>
      <c r="CP40" s="458"/>
      <c r="CQ40" s="458"/>
      <c r="CR40" s="458"/>
      <c r="CS40" s="458"/>
      <c r="CT40" s="458"/>
      <c r="CU40" s="458"/>
      <c r="CV40" s="458"/>
      <c r="CW40" s="458"/>
      <c r="CX40" s="458"/>
      <c r="CY40" s="458"/>
      <c r="CZ40" s="458"/>
      <c r="DA40" s="458"/>
      <c r="DB40" s="458"/>
      <c r="DC40" s="530"/>
      <c r="DD40" s="458"/>
      <c r="DE40" s="458"/>
      <c r="DF40" s="458"/>
      <c r="DG40" s="458"/>
      <c r="DH40" s="458"/>
      <c r="DI40" s="530"/>
      <c r="DJ40" s="458"/>
      <c r="DK40" s="458"/>
      <c r="DL40" s="458"/>
      <c r="DM40" s="458"/>
      <c r="DN40" s="458"/>
      <c r="DO40" s="458"/>
    </row>
    <row r="41" spans="1:119" ht="13.5" thickBot="1" x14ac:dyDescent="0.25">
      <c r="A41" s="932">
        <v>6</v>
      </c>
      <c r="B41" s="933" t="s">
        <v>731</v>
      </c>
      <c r="C41" s="934">
        <v>123883050.72</v>
      </c>
      <c r="D41" s="934">
        <v>130530696.03023741</v>
      </c>
      <c r="E41" s="939">
        <v>6647645.3102374077</v>
      </c>
      <c r="F41" s="936"/>
      <c r="G41" s="932">
        <v>5</v>
      </c>
      <c r="H41" s="933" t="s">
        <v>731</v>
      </c>
      <c r="I41" s="934">
        <v>123883050.72</v>
      </c>
      <c r="J41" s="934">
        <v>0</v>
      </c>
      <c r="K41" s="939">
        <v>123883050.72</v>
      </c>
      <c r="L41" s="939"/>
      <c r="M41" s="932">
        <v>5</v>
      </c>
      <c r="N41" s="933" t="s">
        <v>731</v>
      </c>
      <c r="O41" s="934">
        <v>128368962.69839641</v>
      </c>
      <c r="P41" s="934">
        <v>0</v>
      </c>
      <c r="Q41" s="939">
        <v>128368962.69839641</v>
      </c>
      <c r="R41" s="939"/>
      <c r="S41" s="939">
        <v>130530696.03023741</v>
      </c>
      <c r="V41" s="458"/>
      <c r="W41" s="458"/>
      <c r="X41" s="458"/>
      <c r="Y41" s="458"/>
      <c r="Z41" s="458"/>
      <c r="AA41" s="458"/>
      <c r="AB41" s="266">
        <f>AB40+1</f>
        <v>25</v>
      </c>
      <c r="AC41" s="615" t="s">
        <v>650</v>
      </c>
      <c r="AD41" s="733">
        <f>SUM(AD38:AD40)</f>
        <v>19508549.086666666</v>
      </c>
      <c r="AE41" s="733">
        <f>SUM(AE38:AE40)</f>
        <v>87609121.241750002</v>
      </c>
      <c r="AF41" s="733">
        <f>SUM(AF38:AF40)</f>
        <v>68100572.155083328</v>
      </c>
      <c r="AG41" s="458"/>
      <c r="AH41" s="266">
        <f t="shared" si="14"/>
        <v>25</v>
      </c>
      <c r="AI41" s="454" t="s">
        <v>216</v>
      </c>
      <c r="AJ41" s="513"/>
      <c r="AK41" s="513"/>
      <c r="AL41" s="513"/>
      <c r="AM41" s="458"/>
      <c r="AN41" s="518"/>
      <c r="AO41" s="591"/>
      <c r="AP41" s="584"/>
      <c r="AQ41" s="548"/>
      <c r="AR41" s="576"/>
      <c r="AS41" s="458"/>
      <c r="AT41" s="458"/>
      <c r="AU41" s="458"/>
      <c r="AY41" s="554"/>
      <c r="BE41" s="458"/>
      <c r="BF41" s="266">
        <f t="shared" si="3"/>
        <v>25</v>
      </c>
      <c r="BG41" s="259" t="s">
        <v>228</v>
      </c>
      <c r="BH41" s="351" t="s">
        <v>685</v>
      </c>
      <c r="BI41" s="742"/>
      <c r="BJ41" s="481"/>
      <c r="BL41" s="572"/>
      <c r="BM41" s="257"/>
      <c r="BN41" s="519"/>
      <c r="BO41" s="519"/>
      <c r="BP41" s="519"/>
      <c r="BQ41" s="458"/>
      <c r="BR41" s="266"/>
      <c r="BS41" s="592"/>
      <c r="BT41" s="544"/>
      <c r="BU41" s="534"/>
      <c r="BV41" s="534"/>
      <c r="BW41" s="534"/>
      <c r="BX41" s="534"/>
      <c r="BY41" s="458"/>
      <c r="BZ41" s="266" t="s">
        <v>1</v>
      </c>
      <c r="CA41" s="504"/>
      <c r="CB41" s="538"/>
      <c r="CC41" s="538"/>
      <c r="CD41" s="538"/>
      <c r="CE41" s="458"/>
      <c r="CF41" s="266"/>
      <c r="CG41" s="518"/>
      <c r="CH41"/>
      <c r="CI41"/>
      <c r="CJ41"/>
      <c r="CK41" s="458"/>
      <c r="CL41" s="518"/>
      <c r="CM41" s="458"/>
      <c r="CN41" s="458"/>
      <c r="CO41" s="458"/>
      <c r="CP41" s="458"/>
      <c r="CQ41" s="458"/>
      <c r="CR41" s="458"/>
      <c r="CS41" s="458"/>
      <c r="CT41" s="458"/>
      <c r="CU41" s="458"/>
      <c r="CV41" s="458"/>
      <c r="CW41" s="458"/>
      <c r="CX41" s="458"/>
      <c r="CY41" s="458"/>
      <c r="CZ41" s="458"/>
      <c r="DA41" s="458"/>
      <c r="DB41" s="458"/>
      <c r="DC41" s="530"/>
      <c r="DD41" s="458"/>
      <c r="DE41" s="458"/>
      <c r="DF41" s="458"/>
      <c r="DG41" s="458"/>
      <c r="DH41" s="458"/>
      <c r="DI41" s="530"/>
      <c r="DJ41" s="458"/>
      <c r="DK41" s="458"/>
      <c r="DL41" s="458"/>
      <c r="DM41" s="458"/>
      <c r="DN41" s="458"/>
      <c r="DO41" s="458"/>
    </row>
    <row r="42" spans="1:119" ht="13.5" thickTop="1" x14ac:dyDescent="0.2">
      <c r="A42" s="932">
        <v>7</v>
      </c>
      <c r="B42" s="933" t="s">
        <v>732</v>
      </c>
      <c r="C42" s="934">
        <v>-189780073.88</v>
      </c>
      <c r="D42" s="934">
        <v>-41318427.490881979</v>
      </c>
      <c r="E42" s="934">
        <v>148461646.38911802</v>
      </c>
      <c r="F42" s="936"/>
      <c r="G42" s="932">
        <v>6</v>
      </c>
      <c r="H42" s="933" t="s">
        <v>732</v>
      </c>
      <c r="I42" s="934">
        <v>-189780073.88</v>
      </c>
      <c r="J42" s="934">
        <v>0</v>
      </c>
      <c r="K42" s="934">
        <v>-189780073.88</v>
      </c>
      <c r="L42" s="934"/>
      <c r="M42" s="932">
        <v>6</v>
      </c>
      <c r="N42" s="933" t="s">
        <v>732</v>
      </c>
      <c r="O42" s="934">
        <v>-40634148.431298904</v>
      </c>
      <c r="P42" s="934">
        <v>0</v>
      </c>
      <c r="Q42" s="934">
        <v>-40634148.431298904</v>
      </c>
      <c r="R42" s="939"/>
      <c r="S42" s="934">
        <v>-41318427.490881979</v>
      </c>
      <c r="V42" s="458"/>
      <c r="W42" s="458"/>
      <c r="X42" s="458"/>
      <c r="Y42" s="458"/>
      <c r="Z42" s="458"/>
      <c r="AA42" s="458"/>
      <c r="AB42" s="266">
        <f>AB41+1</f>
        <v>26</v>
      </c>
      <c r="AC42" s="394"/>
      <c r="AD42" s="394"/>
      <c r="AE42" s="394"/>
      <c r="AF42" s="394"/>
      <c r="AG42" s="458"/>
      <c r="AH42" s="266">
        <f t="shared" si="14"/>
        <v>26</v>
      </c>
      <c r="AI42" s="454" t="s">
        <v>752</v>
      </c>
      <c r="AJ42" s="513"/>
      <c r="AK42" s="513"/>
      <c r="AL42" s="513">
        <f>-AL39</f>
        <v>76950.918991007376</v>
      </c>
      <c r="AM42" s="458"/>
      <c r="AN42" s="518"/>
      <c r="AO42" s="583"/>
      <c r="AP42" s="584"/>
      <c r="AQ42" s="548"/>
      <c r="AR42" s="576"/>
      <c r="AS42" s="518"/>
      <c r="AT42" s="458"/>
      <c r="AU42" s="458"/>
      <c r="AY42" s="539"/>
      <c r="BE42" s="539"/>
      <c r="BF42" s="266">
        <f t="shared" si="3"/>
        <v>26</v>
      </c>
      <c r="BG42" s="257" t="str">
        <f t="shared" ref="BG42" si="38">BG21</f>
        <v>CHELAN PUD INITIATION PAYMENT - 20 YEARS - OCT 2031</v>
      </c>
      <c r="BH42" s="351" t="s">
        <v>685</v>
      </c>
      <c r="BI42" s="742"/>
      <c r="BJ42" s="481"/>
      <c r="BL42" s="266"/>
      <c r="BM42" s="257"/>
      <c r="BN42" s="539"/>
      <c r="BO42" s="539"/>
      <c r="BP42" s="539"/>
      <c r="BQ42" s="539"/>
      <c r="BR42" s="266"/>
      <c r="BS42" s="518"/>
      <c r="BT42" s="593"/>
      <c r="BU42" s="519"/>
      <c r="BV42" s="519"/>
      <c r="BW42" s="519"/>
      <c r="BX42" s="519"/>
      <c r="BY42" s="458"/>
      <c r="BZ42" s="572"/>
      <c r="CA42" s="504"/>
      <c r="CB42" s="538"/>
      <c r="CC42" s="538"/>
      <c r="CD42" s="538"/>
      <c r="CE42" s="458"/>
      <c r="CF42" s="266"/>
      <c r="CG42" s="590"/>
      <c r="CH42"/>
      <c r="CI42"/>
      <c r="CJ42"/>
      <c r="CK42" s="458"/>
      <c r="CL42" s="572"/>
      <c r="CM42" s="458"/>
      <c r="CN42" s="458"/>
      <c r="CO42" s="458"/>
      <c r="CP42" s="458"/>
      <c r="CQ42" s="458"/>
      <c r="CR42" s="458"/>
      <c r="CS42" s="458"/>
      <c r="CT42" s="572"/>
      <c r="CU42" s="572"/>
      <c r="CV42" s="572"/>
      <c r="CW42" s="518"/>
      <c r="CX42" s="518"/>
      <c r="CY42" s="518"/>
      <c r="CZ42" s="518"/>
      <c r="DA42" s="518"/>
      <c r="DB42" s="518"/>
      <c r="DC42" s="530"/>
      <c r="DD42" s="458"/>
      <c r="DE42" s="458"/>
      <c r="DF42" s="458"/>
      <c r="DG42" s="458"/>
      <c r="DH42" s="458"/>
      <c r="DI42" s="530"/>
      <c r="DJ42" s="458"/>
      <c r="DK42" s="458"/>
      <c r="DL42" s="458"/>
      <c r="DM42" s="458"/>
      <c r="DN42" s="458"/>
      <c r="DO42" s="458"/>
    </row>
    <row r="43" spans="1:119" x14ac:dyDescent="0.2">
      <c r="A43" s="932">
        <v>8</v>
      </c>
      <c r="B43" s="933" t="s">
        <v>733</v>
      </c>
      <c r="C43" s="934">
        <v>-9520817.3900000006</v>
      </c>
      <c r="D43" s="934">
        <v>-49932542.908260092</v>
      </c>
      <c r="E43" s="934">
        <v>-40411725.518260092</v>
      </c>
      <c r="F43" s="938"/>
      <c r="G43" s="932">
        <v>7</v>
      </c>
      <c r="H43" s="933" t="s">
        <v>733</v>
      </c>
      <c r="I43" s="934">
        <v>-9520817.3900000006</v>
      </c>
      <c r="J43" s="934">
        <v>0</v>
      </c>
      <c r="K43" s="934">
        <v>-9520817.3900000006</v>
      </c>
      <c r="L43" s="934"/>
      <c r="M43" s="932">
        <v>7</v>
      </c>
      <c r="N43" s="933" t="s">
        <v>733</v>
      </c>
      <c r="O43" s="934">
        <v>-49105604.528008431</v>
      </c>
      <c r="P43" s="934">
        <v>0</v>
      </c>
      <c r="Q43" s="934">
        <v>-49105604.528008431</v>
      </c>
      <c r="R43" s="939"/>
      <c r="S43" s="934">
        <v>-49932542.908260092</v>
      </c>
      <c r="V43" s="458"/>
      <c r="W43" s="458"/>
      <c r="X43" s="458"/>
      <c r="Y43" s="458"/>
      <c r="Z43" s="458"/>
      <c r="AA43" s="458"/>
      <c r="AB43" s="266">
        <f t="shared" ref="AB43:AB47" si="39">AB42+1</f>
        <v>27</v>
      </c>
      <c r="AC43" s="737" t="s">
        <v>741</v>
      </c>
      <c r="AD43" s="458"/>
      <c r="AE43" s="458"/>
      <c r="AF43" s="458"/>
      <c r="AG43" s="458"/>
      <c r="AH43" s="266">
        <f t="shared" si="14"/>
        <v>27</v>
      </c>
      <c r="AI43" s="454" t="s">
        <v>636</v>
      </c>
      <c r="AJ43" s="513"/>
      <c r="AK43" s="513"/>
      <c r="AL43" s="541">
        <f>-AL42*0.21</f>
        <v>-16159.692988111548</v>
      </c>
      <c r="AM43" s="458"/>
      <c r="AN43" s="518"/>
      <c r="AO43" s="583"/>
      <c r="AP43" s="584"/>
      <c r="AQ43" s="548"/>
      <c r="AR43" s="576"/>
      <c r="AS43" s="518"/>
      <c r="AT43" s="458"/>
      <c r="AU43" s="458"/>
      <c r="AY43" s="539"/>
      <c r="BE43" s="539"/>
      <c r="BF43" s="266">
        <f t="shared" si="3"/>
        <v>27</v>
      </c>
      <c r="BG43" s="393" t="s">
        <v>583</v>
      </c>
      <c r="BH43" s="546">
        <f>'[12]Lead E'!D41</f>
        <v>687420</v>
      </c>
      <c r="BI43" s="546">
        <f>'[12]Lead E'!E41</f>
        <v>687420</v>
      </c>
      <c r="BJ43" s="594">
        <f>+BI43-BH43</f>
        <v>0</v>
      </c>
      <c r="BK43" s="518"/>
      <c r="BL43" s="458"/>
      <c r="BM43" s="257"/>
      <c r="BN43" s="458"/>
      <c r="BO43" s="458"/>
      <c r="BP43" s="458"/>
      <c r="BQ43" s="539"/>
      <c r="BR43" s="266"/>
      <c r="BS43" s="518"/>
      <c r="BT43" s="518"/>
      <c r="BU43" s="518"/>
      <c r="BV43" s="518"/>
      <c r="BW43" s="518"/>
      <c r="BX43" s="518"/>
      <c r="BY43" s="458"/>
      <c r="BZ43" s="572"/>
      <c r="CA43" s="504"/>
      <c r="CB43" s="538"/>
      <c r="CC43" s="538"/>
      <c r="CD43" s="538"/>
      <c r="CE43" s="458"/>
      <c r="CF43" s="266"/>
      <c r="CG43" s="592"/>
      <c r="CH43"/>
      <c r="CI43"/>
      <c r="CJ43"/>
      <c r="CK43" s="458"/>
      <c r="CL43" s="572"/>
      <c r="CM43" s="458"/>
      <c r="CN43" s="458"/>
      <c r="CO43" s="458"/>
      <c r="CP43" s="458"/>
      <c r="CQ43" s="458"/>
      <c r="CR43" s="458"/>
      <c r="CS43" s="458"/>
      <c r="CT43" s="572"/>
      <c r="CU43" s="572"/>
      <c r="CV43" s="572"/>
      <c r="CW43" s="519"/>
      <c r="CX43" s="519"/>
      <c r="CY43" s="519"/>
      <c r="CZ43" s="519"/>
      <c r="DA43" s="519"/>
      <c r="DB43" s="519"/>
      <c r="DC43" s="525"/>
      <c r="DD43" s="458"/>
      <c r="DE43" s="458"/>
      <c r="DF43" s="458"/>
      <c r="DG43" s="458"/>
      <c r="DH43" s="458"/>
      <c r="DI43" s="525"/>
      <c r="DJ43" s="458"/>
      <c r="DK43" s="458"/>
      <c r="DL43" s="458"/>
      <c r="DM43" s="458"/>
      <c r="DN43" s="458"/>
      <c r="DO43" s="458"/>
    </row>
    <row r="44" spans="1:119" ht="13.5" thickBot="1" x14ac:dyDescent="0.25">
      <c r="A44" s="932">
        <v>9</v>
      </c>
      <c r="B44" s="940" t="s">
        <v>734</v>
      </c>
      <c r="C44" s="941">
        <v>701220657.81999993</v>
      </c>
      <c r="D44" s="941">
        <v>769098525.92261243</v>
      </c>
      <c r="E44" s="941">
        <v>67877868.102612421</v>
      </c>
      <c r="F44" s="938"/>
      <c r="G44" s="932">
        <v>8</v>
      </c>
      <c r="H44" s="940" t="s">
        <v>734</v>
      </c>
      <c r="I44" s="941">
        <v>703518564.13</v>
      </c>
      <c r="J44" s="941">
        <v>-2297906.31</v>
      </c>
      <c r="K44" s="941">
        <v>701220657.81999993</v>
      </c>
      <c r="L44" s="939"/>
      <c r="M44" s="932">
        <v>8</v>
      </c>
      <c r="N44" s="940" t="s">
        <v>734</v>
      </c>
      <c r="O44" s="941">
        <v>758856962.88050056</v>
      </c>
      <c r="P44" s="941">
        <v>-2297906.31</v>
      </c>
      <c r="Q44" s="941">
        <v>756559056.57050049</v>
      </c>
      <c r="R44" s="939"/>
      <c r="S44" s="941">
        <v>769098525.92261243</v>
      </c>
      <c r="V44" s="458"/>
      <c r="W44" s="458"/>
      <c r="X44" s="458"/>
      <c r="Y44" s="458"/>
      <c r="Z44" s="458"/>
      <c r="AA44" s="458"/>
      <c r="AB44" s="266">
        <f t="shared" si="39"/>
        <v>28</v>
      </c>
      <c r="AC44" s="738" t="s">
        <v>651</v>
      </c>
      <c r="AD44" s="458"/>
      <c r="AE44" s="458"/>
      <c r="AF44" s="458"/>
      <c r="AG44" s="458"/>
      <c r="AH44" s="266">
        <f t="shared" si="14"/>
        <v>28</v>
      </c>
      <c r="AI44" s="454" t="s">
        <v>212</v>
      </c>
      <c r="AJ44" s="513"/>
      <c r="AK44" s="513"/>
      <c r="AL44" s="542">
        <f>SUM(AL42:AL43)</f>
        <v>60791.226002895826</v>
      </c>
      <c r="AM44" s="458"/>
      <c r="AN44" s="518"/>
      <c r="AO44" s="583"/>
      <c r="AP44" s="584"/>
      <c r="AQ44" s="548"/>
      <c r="AR44" s="576"/>
      <c r="AS44" s="539"/>
      <c r="AT44" s="458"/>
      <c r="AU44" s="458"/>
      <c r="AY44" s="539"/>
      <c r="BE44" s="539"/>
      <c r="BF44" s="266">
        <f t="shared" si="3"/>
        <v>28</v>
      </c>
      <c r="BG44" s="393" t="s">
        <v>229</v>
      </c>
      <c r="BH44" s="546">
        <f>'[12]Lead E'!D42</f>
        <v>0</v>
      </c>
      <c r="BI44" s="546">
        <f>'[12]Lead E'!E42</f>
        <v>0</v>
      </c>
      <c r="BJ44" s="594">
        <f>+BI44-BH44</f>
        <v>0</v>
      </c>
      <c r="BK44" s="539"/>
      <c r="BL44" s="458"/>
      <c r="BM44" s="257"/>
      <c r="BN44" s="458"/>
      <c r="BO44" s="458"/>
      <c r="BP44" s="458"/>
      <c r="BQ44" s="595"/>
      <c r="BR44" s="266"/>
      <c r="BS44" s="458"/>
      <c r="BT44" s="458"/>
      <c r="BU44" s="458"/>
      <c r="BV44" s="458"/>
      <c r="BW44" s="458"/>
      <c r="BX44" s="458"/>
      <c r="BY44" s="458"/>
      <c r="BZ44" s="572"/>
      <c r="CA44" s="504"/>
      <c r="CB44" s="538"/>
      <c r="CC44" s="538"/>
      <c r="CD44" s="538"/>
      <c r="CE44" s="458"/>
      <c r="CF44" s="266"/>
      <c r="CG44" s="518"/>
      <c r="CH44"/>
      <c r="CI44"/>
      <c r="CJ44"/>
      <c r="CK44" s="458"/>
      <c r="CL44" s="518"/>
      <c r="CM44" s="458"/>
      <c r="CN44" s="458"/>
      <c r="CO44" s="458"/>
      <c r="CP44" s="458"/>
      <c r="CQ44" s="518"/>
      <c r="CR44" s="458"/>
      <c r="CS44" s="458"/>
      <c r="CT44" s="518"/>
      <c r="CU44" s="518"/>
      <c r="CV44" s="518"/>
      <c r="CW44" s="519"/>
      <c r="CX44" s="519"/>
      <c r="CY44" s="1006"/>
      <c r="CZ44" s="1006"/>
      <c r="DA44" s="1006"/>
      <c r="DB44" s="1006"/>
      <c r="DC44" s="596"/>
      <c r="DD44" s="458"/>
      <c r="DE44" s="458"/>
      <c r="DF44" s="458"/>
      <c r="DG44" s="458"/>
      <c r="DH44" s="458"/>
      <c r="DI44" s="596"/>
      <c r="DJ44" s="458"/>
      <c r="DK44" s="458"/>
      <c r="DL44" s="458"/>
      <c r="DM44" s="458"/>
      <c r="DN44" s="458"/>
      <c r="DO44" s="458"/>
    </row>
    <row r="45" spans="1:119" ht="13.5" thickTop="1" x14ac:dyDescent="0.2">
      <c r="A45" s="932">
        <v>10</v>
      </c>
      <c r="B45" s="940" t="s">
        <v>634</v>
      </c>
      <c r="C45" s="942"/>
      <c r="D45" s="942"/>
      <c r="E45" s="942"/>
      <c r="F45" s="936"/>
      <c r="G45" s="932">
        <v>9</v>
      </c>
      <c r="H45" s="940" t="s">
        <v>634</v>
      </c>
      <c r="I45" s="942"/>
      <c r="J45" s="942"/>
      <c r="K45" s="942"/>
      <c r="L45" s="939"/>
      <c r="M45" s="932">
        <v>9</v>
      </c>
      <c r="N45" s="940" t="s">
        <v>634</v>
      </c>
      <c r="O45" s="942"/>
      <c r="P45" s="942"/>
      <c r="Q45" s="942"/>
      <c r="R45" s="939"/>
      <c r="S45" s="942"/>
      <c r="V45" s="458"/>
      <c r="W45" s="458"/>
      <c r="X45" s="458"/>
      <c r="Y45" s="458"/>
      <c r="Z45" s="458"/>
      <c r="AA45" s="458"/>
      <c r="AB45" s="266">
        <f t="shared" si="39"/>
        <v>29</v>
      </c>
      <c r="AC45" s="458"/>
      <c r="AD45" s="458"/>
      <c r="AE45" s="458"/>
      <c r="AF45" s="458"/>
      <c r="AG45" s="458"/>
      <c r="AH45" s="266"/>
      <c r="AJ45" s="513"/>
      <c r="AK45" s="513"/>
      <c r="AL45" s="513"/>
      <c r="AM45" s="458"/>
      <c r="AN45" s="518"/>
      <c r="AO45" s="597"/>
      <c r="AP45" s="584"/>
      <c r="AQ45" s="548"/>
      <c r="AR45" s="584"/>
      <c r="AS45" s="539"/>
      <c r="AT45" s="458"/>
      <c r="AU45" s="458"/>
      <c r="AY45" s="539"/>
      <c r="BE45" s="539"/>
      <c r="BF45" s="266">
        <f t="shared" si="3"/>
        <v>29</v>
      </c>
      <c r="BG45" s="393" t="s">
        <v>230</v>
      </c>
      <c r="BH45" s="546">
        <f>'[12]Lead E'!D43</f>
        <v>0</v>
      </c>
      <c r="BI45" s="546">
        <f>'[12]Lead E'!E43</f>
        <v>0</v>
      </c>
      <c r="BJ45" s="594">
        <f t="shared" ref="BJ45:BJ49" si="40">+BI45-BH45</f>
        <v>0</v>
      </c>
      <c r="BK45" s="539"/>
      <c r="BL45" s="458"/>
      <c r="BM45" s="257"/>
      <c r="BN45" s="458"/>
      <c r="BO45" s="458"/>
      <c r="BP45" s="458"/>
      <c r="BQ45" s="539"/>
      <c r="BR45" s="266"/>
      <c r="BS45" s="458"/>
      <c r="BT45" s="458"/>
      <c r="BU45" s="458"/>
      <c r="BV45" s="458"/>
      <c r="BW45" s="458"/>
      <c r="BX45" s="458"/>
      <c r="BY45" s="458"/>
      <c r="BZ45" s="572"/>
      <c r="CA45" s="518"/>
      <c r="CB45" s="538"/>
      <c r="CC45" s="538"/>
      <c r="CD45" s="538"/>
      <c r="CE45" s="458"/>
      <c r="CF45" s="458"/>
      <c r="CG45" s="518"/>
      <c r="CH45"/>
      <c r="CI45"/>
      <c r="CJ45"/>
      <c r="CK45" s="458"/>
      <c r="CL45" s="572"/>
      <c r="CM45" s="458"/>
      <c r="CN45" s="458"/>
      <c r="CO45" s="458"/>
      <c r="CP45" s="458"/>
      <c r="CQ45" s="519"/>
      <c r="CR45" s="519"/>
      <c r="CS45" s="519"/>
      <c r="CT45" s="519"/>
      <c r="CU45" s="519"/>
      <c r="CV45" s="519"/>
      <c r="CW45" s="539"/>
      <c r="CX45" s="539"/>
      <c r="CY45" s="598"/>
      <c r="CZ45" s="598"/>
      <c r="DA45" s="598"/>
      <c r="DB45" s="598"/>
      <c r="DC45" s="511"/>
      <c r="DD45" s="458"/>
      <c r="DE45" s="458"/>
      <c r="DF45" s="458"/>
      <c r="DG45" s="458"/>
      <c r="DH45" s="458"/>
      <c r="DI45" s="511"/>
      <c r="DJ45" s="458"/>
      <c r="DK45" s="458"/>
      <c r="DL45" s="458"/>
      <c r="DM45" s="458"/>
      <c r="DN45" s="458"/>
      <c r="DO45" s="458"/>
    </row>
    <row r="46" spans="1:119" ht="15" x14ac:dyDescent="0.35">
      <c r="A46" s="932">
        <v>11</v>
      </c>
      <c r="B46" s="943" t="s">
        <v>735</v>
      </c>
      <c r="C46" s="939">
        <v>120717329.14999999</v>
      </c>
      <c r="D46" s="939">
        <v>104512201.44835338</v>
      </c>
      <c r="E46" s="934">
        <v>-16205127.701646611</v>
      </c>
      <c r="F46" s="936"/>
      <c r="G46" s="932">
        <v>10</v>
      </c>
      <c r="H46" s="943" t="s">
        <v>735</v>
      </c>
      <c r="I46" s="939">
        <v>128319985.64999999</v>
      </c>
      <c r="J46" s="939">
        <v>-7602656.5</v>
      </c>
      <c r="K46" s="934">
        <v>120717329.14999999</v>
      </c>
      <c r="L46" s="934"/>
      <c r="M46" s="932">
        <v>10</v>
      </c>
      <c r="N46" s="943" t="s">
        <v>735</v>
      </c>
      <c r="O46" s="939">
        <v>112114857.94835338</v>
      </c>
      <c r="P46" s="939">
        <v>-7602656.5</v>
      </c>
      <c r="Q46" s="934">
        <v>104512201.44835338</v>
      </c>
      <c r="R46" s="939"/>
      <c r="S46" s="934">
        <v>104512201.44835338</v>
      </c>
      <c r="V46" s="458"/>
      <c r="W46" s="458"/>
      <c r="X46" s="458"/>
      <c r="Y46" s="458"/>
      <c r="Z46" s="458"/>
      <c r="AA46" s="458"/>
      <c r="AB46" s="266">
        <f t="shared" si="39"/>
        <v>30</v>
      </c>
      <c r="AC46" s="463" t="s">
        <v>215</v>
      </c>
      <c r="AD46" s="394"/>
      <c r="AE46" s="394"/>
      <c r="AF46" s="394"/>
      <c r="AG46" s="458"/>
      <c r="AH46" s="266"/>
      <c r="AJ46" s="513"/>
      <c r="AK46" s="513"/>
      <c r="AL46" s="458"/>
      <c r="AM46" s="458"/>
      <c r="AN46" s="518"/>
      <c r="AO46" s="518"/>
      <c r="AP46" s="504"/>
      <c r="AQ46" s="572"/>
      <c r="AR46" s="539"/>
      <c r="AS46" s="539"/>
      <c r="AT46" s="458"/>
      <c r="AU46" s="458"/>
      <c r="AY46" s="539"/>
      <c r="BE46" s="539"/>
      <c r="BF46" s="266">
        <f t="shared" si="3"/>
        <v>30</v>
      </c>
      <c r="BG46" s="393" t="s">
        <v>231</v>
      </c>
      <c r="BH46" s="546">
        <f>'[12]Lead E'!D44</f>
        <v>1506807.5028576592</v>
      </c>
      <c r="BI46" s="546">
        <f>'[12]Lead E'!E44</f>
        <v>0</v>
      </c>
      <c r="BJ46" s="594">
        <f t="shared" si="40"/>
        <v>-1506807.5028576592</v>
      </c>
      <c r="BK46" s="539"/>
      <c r="BL46" s="458"/>
      <c r="BM46" s="257"/>
      <c r="BN46" s="458"/>
      <c r="BO46" s="458"/>
      <c r="BP46" s="458"/>
      <c r="BQ46" s="539"/>
      <c r="BR46" s="266"/>
      <c r="BS46" s="458"/>
      <c r="BT46" s="458"/>
      <c r="BU46" s="458"/>
      <c r="BV46" s="458"/>
      <c r="BW46" s="458"/>
      <c r="BX46" s="458"/>
      <c r="BY46" s="458"/>
      <c r="BZ46" s="572"/>
      <c r="CA46" s="518"/>
      <c r="CB46" s="519"/>
      <c r="CC46" s="519"/>
      <c r="CD46" s="519"/>
      <c r="CE46" s="458"/>
      <c r="CF46" s="458"/>
      <c r="CG46" s="458"/>
      <c r="CH46"/>
      <c r="CI46"/>
      <c r="CJ46"/>
      <c r="CK46" s="458"/>
      <c r="CL46" s="572"/>
      <c r="CM46" s="458"/>
      <c r="CN46" s="458"/>
      <c r="CO46" s="458"/>
      <c r="CP46" s="458"/>
      <c r="CQ46" s="519"/>
      <c r="CR46" s="519"/>
      <c r="CS46" s="519"/>
      <c r="CT46" s="519"/>
      <c r="CU46" s="519"/>
      <c r="CV46" s="519"/>
      <c r="CW46" s="458"/>
      <c r="CX46" s="458"/>
      <c r="CY46" s="599"/>
      <c r="CZ46" s="600"/>
      <c r="DA46" s="600"/>
      <c r="DB46" s="600"/>
      <c r="DC46" s="530"/>
      <c r="DD46" s="458"/>
      <c r="DE46" s="458"/>
      <c r="DF46" s="458"/>
      <c r="DG46" s="458"/>
      <c r="DH46" s="458"/>
      <c r="DI46" s="530"/>
      <c r="DJ46" s="458"/>
      <c r="DK46" s="458"/>
      <c r="DL46" s="458"/>
      <c r="DM46" s="458"/>
      <c r="DN46" s="458"/>
      <c r="DO46" s="458"/>
    </row>
    <row r="47" spans="1:119" x14ac:dyDescent="0.2">
      <c r="A47" s="932">
        <v>12</v>
      </c>
      <c r="B47" s="933" t="s">
        <v>736</v>
      </c>
      <c r="C47" s="939">
        <v>728609.68</v>
      </c>
      <c r="D47" s="939">
        <v>728609.68</v>
      </c>
      <c r="E47" s="934">
        <v>0</v>
      </c>
      <c r="F47" s="940"/>
      <c r="G47" s="932">
        <v>11</v>
      </c>
      <c r="H47" s="933" t="s">
        <v>736</v>
      </c>
      <c r="I47" s="939">
        <v>728609.68</v>
      </c>
      <c r="J47" s="939">
        <v>0</v>
      </c>
      <c r="K47" s="934">
        <v>728609.68</v>
      </c>
      <c r="L47" s="934"/>
      <c r="M47" s="932">
        <v>11</v>
      </c>
      <c r="N47" s="933" t="s">
        <v>736</v>
      </c>
      <c r="O47" s="939">
        <v>728609.68</v>
      </c>
      <c r="P47" s="939">
        <v>0</v>
      </c>
      <c r="Q47" s="934">
        <v>728609.68</v>
      </c>
      <c r="R47" s="939"/>
      <c r="S47" s="934">
        <v>728609.68</v>
      </c>
      <c r="V47" s="458"/>
      <c r="W47" s="458"/>
      <c r="X47" s="458"/>
      <c r="Y47" s="458"/>
      <c r="Z47" s="458"/>
      <c r="AA47" s="458"/>
      <c r="AB47" s="266">
        <f t="shared" si="39"/>
        <v>31</v>
      </c>
      <c r="AC47" s="615"/>
      <c r="AD47" s="394"/>
      <c r="AE47" s="394"/>
      <c r="AF47" s="394"/>
      <c r="AG47" s="458"/>
      <c r="AH47" s="266"/>
      <c r="AJ47" s="513"/>
      <c r="AK47" s="513"/>
      <c r="AL47" s="458"/>
      <c r="AM47" s="458"/>
      <c r="AN47" s="518"/>
      <c r="AO47" s="518"/>
      <c r="AP47" s="504"/>
      <c r="AQ47" s="521"/>
      <c r="AR47" s="539"/>
      <c r="AS47" s="539"/>
      <c r="AT47" s="458"/>
      <c r="AU47" s="458"/>
      <c r="AY47" s="539"/>
      <c r="BE47" s="539"/>
      <c r="BF47" s="266">
        <f t="shared" si="3"/>
        <v>31</v>
      </c>
      <c r="BG47" s="393" t="s">
        <v>232</v>
      </c>
      <c r="BH47" s="546">
        <f>'[12]Lead E'!D45</f>
        <v>0</v>
      </c>
      <c r="BI47" s="546">
        <f>'[12]Lead E'!E45</f>
        <v>0</v>
      </c>
      <c r="BJ47" s="594">
        <f t="shared" si="40"/>
        <v>0</v>
      </c>
      <c r="BK47" s="539"/>
      <c r="BL47" s="458"/>
      <c r="BM47" s="257"/>
      <c r="BN47" s="458"/>
      <c r="BO47" s="458"/>
      <c r="BP47" s="458"/>
      <c r="BQ47" s="539"/>
      <c r="BR47" s="458"/>
      <c r="BS47" s="458"/>
      <c r="BT47" s="458"/>
      <c r="BU47" s="458"/>
      <c r="BV47" s="458"/>
      <c r="BW47" s="458"/>
      <c r="BX47" s="458"/>
      <c r="BY47" s="458"/>
      <c r="BZ47" s="572"/>
      <c r="CA47" s="518"/>
      <c r="CB47" s="538"/>
      <c r="CC47" s="538"/>
      <c r="CD47" s="538"/>
      <c r="CE47" s="458"/>
      <c r="CF47" s="458"/>
      <c r="CG47" s="458"/>
      <c r="CH47"/>
      <c r="CI47"/>
      <c r="CJ47"/>
      <c r="CK47" s="458"/>
      <c r="CL47" s="266"/>
      <c r="CQ47" s="539"/>
      <c r="CR47" s="539"/>
      <c r="CS47" s="539"/>
      <c r="CT47" s="539"/>
      <c r="CU47" s="601"/>
      <c r="CV47" s="539"/>
      <c r="CW47" s="458"/>
      <c r="CX47" s="458"/>
      <c r="CY47" s="602"/>
      <c r="CZ47" s="603"/>
      <c r="DA47" s="600"/>
      <c r="DB47" s="604"/>
      <c r="DC47" s="530"/>
      <c r="DI47" s="530"/>
    </row>
    <row r="48" spans="1:119" x14ac:dyDescent="0.2">
      <c r="A48" s="932">
        <v>13</v>
      </c>
      <c r="B48" s="933" t="s">
        <v>737</v>
      </c>
      <c r="C48" s="939">
        <v>-6480453.6300000008</v>
      </c>
      <c r="D48" s="939">
        <v>-6515420.6045234576</v>
      </c>
      <c r="E48" s="934">
        <v>-34966.974523456767</v>
      </c>
      <c r="F48" s="936"/>
      <c r="G48" s="932">
        <v>12</v>
      </c>
      <c r="H48" s="933" t="s">
        <v>737</v>
      </c>
      <c r="I48" s="939">
        <v>-6480453.6300000008</v>
      </c>
      <c r="J48" s="939">
        <v>0</v>
      </c>
      <c r="K48" s="934">
        <v>-6480453.6300000008</v>
      </c>
      <c r="L48" s="934"/>
      <c r="M48" s="932">
        <v>12</v>
      </c>
      <c r="N48" s="933" t="s">
        <v>737</v>
      </c>
      <c r="O48" s="939">
        <v>-6515420.6045234576</v>
      </c>
      <c r="P48" s="939">
        <v>0</v>
      </c>
      <c r="Q48" s="934">
        <v>-6515420.6045234576</v>
      </c>
      <c r="R48" s="939"/>
      <c r="S48" s="934">
        <v>-6515420.6045234576</v>
      </c>
      <c r="V48" s="458"/>
      <c r="W48" s="458"/>
      <c r="X48" s="458"/>
      <c r="Y48" s="458"/>
      <c r="Z48" s="458"/>
      <c r="AA48" s="458"/>
      <c r="AB48" s="266">
        <f t="shared" ref="AB48:AB60" si="41">AB47+1</f>
        <v>32</v>
      </c>
      <c r="AC48" s="615" t="s">
        <v>428</v>
      </c>
      <c r="AD48" s="729">
        <f>[6]Lead!$E$5</f>
        <v>5279586.5900000036</v>
      </c>
      <c r="AE48" s="729">
        <f>[6]Lead!$I$5</f>
        <v>5065600.7699999996</v>
      </c>
      <c r="AF48" s="729">
        <f t="shared" ref="AF48:AF51" si="42">AE48-AD48</f>
        <v>-213985.82000000402</v>
      </c>
      <c r="AG48" s="458"/>
      <c r="AJ48" s="458"/>
      <c r="AK48" s="458"/>
      <c r="AL48" s="458"/>
      <c r="AM48" s="458"/>
      <c r="AN48" s="518"/>
      <c r="AO48" s="518"/>
      <c r="AP48" s="605"/>
      <c r="AQ48" s="534"/>
      <c r="AR48" s="595"/>
      <c r="AS48" s="539"/>
      <c r="AT48" s="458"/>
      <c r="AU48" s="458"/>
      <c r="AY48" s="539"/>
      <c r="BE48" s="539"/>
      <c r="BF48" s="266">
        <f t="shared" si="3"/>
        <v>32</v>
      </c>
      <c r="BG48" s="393" t="s">
        <v>233</v>
      </c>
      <c r="BH48" s="546">
        <f>'[12]Lead E'!D46</f>
        <v>0</v>
      </c>
      <c r="BI48" s="546">
        <f>'[12]Lead E'!E46</f>
        <v>0</v>
      </c>
      <c r="BJ48" s="594">
        <f t="shared" si="40"/>
        <v>0</v>
      </c>
      <c r="BK48" s="539"/>
      <c r="BL48" s="458"/>
      <c r="BM48" s="257"/>
      <c r="BN48" s="458"/>
      <c r="BO48" s="458"/>
      <c r="BP48" s="458"/>
      <c r="BQ48" s="539"/>
      <c r="BR48" s="458"/>
      <c r="BS48" s="458"/>
      <c r="BT48" s="458"/>
      <c r="BU48" s="458"/>
      <c r="BV48" s="458"/>
      <c r="BW48" s="458"/>
      <c r="BX48" s="458"/>
      <c r="BY48" s="458"/>
      <c r="BZ48" s="572"/>
      <c r="CA48" s="504"/>
      <c r="CB48" s="538"/>
      <c r="CC48" s="538"/>
      <c r="CD48" s="538"/>
      <c r="CE48" s="458"/>
      <c r="CF48" s="458"/>
      <c r="CG48" s="458"/>
      <c r="CH48"/>
      <c r="CI48"/>
      <c r="CJ48"/>
      <c r="CK48" s="458"/>
      <c r="CL48" s="458"/>
      <c r="CQ48" s="458"/>
      <c r="CR48" s="458"/>
      <c r="CS48" s="458"/>
      <c r="CT48" s="458"/>
      <c r="CU48" s="458"/>
      <c r="CV48" s="458"/>
      <c r="CW48" s="458"/>
      <c r="CX48" s="458"/>
      <c r="CY48" s="602"/>
      <c r="CZ48" s="603"/>
      <c r="DA48" s="600"/>
      <c r="DB48" s="604"/>
      <c r="DC48" s="530"/>
      <c r="DI48" s="530"/>
    </row>
    <row r="49" spans="1:113" x14ac:dyDescent="0.2">
      <c r="A49" s="932">
        <v>14</v>
      </c>
      <c r="B49" s="933" t="s">
        <v>738</v>
      </c>
      <c r="C49" s="939">
        <v>0</v>
      </c>
      <c r="D49" s="939">
        <v>4163374.1001599999</v>
      </c>
      <c r="E49" s="934">
        <v>4163374.1001599999</v>
      </c>
      <c r="F49" s="940"/>
      <c r="G49" s="932">
        <v>13</v>
      </c>
      <c r="H49" s="933" t="s">
        <v>738</v>
      </c>
      <c r="I49" s="939">
        <v>0</v>
      </c>
      <c r="J49" s="939">
        <v>0</v>
      </c>
      <c r="K49" s="934">
        <v>0</v>
      </c>
      <c r="L49" s="934"/>
      <c r="M49" s="932">
        <v>13</v>
      </c>
      <c r="N49" s="933" t="s">
        <v>738</v>
      </c>
      <c r="O49" s="939">
        <v>4094424</v>
      </c>
      <c r="P49" s="939">
        <v>0</v>
      </c>
      <c r="Q49" s="934">
        <v>4094424</v>
      </c>
      <c r="R49" s="939"/>
      <c r="S49" s="934">
        <v>4163374.1001599999</v>
      </c>
      <c r="V49" s="458"/>
      <c r="W49" s="458"/>
      <c r="X49" s="458"/>
      <c r="Y49" s="458"/>
      <c r="Z49" s="458"/>
      <c r="AA49" s="458"/>
      <c r="AB49" s="266">
        <f t="shared" si="41"/>
        <v>33</v>
      </c>
      <c r="AC49" s="615" t="s">
        <v>429</v>
      </c>
      <c r="AD49" s="731">
        <f>[6]Lead!$E$6</f>
        <v>19415724.881249972</v>
      </c>
      <c r="AE49" s="731">
        <f>[6]Lead!$I$6</f>
        <v>19182493.089999981</v>
      </c>
      <c r="AF49" s="731">
        <f t="shared" si="42"/>
        <v>-233231.79124999046</v>
      </c>
      <c r="AG49" s="458"/>
      <c r="AJ49" s="458"/>
      <c r="AK49" s="458"/>
      <c r="AL49" s="458"/>
      <c r="AM49" s="458"/>
      <c r="AN49" s="518"/>
      <c r="AO49" s="518"/>
      <c r="AP49" s="504"/>
      <c r="AQ49" s="534"/>
      <c r="AR49" s="539"/>
      <c r="AS49" s="595"/>
      <c r="AT49" s="458"/>
      <c r="AU49" s="458"/>
      <c r="AY49" s="595"/>
      <c r="BE49" s="595"/>
      <c r="BF49" s="266">
        <f t="shared" si="3"/>
        <v>33</v>
      </c>
      <c r="BG49" s="393" t="s">
        <v>52</v>
      </c>
      <c r="BH49" s="546">
        <f>'[12]Lead E'!D47</f>
        <v>6553640.5199999996</v>
      </c>
      <c r="BI49" s="546">
        <f>'[12]Lead E'!E47</f>
        <v>0</v>
      </c>
      <c r="BJ49" s="594">
        <f t="shared" si="40"/>
        <v>-6553640.5199999996</v>
      </c>
      <c r="BK49" s="595"/>
      <c r="BL49" s="458"/>
      <c r="BM49" s="257"/>
      <c r="BN49" s="458"/>
      <c r="BO49" s="458"/>
      <c r="BP49" s="458"/>
      <c r="BQ49" s="539"/>
      <c r="BR49" s="458"/>
      <c r="BS49" s="458"/>
      <c r="BT49" s="458"/>
      <c r="BU49" s="458"/>
      <c r="BV49" s="458"/>
      <c r="BW49" s="458"/>
      <c r="BX49" s="458"/>
      <c r="BY49" s="458"/>
      <c r="BZ49" s="266"/>
      <c r="CA49" s="504"/>
      <c r="CB49" s="538"/>
      <c r="CC49" s="538"/>
      <c r="CD49" s="538"/>
      <c r="CE49" s="458"/>
      <c r="CF49" s="458"/>
      <c r="CG49" s="458"/>
      <c r="CH49"/>
      <c r="CI49"/>
      <c r="CJ49"/>
      <c r="CK49" s="458"/>
      <c r="CL49" s="458"/>
      <c r="CQ49" s="458"/>
      <c r="CR49" s="458"/>
      <c r="CS49" s="458"/>
      <c r="CT49" s="458"/>
      <c r="CU49" s="458"/>
      <c r="CV49" s="458"/>
      <c r="CW49" s="458"/>
      <c r="CX49" s="458"/>
      <c r="CY49" s="602"/>
      <c r="CZ49" s="598"/>
      <c r="DA49" s="598"/>
      <c r="DB49" s="598"/>
      <c r="DC49" s="530"/>
      <c r="DI49" s="530"/>
    </row>
    <row r="50" spans="1:113" ht="13.5" thickBot="1" x14ac:dyDescent="0.25">
      <c r="A50" s="932">
        <v>15</v>
      </c>
      <c r="B50" s="943" t="s">
        <v>26</v>
      </c>
      <c r="C50" s="944">
        <v>816186143.01999986</v>
      </c>
      <c r="D50" s="944">
        <v>871987290.54660237</v>
      </c>
      <c r="E50" s="944">
        <v>55801147.526602358</v>
      </c>
      <c r="F50" s="940"/>
      <c r="G50" s="940"/>
      <c r="H50" s="943" t="s">
        <v>26</v>
      </c>
      <c r="I50" s="944">
        <v>826086705.82999992</v>
      </c>
      <c r="J50" s="944">
        <v>-9900562.8100000005</v>
      </c>
      <c r="K50" s="944">
        <v>816186143.01999986</v>
      </c>
      <c r="L50" s="940"/>
      <c r="M50" s="940"/>
      <c r="N50" s="943" t="s">
        <v>26</v>
      </c>
      <c r="O50" s="944">
        <v>869279433.90433049</v>
      </c>
      <c r="P50" s="944">
        <v>-9900562.8100000005</v>
      </c>
      <c r="Q50" s="944">
        <v>859378871.09433043</v>
      </c>
      <c r="R50" s="937"/>
      <c r="S50" s="944">
        <v>871987290.54660237</v>
      </c>
      <c r="V50" s="458"/>
      <c r="W50" s="458"/>
      <c r="X50" s="458"/>
      <c r="Y50" s="458"/>
      <c r="Z50" s="458"/>
      <c r="AA50" s="458"/>
      <c r="AB50" s="266">
        <f t="shared" si="41"/>
        <v>34</v>
      </c>
      <c r="AC50" s="615" t="s">
        <v>742</v>
      </c>
      <c r="AD50" s="731">
        <f>[6]Lead!$E$7</f>
        <v>46917070.179166645</v>
      </c>
      <c r="AE50" s="731">
        <f>[6]Lead!$I$7</f>
        <v>46135121.500000015</v>
      </c>
      <c r="AF50" s="731">
        <f t="shared" si="42"/>
        <v>-781948.67916662991</v>
      </c>
      <c r="AG50" s="458"/>
      <c r="AJ50" s="458"/>
      <c r="AK50" s="458"/>
      <c r="AL50" s="458"/>
      <c r="AM50" s="458"/>
      <c r="AN50" s="518"/>
      <c r="AO50" s="518"/>
      <c r="AP50" s="504"/>
      <c r="AQ50" s="534"/>
      <c r="AR50" s="539"/>
      <c r="AS50" s="539"/>
      <c r="AT50" s="458"/>
      <c r="AU50" s="458"/>
      <c r="AY50" s="539"/>
      <c r="BE50" s="539"/>
      <c r="BF50" s="266">
        <f t="shared" si="3"/>
        <v>34</v>
      </c>
      <c r="BG50" s="393" t="s">
        <v>234</v>
      </c>
      <c r="BH50" s="546">
        <f>'[12]Lead E'!D48</f>
        <v>0</v>
      </c>
      <c r="BI50" s="546">
        <f>'[12]Lead E'!E48</f>
        <v>0</v>
      </c>
      <c r="BK50" s="539"/>
      <c r="BM50" s="257"/>
      <c r="BQ50" s="595"/>
      <c r="BR50" s="458"/>
      <c r="BS50" s="458"/>
      <c r="BT50" s="458"/>
      <c r="BU50" s="458"/>
      <c r="BV50" s="458"/>
      <c r="BW50" s="458"/>
      <c r="BX50" s="458"/>
      <c r="BY50" s="458"/>
      <c r="BZ50" s="266"/>
      <c r="CA50" s="518"/>
      <c r="CB50" s="518"/>
      <c r="CC50" s="518"/>
      <c r="CD50" s="518"/>
      <c r="CE50" s="458"/>
      <c r="CF50" s="458"/>
      <c r="CG50" s="458"/>
      <c r="CH50"/>
      <c r="CI50"/>
      <c r="CJ50"/>
      <c r="CK50" s="458"/>
      <c r="CL50" s="458"/>
      <c r="CQ50" s="458"/>
      <c r="CR50" s="458"/>
      <c r="CS50" s="458"/>
      <c r="CT50" s="458"/>
      <c r="CU50" s="458"/>
      <c r="CV50" s="458"/>
      <c r="CW50" s="458"/>
      <c r="CX50" s="458"/>
      <c r="CY50" s="598"/>
      <c r="CZ50" s="598"/>
      <c r="DA50" s="598"/>
      <c r="DB50" s="598"/>
      <c r="DC50" s="530"/>
      <c r="DI50" s="530"/>
    </row>
    <row r="51" spans="1:113" ht="14.25" thickTop="1" thickBot="1" x14ac:dyDescent="0.25">
      <c r="A51" s="932"/>
      <c r="B51" s="945" t="s">
        <v>198</v>
      </c>
      <c r="C51" s="946">
        <v>0</v>
      </c>
      <c r="D51" s="946">
        <v>0</v>
      </c>
      <c r="E51" s="946">
        <v>0</v>
      </c>
      <c r="F51" s="940"/>
      <c r="G51" s="940"/>
      <c r="H51" s="945" t="s">
        <v>198</v>
      </c>
      <c r="I51" s="946">
        <v>0</v>
      </c>
      <c r="J51" s="946">
        <v>0</v>
      </c>
      <c r="K51" s="946">
        <v>0</v>
      </c>
      <c r="L51" s="940"/>
      <c r="M51" s="940"/>
      <c r="N51" s="945" t="s">
        <v>198</v>
      </c>
      <c r="O51" s="946">
        <v>0</v>
      </c>
      <c r="P51" s="946">
        <v>0</v>
      </c>
      <c r="Q51" s="946">
        <v>0</v>
      </c>
      <c r="R51" s="940"/>
      <c r="S51" s="946">
        <v>0</v>
      </c>
      <c r="V51" s="458"/>
      <c r="W51" s="458"/>
      <c r="X51" s="458"/>
      <c r="Y51" s="458"/>
      <c r="Z51" s="458"/>
      <c r="AA51" s="458"/>
      <c r="AB51" s="266">
        <f t="shared" si="41"/>
        <v>35</v>
      </c>
      <c r="AC51" s="615" t="s">
        <v>430</v>
      </c>
      <c r="AD51" s="739">
        <f>[6]Lead!$E$8</f>
        <v>10904834</v>
      </c>
      <c r="AE51" s="739">
        <f>[6]Lead!$I$8</f>
        <v>10733560.999999996</v>
      </c>
      <c r="AF51" s="739">
        <f t="shared" si="42"/>
        <v>-171273.00000000373</v>
      </c>
      <c r="AG51" s="458"/>
      <c r="AJ51" s="458"/>
      <c r="AK51" s="458"/>
      <c r="AL51" s="458"/>
      <c r="AM51" s="458"/>
      <c r="AN51" s="458"/>
      <c r="AO51" s="518"/>
      <c r="AP51" s="518"/>
      <c r="AQ51" s="548"/>
      <c r="AR51" s="518"/>
      <c r="AS51" s="539"/>
      <c r="AT51" s="458"/>
      <c r="AU51" s="458"/>
      <c r="AY51" s="539"/>
      <c r="BE51" s="539"/>
      <c r="BF51" s="266">
        <f t="shared" si="3"/>
        <v>35</v>
      </c>
      <c r="BG51" s="394" t="s">
        <v>236</v>
      </c>
      <c r="BH51" s="542">
        <f>SUM(BH39:BH50)</f>
        <v>11632920.022857659</v>
      </c>
      <c r="BI51" s="542">
        <f t="shared" ref="BI51:BJ51" si="43">SUM(BI39:BI50)</f>
        <v>3572472</v>
      </c>
      <c r="BJ51" s="545">
        <f t="shared" si="43"/>
        <v>-8060448.0228576586</v>
      </c>
      <c r="BK51" s="539"/>
      <c r="BM51" s="257"/>
      <c r="BQ51" s="518"/>
      <c r="BR51" s="458"/>
      <c r="BS51" s="458"/>
      <c r="BT51" s="458"/>
      <c r="BU51" s="458"/>
      <c r="BV51" s="458"/>
      <c r="BW51" s="458"/>
      <c r="BX51" s="458"/>
      <c r="BY51" s="458"/>
      <c r="BZ51" s="572"/>
      <c r="CA51" s="520"/>
      <c r="CB51" s="518"/>
      <c r="CC51" s="518"/>
      <c r="CD51" s="518"/>
      <c r="CE51" s="458"/>
      <c r="CF51" s="458"/>
      <c r="CG51" s="458"/>
      <c r="CH51"/>
      <c r="CI51"/>
      <c r="CJ51"/>
      <c r="CK51" s="458"/>
      <c r="CL51" s="458"/>
      <c r="CQ51" s="458"/>
      <c r="CR51" s="458"/>
      <c r="CS51" s="458"/>
      <c r="CT51" s="458"/>
      <c r="CU51" s="458"/>
      <c r="CV51" s="458"/>
      <c r="CW51" s="458"/>
      <c r="CX51" s="458"/>
      <c r="CY51" s="606"/>
      <c r="CZ51" s="600"/>
      <c r="DA51" s="600"/>
      <c r="DB51" s="600"/>
      <c r="DC51" s="530"/>
      <c r="DI51" s="530"/>
    </row>
    <row r="52" spans="1:113" ht="13.5" thickTop="1" x14ac:dyDescent="0.2">
      <c r="A52" s="967" t="s">
        <v>802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V52" s="458"/>
      <c r="W52" s="458"/>
      <c r="X52" s="458"/>
      <c r="Y52" s="458"/>
      <c r="Z52" s="458"/>
      <c r="AA52" s="458"/>
      <c r="AB52" s="266">
        <f t="shared" si="41"/>
        <v>36</v>
      </c>
      <c r="AC52" s="615" t="s">
        <v>431</v>
      </c>
      <c r="AD52" s="731">
        <f>SUM(AD48:AD51)</f>
        <v>82517215.650416613</v>
      </c>
      <c r="AE52" s="731">
        <f t="shared" ref="AE52:AF52" si="44">SUM(AE48:AE51)</f>
        <v>81116776.359999999</v>
      </c>
      <c r="AF52" s="731">
        <f t="shared" si="44"/>
        <v>-1400439.2904166281</v>
      </c>
      <c r="AG52" s="458"/>
      <c r="AJ52" s="458"/>
      <c r="AK52" s="458"/>
      <c r="AL52" s="458"/>
      <c r="AM52" s="458"/>
      <c r="AN52" s="458"/>
      <c r="AO52" s="518"/>
      <c r="AP52" s="518"/>
      <c r="AQ52" s="548"/>
      <c r="AR52" s="518"/>
      <c r="AS52" s="458"/>
      <c r="AT52" s="458"/>
      <c r="AU52" s="458"/>
      <c r="AY52" s="458"/>
      <c r="BE52" s="458"/>
      <c r="BF52" s="266">
        <f t="shared" si="3"/>
        <v>36</v>
      </c>
      <c r="BG52" s="536"/>
      <c r="BH52" s="458"/>
      <c r="BI52" s="458"/>
      <c r="BJ52" s="458"/>
      <c r="BK52" s="458"/>
      <c r="BM52" s="257"/>
      <c r="BQ52" s="458"/>
      <c r="BR52" s="458"/>
      <c r="BS52" s="458"/>
      <c r="BT52" s="458"/>
      <c r="BU52" s="458"/>
      <c r="BV52" s="458"/>
      <c r="BW52" s="458"/>
      <c r="BX52" s="458"/>
      <c r="BY52" s="458"/>
      <c r="BZ52" s="572"/>
      <c r="CE52" s="458"/>
      <c r="CF52" s="458"/>
      <c r="CG52" s="458"/>
      <c r="CH52"/>
      <c r="CI52"/>
      <c r="CJ52"/>
      <c r="CK52" s="458"/>
      <c r="CL52" s="458"/>
      <c r="CQ52" s="458"/>
      <c r="CR52" s="458"/>
      <c r="CS52" s="458"/>
      <c r="CT52" s="458"/>
      <c r="CU52" s="458"/>
      <c r="CV52" s="458"/>
      <c r="CW52" s="458"/>
      <c r="CX52" s="458"/>
      <c r="CY52" s="602"/>
      <c r="CZ52" s="603"/>
      <c r="DA52" s="600"/>
      <c r="DB52" s="604"/>
      <c r="DC52" s="530"/>
      <c r="DI52" s="530"/>
    </row>
    <row r="53" spans="1:113" ht="12" customHeight="1" x14ac:dyDescent="0.2">
      <c r="A53" s="932">
        <v>1</v>
      </c>
      <c r="B53" s="933" t="s">
        <v>726</v>
      </c>
      <c r="C53" s="934">
        <f>+C19-C36</f>
        <v>0</v>
      </c>
      <c r="D53" s="934">
        <f t="shared" ref="D53:E53" si="45">+D19-D36</f>
        <v>547535.37976438552</v>
      </c>
      <c r="E53" s="934">
        <f t="shared" si="45"/>
        <v>547535.37976438552</v>
      </c>
      <c r="F53" s="936"/>
      <c r="G53" s="932">
        <v>1</v>
      </c>
      <c r="H53" s="933" t="s">
        <v>726</v>
      </c>
      <c r="I53" s="934">
        <f t="shared" ref="I53:K53" si="46">+I19-I36</f>
        <v>0</v>
      </c>
      <c r="J53" s="934">
        <f t="shared" si="46"/>
        <v>0</v>
      </c>
      <c r="K53" s="934">
        <f t="shared" si="46"/>
        <v>0</v>
      </c>
      <c r="L53" s="935"/>
      <c r="M53" s="932">
        <v>1</v>
      </c>
      <c r="N53" s="933" t="s">
        <v>726</v>
      </c>
      <c r="O53" s="934">
        <f t="shared" ref="O53:Q53" si="47">+O19-O36</f>
        <v>538467.58562250435</v>
      </c>
      <c r="P53" s="934">
        <f t="shared" si="47"/>
        <v>0</v>
      </c>
      <c r="Q53" s="934">
        <f t="shared" si="47"/>
        <v>538467.58562250435</v>
      </c>
      <c r="R53" s="937"/>
      <c r="S53" s="934">
        <f t="shared" ref="S53" si="48">+S19-S36</f>
        <v>547535.37976438552</v>
      </c>
      <c r="V53" s="458"/>
      <c r="W53" s="458"/>
      <c r="X53" s="458"/>
      <c r="Y53" s="458"/>
      <c r="Z53" s="458"/>
      <c r="AA53" s="458"/>
      <c r="AB53" s="266">
        <f t="shared" si="41"/>
        <v>37</v>
      </c>
      <c r="AC53" s="615"/>
      <c r="AD53" s="731"/>
      <c r="AE53" s="731"/>
      <c r="AF53" s="731"/>
      <c r="AJ53" s="458"/>
      <c r="AK53" s="458"/>
      <c r="AL53" s="458"/>
      <c r="AM53" s="458"/>
      <c r="AN53" s="458"/>
      <c r="AO53" s="518"/>
      <c r="AP53" s="518"/>
      <c r="AQ53" s="548"/>
      <c r="AR53" s="518"/>
      <c r="AS53" s="458"/>
      <c r="AT53" s="458"/>
      <c r="AU53" s="458"/>
      <c r="AY53" s="458"/>
      <c r="BE53" s="458"/>
      <c r="BF53" s="266">
        <f t="shared" si="3"/>
        <v>37</v>
      </c>
      <c r="BG53" s="349" t="s">
        <v>686</v>
      </c>
      <c r="BH53" s="458"/>
      <c r="BI53" s="458"/>
      <c r="BJ53" s="458"/>
      <c r="BK53" s="458"/>
      <c r="BM53" s="257"/>
      <c r="BQ53" s="458"/>
      <c r="BR53" s="458"/>
      <c r="BY53" s="458"/>
      <c r="BZ53" s="572"/>
      <c r="CE53" s="458"/>
      <c r="CF53" s="458"/>
      <c r="CG53" s="458"/>
      <c r="CH53"/>
      <c r="CI53"/>
      <c r="CJ53"/>
      <c r="CK53" s="458"/>
      <c r="CL53" s="458"/>
      <c r="CQ53" s="458"/>
      <c r="CR53" s="458"/>
      <c r="CS53" s="458"/>
      <c r="CT53" s="458"/>
      <c r="CU53" s="458"/>
      <c r="CV53" s="458"/>
      <c r="CY53" s="602"/>
      <c r="CZ53" s="603"/>
      <c r="DA53" s="600"/>
      <c r="DB53" s="604"/>
      <c r="DC53" s="530"/>
      <c r="DI53" s="530"/>
    </row>
    <row r="54" spans="1:113" x14ac:dyDescent="0.2">
      <c r="A54" s="932">
        <v>2</v>
      </c>
      <c r="B54" s="933" t="s">
        <v>727</v>
      </c>
      <c r="C54" s="934">
        <f t="shared" ref="C54:E67" si="49">+C20-C37</f>
        <v>0</v>
      </c>
      <c r="D54" s="934">
        <f t="shared" si="49"/>
        <v>10900850.73652637</v>
      </c>
      <c r="E54" s="934">
        <f t="shared" si="49"/>
        <v>10900850.73652637</v>
      </c>
      <c r="F54" s="938"/>
      <c r="G54" s="932">
        <v>2</v>
      </c>
      <c r="H54" s="933" t="s">
        <v>727</v>
      </c>
      <c r="I54" s="934">
        <f t="shared" ref="I54:K54" si="50">+I20-I37</f>
        <v>0</v>
      </c>
      <c r="J54" s="934">
        <f t="shared" si="50"/>
        <v>0</v>
      </c>
      <c r="K54" s="934">
        <f t="shared" si="50"/>
        <v>0</v>
      </c>
      <c r="L54" s="934"/>
      <c r="M54" s="932">
        <v>2</v>
      </c>
      <c r="N54" s="933" t="s">
        <v>727</v>
      </c>
      <c r="O54" s="934">
        <f t="shared" ref="O54:Q54" si="51">+O20-O37</f>
        <v>10720320.53865543</v>
      </c>
      <c r="P54" s="934">
        <f t="shared" si="51"/>
        <v>0</v>
      </c>
      <c r="Q54" s="934">
        <f t="shared" si="51"/>
        <v>10720320.53865543</v>
      </c>
      <c r="R54" s="939"/>
      <c r="S54" s="934">
        <f t="shared" ref="S54" si="52">+S20-S37</f>
        <v>10900850.73652637</v>
      </c>
      <c r="V54" s="458"/>
      <c r="W54" s="458"/>
      <c r="X54" s="458"/>
      <c r="Y54" s="458"/>
      <c r="Z54" s="458"/>
      <c r="AA54" s="458"/>
      <c r="AB54" s="266">
        <f t="shared" si="41"/>
        <v>38</v>
      </c>
      <c r="AC54" s="615" t="s">
        <v>427</v>
      </c>
      <c r="AD54" s="731">
        <f>[6]Lead!$E$11</f>
        <v>-3691890.6687500007</v>
      </c>
      <c r="AE54" s="731">
        <f>[6]Lead!$I$11</f>
        <v>-2650429.8050000002</v>
      </c>
      <c r="AF54" s="731">
        <f t="shared" ref="AF54" si="53">AE54-AD54</f>
        <v>1041460.8637500005</v>
      </c>
      <c r="AJ54" s="458"/>
      <c r="AK54" s="458"/>
      <c r="AL54" s="458"/>
      <c r="AM54" s="458"/>
      <c r="AN54" s="458"/>
      <c r="AO54" s="518"/>
      <c r="AP54" s="518"/>
      <c r="AQ54" s="548"/>
      <c r="AR54" s="518"/>
      <c r="AS54" s="458"/>
      <c r="AT54" s="458"/>
      <c r="AU54" s="458"/>
      <c r="AY54" s="458"/>
      <c r="BE54" s="458"/>
      <c r="BF54" s="266">
        <f t="shared" si="3"/>
        <v>38</v>
      </c>
      <c r="BG54" s="350" t="s">
        <v>412</v>
      </c>
      <c r="BH54" s="513"/>
      <c r="BI54" s="458"/>
      <c r="BJ54" s="458"/>
      <c r="BK54" s="458"/>
      <c r="BM54" s="257"/>
      <c r="BQ54" s="458"/>
      <c r="BR54" s="458"/>
      <c r="BY54" s="458"/>
      <c r="BZ54" s="572"/>
      <c r="CE54" s="458"/>
      <c r="CF54" s="458"/>
      <c r="CG54" s="458"/>
      <c r="CH54" s="458"/>
      <c r="CI54" s="458"/>
      <c r="CJ54" s="458"/>
      <c r="CK54" s="458"/>
      <c r="CL54" s="458"/>
      <c r="CQ54" s="458"/>
      <c r="CR54" s="458"/>
      <c r="CS54" s="458"/>
      <c r="CT54" s="458"/>
      <c r="CU54" s="458"/>
      <c r="CV54" s="458"/>
      <c r="CY54" s="598"/>
      <c r="CZ54" s="598"/>
      <c r="DA54" s="598"/>
      <c r="DB54" s="598"/>
      <c r="DC54" s="530"/>
      <c r="DI54" s="530"/>
    </row>
    <row r="55" spans="1:113" x14ac:dyDescent="0.2">
      <c r="A55" s="932">
        <v>3</v>
      </c>
      <c r="B55" s="933" t="s">
        <v>728</v>
      </c>
      <c r="C55" s="934">
        <f t="shared" si="49"/>
        <v>0</v>
      </c>
      <c r="D55" s="934">
        <f t="shared" si="49"/>
        <v>8250512.7978082895</v>
      </c>
      <c r="E55" s="934">
        <f t="shared" si="49"/>
        <v>8250512.7978082895</v>
      </c>
      <c r="F55" s="940"/>
      <c r="G55" s="932">
        <v>3</v>
      </c>
      <c r="H55" s="933" t="s">
        <v>728</v>
      </c>
      <c r="I55" s="934">
        <f t="shared" ref="I55:K55" si="54">+I21-I38</f>
        <v>0</v>
      </c>
      <c r="J55" s="934">
        <f t="shared" si="54"/>
        <v>0</v>
      </c>
      <c r="K55" s="934">
        <f t="shared" si="54"/>
        <v>0</v>
      </c>
      <c r="L55" s="934"/>
      <c r="M55" s="932">
        <v>3</v>
      </c>
      <c r="N55" s="933" t="s">
        <v>728</v>
      </c>
      <c r="O55" s="934">
        <f t="shared" ref="O55:Q55" si="55">+O21-O38</f>
        <v>8113875.1404432058</v>
      </c>
      <c r="P55" s="934">
        <f t="shared" si="55"/>
        <v>0</v>
      </c>
      <c r="Q55" s="934">
        <f t="shared" si="55"/>
        <v>8113875.1404432058</v>
      </c>
      <c r="R55" s="939"/>
      <c r="S55" s="934">
        <f t="shared" ref="S55" si="56">+S21-S38</f>
        <v>8250512.7978082895</v>
      </c>
      <c r="T55"/>
      <c r="U55"/>
      <c r="X55" s="458"/>
      <c r="Y55" s="458"/>
      <c r="Z55" s="458"/>
      <c r="AA55" s="458"/>
      <c r="AB55" s="266">
        <f t="shared" si="41"/>
        <v>39</v>
      </c>
      <c r="AC55" s="394"/>
      <c r="AD55" s="731"/>
      <c r="AE55" s="731"/>
      <c r="AF55" s="731"/>
      <c r="AO55" s="518"/>
      <c r="AP55" s="518"/>
      <c r="AQ55" s="548"/>
      <c r="AR55" s="518"/>
      <c r="BF55" s="266">
        <f t="shared" si="3"/>
        <v>39</v>
      </c>
      <c r="BG55" s="350" t="s">
        <v>413</v>
      </c>
      <c r="BH55" s="513"/>
      <c r="BI55" s="458"/>
      <c r="BJ55" s="458"/>
      <c r="BR55" s="458"/>
      <c r="BZ55" s="572"/>
      <c r="CY55" s="607"/>
      <c r="CZ55" s="607"/>
      <c r="DA55" s="607"/>
      <c r="DB55" s="607"/>
      <c r="DC55" s="530"/>
      <c r="DI55" s="530"/>
    </row>
    <row r="56" spans="1:113" x14ac:dyDescent="0.2">
      <c r="A56" s="932">
        <v>4</v>
      </c>
      <c r="B56" s="933" t="s">
        <v>729</v>
      </c>
      <c r="C56" s="934">
        <f t="shared" si="49"/>
        <v>0</v>
      </c>
      <c r="D56" s="934">
        <f t="shared" si="49"/>
        <v>0</v>
      </c>
      <c r="E56" s="934">
        <f t="shared" si="49"/>
        <v>0</v>
      </c>
      <c r="F56" s="936"/>
      <c r="G56" s="932">
        <v>4</v>
      </c>
      <c r="H56" s="933" t="s">
        <v>729</v>
      </c>
      <c r="I56" s="934">
        <f t="shared" ref="I56:K56" si="57">+I22-I39</f>
        <v>0</v>
      </c>
      <c r="J56" s="934">
        <f t="shared" si="57"/>
        <v>0</v>
      </c>
      <c r="K56" s="934">
        <f t="shared" si="57"/>
        <v>0</v>
      </c>
      <c r="L56" s="934"/>
      <c r="M56" s="932">
        <v>4</v>
      </c>
      <c r="N56" s="933" t="s">
        <v>729</v>
      </c>
      <c r="O56" s="934">
        <f t="shared" ref="O56:Q56" si="58">+O22-O39</f>
        <v>0</v>
      </c>
      <c r="P56" s="934">
        <f t="shared" si="58"/>
        <v>0</v>
      </c>
      <c r="Q56" s="934">
        <f t="shared" si="58"/>
        <v>0</v>
      </c>
      <c r="R56" s="939"/>
      <c r="S56" s="934">
        <f t="shared" ref="S56" si="59">+S22-S39</f>
        <v>0</v>
      </c>
      <c r="T56"/>
      <c r="U56"/>
      <c r="X56" s="458"/>
      <c r="Y56" s="458"/>
      <c r="Z56" s="458"/>
      <c r="AA56" s="458"/>
      <c r="AB56" s="266">
        <f t="shared" si="41"/>
        <v>40</v>
      </c>
      <c r="AC56" s="615" t="s">
        <v>432</v>
      </c>
      <c r="AD56" s="731"/>
      <c r="AE56" s="731"/>
      <c r="AF56" s="731"/>
      <c r="AO56" s="518"/>
      <c r="AP56" s="518"/>
      <c r="AQ56" s="548"/>
      <c r="AR56" s="518"/>
      <c r="BF56" s="266">
        <f t="shared" si="3"/>
        <v>40</v>
      </c>
      <c r="BG56" s="350" t="s">
        <v>414</v>
      </c>
      <c r="BH56" s="513"/>
      <c r="BI56" s="458"/>
      <c r="BJ56" s="458"/>
      <c r="BR56" s="458"/>
      <c r="CY56" s="518"/>
      <c r="CZ56" s="518"/>
      <c r="DA56" s="518"/>
      <c r="DB56" s="518"/>
      <c r="DC56" s="530"/>
      <c r="DI56" s="530"/>
    </row>
    <row r="57" spans="1:113" x14ac:dyDescent="0.2">
      <c r="A57" s="932">
        <v>5</v>
      </c>
      <c r="B57" s="933" t="s">
        <v>730</v>
      </c>
      <c r="C57" s="934">
        <f t="shared" si="49"/>
        <v>0</v>
      </c>
      <c r="D57" s="934">
        <f t="shared" si="49"/>
        <v>0</v>
      </c>
      <c r="E57" s="934">
        <f t="shared" si="49"/>
        <v>0</v>
      </c>
      <c r="F57" s="940"/>
      <c r="G57" s="932">
        <v>5</v>
      </c>
      <c r="H57" s="933" t="s">
        <v>730</v>
      </c>
      <c r="I57" s="934">
        <f t="shared" ref="I57:K57" si="60">+I23-I40</f>
        <v>0</v>
      </c>
      <c r="J57" s="934">
        <f t="shared" si="60"/>
        <v>0</v>
      </c>
      <c r="K57" s="934">
        <f t="shared" si="60"/>
        <v>0</v>
      </c>
      <c r="L57" s="940"/>
      <c r="M57" s="932">
        <v>5</v>
      </c>
      <c r="N57" s="933" t="s">
        <v>730</v>
      </c>
      <c r="O57" s="934">
        <f t="shared" ref="O57:Q57" si="61">+O23-O40</f>
        <v>0</v>
      </c>
      <c r="P57" s="934">
        <f t="shared" si="61"/>
        <v>0</v>
      </c>
      <c r="Q57" s="934">
        <f t="shared" si="61"/>
        <v>0</v>
      </c>
      <c r="R57" s="940"/>
      <c r="S57" s="934">
        <f t="shared" ref="S57" si="62">+S23-S40</f>
        <v>0</v>
      </c>
      <c r="T57"/>
      <c r="U57"/>
      <c r="X57" s="458"/>
      <c r="Y57" s="458"/>
      <c r="Z57" s="458"/>
      <c r="AA57" s="458"/>
      <c r="AB57" s="266">
        <f t="shared" si="41"/>
        <v>41</v>
      </c>
      <c r="AC57" s="615" t="s">
        <v>433</v>
      </c>
      <c r="AD57" s="731">
        <f>[6]Lead!$E$9</f>
        <v>950655.03000004741</v>
      </c>
      <c r="AE57" s="731">
        <f>[6]Lead!$I$9</f>
        <v>843839.97000004747</v>
      </c>
      <c r="AF57" s="731">
        <f t="shared" ref="AF57:AF58" si="63">AE57-AD57</f>
        <v>-106815.05999999994</v>
      </c>
      <c r="AO57" s="518"/>
      <c r="AP57" s="518"/>
      <c r="AQ57" s="548"/>
      <c r="AR57" s="518"/>
      <c r="BF57" s="266"/>
      <c r="BH57" s="458"/>
      <c r="BI57" s="458"/>
      <c r="BJ57" s="458"/>
      <c r="CY57" s="557"/>
      <c r="CZ57" s="557"/>
      <c r="DA57" s="557"/>
      <c r="DB57" s="557"/>
      <c r="DC57" s="530"/>
      <c r="DI57" s="530"/>
    </row>
    <row r="58" spans="1:113" x14ac:dyDescent="0.2">
      <c r="A58" s="932">
        <v>6</v>
      </c>
      <c r="B58" s="933" t="s">
        <v>731</v>
      </c>
      <c r="C58" s="934">
        <f t="shared" si="49"/>
        <v>0</v>
      </c>
      <c r="D58" s="934">
        <f t="shared" si="49"/>
        <v>-104332.50381609797</v>
      </c>
      <c r="E58" s="934">
        <f t="shared" si="49"/>
        <v>-104332.50381609797</v>
      </c>
      <c r="F58" s="936"/>
      <c r="G58" s="932">
        <v>5</v>
      </c>
      <c r="H58" s="933" t="s">
        <v>731</v>
      </c>
      <c r="I58" s="934">
        <f t="shared" ref="I58:K58" si="64">+I24-I41</f>
        <v>0</v>
      </c>
      <c r="J58" s="934">
        <f t="shared" si="64"/>
        <v>0</v>
      </c>
      <c r="K58" s="934">
        <f t="shared" si="64"/>
        <v>0</v>
      </c>
      <c r="L58" s="939"/>
      <c r="M58" s="932">
        <v>5</v>
      </c>
      <c r="N58" s="933" t="s">
        <v>731</v>
      </c>
      <c r="O58" s="934">
        <f t="shared" ref="O58:Q58" si="65">+O24-O41</f>
        <v>-102604.64165070653</v>
      </c>
      <c r="P58" s="934">
        <f t="shared" si="65"/>
        <v>0</v>
      </c>
      <c r="Q58" s="934">
        <f t="shared" si="65"/>
        <v>-102604.64165070653</v>
      </c>
      <c r="R58" s="939"/>
      <c r="S58" s="934">
        <f t="shared" ref="S58" si="66">+S24-S41</f>
        <v>-104332.50381609797</v>
      </c>
      <c r="T58"/>
      <c r="U58"/>
      <c r="X58" s="458"/>
      <c r="Y58" s="458"/>
      <c r="Z58" s="458"/>
      <c r="AA58" s="458"/>
      <c r="AB58" s="266">
        <f t="shared" si="41"/>
        <v>42</v>
      </c>
      <c r="AC58" s="615" t="s">
        <v>434</v>
      </c>
      <c r="AD58" s="739">
        <f>[6]Lead!$E$10</f>
        <v>154673.60649999997</v>
      </c>
      <c r="AE58" s="739">
        <f>[6]Lead!$I$10</f>
        <v>137427.20949999997</v>
      </c>
      <c r="AF58" s="739">
        <f t="shared" si="63"/>
        <v>-17246.396999999997</v>
      </c>
      <c r="AO58" s="518"/>
      <c r="AP58" s="518"/>
      <c r="AQ58" s="548"/>
      <c r="AR58" s="518"/>
      <c r="BF58" s="266"/>
      <c r="BG58" s="349"/>
      <c r="DC58" s="530"/>
      <c r="DI58" s="530"/>
    </row>
    <row r="59" spans="1:113" x14ac:dyDescent="0.2">
      <c r="A59" s="932">
        <v>7</v>
      </c>
      <c r="B59" s="933" t="s">
        <v>732</v>
      </c>
      <c r="C59" s="934">
        <f t="shared" si="49"/>
        <v>0</v>
      </c>
      <c r="D59" s="934">
        <f t="shared" si="49"/>
        <v>-5665713.4882418588</v>
      </c>
      <c r="E59" s="934">
        <f t="shared" si="49"/>
        <v>-5665713.4882418513</v>
      </c>
      <c r="F59" s="936"/>
      <c r="G59" s="932">
        <v>6</v>
      </c>
      <c r="H59" s="933" t="s">
        <v>732</v>
      </c>
      <c r="I59" s="934">
        <f t="shared" ref="I59:K59" si="67">+I25-I42</f>
        <v>0</v>
      </c>
      <c r="J59" s="934">
        <f t="shared" si="67"/>
        <v>0</v>
      </c>
      <c r="K59" s="934">
        <f t="shared" si="67"/>
        <v>0</v>
      </c>
      <c r="L59" s="934"/>
      <c r="M59" s="932">
        <v>6</v>
      </c>
      <c r="N59" s="933" t="s">
        <v>732</v>
      </c>
      <c r="O59" s="934">
        <f t="shared" ref="O59:Q59" si="68">+O25-O42</f>
        <v>-5571882.9788775668</v>
      </c>
      <c r="P59" s="934">
        <f t="shared" si="68"/>
        <v>0</v>
      </c>
      <c r="Q59" s="934">
        <f t="shared" si="68"/>
        <v>-5571882.9788775668</v>
      </c>
      <c r="R59" s="939"/>
      <c r="S59" s="934">
        <f t="shared" ref="S59" si="69">+S25-S42</f>
        <v>-5665713.4882418588</v>
      </c>
      <c r="T59"/>
      <c r="U59"/>
      <c r="X59" s="458"/>
      <c r="Y59" s="458"/>
      <c r="Z59" s="458"/>
      <c r="AA59" s="458"/>
      <c r="AB59" s="266">
        <f t="shared" si="41"/>
        <v>43</v>
      </c>
      <c r="AC59" s="615"/>
      <c r="AD59" s="732"/>
      <c r="AE59" s="732"/>
      <c r="AF59" s="732"/>
      <c r="AO59" s="518"/>
      <c r="AP59" s="518"/>
      <c r="AQ59" s="548"/>
      <c r="AR59" s="518"/>
      <c r="BG59" s="350"/>
      <c r="DC59" s="530"/>
      <c r="DI59" s="530"/>
    </row>
    <row r="60" spans="1:113" ht="13.5" thickBot="1" x14ac:dyDescent="0.25">
      <c r="A60" s="932">
        <v>8</v>
      </c>
      <c r="B60" s="933" t="s">
        <v>733</v>
      </c>
      <c r="C60" s="934">
        <f t="shared" si="49"/>
        <v>0</v>
      </c>
      <c r="D60" s="934">
        <f t="shared" si="49"/>
        <v>-8677814.856784828</v>
      </c>
      <c r="E60" s="934">
        <f t="shared" si="49"/>
        <v>-8677814.856784828</v>
      </c>
      <c r="F60" s="938"/>
      <c r="G60" s="932">
        <v>7</v>
      </c>
      <c r="H60" s="933" t="s">
        <v>733</v>
      </c>
      <c r="I60" s="934">
        <f t="shared" ref="I60:K60" si="70">+I26-I43</f>
        <v>0</v>
      </c>
      <c r="J60" s="934">
        <f t="shared" si="70"/>
        <v>0</v>
      </c>
      <c r="K60" s="934">
        <f t="shared" si="70"/>
        <v>0</v>
      </c>
      <c r="L60" s="934"/>
      <c r="M60" s="932">
        <v>7</v>
      </c>
      <c r="N60" s="933" t="s">
        <v>733</v>
      </c>
      <c r="O60" s="934">
        <f t="shared" ref="O60:Q60" si="71">+O26-O43</f>
        <v>-8534100.6026364341</v>
      </c>
      <c r="P60" s="934">
        <f t="shared" si="71"/>
        <v>0</v>
      </c>
      <c r="Q60" s="934">
        <f t="shared" si="71"/>
        <v>-8534100.6026364341</v>
      </c>
      <c r="R60" s="939"/>
      <c r="S60" s="934">
        <f t="shared" ref="S60" si="72">+S26-S43</f>
        <v>-8677814.856784828</v>
      </c>
      <c r="T60"/>
      <c r="U60"/>
      <c r="X60" s="458"/>
      <c r="Y60" s="458"/>
      <c r="Z60" s="458"/>
      <c r="AA60" s="458"/>
      <c r="AB60" s="266">
        <f t="shared" si="41"/>
        <v>44</v>
      </c>
      <c r="AC60" s="615" t="s">
        <v>435</v>
      </c>
      <c r="AD60" s="733">
        <f>SUM(AD52:AD59)</f>
        <v>79930653.618166655</v>
      </c>
      <c r="AE60" s="733">
        <f>SUM(AE52:AE59)</f>
        <v>79447613.734500036</v>
      </c>
      <c r="AF60" s="733">
        <f>SUM(AF52:AF59)</f>
        <v>-483039.88366662757</v>
      </c>
      <c r="AO60" s="518"/>
      <c r="AP60" s="518"/>
      <c r="AQ60" s="518"/>
      <c r="AR60" s="518"/>
      <c r="BG60" s="350"/>
      <c r="DC60" s="530"/>
      <c r="DI60" s="530"/>
    </row>
    <row r="61" spans="1:113" ht="13.5" thickTop="1" x14ac:dyDescent="0.2">
      <c r="A61" s="932">
        <v>9</v>
      </c>
      <c r="B61" s="940" t="s">
        <v>734</v>
      </c>
      <c r="C61" s="941">
        <f t="shared" si="49"/>
        <v>0</v>
      </c>
      <c r="D61" s="941">
        <f t="shared" si="49"/>
        <v>5251038.0652561188</v>
      </c>
      <c r="E61" s="941">
        <f t="shared" si="49"/>
        <v>5251038.0652562827</v>
      </c>
      <c r="F61" s="938"/>
      <c r="G61" s="932">
        <v>8</v>
      </c>
      <c r="H61" s="940" t="s">
        <v>734</v>
      </c>
      <c r="I61" s="941">
        <f t="shared" ref="I61:K61" si="73">+I27-I44</f>
        <v>0</v>
      </c>
      <c r="J61" s="941">
        <f t="shared" si="73"/>
        <v>0</v>
      </c>
      <c r="K61" s="941">
        <f t="shared" si="73"/>
        <v>0</v>
      </c>
      <c r="L61" s="939"/>
      <c r="M61" s="932">
        <v>8</v>
      </c>
      <c r="N61" s="940" t="s">
        <v>734</v>
      </c>
      <c r="O61" s="941">
        <f t="shared" ref="O61:Q61" si="74">+O27-O44</f>
        <v>5164075.0415562391</v>
      </c>
      <c r="P61" s="941">
        <f t="shared" si="74"/>
        <v>0</v>
      </c>
      <c r="Q61" s="941">
        <f t="shared" si="74"/>
        <v>5164075.0415561199</v>
      </c>
      <c r="R61" s="939"/>
      <c r="S61" s="941">
        <f t="shared" ref="S61" si="75">+S27-S44</f>
        <v>5251038.0652561188</v>
      </c>
      <c r="T61"/>
      <c r="U61"/>
      <c r="X61" s="458"/>
      <c r="Y61" s="458"/>
      <c r="Z61" s="458"/>
      <c r="AA61" s="458"/>
      <c r="AB61" s="394"/>
      <c r="AC61" s="394"/>
      <c r="AD61" s="394"/>
      <c r="AE61" s="394"/>
      <c r="AF61" s="394"/>
      <c r="AO61" s="518"/>
      <c r="AP61" s="518"/>
      <c r="AQ61" s="518"/>
      <c r="AR61" s="518"/>
      <c r="BG61" s="350"/>
      <c r="DC61" s="530"/>
      <c r="DI61" s="530"/>
    </row>
    <row r="62" spans="1:113" x14ac:dyDescent="0.2">
      <c r="A62" s="932">
        <v>10</v>
      </c>
      <c r="B62" s="940" t="s">
        <v>634</v>
      </c>
      <c r="C62" s="942"/>
      <c r="D62" s="942"/>
      <c r="E62" s="942"/>
      <c r="F62" s="936"/>
      <c r="G62" s="932">
        <v>9</v>
      </c>
      <c r="H62" s="940" t="s">
        <v>634</v>
      </c>
      <c r="I62" s="942"/>
      <c r="J62" s="942"/>
      <c r="K62" s="942"/>
      <c r="L62" s="939"/>
      <c r="M62" s="932">
        <v>9</v>
      </c>
      <c r="N62" s="940" t="s">
        <v>634</v>
      </c>
      <c r="O62" s="942"/>
      <c r="P62" s="942"/>
      <c r="Q62" s="942"/>
      <c r="R62" s="939"/>
      <c r="S62" s="942"/>
      <c r="T62"/>
      <c r="U62"/>
      <c r="X62" s="458"/>
      <c r="Y62" s="458"/>
      <c r="Z62" s="458"/>
      <c r="AA62" s="458"/>
      <c r="AB62" s="394"/>
      <c r="AC62" s="394"/>
      <c r="AD62" s="394"/>
      <c r="AE62" s="394"/>
      <c r="AF62" s="394"/>
      <c r="AO62" s="518"/>
      <c r="AP62" s="518"/>
      <c r="AQ62" s="518"/>
      <c r="AR62" s="518"/>
      <c r="DC62" s="530"/>
      <c r="DI62" s="530"/>
    </row>
    <row r="63" spans="1:113" x14ac:dyDescent="0.2">
      <c r="A63" s="932">
        <v>11</v>
      </c>
      <c r="B63" s="943" t="s">
        <v>735</v>
      </c>
      <c r="C63" s="939">
        <f t="shared" si="49"/>
        <v>0</v>
      </c>
      <c r="D63" s="939">
        <f t="shared" si="49"/>
        <v>0</v>
      </c>
      <c r="E63" s="939">
        <f t="shared" si="49"/>
        <v>0</v>
      </c>
      <c r="F63" s="936"/>
      <c r="G63" s="932">
        <v>10</v>
      </c>
      <c r="H63" s="943" t="s">
        <v>735</v>
      </c>
      <c r="I63" s="939">
        <f t="shared" ref="I63:K63" si="76">+I29-I46</f>
        <v>0</v>
      </c>
      <c r="J63" s="939">
        <f t="shared" si="76"/>
        <v>0</v>
      </c>
      <c r="K63" s="939">
        <f t="shared" si="76"/>
        <v>0</v>
      </c>
      <c r="L63" s="934"/>
      <c r="M63" s="932">
        <v>10</v>
      </c>
      <c r="N63" s="943" t="s">
        <v>735</v>
      </c>
      <c r="O63" s="939">
        <f t="shared" ref="O63:Q63" si="77">+O29-O46</f>
        <v>0</v>
      </c>
      <c r="P63" s="939">
        <f t="shared" si="77"/>
        <v>0</v>
      </c>
      <c r="Q63" s="939">
        <f t="shared" si="77"/>
        <v>0</v>
      </c>
      <c r="R63" s="939"/>
      <c r="S63" s="939">
        <f t="shared" ref="S63" si="78">+S29-S46</f>
        <v>0</v>
      </c>
      <c r="T63"/>
      <c r="U63"/>
      <c r="X63" s="458"/>
      <c r="Y63" s="458"/>
      <c r="Z63" s="458"/>
      <c r="AA63" s="458"/>
      <c r="AB63" s="394"/>
      <c r="AC63" s="394"/>
      <c r="AD63" s="394"/>
      <c r="AE63" s="394"/>
      <c r="AF63" s="394"/>
      <c r="AO63" s="518"/>
      <c r="AP63" s="518"/>
      <c r="AQ63" s="518"/>
      <c r="AR63" s="518"/>
      <c r="DC63" s="530"/>
      <c r="DI63" s="530"/>
    </row>
    <row r="64" spans="1:113" x14ac:dyDescent="0.2">
      <c r="A64" s="932">
        <v>12</v>
      </c>
      <c r="B64" s="933" t="s">
        <v>736</v>
      </c>
      <c r="C64" s="939">
        <f t="shared" si="49"/>
        <v>0</v>
      </c>
      <c r="D64" s="939">
        <f t="shared" si="49"/>
        <v>0</v>
      </c>
      <c r="E64" s="939">
        <f t="shared" si="49"/>
        <v>0</v>
      </c>
      <c r="F64" s="940"/>
      <c r="G64" s="932">
        <v>11</v>
      </c>
      <c r="H64" s="933" t="s">
        <v>736</v>
      </c>
      <c r="I64" s="939">
        <f t="shared" ref="I64:K64" si="79">+I30-I47</f>
        <v>0</v>
      </c>
      <c r="J64" s="939">
        <f t="shared" si="79"/>
        <v>0</v>
      </c>
      <c r="K64" s="939">
        <f t="shared" si="79"/>
        <v>0</v>
      </c>
      <c r="L64" s="934"/>
      <c r="M64" s="932">
        <v>11</v>
      </c>
      <c r="N64" s="933" t="s">
        <v>736</v>
      </c>
      <c r="O64" s="939">
        <f t="shared" ref="O64:Q64" si="80">+O30-O47</f>
        <v>0</v>
      </c>
      <c r="P64" s="939">
        <f t="shared" si="80"/>
        <v>0</v>
      </c>
      <c r="Q64" s="939">
        <f t="shared" si="80"/>
        <v>0</v>
      </c>
      <c r="R64" s="939"/>
      <c r="S64" s="939">
        <f t="shared" ref="S64" si="81">+S30-S47</f>
        <v>0</v>
      </c>
      <c r="T64"/>
      <c r="U64"/>
      <c r="X64" s="458"/>
      <c r="Y64" s="458"/>
      <c r="Z64" s="458"/>
      <c r="AA64" s="458"/>
      <c r="AB64" s="394"/>
      <c r="AC64" s="394"/>
      <c r="AD64" s="394"/>
      <c r="AE64" s="394"/>
      <c r="AF64" s="394"/>
      <c r="AO64" s="518"/>
      <c r="AP64" s="518"/>
      <c r="AQ64" s="518"/>
      <c r="AR64" s="518"/>
      <c r="DC64" s="530"/>
      <c r="DI64" s="530"/>
    </row>
    <row r="65" spans="1:113" x14ac:dyDescent="0.2">
      <c r="A65" s="932">
        <v>13</v>
      </c>
      <c r="B65" s="933" t="s">
        <v>737</v>
      </c>
      <c r="C65" s="939">
        <f t="shared" si="49"/>
        <v>0</v>
      </c>
      <c r="D65" s="939">
        <f t="shared" si="49"/>
        <v>0</v>
      </c>
      <c r="E65" s="939">
        <f t="shared" si="49"/>
        <v>0</v>
      </c>
      <c r="F65" s="936"/>
      <c r="G65" s="932">
        <v>12</v>
      </c>
      <c r="H65" s="933" t="s">
        <v>737</v>
      </c>
      <c r="I65" s="939">
        <f t="shared" ref="I65:K65" si="82">+I31-I48</f>
        <v>0</v>
      </c>
      <c r="J65" s="939">
        <f t="shared" si="82"/>
        <v>0</v>
      </c>
      <c r="K65" s="939">
        <f t="shared" si="82"/>
        <v>0</v>
      </c>
      <c r="L65" s="934"/>
      <c r="M65" s="932">
        <v>12</v>
      </c>
      <c r="N65" s="933" t="s">
        <v>737</v>
      </c>
      <c r="O65" s="939">
        <f t="shared" ref="O65:Q65" si="83">+O31-O48</f>
        <v>0</v>
      </c>
      <c r="P65" s="939">
        <f t="shared" si="83"/>
        <v>0</v>
      </c>
      <c r="Q65" s="939">
        <f t="shared" si="83"/>
        <v>0</v>
      </c>
      <c r="R65" s="939"/>
      <c r="S65" s="939">
        <f t="shared" ref="S65" si="84">+S31-S48</f>
        <v>0</v>
      </c>
      <c r="T65"/>
      <c r="U65"/>
      <c r="X65" s="458"/>
      <c r="Y65" s="458"/>
      <c r="Z65" s="458"/>
      <c r="AA65" s="458"/>
      <c r="AB65" s="394"/>
      <c r="AC65" s="394"/>
      <c r="AD65" s="394"/>
      <c r="AE65" s="394"/>
      <c r="AF65" s="394"/>
      <c r="AO65" s="518"/>
      <c r="AP65" s="518"/>
      <c r="AQ65" s="518"/>
      <c r="AR65" s="518"/>
      <c r="DC65" s="530"/>
      <c r="DI65" s="530"/>
    </row>
    <row r="66" spans="1:113" x14ac:dyDescent="0.2">
      <c r="A66" s="932">
        <v>14</v>
      </c>
      <c r="B66" s="933" t="s">
        <v>738</v>
      </c>
      <c r="C66" s="939">
        <f t="shared" si="49"/>
        <v>0</v>
      </c>
      <c r="D66" s="939">
        <f t="shared" si="49"/>
        <v>0</v>
      </c>
      <c r="E66" s="939">
        <f t="shared" si="49"/>
        <v>0</v>
      </c>
      <c r="F66" s="940"/>
      <c r="G66" s="932">
        <v>13</v>
      </c>
      <c r="H66" s="933" t="s">
        <v>738</v>
      </c>
      <c r="I66" s="939">
        <f t="shared" ref="I66:K66" si="85">+I32-I49</f>
        <v>0</v>
      </c>
      <c r="J66" s="939">
        <f t="shared" si="85"/>
        <v>0</v>
      </c>
      <c r="K66" s="939">
        <f t="shared" si="85"/>
        <v>0</v>
      </c>
      <c r="L66" s="934"/>
      <c r="M66" s="932">
        <v>13</v>
      </c>
      <c r="N66" s="933" t="s">
        <v>738</v>
      </c>
      <c r="O66" s="939">
        <f t="shared" ref="O66:Q66" si="86">+O32-O49</f>
        <v>0</v>
      </c>
      <c r="P66" s="939">
        <f t="shared" si="86"/>
        <v>0</v>
      </c>
      <c r="Q66" s="939">
        <f t="shared" si="86"/>
        <v>0</v>
      </c>
      <c r="R66" s="939"/>
      <c r="S66" s="939">
        <f t="shared" ref="S66" si="87">+S32-S49</f>
        <v>0</v>
      </c>
      <c r="T66"/>
      <c r="U66"/>
      <c r="X66" s="458"/>
      <c r="Y66" s="458"/>
      <c r="Z66" s="458"/>
      <c r="AA66" s="458"/>
      <c r="AB66" s="394"/>
      <c r="AC66" s="394"/>
      <c r="AD66" s="394"/>
      <c r="AE66" s="394"/>
      <c r="AF66" s="394"/>
      <c r="AO66" s="518"/>
      <c r="AP66" s="518"/>
      <c r="AQ66" s="518"/>
      <c r="AR66" s="518"/>
      <c r="DC66" s="530"/>
      <c r="DI66" s="530"/>
    </row>
    <row r="67" spans="1:113" ht="13.5" thickBot="1" x14ac:dyDescent="0.25">
      <c r="A67" s="932">
        <v>15</v>
      </c>
      <c r="B67" s="943" t="s">
        <v>26</v>
      </c>
      <c r="C67" s="944">
        <f t="shared" si="49"/>
        <v>0</v>
      </c>
      <c r="D67" s="944">
        <f t="shared" si="49"/>
        <v>5251038.0652561188</v>
      </c>
      <c r="E67" s="944">
        <f t="shared" si="49"/>
        <v>5251038.0652562827</v>
      </c>
      <c r="F67" s="940"/>
      <c r="G67" s="940"/>
      <c r="H67" s="943" t="s">
        <v>26</v>
      </c>
      <c r="I67" s="944">
        <f t="shared" ref="I67:K67" si="88">+I33-I50</f>
        <v>0</v>
      </c>
      <c r="J67" s="944">
        <f t="shared" si="88"/>
        <v>0</v>
      </c>
      <c r="K67" s="944">
        <f t="shared" si="88"/>
        <v>0</v>
      </c>
      <c r="L67" s="940"/>
      <c r="M67" s="940"/>
      <c r="N67" s="943" t="s">
        <v>26</v>
      </c>
      <c r="O67" s="944">
        <f t="shared" ref="O67:Q67" si="89">+O33-O50</f>
        <v>5164075.0415562391</v>
      </c>
      <c r="P67" s="944">
        <f t="shared" si="89"/>
        <v>0</v>
      </c>
      <c r="Q67" s="944">
        <f t="shared" si="89"/>
        <v>5164075.0415561199</v>
      </c>
      <c r="R67" s="937"/>
      <c r="S67" s="944">
        <f t="shared" ref="S67" si="90">+S33-S50</f>
        <v>5251038.0652561188</v>
      </c>
      <c r="T67"/>
      <c r="U67"/>
      <c r="X67" s="458"/>
      <c r="Y67" s="458"/>
      <c r="Z67" s="458"/>
      <c r="AA67" s="458"/>
      <c r="AB67" s="394"/>
      <c r="AC67" s="394"/>
      <c r="AD67" s="394"/>
      <c r="AE67" s="394"/>
      <c r="AF67" s="394"/>
      <c r="AO67" s="518"/>
      <c r="AP67" s="518"/>
      <c r="AQ67" s="518"/>
      <c r="AR67" s="518"/>
      <c r="DC67" s="530"/>
      <c r="DI67" s="530"/>
    </row>
    <row r="68" spans="1:113" ht="13.5" thickTop="1" x14ac:dyDescent="0.2">
      <c r="A68" s="932"/>
      <c r="B68" s="945" t="s">
        <v>198</v>
      </c>
      <c r="C68" s="946">
        <v>0</v>
      </c>
      <c r="D68" s="946">
        <v>0</v>
      </c>
      <c r="E68" s="946">
        <v>0</v>
      </c>
      <c r="F68" s="940"/>
      <c r="G68" s="940"/>
      <c r="H68" s="945" t="s">
        <v>198</v>
      </c>
      <c r="I68" s="946">
        <v>0</v>
      </c>
      <c r="J68" s="946">
        <v>0</v>
      </c>
      <c r="K68" s="946">
        <v>0</v>
      </c>
      <c r="L68" s="940"/>
      <c r="M68" s="940"/>
      <c r="N68" s="945" t="s">
        <v>198</v>
      </c>
      <c r="O68" s="946">
        <v>0</v>
      </c>
      <c r="P68" s="946">
        <v>0</v>
      </c>
      <c r="Q68" s="946">
        <v>0</v>
      </c>
      <c r="R68" s="940"/>
      <c r="S68" s="946">
        <v>0</v>
      </c>
      <c r="T68"/>
      <c r="U68"/>
      <c r="X68" s="458"/>
      <c r="Y68" s="458"/>
      <c r="Z68" s="458"/>
      <c r="AA68" s="458"/>
      <c r="AB68" s="394"/>
      <c r="AC68" s="394"/>
      <c r="AD68" s="394"/>
      <c r="AE68" s="394"/>
      <c r="AF68" s="394"/>
      <c r="AO68" s="518"/>
      <c r="AP68" s="518"/>
      <c r="AQ68" s="518"/>
      <c r="AR68" s="518"/>
      <c r="DC68" s="596"/>
      <c r="DI68" s="596"/>
    </row>
    <row r="69" spans="1:113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X69" s="458"/>
      <c r="Y69" s="458"/>
      <c r="Z69" s="458"/>
      <c r="AA69" s="458"/>
      <c r="AB69" s="394"/>
      <c r="AC69" s="394"/>
      <c r="AD69" s="394"/>
      <c r="AE69" s="394"/>
      <c r="AF69" s="394"/>
      <c r="DC69" s="608"/>
      <c r="DI69" s="608"/>
    </row>
    <row r="70" spans="1:113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X70" s="458"/>
      <c r="Y70" s="458"/>
      <c r="Z70" s="458"/>
      <c r="AA70" s="458"/>
      <c r="AB70" s="394"/>
      <c r="AC70" s="394"/>
      <c r="AD70" s="394"/>
      <c r="AE70" s="394"/>
      <c r="AF70" s="394"/>
      <c r="DC70" s="563"/>
      <c r="DI70" s="563"/>
    </row>
    <row r="71" spans="1:113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X71" s="458"/>
      <c r="Y71" s="458"/>
      <c r="Z71" s="458"/>
      <c r="AA71" s="458"/>
      <c r="AB71" s="394"/>
      <c r="AC71" s="394"/>
      <c r="AD71" s="394"/>
      <c r="AE71" s="394"/>
      <c r="AF71" s="394"/>
      <c r="DC71" s="609"/>
      <c r="DI71" s="609"/>
    </row>
    <row r="72" spans="1:113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X72" s="458"/>
      <c r="Y72" s="458"/>
      <c r="Z72" s="458"/>
      <c r="AA72" s="458"/>
      <c r="AB72" s="394"/>
      <c r="AC72" s="394"/>
      <c r="AD72" s="394"/>
      <c r="AE72" s="394"/>
      <c r="AF72" s="394"/>
      <c r="DC72" s="610"/>
      <c r="DI72" s="610"/>
    </row>
    <row r="73" spans="1:113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X73" s="458"/>
      <c r="Y73" s="458"/>
      <c r="Z73" s="458"/>
      <c r="AA73" s="458"/>
      <c r="AB73" s="394"/>
      <c r="AC73" s="394"/>
      <c r="AD73" s="394"/>
      <c r="AE73" s="394"/>
      <c r="AF73" s="394"/>
      <c r="DC73" s="608"/>
      <c r="DI73" s="608"/>
    </row>
    <row r="74" spans="1:113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X74" s="458"/>
      <c r="Y74" s="458"/>
      <c r="Z74" s="458"/>
      <c r="AA74" s="458"/>
      <c r="AB74" s="394"/>
      <c r="AC74" s="394"/>
      <c r="AD74" s="394"/>
      <c r="AE74" s="394"/>
      <c r="AF74" s="394"/>
      <c r="DC74" s="525"/>
      <c r="DI74" s="525"/>
    </row>
    <row r="75" spans="1:113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X75" s="458"/>
      <c r="Y75" s="458"/>
      <c r="Z75" s="458"/>
      <c r="AA75" s="458"/>
      <c r="AB75" s="394"/>
      <c r="AC75" s="394"/>
      <c r="AD75" s="394"/>
      <c r="AE75" s="394"/>
      <c r="AF75" s="394"/>
      <c r="DC75" s="525"/>
      <c r="DI75" s="525"/>
    </row>
    <row r="76" spans="1:113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X76" s="458"/>
      <c r="Y76" s="458"/>
      <c r="Z76" s="458"/>
      <c r="AA76" s="458"/>
      <c r="AB76" s="394"/>
      <c r="AC76" s="394"/>
      <c r="AD76" s="394"/>
      <c r="AE76" s="394"/>
      <c r="AF76" s="394"/>
      <c r="DC76" s="610"/>
      <c r="DI76" s="610"/>
    </row>
    <row r="77" spans="1:113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X77" s="458"/>
      <c r="Y77" s="458"/>
      <c r="Z77" s="458"/>
      <c r="AA77" s="458"/>
      <c r="AB77" s="394"/>
      <c r="AC77" s="394"/>
      <c r="AD77" s="394"/>
      <c r="AE77" s="394"/>
      <c r="AF77" s="394"/>
      <c r="DC77" s="610"/>
      <c r="DI77" s="610"/>
    </row>
    <row r="78" spans="1:113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X78" s="458"/>
      <c r="Y78" s="458"/>
      <c r="Z78" s="458"/>
      <c r="AA78" s="458"/>
      <c r="AB78" s="394"/>
      <c r="AC78" s="394"/>
      <c r="AD78" s="394"/>
      <c r="AE78" s="394"/>
      <c r="AF78" s="394"/>
      <c r="DC78" s="610"/>
      <c r="DI78" s="610"/>
    </row>
    <row r="79" spans="1:113" x14ac:dyDescent="0.2">
      <c r="T79"/>
      <c r="U79"/>
      <c r="X79" s="458"/>
      <c r="Y79" s="458"/>
      <c r="Z79" s="458"/>
      <c r="AA79" s="458"/>
      <c r="AB79" s="394"/>
      <c r="AC79" s="394"/>
      <c r="AD79" s="394"/>
      <c r="AE79" s="394"/>
      <c r="AF79" s="394"/>
      <c r="DC79" s="610"/>
      <c r="DI79" s="610"/>
    </row>
    <row r="80" spans="1:113" x14ac:dyDescent="0.2">
      <c r="T80"/>
      <c r="U80"/>
      <c r="X80" s="458"/>
      <c r="Y80" s="458"/>
      <c r="Z80" s="458"/>
      <c r="AA80" s="458"/>
      <c r="AB80" s="394"/>
      <c r="AC80" s="394"/>
      <c r="AD80" s="394"/>
      <c r="AE80" s="394"/>
      <c r="AF80" s="394"/>
      <c r="DC80" s="610"/>
      <c r="DI80" s="610"/>
    </row>
    <row r="81" spans="24:113" x14ac:dyDescent="0.2">
      <c r="X81" s="458"/>
      <c r="Y81" s="458"/>
      <c r="Z81" s="458"/>
      <c r="AA81" s="458"/>
      <c r="AB81" s="394"/>
      <c r="AC81" s="394"/>
      <c r="AD81" s="394"/>
      <c r="AE81" s="394"/>
      <c r="AF81" s="394"/>
      <c r="DC81" s="610"/>
      <c r="DI81" s="610"/>
    </row>
    <row r="82" spans="24:113" x14ac:dyDescent="0.2">
      <c r="X82" s="458"/>
      <c r="Y82" s="458"/>
      <c r="Z82" s="458"/>
      <c r="AA82" s="458"/>
      <c r="AB82" s="394"/>
      <c r="AC82" s="394"/>
      <c r="AD82" s="394"/>
      <c r="AE82" s="394"/>
      <c r="AF82" s="394"/>
      <c r="DC82" s="610"/>
      <c r="DI82" s="610"/>
    </row>
    <row r="83" spans="24:113" x14ac:dyDescent="0.2">
      <c r="X83" s="458"/>
      <c r="Y83" s="458"/>
      <c r="Z83" s="458"/>
      <c r="AA83" s="458"/>
      <c r="AB83" s="394"/>
      <c r="AC83" s="394"/>
      <c r="AD83" s="394"/>
      <c r="AE83" s="394"/>
      <c r="AF83" s="394"/>
      <c r="DC83" s="610"/>
      <c r="DI83" s="610"/>
    </row>
    <row r="84" spans="24:113" x14ac:dyDescent="0.2">
      <c r="X84" s="458"/>
      <c r="Y84" s="458"/>
      <c r="Z84" s="458"/>
      <c r="AA84" s="458"/>
      <c r="AB84" s="394"/>
      <c r="AC84" s="394"/>
      <c r="AD84" s="394"/>
      <c r="AE84" s="394"/>
      <c r="AF84" s="394"/>
      <c r="DC84" s="610"/>
      <c r="DI84" s="610"/>
    </row>
    <row r="85" spans="24:113" x14ac:dyDescent="0.2">
      <c r="X85" s="458"/>
      <c r="Y85" s="458"/>
      <c r="Z85" s="458"/>
      <c r="AA85" s="458"/>
      <c r="AB85" s="394"/>
      <c r="AC85" s="394"/>
      <c r="AD85" s="394"/>
      <c r="AE85" s="394"/>
      <c r="AF85" s="394"/>
      <c r="DC85" s="608"/>
      <c r="DI85" s="608"/>
    </row>
    <row r="86" spans="24:113" x14ac:dyDescent="0.2">
      <c r="X86" s="458"/>
      <c r="Y86" s="458"/>
      <c r="Z86" s="458"/>
      <c r="AA86" s="458"/>
      <c r="AB86" s="394"/>
      <c r="AC86" s="394"/>
      <c r="AD86" s="394"/>
      <c r="AE86" s="394"/>
      <c r="AF86" s="394"/>
      <c r="DC86" s="610"/>
      <c r="DI86" s="610"/>
    </row>
    <row r="87" spans="24:113" x14ac:dyDescent="0.2">
      <c r="X87" s="458"/>
      <c r="Y87" s="458"/>
      <c r="Z87" s="458"/>
      <c r="AA87" s="458"/>
      <c r="AB87" s="394"/>
      <c r="AC87" s="394"/>
      <c r="AD87" s="394"/>
      <c r="AE87" s="394"/>
      <c r="AF87" s="394"/>
      <c r="DC87" s="608"/>
      <c r="DI87" s="608"/>
    </row>
    <row r="88" spans="24:113" x14ac:dyDescent="0.2">
      <c r="X88" s="458"/>
      <c r="Y88" s="458"/>
      <c r="Z88" s="458"/>
      <c r="AA88" s="458"/>
      <c r="AB88" s="394"/>
      <c r="AC88" s="394"/>
      <c r="AD88" s="394"/>
      <c r="AE88" s="394"/>
      <c r="AF88" s="394"/>
      <c r="DC88" s="610"/>
      <c r="DI88" s="610"/>
    </row>
    <row r="89" spans="24:113" x14ac:dyDescent="0.2">
      <c r="X89" s="458"/>
      <c r="Y89" s="458"/>
      <c r="Z89" s="458"/>
      <c r="AA89" s="458"/>
      <c r="AB89" s="394"/>
      <c r="AC89" s="394"/>
      <c r="AD89" s="394"/>
      <c r="AE89" s="394"/>
      <c r="AF89" s="394"/>
      <c r="DC89" s="608"/>
      <c r="DI89" s="608"/>
    </row>
    <row r="90" spans="24:113" x14ac:dyDescent="0.2">
      <c r="X90" s="458"/>
      <c r="Y90" s="458"/>
      <c r="Z90" s="458"/>
      <c r="AA90" s="458"/>
      <c r="AB90" s="394"/>
      <c r="AC90" s="394"/>
      <c r="AD90" s="394"/>
      <c r="AE90" s="394"/>
      <c r="AF90" s="394"/>
      <c r="DC90" s="608"/>
      <c r="DI90" s="608"/>
    </row>
    <row r="91" spans="24:113" x14ac:dyDescent="0.2">
      <c r="X91" s="458"/>
      <c r="Y91" s="458"/>
      <c r="Z91" s="458"/>
      <c r="AA91" s="458"/>
      <c r="AB91" s="394"/>
      <c r="AC91" s="394"/>
      <c r="AD91" s="394"/>
      <c r="AE91" s="394"/>
      <c r="AF91" s="394"/>
      <c r="DC91" s="608"/>
      <c r="DI91" s="608"/>
    </row>
    <row r="92" spans="24:113" x14ac:dyDescent="0.2">
      <c r="X92" s="458"/>
      <c r="Y92" s="458"/>
      <c r="Z92" s="458"/>
      <c r="AA92" s="458"/>
      <c r="AB92" s="394"/>
      <c r="AC92" s="394"/>
      <c r="AD92" s="394"/>
      <c r="AE92" s="394"/>
      <c r="AF92" s="394"/>
      <c r="DC92" s="608"/>
      <c r="DI92" s="608"/>
    </row>
    <row r="93" spans="24:113" x14ac:dyDescent="0.2">
      <c r="X93" s="458"/>
      <c r="Y93" s="458"/>
      <c r="Z93" s="458"/>
      <c r="AA93" s="458"/>
      <c r="AB93" s="394"/>
      <c r="AC93" s="394"/>
      <c r="AD93" s="394"/>
      <c r="AE93" s="394"/>
      <c r="AF93" s="394"/>
      <c r="DC93" s="608"/>
      <c r="DI93" s="608"/>
    </row>
    <row r="94" spans="24:113" x14ac:dyDescent="0.2">
      <c r="X94" s="458"/>
      <c r="Y94" s="458"/>
      <c r="Z94" s="458"/>
      <c r="AA94" s="458"/>
      <c r="AB94" s="394"/>
      <c r="AC94" s="394"/>
      <c r="AD94" s="394"/>
      <c r="AE94" s="394"/>
      <c r="AF94" s="394"/>
      <c r="CM94" s="393"/>
      <c r="DC94" s="608"/>
      <c r="DI94" s="608"/>
    </row>
    <row r="95" spans="24:113" x14ac:dyDescent="0.2">
      <c r="X95" s="458"/>
      <c r="Y95" s="458"/>
      <c r="Z95" s="458"/>
      <c r="AA95" s="458"/>
      <c r="AB95" s="394"/>
      <c r="AC95" s="394"/>
      <c r="AD95" s="394"/>
      <c r="AE95" s="394"/>
      <c r="AF95" s="394"/>
      <c r="DC95" s="608"/>
      <c r="DI95" s="608"/>
    </row>
    <row r="96" spans="24:113" x14ac:dyDescent="0.2">
      <c r="X96" s="458"/>
      <c r="Y96" s="458"/>
      <c r="Z96" s="458"/>
      <c r="AA96" s="458"/>
      <c r="AB96" s="394"/>
      <c r="AC96" s="394"/>
      <c r="AD96" s="394"/>
      <c r="AE96" s="394"/>
      <c r="AF96" s="394"/>
      <c r="DC96" s="608"/>
      <c r="DI96" s="608"/>
    </row>
    <row r="97" spans="24:113" x14ac:dyDescent="0.2">
      <c r="X97" s="458"/>
      <c r="Y97" s="458"/>
      <c r="Z97" s="458"/>
      <c r="AA97" s="458"/>
      <c r="AB97" s="394"/>
      <c r="AC97" s="394"/>
      <c r="AD97" s="394"/>
      <c r="AE97" s="394"/>
      <c r="AF97" s="394"/>
      <c r="DC97" s="608"/>
      <c r="DI97" s="608"/>
    </row>
    <row r="98" spans="24:113" x14ac:dyDescent="0.2">
      <c r="X98" s="458"/>
      <c r="Y98" s="458"/>
      <c r="Z98" s="458"/>
      <c r="AA98" s="458"/>
      <c r="AB98" s="394"/>
      <c r="AC98" s="394"/>
      <c r="AD98" s="394"/>
      <c r="AE98" s="394"/>
      <c r="AF98" s="394"/>
      <c r="DC98" s="608"/>
      <c r="DI98" s="608"/>
    </row>
    <row r="99" spans="24:113" x14ac:dyDescent="0.2">
      <c r="X99" s="458"/>
      <c r="Y99" s="458"/>
      <c r="Z99" s="458"/>
      <c r="AA99" s="458"/>
      <c r="AB99" s="394"/>
      <c r="AC99" s="394"/>
      <c r="AD99" s="394"/>
      <c r="AE99" s="394"/>
      <c r="AF99" s="394"/>
      <c r="DC99" s="608"/>
      <c r="DI99" s="608"/>
    </row>
    <row r="100" spans="24:113" x14ac:dyDescent="0.2">
      <c r="X100" s="458"/>
      <c r="Y100" s="458"/>
      <c r="Z100" s="458"/>
      <c r="AA100" s="458"/>
      <c r="AB100" s="394"/>
      <c r="AC100" s="394"/>
      <c r="AD100" s="394"/>
      <c r="AE100" s="394"/>
      <c r="AF100" s="394"/>
      <c r="DC100" s="608"/>
      <c r="DI100" s="608"/>
    </row>
    <row r="101" spans="24:113" x14ac:dyDescent="0.2">
      <c r="X101" s="458"/>
      <c r="Y101" s="458"/>
      <c r="Z101" s="458"/>
      <c r="AA101" s="458"/>
      <c r="AB101" s="394"/>
      <c r="AC101" s="394"/>
      <c r="AD101" s="394"/>
      <c r="AE101" s="394"/>
      <c r="AF101" s="394"/>
      <c r="AH101" s="518"/>
      <c r="AI101" s="615"/>
      <c r="AJ101" s="455"/>
      <c r="AK101" s="455"/>
      <c r="AL101" s="455"/>
      <c r="DC101" s="610"/>
      <c r="DI101" s="610"/>
    </row>
    <row r="102" spans="24:113" x14ac:dyDescent="0.2">
      <c r="X102" s="458"/>
      <c r="Y102" s="458"/>
      <c r="Z102" s="458"/>
      <c r="AA102" s="458"/>
      <c r="AB102" s="394"/>
      <c r="AC102" s="394"/>
      <c r="AD102" s="394"/>
      <c r="AE102" s="394"/>
      <c r="AF102" s="394"/>
      <c r="AH102" s="518"/>
      <c r="AI102" s="615"/>
      <c r="AJ102" s="611"/>
      <c r="AK102" s="548"/>
      <c r="AL102" s="611"/>
      <c r="DC102" s="610"/>
      <c r="DI102" s="610"/>
    </row>
    <row r="103" spans="24:113" x14ac:dyDescent="0.2">
      <c r="X103" s="458"/>
      <c r="Y103" s="458"/>
      <c r="Z103" s="458"/>
      <c r="AA103" s="458"/>
      <c r="AB103" s="394"/>
      <c r="AC103" s="394"/>
      <c r="AD103" s="394"/>
      <c r="AE103" s="394"/>
      <c r="AF103" s="394"/>
      <c r="AH103" s="518"/>
      <c r="AI103" s="615"/>
      <c r="AJ103" s="611"/>
      <c r="AK103" s="521"/>
      <c r="AL103" s="611"/>
      <c r="DC103" s="608"/>
      <c r="DI103" s="608"/>
    </row>
    <row r="104" spans="24:113" x14ac:dyDescent="0.2">
      <c r="X104" s="458"/>
      <c r="Y104" s="458"/>
      <c r="Z104" s="458"/>
      <c r="AA104" s="458"/>
      <c r="AB104" s="394"/>
      <c r="AC104" s="394"/>
      <c r="AD104" s="394"/>
      <c r="AE104" s="394"/>
      <c r="AF104" s="394"/>
      <c r="AH104" s="518"/>
      <c r="AI104" s="615"/>
      <c r="AJ104" s="611"/>
      <c r="AK104" s="521"/>
      <c r="AL104" s="611"/>
      <c r="DC104" s="610"/>
      <c r="DI104" s="610"/>
    </row>
    <row r="105" spans="24:113" x14ac:dyDescent="0.2">
      <c r="X105" s="458"/>
      <c r="Y105" s="458"/>
      <c r="Z105" s="458"/>
      <c r="AA105" s="458"/>
      <c r="AB105" s="394"/>
      <c r="AC105" s="394"/>
      <c r="AD105" s="394"/>
      <c r="AE105" s="394"/>
      <c r="AF105" s="394"/>
      <c r="AH105" s="518"/>
      <c r="AI105" s="615"/>
      <c r="AJ105" s="611"/>
      <c r="AK105" s="521"/>
      <c r="AL105" s="611"/>
      <c r="DC105" s="610"/>
      <c r="DI105" s="610"/>
    </row>
    <row r="106" spans="24:113" x14ac:dyDescent="0.2">
      <c r="X106" s="458"/>
      <c r="Y106" s="458"/>
      <c r="Z106" s="458"/>
      <c r="AA106" s="458"/>
      <c r="AB106" s="394"/>
      <c r="AC106" s="394"/>
      <c r="AD106" s="394"/>
      <c r="AE106" s="394"/>
      <c r="AF106" s="394"/>
      <c r="AH106" s="518"/>
      <c r="AI106" s="615"/>
      <c r="AJ106" s="611"/>
      <c r="AK106" s="521"/>
      <c r="AL106" s="611"/>
      <c r="DC106" s="610"/>
      <c r="DI106" s="610"/>
    </row>
    <row r="107" spans="24:113" x14ac:dyDescent="0.2">
      <c r="X107" s="458"/>
      <c r="Y107" s="458"/>
      <c r="Z107" s="458"/>
      <c r="AA107" s="458"/>
      <c r="AB107" s="394"/>
      <c r="AC107" s="394"/>
      <c r="AD107" s="394"/>
      <c r="AE107" s="394"/>
      <c r="AF107" s="394"/>
      <c r="AH107" s="518"/>
      <c r="AI107" s="615"/>
      <c r="AJ107" s="611"/>
      <c r="AK107" s="539"/>
      <c r="AL107" s="611"/>
      <c r="DC107" s="610"/>
      <c r="DI107" s="610"/>
    </row>
    <row r="108" spans="24:113" x14ac:dyDescent="0.2">
      <c r="X108" s="458"/>
      <c r="Y108" s="458"/>
      <c r="Z108" s="458"/>
      <c r="AA108" s="458"/>
      <c r="AB108" s="394"/>
      <c r="AC108" s="394"/>
      <c r="AD108" s="394"/>
      <c r="AE108" s="394"/>
      <c r="AF108" s="394"/>
      <c r="AH108" s="518"/>
      <c r="AI108" s="615"/>
      <c r="AJ108" s="611"/>
      <c r="AK108" s="611"/>
      <c r="AL108" s="611"/>
      <c r="DC108" s="608"/>
      <c r="DI108" s="608"/>
    </row>
    <row r="109" spans="24:113" x14ac:dyDescent="0.2">
      <c r="X109" s="458"/>
      <c r="Y109" s="458"/>
      <c r="Z109" s="458"/>
      <c r="AA109" s="458"/>
      <c r="AB109" s="394"/>
      <c r="AC109" s="394"/>
      <c r="AD109" s="394"/>
      <c r="AE109" s="394"/>
      <c r="AF109" s="394"/>
      <c r="AH109" s="518"/>
      <c r="AI109" s="611"/>
      <c r="AJ109" s="611"/>
      <c r="AK109" s="611"/>
      <c r="AL109" s="611"/>
      <c r="DC109" s="608"/>
      <c r="DI109" s="608"/>
    </row>
    <row r="110" spans="24:113" x14ac:dyDescent="0.2">
      <c r="X110" s="458"/>
      <c r="Y110" s="458"/>
      <c r="Z110" s="458"/>
      <c r="AA110" s="458"/>
      <c r="AB110" s="394"/>
      <c r="AC110" s="394"/>
      <c r="AD110" s="394"/>
      <c r="AE110" s="394"/>
      <c r="AF110" s="394"/>
      <c r="AH110" s="518"/>
      <c r="AI110" s="611"/>
      <c r="AJ110" s="611"/>
      <c r="AK110" s="611"/>
      <c r="AL110" s="611"/>
      <c r="DC110" s="608"/>
      <c r="DI110" s="608"/>
    </row>
    <row r="111" spans="24:113" x14ac:dyDescent="0.2">
      <c r="X111" s="458"/>
      <c r="Y111" s="458"/>
      <c r="Z111" s="458"/>
      <c r="AA111" s="458"/>
      <c r="AB111" s="394"/>
      <c r="AC111" s="394"/>
      <c r="AD111" s="394"/>
      <c r="AE111" s="394"/>
      <c r="AF111" s="394"/>
      <c r="AH111" s="518"/>
      <c r="AI111" s="518"/>
      <c r="AJ111" s="518"/>
      <c r="AK111" s="518"/>
      <c r="AL111" s="518"/>
      <c r="DC111" s="608"/>
      <c r="DI111" s="608"/>
    </row>
    <row r="112" spans="24:113" x14ac:dyDescent="0.2">
      <c r="X112" s="458"/>
      <c r="Y112" s="458"/>
      <c r="Z112" s="458"/>
      <c r="AA112" s="458"/>
      <c r="AB112" s="394"/>
      <c r="AC112" s="394"/>
      <c r="AD112" s="394"/>
      <c r="AE112" s="394"/>
      <c r="AF112" s="394"/>
      <c r="AH112" s="518"/>
      <c r="AI112" s="518"/>
      <c r="AJ112" s="518"/>
      <c r="AK112" s="518"/>
      <c r="AL112" s="518"/>
      <c r="DC112" s="608"/>
      <c r="DI112" s="608"/>
    </row>
    <row r="113" spans="24:113" x14ac:dyDescent="0.2">
      <c r="X113" s="458"/>
      <c r="Y113" s="458"/>
      <c r="Z113" s="458"/>
      <c r="AA113" s="458"/>
      <c r="AB113" s="394"/>
      <c r="AC113" s="394"/>
      <c r="AD113" s="394"/>
      <c r="AE113" s="394"/>
      <c r="AF113" s="394"/>
      <c r="AH113" s="518"/>
      <c r="AI113" s="518"/>
      <c r="AJ113" s="518"/>
      <c r="AK113" s="518"/>
      <c r="AL113" s="518"/>
      <c r="DC113" s="608"/>
      <c r="DI113" s="608"/>
    </row>
    <row r="114" spans="24:113" x14ac:dyDescent="0.2">
      <c r="X114" s="458"/>
      <c r="Y114" s="458"/>
      <c r="Z114" s="458"/>
      <c r="AA114" s="458"/>
      <c r="AB114" s="394"/>
      <c r="AC114" s="394"/>
      <c r="AD114" s="394"/>
      <c r="AE114" s="394"/>
      <c r="AF114" s="394"/>
      <c r="AH114" s="518"/>
      <c r="AI114" s="518"/>
      <c r="AJ114" s="518"/>
      <c r="AK114" s="518"/>
      <c r="AL114" s="518"/>
      <c r="DC114" s="608"/>
      <c r="DI114" s="608"/>
    </row>
    <row r="115" spans="24:113" x14ac:dyDescent="0.2">
      <c r="X115" s="458"/>
      <c r="Y115" s="458"/>
      <c r="Z115" s="458"/>
      <c r="AA115" s="458"/>
      <c r="AB115" s="394"/>
      <c r="AC115" s="394"/>
      <c r="AD115" s="394"/>
      <c r="AE115" s="394"/>
      <c r="AF115" s="394"/>
      <c r="AH115" s="518"/>
      <c r="AI115" s="518"/>
      <c r="AJ115" s="518"/>
      <c r="AK115" s="518"/>
      <c r="AL115" s="518"/>
      <c r="DC115" s="608"/>
      <c r="DI115" s="608"/>
    </row>
    <row r="116" spans="24:113" x14ac:dyDescent="0.2">
      <c r="X116" s="458"/>
      <c r="Y116" s="458"/>
      <c r="Z116" s="458"/>
      <c r="AA116" s="458"/>
      <c r="AB116" s="394"/>
      <c r="AC116" s="394"/>
      <c r="AD116" s="394"/>
      <c r="AE116" s="394"/>
      <c r="AF116" s="394"/>
      <c r="AH116" s="518"/>
      <c r="AI116" s="518"/>
      <c r="AJ116" s="518"/>
      <c r="AK116" s="518"/>
      <c r="AL116" s="518"/>
      <c r="DC116" s="608"/>
      <c r="DI116" s="608"/>
    </row>
    <row r="117" spans="24:113" x14ac:dyDescent="0.2">
      <c r="X117" s="458"/>
      <c r="Y117" s="458"/>
      <c r="Z117" s="458"/>
      <c r="AA117" s="458"/>
      <c r="AB117" s="394"/>
      <c r="AC117" s="394"/>
      <c r="AD117" s="394"/>
      <c r="AE117" s="394"/>
      <c r="AF117" s="394"/>
      <c r="AH117" s="518"/>
      <c r="AI117" s="518"/>
      <c r="AJ117" s="518"/>
      <c r="AK117" s="518"/>
      <c r="AL117" s="518"/>
      <c r="DC117" s="608"/>
      <c r="DI117" s="608"/>
    </row>
    <row r="118" spans="24:113" x14ac:dyDescent="0.2">
      <c r="X118" s="458"/>
      <c r="Y118" s="458"/>
      <c r="Z118" s="458"/>
      <c r="AA118" s="458"/>
      <c r="AB118" s="394"/>
      <c r="AC118" s="394"/>
      <c r="AD118" s="394"/>
      <c r="AE118" s="394"/>
      <c r="AF118" s="394"/>
      <c r="AH118" s="518"/>
      <c r="AI118" s="518"/>
      <c r="AJ118" s="518"/>
      <c r="AK118" s="518"/>
      <c r="AL118" s="518"/>
      <c r="DC118" s="608"/>
      <c r="DI118" s="608"/>
    </row>
    <row r="119" spans="24:113" x14ac:dyDescent="0.2">
      <c r="X119" s="458"/>
      <c r="Y119" s="458"/>
      <c r="Z119" s="458"/>
      <c r="AA119" s="458"/>
      <c r="AB119" s="394"/>
      <c r="AC119" s="394"/>
      <c r="AD119" s="394"/>
      <c r="AE119" s="394"/>
      <c r="AF119" s="394"/>
      <c r="AH119" s="518"/>
      <c r="AI119" s="518"/>
      <c r="AJ119" s="518"/>
      <c r="AK119" s="518"/>
      <c r="AL119" s="518"/>
      <c r="DC119" s="608"/>
      <c r="DI119" s="608"/>
    </row>
    <row r="120" spans="24:113" x14ac:dyDescent="0.2">
      <c r="X120" s="458"/>
      <c r="Y120" s="458"/>
      <c r="Z120" s="458"/>
      <c r="AA120" s="458"/>
      <c r="AB120" s="394"/>
      <c r="AC120" s="394"/>
      <c r="AD120" s="394"/>
      <c r="AE120" s="394"/>
      <c r="AF120" s="394"/>
      <c r="AH120" s="518"/>
      <c r="AI120" s="518"/>
      <c r="AJ120" s="518"/>
      <c r="AK120" s="518"/>
      <c r="AL120" s="518"/>
      <c r="DC120" s="608"/>
      <c r="DI120" s="608"/>
    </row>
    <row r="121" spans="24:113" x14ac:dyDescent="0.2">
      <c r="X121" s="458"/>
      <c r="Y121" s="458"/>
      <c r="Z121" s="458"/>
      <c r="AA121" s="458"/>
      <c r="AB121" s="394"/>
      <c r="AC121" s="394"/>
      <c r="AD121" s="394"/>
      <c r="AE121" s="394"/>
      <c r="AF121" s="394"/>
      <c r="AH121" s="518"/>
      <c r="AI121" s="518"/>
      <c r="AJ121" s="518"/>
      <c r="AK121" s="518"/>
      <c r="AL121" s="518"/>
      <c r="DC121" s="608"/>
      <c r="DI121" s="608"/>
    </row>
    <row r="122" spans="24:113" x14ac:dyDescent="0.2">
      <c r="X122" s="458"/>
      <c r="Y122" s="458"/>
      <c r="Z122" s="458"/>
      <c r="AA122" s="458"/>
      <c r="AB122" s="394"/>
      <c r="AC122" s="394"/>
      <c r="AD122" s="394"/>
      <c r="AE122" s="394"/>
      <c r="AF122" s="394"/>
      <c r="AH122" s="518"/>
      <c r="AI122" s="518"/>
      <c r="AJ122" s="518"/>
      <c r="AK122" s="518"/>
      <c r="AL122" s="518"/>
      <c r="DC122" s="608"/>
      <c r="DI122" s="608"/>
    </row>
    <row r="123" spans="24:113" x14ac:dyDescent="0.2">
      <c r="X123" s="458"/>
      <c r="Y123" s="458"/>
      <c r="Z123" s="458"/>
      <c r="AA123" s="458"/>
      <c r="AB123" s="394"/>
      <c r="AC123" s="394"/>
      <c r="AD123" s="394"/>
      <c r="AE123" s="394"/>
      <c r="AF123" s="394"/>
      <c r="AH123" s="518"/>
      <c r="AI123" s="518"/>
      <c r="AJ123" s="518"/>
      <c r="AK123" s="518"/>
      <c r="AL123" s="518"/>
      <c r="DC123" s="608"/>
      <c r="DI123" s="608"/>
    </row>
    <row r="124" spans="24:113" x14ac:dyDescent="0.2">
      <c r="X124" s="458"/>
      <c r="Y124" s="458"/>
      <c r="Z124" s="458"/>
      <c r="AA124" s="458"/>
      <c r="AB124" s="394"/>
      <c r="AC124" s="394"/>
      <c r="AD124" s="394"/>
      <c r="AE124" s="394"/>
      <c r="AF124" s="394"/>
      <c r="AH124" s="518"/>
      <c r="AI124" s="518"/>
      <c r="AJ124" s="518"/>
      <c r="AK124" s="518"/>
      <c r="AL124" s="518"/>
      <c r="DC124" s="608"/>
      <c r="DI124" s="608"/>
    </row>
    <row r="125" spans="24:113" x14ac:dyDescent="0.2">
      <c r="X125" s="458"/>
      <c r="Y125" s="458"/>
      <c r="Z125" s="458"/>
      <c r="AA125" s="458"/>
      <c r="AB125" s="394"/>
      <c r="AC125" s="394"/>
      <c r="AD125" s="394"/>
      <c r="AE125" s="394"/>
      <c r="AF125" s="394"/>
      <c r="AH125" s="518"/>
      <c r="AI125" s="518"/>
      <c r="AJ125" s="518"/>
      <c r="AK125" s="518"/>
      <c r="AL125" s="518"/>
      <c r="DC125" s="608"/>
      <c r="DI125" s="608"/>
    </row>
    <row r="126" spans="24:113" x14ac:dyDescent="0.2">
      <c r="X126" s="458"/>
      <c r="Y126" s="458"/>
      <c r="Z126" s="458"/>
      <c r="AA126" s="458"/>
      <c r="AB126" s="394"/>
      <c r="AC126" s="394"/>
      <c r="AD126" s="394"/>
      <c r="AE126" s="394"/>
      <c r="AF126" s="394"/>
      <c r="AH126" s="518"/>
      <c r="AI126" s="518"/>
      <c r="AJ126" s="518"/>
      <c r="AK126" s="518"/>
      <c r="AL126" s="518"/>
      <c r="DC126" s="608"/>
      <c r="DI126" s="608"/>
    </row>
    <row r="127" spans="24:113" x14ac:dyDescent="0.2">
      <c r="X127" s="458"/>
      <c r="Y127" s="458"/>
      <c r="Z127" s="458"/>
      <c r="AA127" s="458"/>
      <c r="AB127" s="394"/>
      <c r="AC127" s="394"/>
      <c r="AD127" s="394"/>
      <c r="AE127" s="394"/>
      <c r="AF127" s="394"/>
      <c r="AH127" s="518"/>
      <c r="AI127" s="518"/>
      <c r="AJ127" s="518"/>
      <c r="AK127" s="518"/>
      <c r="AL127" s="518"/>
      <c r="DC127" s="608"/>
      <c r="DI127" s="608"/>
    </row>
    <row r="128" spans="24:113" x14ac:dyDescent="0.2">
      <c r="X128" s="458"/>
      <c r="Y128" s="458"/>
      <c r="Z128" s="458"/>
      <c r="AA128" s="458"/>
      <c r="AB128" s="394"/>
      <c r="AC128" s="394"/>
      <c r="AD128" s="394"/>
      <c r="AE128" s="394"/>
      <c r="AF128" s="394"/>
      <c r="AH128" s="518"/>
      <c r="AI128" s="518"/>
      <c r="AJ128" s="518"/>
      <c r="AK128" s="518"/>
      <c r="AL128" s="518"/>
      <c r="DC128" s="608"/>
      <c r="DI128" s="608"/>
    </row>
    <row r="129" spans="24:113" x14ac:dyDescent="0.2">
      <c r="X129" s="458"/>
      <c r="Y129" s="458"/>
      <c r="Z129" s="458"/>
      <c r="AA129" s="458"/>
      <c r="AB129" s="394"/>
      <c r="AC129" s="394"/>
      <c r="AD129" s="394"/>
      <c r="AE129" s="394"/>
      <c r="AF129" s="394"/>
      <c r="AH129" s="518"/>
      <c r="AI129" s="518"/>
      <c r="AJ129" s="518"/>
      <c r="AK129" s="518"/>
      <c r="AL129" s="518"/>
      <c r="DC129" s="608"/>
      <c r="DI129" s="608"/>
    </row>
    <row r="130" spans="24:113" x14ac:dyDescent="0.2">
      <c r="X130" s="458"/>
      <c r="Y130" s="458"/>
      <c r="Z130" s="458"/>
      <c r="AA130" s="458"/>
      <c r="AB130" s="394"/>
      <c r="AC130" s="394"/>
      <c r="AD130" s="394"/>
      <c r="AE130" s="394"/>
      <c r="AF130" s="394"/>
      <c r="AH130" s="518"/>
      <c r="AI130" s="518"/>
      <c r="AJ130" s="518"/>
      <c r="AK130" s="518"/>
      <c r="AL130" s="518"/>
      <c r="DC130" s="608"/>
      <c r="DI130" s="608"/>
    </row>
    <row r="131" spans="24:113" x14ac:dyDescent="0.2">
      <c r="X131" s="458"/>
      <c r="Y131" s="458"/>
      <c r="Z131" s="458"/>
      <c r="AA131" s="458"/>
      <c r="AB131" s="394"/>
      <c r="AC131" s="394"/>
      <c r="AD131" s="394"/>
      <c r="AE131" s="394"/>
      <c r="AF131" s="394"/>
      <c r="AH131" s="518"/>
      <c r="AI131" s="518"/>
      <c r="AJ131" s="518"/>
      <c r="AK131" s="518"/>
      <c r="AL131" s="518"/>
      <c r="DC131" s="608"/>
      <c r="DI131" s="608"/>
    </row>
    <row r="132" spans="24:113" x14ac:dyDescent="0.2">
      <c r="X132" s="458"/>
      <c r="Y132" s="458"/>
      <c r="Z132" s="458"/>
      <c r="AA132" s="458"/>
      <c r="AB132" s="394"/>
      <c r="AC132" s="394"/>
      <c r="AD132" s="394"/>
      <c r="AE132" s="394"/>
      <c r="AF132" s="394"/>
      <c r="AH132" s="518"/>
      <c r="AI132" s="518"/>
      <c r="AJ132" s="518"/>
      <c r="AK132" s="518"/>
      <c r="AL132" s="518"/>
      <c r="DC132" s="608"/>
      <c r="DI132" s="608"/>
    </row>
    <row r="133" spans="24:113" x14ac:dyDescent="0.2">
      <c r="AH133" s="518"/>
      <c r="AI133" s="518"/>
      <c r="AJ133" s="518"/>
      <c r="AK133" s="518"/>
      <c r="AL133" s="518"/>
      <c r="DC133" s="608"/>
      <c r="DI133" s="608"/>
    </row>
    <row r="134" spans="24:113" x14ac:dyDescent="0.2">
      <c r="AH134" s="518"/>
      <c r="AI134" s="518"/>
      <c r="AJ134" s="518"/>
      <c r="AK134" s="518"/>
      <c r="AL134" s="518"/>
      <c r="DC134" s="608"/>
      <c r="DI134" s="608"/>
    </row>
    <row r="135" spans="24:113" x14ac:dyDescent="0.2">
      <c r="AH135" s="518"/>
      <c r="AI135" s="518"/>
      <c r="AJ135" s="518"/>
      <c r="AK135" s="518"/>
      <c r="AL135" s="518"/>
      <c r="DC135" s="608"/>
      <c r="DI135" s="608"/>
    </row>
    <row r="136" spans="24:113" x14ac:dyDescent="0.2">
      <c r="AH136" s="518"/>
      <c r="AI136" s="518"/>
      <c r="AJ136" s="518"/>
      <c r="AK136" s="518"/>
      <c r="AL136" s="518"/>
      <c r="DC136" s="608"/>
      <c r="DI136" s="608"/>
    </row>
    <row r="137" spans="24:113" x14ac:dyDescent="0.2">
      <c r="AH137" s="518"/>
      <c r="AI137" s="518"/>
      <c r="AJ137" s="518"/>
      <c r="AK137" s="518"/>
      <c r="AL137" s="518"/>
      <c r="DC137" s="608"/>
      <c r="DI137" s="608"/>
    </row>
    <row r="138" spans="24:113" x14ac:dyDescent="0.2">
      <c r="AH138" s="518"/>
      <c r="AI138" s="518"/>
      <c r="AJ138" s="518"/>
      <c r="AK138" s="518"/>
      <c r="AL138" s="518"/>
      <c r="DC138" s="608"/>
      <c r="DI138" s="608"/>
    </row>
    <row r="139" spans="24:113" x14ac:dyDescent="0.2">
      <c r="AH139" s="518"/>
      <c r="AI139" s="518"/>
      <c r="AJ139" s="518"/>
      <c r="AK139" s="518"/>
      <c r="AL139" s="518"/>
      <c r="DC139" s="608"/>
      <c r="DI139" s="608"/>
    </row>
    <row r="140" spans="24:113" x14ac:dyDescent="0.2">
      <c r="AH140" s="518"/>
      <c r="AI140" s="518"/>
      <c r="AJ140" s="518"/>
      <c r="AK140" s="518"/>
      <c r="AL140" s="518"/>
      <c r="DC140" s="608"/>
      <c r="DI140" s="608"/>
    </row>
    <row r="141" spans="24:113" x14ac:dyDescent="0.2">
      <c r="AH141" s="518"/>
      <c r="AI141" s="518"/>
      <c r="AJ141" s="518"/>
      <c r="AK141" s="518"/>
      <c r="AL141" s="518"/>
      <c r="DC141" s="608"/>
      <c r="DI141" s="608"/>
    </row>
    <row r="142" spans="24:113" x14ac:dyDescent="0.2">
      <c r="AH142" s="518"/>
      <c r="AI142" s="518"/>
      <c r="AJ142" s="518"/>
      <c r="AK142" s="518"/>
      <c r="AL142" s="518"/>
      <c r="DC142" s="608"/>
      <c r="DI142" s="608"/>
    </row>
    <row r="143" spans="24:113" x14ac:dyDescent="0.2">
      <c r="AH143" s="518"/>
      <c r="AI143" s="518"/>
      <c r="AJ143" s="518"/>
      <c r="AK143" s="518"/>
      <c r="AL143" s="518"/>
      <c r="DC143" s="608"/>
      <c r="DI143" s="608"/>
    </row>
    <row r="144" spans="24:113" x14ac:dyDescent="0.2">
      <c r="AH144" s="518"/>
      <c r="AI144" s="518"/>
      <c r="AJ144" s="518"/>
      <c r="AK144" s="518"/>
      <c r="AL144" s="518"/>
      <c r="DC144" s="608"/>
      <c r="DI144" s="608"/>
    </row>
    <row r="145" spans="34:113" x14ac:dyDescent="0.2">
      <c r="AH145" s="518"/>
      <c r="AI145" s="518"/>
      <c r="AJ145" s="518"/>
      <c r="AK145" s="518"/>
      <c r="AL145" s="518"/>
      <c r="DC145" s="608"/>
      <c r="DI145" s="608"/>
    </row>
    <row r="146" spans="34:113" x14ac:dyDescent="0.2">
      <c r="AH146" s="518"/>
      <c r="AI146" s="518"/>
      <c r="AJ146" s="518"/>
      <c r="AK146" s="518"/>
      <c r="AL146" s="518"/>
      <c r="DC146" s="608"/>
      <c r="DI146" s="608"/>
    </row>
    <row r="147" spans="34:113" x14ac:dyDescent="0.2">
      <c r="AH147" s="518"/>
      <c r="AI147" s="518"/>
      <c r="AJ147" s="518"/>
      <c r="AK147" s="518"/>
      <c r="AL147" s="518"/>
      <c r="DC147" s="608"/>
      <c r="DI147" s="608"/>
    </row>
    <row r="148" spans="34:113" x14ac:dyDescent="0.2">
      <c r="AH148" s="518"/>
      <c r="AI148" s="518"/>
      <c r="AJ148" s="518"/>
      <c r="AK148" s="518"/>
      <c r="AL148" s="518"/>
      <c r="DC148" s="608"/>
      <c r="DI148" s="608"/>
    </row>
    <row r="149" spans="34:113" x14ac:dyDescent="0.2">
      <c r="AH149" s="518"/>
      <c r="AI149" s="518"/>
      <c r="AJ149" s="518"/>
      <c r="AK149" s="518"/>
      <c r="AL149" s="518"/>
      <c r="DC149" s="608"/>
      <c r="DI149" s="608"/>
    </row>
    <row r="150" spans="34:113" x14ac:dyDescent="0.2">
      <c r="AH150" s="518"/>
      <c r="AI150" s="518"/>
      <c r="AJ150" s="518"/>
      <c r="AK150" s="518"/>
      <c r="AL150" s="518"/>
      <c r="DC150" s="608"/>
      <c r="DI150" s="608"/>
    </row>
    <row r="151" spans="34:113" x14ac:dyDescent="0.2">
      <c r="AH151" s="518"/>
      <c r="AI151" s="518"/>
      <c r="AJ151" s="518"/>
      <c r="AK151" s="518"/>
      <c r="AL151" s="518"/>
      <c r="DC151" s="608"/>
      <c r="DI151" s="608"/>
    </row>
    <row r="152" spans="34:113" x14ac:dyDescent="0.2">
      <c r="AH152" s="518"/>
      <c r="AI152" s="518"/>
      <c r="AJ152" s="518"/>
      <c r="AK152" s="518"/>
      <c r="AL152" s="518"/>
      <c r="DC152" s="608"/>
      <c r="DI152" s="608"/>
    </row>
    <row r="153" spans="34:113" x14ac:dyDescent="0.2">
      <c r="AH153" s="518"/>
      <c r="AI153" s="518"/>
      <c r="AJ153" s="518"/>
      <c r="AK153" s="518"/>
      <c r="AL153" s="518"/>
      <c r="DC153" s="608"/>
      <c r="DI153" s="608"/>
    </row>
    <row r="154" spans="34:113" x14ac:dyDescent="0.2">
      <c r="AH154" s="518"/>
      <c r="AI154" s="518"/>
      <c r="AJ154" s="518"/>
      <c r="AK154" s="518"/>
      <c r="AL154" s="518"/>
      <c r="DC154" s="608"/>
      <c r="DI154" s="608"/>
    </row>
    <row r="155" spans="34:113" x14ac:dyDescent="0.2">
      <c r="AH155" s="518"/>
      <c r="AI155" s="518"/>
      <c r="AJ155" s="518"/>
      <c r="AK155" s="518"/>
      <c r="AL155" s="518"/>
      <c r="DC155" s="608"/>
      <c r="DI155" s="608"/>
    </row>
    <row r="156" spans="34:113" x14ac:dyDescent="0.2">
      <c r="AH156" s="518"/>
      <c r="AI156" s="518"/>
      <c r="AJ156" s="518"/>
      <c r="AK156" s="518"/>
      <c r="AL156" s="518"/>
      <c r="DC156" s="608"/>
      <c r="DI156" s="608"/>
    </row>
    <row r="157" spans="34:113" x14ac:dyDescent="0.2">
      <c r="AH157" s="518"/>
      <c r="AI157" s="518"/>
      <c r="AJ157" s="518"/>
      <c r="AK157" s="518"/>
      <c r="AL157" s="518"/>
      <c r="DC157" s="608"/>
      <c r="DI157" s="608"/>
    </row>
    <row r="158" spans="34:113" x14ac:dyDescent="0.2">
      <c r="AH158" s="518"/>
      <c r="AI158" s="518"/>
      <c r="AJ158" s="518"/>
      <c r="AK158" s="518"/>
      <c r="AL158" s="518"/>
      <c r="DC158" s="608"/>
      <c r="DI158" s="608"/>
    </row>
    <row r="159" spans="34:113" x14ac:dyDescent="0.2">
      <c r="AH159" s="518"/>
      <c r="AI159" s="518"/>
      <c r="AJ159" s="518"/>
      <c r="AK159" s="518"/>
      <c r="AL159" s="518"/>
      <c r="DC159" s="608"/>
      <c r="DI159" s="608"/>
    </row>
    <row r="160" spans="34:113" x14ac:dyDescent="0.2">
      <c r="AH160" s="518"/>
      <c r="AI160" s="518"/>
      <c r="AJ160" s="518"/>
      <c r="AK160" s="518"/>
      <c r="AL160" s="518"/>
    </row>
    <row r="161" spans="34:38" x14ac:dyDescent="0.2">
      <c r="AH161" s="518"/>
      <c r="AI161" s="518"/>
      <c r="AJ161" s="518"/>
      <c r="AK161" s="518"/>
      <c r="AL161" s="518"/>
    </row>
    <row r="162" spans="34:38" x14ac:dyDescent="0.2">
      <c r="AH162" s="518"/>
      <c r="AI162" s="518"/>
      <c r="AJ162" s="518"/>
      <c r="AK162" s="518"/>
      <c r="AL162" s="518"/>
    </row>
    <row r="163" spans="34:38" x14ac:dyDescent="0.2">
      <c r="AH163" s="518"/>
      <c r="AI163" s="518"/>
      <c r="AJ163" s="518"/>
      <c r="AK163" s="518"/>
      <c r="AL163" s="518"/>
    </row>
    <row r="164" spans="34:38" x14ac:dyDescent="0.2">
      <c r="AH164" s="518"/>
      <c r="AI164" s="518"/>
      <c r="AJ164" s="518"/>
      <c r="AK164" s="518"/>
      <c r="AL164" s="518"/>
    </row>
    <row r="165" spans="34:38" x14ac:dyDescent="0.2">
      <c r="AH165" s="518"/>
      <c r="AI165" s="518"/>
      <c r="AJ165" s="518"/>
      <c r="AK165" s="518"/>
      <c r="AL165" s="518"/>
    </row>
    <row r="166" spans="34:38" x14ac:dyDescent="0.2">
      <c r="AH166" s="518"/>
      <c r="AI166" s="518"/>
      <c r="AJ166" s="518"/>
      <c r="AK166" s="518"/>
      <c r="AL166" s="518"/>
    </row>
    <row r="167" spans="34:38" x14ac:dyDescent="0.2">
      <c r="AH167" s="518"/>
      <c r="AI167" s="518"/>
      <c r="AJ167" s="518"/>
      <c r="AK167" s="518"/>
      <c r="AL167" s="518"/>
    </row>
    <row r="168" spans="34:38" x14ac:dyDescent="0.2">
      <c r="AH168" s="518"/>
      <c r="AI168" s="518"/>
      <c r="AJ168" s="518"/>
      <c r="AK168" s="518"/>
      <c r="AL168" s="518"/>
    </row>
    <row r="169" spans="34:38" x14ac:dyDescent="0.2">
      <c r="AH169" s="518"/>
      <c r="AI169" s="518"/>
      <c r="AJ169" s="518"/>
      <c r="AK169" s="518"/>
      <c r="AL169" s="518"/>
    </row>
    <row r="170" spans="34:38" x14ac:dyDescent="0.2">
      <c r="AH170" s="518"/>
      <c r="AI170" s="518"/>
      <c r="AJ170" s="518"/>
      <c r="AK170" s="518"/>
      <c r="AL170" s="518"/>
    </row>
    <row r="171" spans="34:38" x14ac:dyDescent="0.2">
      <c r="AH171" s="518"/>
      <c r="AI171" s="518"/>
      <c r="AJ171" s="518"/>
      <c r="AK171" s="518"/>
      <c r="AL171" s="518"/>
    </row>
    <row r="172" spans="34:38" x14ac:dyDescent="0.2">
      <c r="AH172" s="518"/>
      <c r="AI172" s="518"/>
      <c r="AJ172" s="518"/>
      <c r="AK172" s="518"/>
      <c r="AL172" s="518"/>
    </row>
    <row r="173" spans="34:38" x14ac:dyDescent="0.2">
      <c r="AH173" s="518"/>
      <c r="AI173" s="518"/>
      <c r="AJ173" s="518"/>
      <c r="AK173" s="518"/>
      <c r="AL173" s="518"/>
    </row>
    <row r="174" spans="34:38" x14ac:dyDescent="0.2">
      <c r="AH174" s="518"/>
      <c r="AI174" s="518"/>
      <c r="AJ174" s="518"/>
      <c r="AK174" s="518"/>
      <c r="AL174" s="518"/>
    </row>
    <row r="175" spans="34:38" x14ac:dyDescent="0.2">
      <c r="AH175" s="518"/>
      <c r="AI175" s="518"/>
      <c r="AJ175" s="518"/>
      <c r="AK175" s="518"/>
      <c r="AL175" s="518"/>
    </row>
    <row r="176" spans="34:38" x14ac:dyDescent="0.2">
      <c r="AH176" s="518"/>
      <c r="AI176" s="518"/>
      <c r="AJ176" s="518"/>
      <c r="AK176" s="518"/>
      <c r="AL176" s="518"/>
    </row>
    <row r="177" spans="34:38" x14ac:dyDescent="0.2">
      <c r="AH177" s="518"/>
      <c r="AI177" s="518"/>
      <c r="AJ177" s="518"/>
      <c r="AK177" s="518"/>
      <c r="AL177" s="518"/>
    </row>
    <row r="178" spans="34:38" x14ac:dyDescent="0.2">
      <c r="AH178" s="518"/>
      <c r="AI178" s="518"/>
      <c r="AJ178" s="518"/>
      <c r="AK178" s="518"/>
      <c r="AL178" s="518"/>
    </row>
    <row r="179" spans="34:38" x14ac:dyDescent="0.2">
      <c r="AH179" s="518"/>
      <c r="AI179" s="518"/>
      <c r="AJ179" s="518"/>
      <c r="AK179" s="518"/>
      <c r="AL179" s="518"/>
    </row>
    <row r="180" spans="34:38" x14ac:dyDescent="0.2">
      <c r="AH180" s="518"/>
      <c r="AI180" s="518"/>
      <c r="AJ180" s="518"/>
      <c r="AK180" s="518"/>
      <c r="AL180" s="518"/>
    </row>
    <row r="181" spans="34:38" x14ac:dyDescent="0.2">
      <c r="AH181" s="518"/>
      <c r="AI181" s="518"/>
      <c r="AJ181" s="518"/>
      <c r="AK181" s="518"/>
      <c r="AL181" s="518"/>
    </row>
    <row r="182" spans="34:38" x14ac:dyDescent="0.2">
      <c r="AH182" s="518"/>
      <c r="AI182" s="518"/>
      <c r="AJ182" s="518"/>
      <c r="AK182" s="518"/>
      <c r="AL182" s="518"/>
    </row>
    <row r="183" spans="34:38" x14ac:dyDescent="0.2">
      <c r="AH183" s="518"/>
      <c r="AI183" s="518"/>
      <c r="AJ183" s="518"/>
      <c r="AK183" s="518"/>
      <c r="AL183" s="518"/>
    </row>
    <row r="184" spans="34:38" x14ac:dyDescent="0.2">
      <c r="AH184" s="518"/>
      <c r="AI184" s="518"/>
      <c r="AJ184" s="518"/>
      <c r="AK184" s="518"/>
      <c r="AL184" s="518"/>
    </row>
    <row r="185" spans="34:38" x14ac:dyDescent="0.2">
      <c r="AH185" s="518"/>
      <c r="AI185" s="518"/>
      <c r="AJ185" s="518"/>
      <c r="AK185" s="518"/>
      <c r="AL185" s="518"/>
    </row>
    <row r="186" spans="34:38" x14ac:dyDescent="0.2">
      <c r="AH186" s="518"/>
      <c r="AI186" s="518"/>
      <c r="AJ186" s="518"/>
      <c r="AK186" s="518"/>
      <c r="AL186" s="518"/>
    </row>
  </sheetData>
  <customSheetViews>
    <customSheetView guid="{AD88DA1E-4535-4A0F-86F8-39D7812ED88C}" scale="88" fitToPage="1" showRuler="0" topLeftCell="BS41">
      <selection activeCell="CE1" sqref="CE1:CI20"/>
      <pageMargins left="0.5" right="0.5" top="0.5" bottom="0.5" header="0.25" footer="0.25"/>
      <printOptions horizontalCentered="1"/>
      <pageSetup firstPageNumber="3" orientation="portrait" useFirstPageNumber="1" r:id="rId1"/>
      <headerFooter alignWithMargins="0"/>
    </customSheetView>
  </customSheetViews>
  <mergeCells count="3">
    <mergeCell ref="CY44:DB44"/>
    <mergeCell ref="CX13:DB13"/>
    <mergeCell ref="CS12:CV12"/>
  </mergeCells>
  <phoneticPr fontId="7" type="noConversion"/>
  <conditionalFormatting sqref="A1">
    <cfRule type="notContainsBlanks" dxfId="63" priority="23">
      <formula>LEN(TRIM(A1))&gt;0</formula>
    </cfRule>
  </conditionalFormatting>
  <conditionalFormatting sqref="E1">
    <cfRule type="cellIs" dxfId="62" priority="18" operator="notEqual">
      <formula>0</formula>
    </cfRule>
  </conditionalFormatting>
  <conditionalFormatting sqref="Z1">
    <cfRule type="cellIs" dxfId="61" priority="17" operator="notEqual">
      <formula>0</formula>
    </cfRule>
  </conditionalFormatting>
  <conditionalFormatting sqref="AR1">
    <cfRule type="cellIs" dxfId="60" priority="16" operator="notEqual">
      <formula>0</formula>
    </cfRule>
  </conditionalFormatting>
  <conditionalFormatting sqref="AQ1">
    <cfRule type="cellIs" dxfId="59" priority="15" operator="notEqual">
      <formula>0</formula>
    </cfRule>
  </conditionalFormatting>
  <conditionalFormatting sqref="AL1">
    <cfRule type="cellIs" dxfId="58" priority="14" operator="notEqual">
      <formula>0</formula>
    </cfRule>
  </conditionalFormatting>
  <conditionalFormatting sqref="AK1">
    <cfRule type="cellIs" dxfId="57" priority="13" operator="notEqual">
      <formula>0</formula>
    </cfRule>
  </conditionalFormatting>
  <conditionalFormatting sqref="AJ1">
    <cfRule type="cellIs" dxfId="56" priority="12" operator="notEqual">
      <formula>0</formula>
    </cfRule>
  </conditionalFormatting>
  <conditionalFormatting sqref="AX1">
    <cfRule type="cellIs" dxfId="55" priority="11" operator="notEqual">
      <formula>0</formula>
    </cfRule>
  </conditionalFormatting>
  <conditionalFormatting sqref="AW1">
    <cfRule type="cellIs" dxfId="54" priority="10" operator="notEqual">
      <formula>0</formula>
    </cfRule>
  </conditionalFormatting>
  <conditionalFormatting sqref="BD1">
    <cfRule type="cellIs" dxfId="53" priority="9" operator="notEqual">
      <formula>0</formula>
    </cfRule>
  </conditionalFormatting>
  <conditionalFormatting sqref="BJ1">
    <cfRule type="cellIs" dxfId="52" priority="8" operator="notEqual">
      <formula>0</formula>
    </cfRule>
  </conditionalFormatting>
  <conditionalFormatting sqref="BI1">
    <cfRule type="cellIs" dxfId="51" priority="7" operator="notEqual">
      <formula>0</formula>
    </cfRule>
  </conditionalFormatting>
  <conditionalFormatting sqref="BO1:BP1">
    <cfRule type="cellIs" dxfId="50" priority="6" operator="notEqual">
      <formula>0</formula>
    </cfRule>
  </conditionalFormatting>
  <conditionalFormatting sqref="BW1:BX1">
    <cfRule type="cellIs" dxfId="49" priority="5" operator="notEqual">
      <formula>0</formula>
    </cfRule>
  </conditionalFormatting>
  <conditionalFormatting sqref="CI1:CJ1">
    <cfRule type="cellIs" dxfId="48" priority="2" operator="notEqual">
      <formula>0</formula>
    </cfRule>
  </conditionalFormatting>
  <conditionalFormatting sqref="CC1:CD1">
    <cfRule type="cellIs" dxfId="47" priority="3" operator="notEqual">
      <formula>0</formula>
    </cfRule>
  </conditionalFormatting>
  <printOptions horizontalCentered="1"/>
  <pageMargins left="0.5" right="0.5" top="0.25" bottom="0.5" header="0.25" footer="0.25"/>
  <pageSetup scale="10" firstPageNumber="3" fitToHeight="2" orientation="portrait" useFirstPageNumber="1" r:id="rId2"/>
  <headerFooter alignWithMargins="0"/>
  <customProperties>
    <customPr name="_pios_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CFF33"/>
    <pageSetUpPr fitToPage="1"/>
  </sheetPr>
  <dimension ref="A1:V130"/>
  <sheetViews>
    <sheetView zoomScale="82" zoomScaleNormal="82" workbookViewId="0">
      <pane xSplit="1" ySplit="2" topLeftCell="B18" activePane="bottomRight" state="frozen"/>
      <selection activeCell="H74" sqref="H74"/>
      <selection pane="topRight" activeCell="H74" sqref="H74"/>
      <selection pane="bottomLeft" activeCell="H74" sqref="H74"/>
      <selection pane="bottomRight" activeCell="F39" sqref="F39:G48"/>
    </sheetView>
  </sheetViews>
  <sheetFormatPr defaultColWidth="9.28515625" defaultRowHeight="15" x14ac:dyDescent="0.25"/>
  <cols>
    <col min="1" max="1" width="7.42578125" style="114" customWidth="1"/>
    <col min="2" max="2" width="43.140625" style="114" customWidth="1"/>
    <col min="3" max="3" width="17.7109375" style="114" customWidth="1"/>
    <col min="4" max="4" width="15.28515625" style="114" bestFit="1" customWidth="1"/>
    <col min="5" max="5" width="9.85546875" style="114" bestFit="1" customWidth="1"/>
    <col min="6" max="6" width="16.7109375" style="114" bestFit="1" customWidth="1"/>
    <col min="7" max="7" width="16.28515625" style="114" customWidth="1"/>
    <col min="8" max="8" width="5.5703125" style="114" customWidth="1"/>
    <col min="9" max="9" width="16.5703125" style="115" bestFit="1" customWidth="1"/>
    <col min="10" max="10" width="17.7109375" style="115" bestFit="1" customWidth="1"/>
    <col min="11" max="11" width="13.85546875" style="114" bestFit="1" customWidth="1"/>
    <col min="12" max="12" width="10.28515625" style="114" bestFit="1" customWidth="1"/>
    <col min="13" max="14" width="16" style="114" bestFit="1" customWidth="1"/>
    <col min="15" max="15" width="5.5703125" style="114" bestFit="1" customWidth="1"/>
    <col min="16" max="16" width="9.28515625" style="114"/>
    <col min="17" max="17" width="15.42578125" style="114" bestFit="1" customWidth="1"/>
    <col min="18" max="18" width="14" style="114" bestFit="1" customWidth="1"/>
    <col min="19" max="19" width="10.28515625" style="114" bestFit="1" customWidth="1"/>
    <col min="20" max="20" width="16.140625" style="114" bestFit="1" customWidth="1"/>
    <col min="21" max="21" width="16.28515625" style="114" bestFit="1" customWidth="1"/>
    <col min="22" max="22" width="5.5703125" style="114" bestFit="1" customWidth="1"/>
    <col min="23" max="16384" width="9.28515625" style="114"/>
  </cols>
  <sheetData>
    <row r="1" spans="1:22" s="115" customFormat="1" ht="20.25" x14ac:dyDescent="0.3">
      <c r="A1" s="132" t="s">
        <v>93</v>
      </c>
      <c r="B1" s="114"/>
      <c r="C1" s="114"/>
      <c r="D1" s="118"/>
      <c r="E1" s="133"/>
      <c r="F1" s="114"/>
      <c r="H1" s="114"/>
    </row>
    <row r="2" spans="1:22" s="115" customFormat="1" ht="20.25" x14ac:dyDescent="0.3">
      <c r="A2" s="132" t="s">
        <v>146</v>
      </c>
      <c r="B2" s="114"/>
      <c r="C2" s="922" t="s">
        <v>798</v>
      </c>
      <c r="D2" s="114"/>
      <c r="E2" s="114"/>
      <c r="F2" s="114"/>
      <c r="G2" s="114"/>
      <c r="H2" s="114"/>
      <c r="J2" s="922" t="s">
        <v>782</v>
      </c>
      <c r="Q2" s="923" t="s">
        <v>802</v>
      </c>
    </row>
    <row r="3" spans="1:22" s="115" customFormat="1" ht="20.25" x14ac:dyDescent="0.3">
      <c r="A3" s="131" t="s">
        <v>780</v>
      </c>
      <c r="B3" s="114"/>
      <c r="C3" s="114"/>
      <c r="D3" s="114"/>
      <c r="E3" s="114"/>
      <c r="F3" s="114"/>
      <c r="G3" s="114"/>
      <c r="H3" s="114"/>
    </row>
    <row r="4" spans="1:22" s="115" customFormat="1" x14ac:dyDescent="0.25">
      <c r="A4" s="117"/>
      <c r="B4" s="114"/>
      <c r="C4" s="114"/>
      <c r="D4" s="114"/>
      <c r="E4" s="114"/>
      <c r="F4" s="114"/>
      <c r="G4" s="114"/>
      <c r="H4" s="114"/>
    </row>
    <row r="5" spans="1:22" s="115" customFormat="1" x14ac:dyDescent="0.25">
      <c r="A5" s="117" t="s">
        <v>53</v>
      </c>
      <c r="B5" s="114"/>
      <c r="C5" s="130"/>
      <c r="D5" s="114"/>
      <c r="E5" s="114"/>
      <c r="F5" s="114"/>
      <c r="G5" s="114"/>
      <c r="H5" s="114"/>
    </row>
    <row r="6" spans="1:22" s="115" customFormat="1" x14ac:dyDescent="0.25">
      <c r="A6" s="127">
        <v>3</v>
      </c>
      <c r="B6" s="120" t="s">
        <v>179</v>
      </c>
      <c r="C6" s="876">
        <f>'SEF-15 Summary'!AA11+'SEF-15 Summary'!AA12</f>
        <v>107627055.66724977</v>
      </c>
      <c r="D6" s="120"/>
      <c r="E6" s="120"/>
      <c r="F6" s="120"/>
      <c r="G6" s="120"/>
      <c r="H6" s="114"/>
      <c r="J6" s="828">
        <v>107627055.66724977</v>
      </c>
      <c r="K6" s="829"/>
      <c r="L6" s="829"/>
      <c r="M6" s="829"/>
      <c r="N6" s="829"/>
      <c r="O6" s="830"/>
      <c r="Q6" s="828">
        <f>+C6-J6</f>
        <v>0</v>
      </c>
      <c r="R6" s="829"/>
      <c r="S6" s="829"/>
      <c r="T6" s="829"/>
      <c r="U6" s="829"/>
      <c r="V6" s="830"/>
    </row>
    <row r="7" spans="1:22" s="115" customFormat="1" x14ac:dyDescent="0.25">
      <c r="A7" s="127">
        <v>4</v>
      </c>
      <c r="B7" s="120" t="s">
        <v>180</v>
      </c>
      <c r="C7" s="129">
        <f>'SEF-15 Summary'!AA13</f>
        <v>79508404.960502923</v>
      </c>
      <c r="D7" s="120"/>
      <c r="E7" s="120"/>
      <c r="F7" s="120"/>
      <c r="G7" s="120"/>
      <c r="H7" s="114"/>
      <c r="J7" s="831">
        <v>79508404.960502923</v>
      </c>
      <c r="K7" s="829"/>
      <c r="L7" s="829"/>
      <c r="M7" s="829"/>
      <c r="N7" s="829"/>
      <c r="O7" s="830"/>
      <c r="Q7" s="831">
        <f t="shared" ref="Q7:Q10" si="0">+C7-J7</f>
        <v>0</v>
      </c>
      <c r="R7" s="829"/>
      <c r="S7" s="829"/>
      <c r="T7" s="829"/>
      <c r="U7" s="829"/>
      <c r="V7" s="830"/>
    </row>
    <row r="8" spans="1:22" s="115" customFormat="1" x14ac:dyDescent="0.25">
      <c r="A8" s="127">
        <v>5</v>
      </c>
      <c r="B8" s="120" t="s">
        <v>181</v>
      </c>
      <c r="C8" s="129">
        <f>'SEF-15 Summary'!AA14</f>
        <v>1426278308.4180365</v>
      </c>
      <c r="D8" s="120"/>
      <c r="E8" s="120"/>
      <c r="F8" s="120"/>
      <c r="G8" s="120"/>
      <c r="H8" s="114"/>
      <c r="J8" s="831">
        <v>1426278308.4180365</v>
      </c>
      <c r="K8" s="829"/>
      <c r="L8" s="829"/>
      <c r="M8" s="829"/>
      <c r="N8" s="829"/>
      <c r="O8" s="830"/>
      <c r="Q8" s="831">
        <f t="shared" si="0"/>
        <v>0</v>
      </c>
      <c r="R8" s="829"/>
      <c r="S8" s="829"/>
      <c r="T8" s="829"/>
      <c r="U8" s="829"/>
      <c r="V8" s="830"/>
    </row>
    <row r="9" spans="1:22" s="115" customFormat="1" x14ac:dyDescent="0.25">
      <c r="A9" s="127">
        <f>+A8+1</f>
        <v>6</v>
      </c>
      <c r="B9" s="120"/>
      <c r="C9" s="634">
        <f>SUM(C6:C8)</f>
        <v>1613413769.0457892</v>
      </c>
      <c r="D9" s="120"/>
      <c r="E9" s="120"/>
      <c r="F9" s="120"/>
      <c r="G9" s="120"/>
      <c r="H9" s="114"/>
      <c r="J9" s="832">
        <v>1613413769.0457892</v>
      </c>
      <c r="K9" s="829"/>
      <c r="L9" s="829"/>
      <c r="M9" s="829"/>
      <c r="N9" s="829"/>
      <c r="O9" s="830"/>
      <c r="Q9" s="832">
        <f t="shared" si="0"/>
        <v>0</v>
      </c>
      <c r="R9" s="829"/>
      <c r="S9" s="829"/>
      <c r="T9" s="829"/>
      <c r="U9" s="829"/>
      <c r="V9" s="830"/>
    </row>
    <row r="10" spans="1:22" s="115" customFormat="1" x14ac:dyDescent="0.25">
      <c r="A10" s="127">
        <f>+A9+1</f>
        <v>7</v>
      </c>
      <c r="B10" s="126" t="s">
        <v>126</v>
      </c>
      <c r="C10" s="636">
        <f>+ROR!E23</f>
        <v>6.8000000000000005E-2</v>
      </c>
      <c r="D10" s="637"/>
      <c r="E10" s="637"/>
      <c r="F10" s="638" t="s">
        <v>84</v>
      </c>
      <c r="G10" s="638" t="s">
        <v>85</v>
      </c>
      <c r="H10" s="114"/>
      <c r="J10" s="833">
        <v>6.8000000000000005E-2</v>
      </c>
      <c r="K10" s="834"/>
      <c r="L10" s="834"/>
      <c r="M10" s="835" t="s">
        <v>84</v>
      </c>
      <c r="N10" s="835" t="s">
        <v>85</v>
      </c>
      <c r="O10" s="830"/>
      <c r="Q10" s="833">
        <f t="shared" si="0"/>
        <v>0</v>
      </c>
      <c r="R10" s="834"/>
      <c r="S10" s="834"/>
      <c r="T10" s="835" t="s">
        <v>84</v>
      </c>
      <c r="U10" s="835" t="s">
        <v>85</v>
      </c>
      <c r="V10" s="830"/>
    </row>
    <row r="11" spans="1:22" s="115" customFormat="1" x14ac:dyDescent="0.25">
      <c r="A11" s="127">
        <f>+A10+1</f>
        <v>8</v>
      </c>
      <c r="B11" s="126"/>
      <c r="C11" s="636"/>
      <c r="D11" s="638" t="s">
        <v>54</v>
      </c>
      <c r="E11" s="638"/>
      <c r="F11" s="638" t="s">
        <v>127</v>
      </c>
      <c r="G11" s="638" t="s">
        <v>127</v>
      </c>
      <c r="H11" s="114"/>
      <c r="J11" s="833"/>
      <c r="K11" s="835" t="s">
        <v>54</v>
      </c>
      <c r="L11" s="835"/>
      <c r="M11" s="835" t="s">
        <v>127</v>
      </c>
      <c r="N11" s="835" t="s">
        <v>127</v>
      </c>
      <c r="O11" s="830"/>
      <c r="Q11" s="833"/>
      <c r="R11" s="835" t="s">
        <v>54</v>
      </c>
      <c r="S11" s="835"/>
      <c r="T11" s="835" t="s">
        <v>127</v>
      </c>
      <c r="U11" s="835" t="s">
        <v>127</v>
      </c>
      <c r="V11" s="830"/>
    </row>
    <row r="12" spans="1:22" s="115" customFormat="1" x14ac:dyDescent="0.25">
      <c r="A12" s="127">
        <f>+A11+1</f>
        <v>9</v>
      </c>
      <c r="B12" s="128"/>
      <c r="C12" s="636"/>
      <c r="D12" s="641" t="s">
        <v>55</v>
      </c>
      <c r="E12" s="641"/>
      <c r="F12" s="642" t="s">
        <v>128</v>
      </c>
      <c r="G12" s="642" t="s">
        <v>129</v>
      </c>
      <c r="H12" s="114"/>
      <c r="J12" s="833"/>
      <c r="K12" s="836" t="s">
        <v>55</v>
      </c>
      <c r="L12" s="836"/>
      <c r="M12" s="837" t="s">
        <v>128</v>
      </c>
      <c r="N12" s="837" t="s">
        <v>129</v>
      </c>
      <c r="O12" s="830"/>
      <c r="Q12" s="833"/>
      <c r="R12" s="836" t="s">
        <v>55</v>
      </c>
      <c r="S12" s="836"/>
      <c r="T12" s="837" t="s">
        <v>128</v>
      </c>
      <c r="U12" s="837" t="s">
        <v>129</v>
      </c>
      <c r="V12" s="830"/>
    </row>
    <row r="13" spans="1:22" s="115" customFormat="1" x14ac:dyDescent="0.25">
      <c r="A13" s="127" t="s">
        <v>72</v>
      </c>
      <c r="B13" s="126"/>
      <c r="C13" s="638" t="s">
        <v>62</v>
      </c>
      <c r="D13" s="644" t="s">
        <v>87</v>
      </c>
      <c r="E13" s="644" t="s">
        <v>96</v>
      </c>
      <c r="F13" s="644" t="s">
        <v>130</v>
      </c>
      <c r="G13" s="644" t="s">
        <v>131</v>
      </c>
      <c r="H13" s="114"/>
      <c r="J13" s="835" t="s">
        <v>62</v>
      </c>
      <c r="K13" s="838" t="s">
        <v>87</v>
      </c>
      <c r="L13" s="838" t="s">
        <v>96</v>
      </c>
      <c r="M13" s="838" t="s">
        <v>130</v>
      </c>
      <c r="N13" s="838" t="s">
        <v>131</v>
      </c>
      <c r="O13" s="830"/>
      <c r="Q13" s="835" t="s">
        <v>62</v>
      </c>
      <c r="R13" s="838" t="s">
        <v>87</v>
      </c>
      <c r="S13" s="838" t="s">
        <v>96</v>
      </c>
      <c r="T13" s="838" t="s">
        <v>130</v>
      </c>
      <c r="U13" s="838" t="s">
        <v>131</v>
      </c>
      <c r="V13" s="830"/>
    </row>
    <row r="14" spans="1:22" s="115" customFormat="1" x14ac:dyDescent="0.25">
      <c r="A14" s="127">
        <v>10</v>
      </c>
      <c r="B14" s="126" t="s">
        <v>748</v>
      </c>
      <c r="C14" s="646">
        <f>(C6*C$10)/0.79</f>
        <v>9264100.9941430185</v>
      </c>
      <c r="D14" s="647">
        <f>C14/$C$39</f>
        <v>0.47060563996997123</v>
      </c>
      <c r="E14" s="648" t="s">
        <v>76</v>
      </c>
      <c r="F14" s="646">
        <f>+C14</f>
        <v>9264100.9941430185</v>
      </c>
      <c r="G14" s="646"/>
      <c r="H14" s="114"/>
      <c r="J14" s="839">
        <v>9264100.9941430185</v>
      </c>
      <c r="K14" s="840">
        <v>0.47060563996997123</v>
      </c>
      <c r="L14" s="841" t="s">
        <v>76</v>
      </c>
      <c r="M14" s="839">
        <v>9264100.9941430185</v>
      </c>
      <c r="N14" s="839"/>
      <c r="O14" s="830"/>
      <c r="Q14" s="839">
        <f t="shared" ref="Q14:Q39" si="1">+C14-J14</f>
        <v>0</v>
      </c>
      <c r="R14" s="840">
        <f t="shared" ref="R14:U38" si="2">+D14-K14</f>
        <v>0</v>
      </c>
      <c r="S14" s="841" t="s">
        <v>76</v>
      </c>
      <c r="T14" s="839">
        <f t="shared" si="2"/>
        <v>0</v>
      </c>
      <c r="U14" s="839"/>
      <c r="V14" s="830"/>
    </row>
    <row r="15" spans="1:22" s="115" customFormat="1" x14ac:dyDescent="0.25">
      <c r="A15" s="127" t="s">
        <v>94</v>
      </c>
      <c r="B15" s="126" t="s">
        <v>95</v>
      </c>
      <c r="C15" s="650">
        <f>+'SEF-15 Summary'!AA21</f>
        <v>4163374.1001599999</v>
      </c>
      <c r="D15" s="647">
        <f>C15/$C$39</f>
        <v>0.21149459986229854</v>
      </c>
      <c r="E15" s="648" t="s">
        <v>86</v>
      </c>
      <c r="F15" s="650"/>
      <c r="G15" s="872">
        <f>+C15</f>
        <v>4163374.1001599999</v>
      </c>
      <c r="H15" s="114"/>
      <c r="I15" s="900">
        <f>G15/'[17]SEF-8 Table 2'!$E$9</f>
        <v>4094422.9644155959</v>
      </c>
      <c r="J15" s="842">
        <v>4163374.1001599999</v>
      </c>
      <c r="K15" s="840">
        <v>0.21149459986229854</v>
      </c>
      <c r="L15" s="841" t="s">
        <v>86</v>
      </c>
      <c r="M15" s="842"/>
      <c r="N15" s="925">
        <v>4163374.1001599999</v>
      </c>
      <c r="O15" s="830"/>
      <c r="Q15" s="842">
        <f t="shared" si="1"/>
        <v>0</v>
      </c>
      <c r="R15" s="840">
        <f t="shared" si="2"/>
        <v>0</v>
      </c>
      <c r="S15" s="841" t="s">
        <v>86</v>
      </c>
      <c r="T15" s="842"/>
      <c r="U15" s="842">
        <f t="shared" si="2"/>
        <v>0</v>
      </c>
      <c r="V15" s="830"/>
    </row>
    <row r="16" spans="1:22" s="115" customFormat="1" x14ac:dyDescent="0.25">
      <c r="A16" s="127">
        <v>11</v>
      </c>
      <c r="B16" s="140" t="s">
        <v>666</v>
      </c>
      <c r="C16" s="650">
        <f>(C7*$C$10/0.79)</f>
        <v>6843761.4396382263</v>
      </c>
      <c r="D16" s="647">
        <f t="shared" ref="D16:D35" si="3">C16/$C$39</f>
        <v>0.34765518361025738</v>
      </c>
      <c r="E16" s="648" t="s">
        <v>76</v>
      </c>
      <c r="F16" s="650">
        <f>+C16</f>
        <v>6843761.4396382263</v>
      </c>
      <c r="G16" s="650"/>
      <c r="H16" s="114"/>
      <c r="J16" s="842">
        <v>6843761.4396382263</v>
      </c>
      <c r="K16" s="840">
        <v>0.34765518361025738</v>
      </c>
      <c r="L16" s="841" t="s">
        <v>76</v>
      </c>
      <c r="M16" s="842">
        <v>6843761.4396382263</v>
      </c>
      <c r="N16" s="842"/>
      <c r="O16" s="830"/>
      <c r="Q16" s="842">
        <f t="shared" si="1"/>
        <v>0</v>
      </c>
      <c r="R16" s="840">
        <f t="shared" si="2"/>
        <v>0</v>
      </c>
      <c r="S16" s="841" t="s">
        <v>76</v>
      </c>
      <c r="T16" s="842">
        <f t="shared" si="2"/>
        <v>0</v>
      </c>
      <c r="U16" s="842"/>
      <c r="V16" s="830"/>
    </row>
    <row r="17" spans="1:22" x14ac:dyDescent="0.25">
      <c r="A17" s="127">
        <v>12</v>
      </c>
      <c r="B17" s="140" t="s">
        <v>665</v>
      </c>
      <c r="C17" s="650">
        <f>(C8*$C$10/0.79)</f>
        <v>122768259.4587677</v>
      </c>
      <c r="D17" s="647">
        <f t="shared" si="3"/>
        <v>6.2364859091151779</v>
      </c>
      <c r="E17" s="648" t="s">
        <v>76</v>
      </c>
      <c r="F17" s="650">
        <f>+C17</f>
        <v>122768259.4587677</v>
      </c>
      <c r="G17" s="650"/>
      <c r="J17" s="842">
        <v>122768259.4587677</v>
      </c>
      <c r="K17" s="840">
        <v>6.2364859091151779</v>
      </c>
      <c r="L17" s="841" t="s">
        <v>76</v>
      </c>
      <c r="M17" s="842">
        <v>122768259.4587677</v>
      </c>
      <c r="N17" s="842"/>
      <c r="O17" s="830"/>
      <c r="Q17" s="842">
        <f t="shared" si="1"/>
        <v>0</v>
      </c>
      <c r="R17" s="840">
        <f t="shared" si="2"/>
        <v>0</v>
      </c>
      <c r="S17" s="841" t="s">
        <v>76</v>
      </c>
      <c r="T17" s="842">
        <f t="shared" si="2"/>
        <v>0</v>
      </c>
      <c r="U17" s="842"/>
      <c r="V17" s="830"/>
    </row>
    <row r="18" spans="1:22" x14ac:dyDescent="0.25">
      <c r="A18" s="127">
        <v>13</v>
      </c>
      <c r="B18" s="140" t="s">
        <v>182</v>
      </c>
      <c r="C18" s="650">
        <f>'SEF-15 Summary'!AA25</f>
        <v>42456952.472225137</v>
      </c>
      <c r="D18" s="647">
        <f t="shared" si="3"/>
        <v>2.1567641913660367</v>
      </c>
      <c r="E18" s="648" t="s">
        <v>86</v>
      </c>
      <c r="F18" s="650"/>
      <c r="G18" s="650">
        <f>+C18</f>
        <v>42456952.472225137</v>
      </c>
      <c r="I18" s="900">
        <f>G18/'[17]SEF-8 Table 2'!$E$9</f>
        <v>41753807.613565043</v>
      </c>
      <c r="J18" s="842">
        <v>41909417.092460752</v>
      </c>
      <c r="K18" s="840">
        <v>2.1289500259156462</v>
      </c>
      <c r="L18" s="841" t="s">
        <v>86</v>
      </c>
      <c r="M18" s="842"/>
      <c r="N18" s="842">
        <v>41909417.092460752</v>
      </c>
      <c r="O18" s="830"/>
      <c r="Q18" s="842">
        <f t="shared" si="1"/>
        <v>547535.37976438552</v>
      </c>
      <c r="R18" s="840">
        <f t="shared" si="2"/>
        <v>2.7814165450390504E-2</v>
      </c>
      <c r="S18" s="841" t="s">
        <v>86</v>
      </c>
      <c r="T18" s="842"/>
      <c r="U18" s="842">
        <f t="shared" si="2"/>
        <v>547535.37976438552</v>
      </c>
      <c r="V18" s="830"/>
    </row>
    <row r="19" spans="1:22" x14ac:dyDescent="0.25">
      <c r="A19" s="127">
        <v>14</v>
      </c>
      <c r="B19" s="140" t="s">
        <v>183</v>
      </c>
      <c r="C19" s="650">
        <f>'SEF-15 Summary'!AA26</f>
        <v>536815243.74639302</v>
      </c>
      <c r="D19" s="647">
        <f t="shared" si="3"/>
        <v>27.26959491143554</v>
      </c>
      <c r="E19" s="648" t="s">
        <v>86</v>
      </c>
      <c r="F19" s="650"/>
      <c r="G19" s="650">
        <f>+C19</f>
        <v>536815243.74639302</v>
      </c>
      <c r="I19" s="900">
        <f>G19/'[17]SEF-8 Table 2'!$E$9</f>
        <v>527924853.4401747</v>
      </c>
      <c r="J19" s="842">
        <v>528564730.94858474</v>
      </c>
      <c r="K19" s="840">
        <v>26.85047838218486</v>
      </c>
      <c r="L19" s="841" t="s">
        <v>86</v>
      </c>
      <c r="M19" s="842"/>
      <c r="N19" s="842">
        <v>528564730.94858474</v>
      </c>
      <c r="O19" s="830"/>
      <c r="Q19" s="842">
        <f t="shared" si="1"/>
        <v>8250512.7978082895</v>
      </c>
      <c r="R19" s="840">
        <f t="shared" si="2"/>
        <v>0.41911652925067955</v>
      </c>
      <c r="S19" s="841" t="s">
        <v>86</v>
      </c>
      <c r="T19" s="842"/>
      <c r="U19" s="842">
        <f t="shared" si="2"/>
        <v>8250512.7978082895</v>
      </c>
      <c r="V19" s="830"/>
    </row>
    <row r="20" spans="1:22" x14ac:dyDescent="0.25">
      <c r="A20" s="127">
        <v>15</v>
      </c>
      <c r="B20" s="140" t="s">
        <v>30</v>
      </c>
      <c r="C20" s="650">
        <f>'SEF-15 Summary'!AA27</f>
        <v>11934985.780000001</v>
      </c>
      <c r="D20" s="647">
        <f t="shared" si="3"/>
        <v>0.60628350495967154</v>
      </c>
      <c r="E20" s="648" t="s">
        <v>76</v>
      </c>
      <c r="F20" s="650">
        <f>+C20</f>
        <v>11934985.780000001</v>
      </c>
      <c r="G20" s="650"/>
      <c r="J20" s="842">
        <v>11934985.780000001</v>
      </c>
      <c r="K20" s="840">
        <v>0.60628350495967154</v>
      </c>
      <c r="L20" s="841" t="s">
        <v>76</v>
      </c>
      <c r="M20" s="842">
        <v>11934985.780000001</v>
      </c>
      <c r="N20" s="842"/>
      <c r="O20" s="830"/>
      <c r="Q20" s="842">
        <f t="shared" si="1"/>
        <v>0</v>
      </c>
      <c r="R20" s="840">
        <f t="shared" si="2"/>
        <v>0</v>
      </c>
      <c r="S20" s="841" t="s">
        <v>76</v>
      </c>
      <c r="T20" s="842">
        <f t="shared" si="2"/>
        <v>0</v>
      </c>
      <c r="U20" s="842"/>
      <c r="V20" s="830"/>
    </row>
    <row r="21" spans="1:22" x14ac:dyDescent="0.25">
      <c r="A21" s="127" t="s">
        <v>67</v>
      </c>
      <c r="B21" s="141" t="s">
        <v>132</v>
      </c>
      <c r="C21" s="650">
        <f>'SEF-15 Summary'!AA28</f>
        <v>7746401.1699999999</v>
      </c>
      <c r="D21" s="647">
        <f t="shared" si="3"/>
        <v>0.39350824028977605</v>
      </c>
      <c r="E21" s="648" t="s">
        <v>76</v>
      </c>
      <c r="F21" s="650">
        <f>+C21</f>
        <v>7746401.1699999999</v>
      </c>
      <c r="G21" s="650"/>
      <c r="J21" s="842">
        <v>7746401.1699999999</v>
      </c>
      <c r="K21" s="840">
        <v>0.39350824028977605</v>
      </c>
      <c r="L21" s="841" t="s">
        <v>76</v>
      </c>
      <c r="M21" s="842">
        <v>7746401.1699999999</v>
      </c>
      <c r="N21" s="842"/>
      <c r="O21" s="830"/>
      <c r="Q21" s="842">
        <f t="shared" si="1"/>
        <v>0</v>
      </c>
      <c r="R21" s="840">
        <f t="shared" si="2"/>
        <v>0</v>
      </c>
      <c r="S21" s="841" t="s">
        <v>76</v>
      </c>
      <c r="T21" s="842">
        <f t="shared" si="2"/>
        <v>0</v>
      </c>
      <c r="U21" s="842"/>
      <c r="V21" s="830"/>
    </row>
    <row r="22" spans="1:22" x14ac:dyDescent="0.25">
      <c r="A22" s="127" t="s">
        <v>68</v>
      </c>
      <c r="B22" s="141" t="s">
        <v>23</v>
      </c>
      <c r="C22" s="650">
        <f>'SEF-15 Summary'!AA29</f>
        <v>3609732</v>
      </c>
      <c r="D22" s="647">
        <f t="shared" si="3"/>
        <v>0.18337022006280806</v>
      </c>
      <c r="E22" s="648" t="s">
        <v>76</v>
      </c>
      <c r="F22" s="650">
        <f>+C22</f>
        <v>3609732</v>
      </c>
      <c r="G22" s="650"/>
      <c r="J22" s="842">
        <v>3609732</v>
      </c>
      <c r="K22" s="840">
        <v>0.18337022006280806</v>
      </c>
      <c r="L22" s="841" t="s">
        <v>76</v>
      </c>
      <c r="M22" s="842">
        <v>3609732</v>
      </c>
      <c r="N22" s="842"/>
      <c r="O22" s="830"/>
      <c r="Q22" s="842">
        <f t="shared" si="1"/>
        <v>0</v>
      </c>
      <c r="R22" s="840">
        <f t="shared" si="2"/>
        <v>0</v>
      </c>
      <c r="S22" s="841" t="s">
        <v>76</v>
      </c>
      <c r="T22" s="842">
        <f t="shared" si="2"/>
        <v>0</v>
      </c>
      <c r="U22" s="842"/>
      <c r="V22" s="830"/>
    </row>
    <row r="23" spans="1:22" x14ac:dyDescent="0.25">
      <c r="A23" s="127" t="s">
        <v>69</v>
      </c>
      <c r="B23" s="141" t="s">
        <v>58</v>
      </c>
      <c r="C23" s="650">
        <f>'SEF-15 Summary'!AA30</f>
        <v>821446.06780172628</v>
      </c>
      <c r="D23" s="647">
        <f t="shared" si="3"/>
        <v>4.1728512316850916E-2</v>
      </c>
      <c r="E23" s="648" t="s">
        <v>86</v>
      </c>
      <c r="F23" s="650"/>
      <c r="G23" s="650">
        <f>+C23</f>
        <v>821446.06780172628</v>
      </c>
      <c r="J23" s="842">
        <v>810486.93138415087</v>
      </c>
      <c r="K23" s="840">
        <v>4.117180083339754E-2</v>
      </c>
      <c r="L23" s="841" t="s">
        <v>86</v>
      </c>
      <c r="M23" s="842"/>
      <c r="N23" s="842">
        <v>810486.93138415087</v>
      </c>
      <c r="O23" s="830"/>
      <c r="Q23" s="842">
        <f t="shared" si="1"/>
        <v>10959.136417575413</v>
      </c>
      <c r="R23" s="840">
        <f t="shared" si="2"/>
        <v>5.5671148345337595E-4</v>
      </c>
      <c r="S23" s="841" t="s">
        <v>86</v>
      </c>
      <c r="T23" s="842"/>
      <c r="U23" s="842">
        <f t="shared" si="2"/>
        <v>10959.136417575413</v>
      </c>
      <c r="V23" s="830"/>
    </row>
    <row r="24" spans="1:22" x14ac:dyDescent="0.25">
      <c r="A24" s="127" t="s">
        <v>70</v>
      </c>
      <c r="B24" s="141" t="s">
        <v>71</v>
      </c>
      <c r="C24" s="650">
        <f>'SEF-15 Summary'!AA31</f>
        <v>2154161.64</v>
      </c>
      <c r="D24" s="647">
        <f t="shared" si="3"/>
        <v>0.1094289254652865</v>
      </c>
      <c r="E24" s="648" t="s">
        <v>76</v>
      </c>
      <c r="F24" s="650">
        <f>+C24</f>
        <v>2154161.64</v>
      </c>
      <c r="G24" s="650"/>
      <c r="J24" s="842">
        <v>2154161.64</v>
      </c>
      <c r="K24" s="840">
        <v>0.1094289254652865</v>
      </c>
      <c r="L24" s="841" t="s">
        <v>76</v>
      </c>
      <c r="M24" s="842">
        <v>2154161.64</v>
      </c>
      <c r="N24" s="842"/>
      <c r="O24" s="830"/>
      <c r="Q24" s="842">
        <f t="shared" si="1"/>
        <v>0</v>
      </c>
      <c r="R24" s="840">
        <f t="shared" si="2"/>
        <v>0</v>
      </c>
      <c r="S24" s="841" t="s">
        <v>76</v>
      </c>
      <c r="T24" s="842">
        <f t="shared" si="2"/>
        <v>0</v>
      </c>
      <c r="U24" s="842"/>
      <c r="V24" s="830"/>
    </row>
    <row r="25" spans="1:22" x14ac:dyDescent="0.25">
      <c r="A25" s="127" t="s">
        <v>133</v>
      </c>
      <c r="B25" s="141" t="s">
        <v>134</v>
      </c>
      <c r="C25" s="650">
        <f>'SEF-15 Summary'!AA32</f>
        <v>497854.02572839998</v>
      </c>
      <c r="D25" s="647">
        <f t="shared" si="3"/>
        <v>2.5290409996357517E-2</v>
      </c>
      <c r="E25" s="648" t="s">
        <v>86</v>
      </c>
      <c r="F25" s="650"/>
      <c r="G25" s="650">
        <f>+C25</f>
        <v>497854.02572839998</v>
      </c>
      <c r="I25" s="900">
        <f>G25/'[17]SEF-8 Table 2'!$E$9</f>
        <v>489608.8861653764</v>
      </c>
      <c r="J25" s="842">
        <v>497854.02572839998</v>
      </c>
      <c r="K25" s="840">
        <v>2.5290409996357517E-2</v>
      </c>
      <c r="L25" s="841" t="s">
        <v>86</v>
      </c>
      <c r="M25" s="842"/>
      <c r="N25" s="842">
        <v>497854.02572839998</v>
      </c>
      <c r="O25" s="830"/>
      <c r="Q25" s="842">
        <f t="shared" si="1"/>
        <v>0</v>
      </c>
      <c r="R25" s="840">
        <f t="shared" si="2"/>
        <v>0</v>
      </c>
      <c r="S25" s="841" t="s">
        <v>86</v>
      </c>
      <c r="T25" s="842"/>
      <c r="U25" s="842">
        <f t="shared" si="2"/>
        <v>0</v>
      </c>
      <c r="V25" s="830"/>
    </row>
    <row r="26" spans="1:22" x14ac:dyDescent="0.25">
      <c r="A26" s="127">
        <v>16</v>
      </c>
      <c r="B26" s="140" t="s">
        <v>184</v>
      </c>
      <c r="C26" s="650">
        <f>'SEF-15 Summary'!AA33</f>
        <v>157812663.18126956</v>
      </c>
      <c r="D26" s="647">
        <f t="shared" si="3"/>
        <v>8.0167011778844532</v>
      </c>
      <c r="E26" s="648" t="s">
        <v>86</v>
      </c>
      <c r="F26" s="650"/>
      <c r="G26" s="650">
        <f>+C26</f>
        <v>157812663.18126956</v>
      </c>
      <c r="I26" s="900">
        <f>G26/'[17]SEF-8 Table 2'!$E$9</f>
        <v>155199070.91225404</v>
      </c>
      <c r="J26" s="842">
        <v>146911812.44474319</v>
      </c>
      <c r="K26" s="840">
        <v>7.4629505397681992</v>
      </c>
      <c r="L26" s="841" t="s">
        <v>86</v>
      </c>
      <c r="M26" s="842"/>
      <c r="N26" s="842">
        <v>146911812.44474319</v>
      </c>
      <c r="O26" s="830"/>
      <c r="Q26" s="842">
        <f t="shared" si="1"/>
        <v>10900850.73652637</v>
      </c>
      <c r="R26" s="840">
        <f t="shared" si="2"/>
        <v>0.55375063811625402</v>
      </c>
      <c r="S26" s="841" t="s">
        <v>86</v>
      </c>
      <c r="T26" s="842"/>
      <c r="U26" s="842">
        <f t="shared" si="2"/>
        <v>10900850.73652637</v>
      </c>
      <c r="V26" s="830"/>
    </row>
    <row r="27" spans="1:22" x14ac:dyDescent="0.25">
      <c r="A27" s="127">
        <v>17</v>
      </c>
      <c r="B27" s="140" t="s">
        <v>185</v>
      </c>
      <c r="C27" s="650">
        <f>'SEF-15 Summary'!AA34</f>
        <v>130426363.52642131</v>
      </c>
      <c r="D27" s="647">
        <f t="shared" si="3"/>
        <v>6.6255087584983254</v>
      </c>
      <c r="E27" s="648" t="s">
        <v>86</v>
      </c>
      <c r="F27" s="650"/>
      <c r="G27" s="650">
        <f>+C27</f>
        <v>130426363.52642131</v>
      </c>
      <c r="I27" s="900">
        <f>G27/'[17]SEF-8 Table 2'!$E$9</f>
        <v>128266325.61490776</v>
      </c>
      <c r="J27" s="842">
        <v>130530696.03023741</v>
      </c>
      <c r="K27" s="840">
        <v>6.6308087292951781</v>
      </c>
      <c r="L27" s="841" t="s">
        <v>86</v>
      </c>
      <c r="M27" s="842"/>
      <c r="N27" s="842">
        <v>130530696.03023741</v>
      </c>
      <c r="O27" s="830"/>
      <c r="Q27" s="842">
        <f t="shared" si="1"/>
        <v>-104332.50381609797</v>
      </c>
      <c r="R27" s="840">
        <f t="shared" si="2"/>
        <v>-5.2999707968526266E-3</v>
      </c>
      <c r="S27" s="841" t="s">
        <v>86</v>
      </c>
      <c r="T27" s="842"/>
      <c r="U27" s="842">
        <f t="shared" si="2"/>
        <v>-104332.50381609797</v>
      </c>
      <c r="V27" s="830"/>
    </row>
    <row r="28" spans="1:22" x14ac:dyDescent="0.25">
      <c r="A28" s="127">
        <v>18</v>
      </c>
      <c r="B28" s="140" t="s">
        <v>197</v>
      </c>
      <c r="C28" s="650">
        <f>'SEF-15 Summary'!AA35</f>
        <v>-6515420.6045234576</v>
      </c>
      <c r="D28" s="647">
        <f t="shared" si="3"/>
        <v>-0.33097584808324287</v>
      </c>
      <c r="E28" s="648" t="s">
        <v>76</v>
      </c>
      <c r="F28" s="650">
        <f>+C28</f>
        <v>-6515420.6045234576</v>
      </c>
      <c r="G28" s="650"/>
      <c r="J28" s="842">
        <v>-6515420.6045234576</v>
      </c>
      <c r="K28" s="840">
        <v>-0.33097584808324287</v>
      </c>
      <c r="L28" s="841" t="s">
        <v>76</v>
      </c>
      <c r="M28" s="842">
        <v>-6515420.6045234576</v>
      </c>
      <c r="N28" s="842"/>
      <c r="O28" s="830"/>
      <c r="Q28" s="842">
        <f t="shared" si="1"/>
        <v>0</v>
      </c>
      <c r="R28" s="840">
        <f t="shared" si="2"/>
        <v>0</v>
      </c>
      <c r="S28" s="841" t="s">
        <v>76</v>
      </c>
      <c r="T28" s="842">
        <f t="shared" si="2"/>
        <v>0</v>
      </c>
      <c r="U28" s="842"/>
      <c r="V28" s="830"/>
    </row>
    <row r="29" spans="1:22" x14ac:dyDescent="0.25">
      <c r="A29" s="127">
        <v>19</v>
      </c>
      <c r="B29" s="140" t="s">
        <v>75</v>
      </c>
      <c r="C29" s="650">
        <f>'SEF-15 Summary'!AA36</f>
        <v>104512201.44835339</v>
      </c>
      <c r="D29" s="647">
        <f t="shared" si="3"/>
        <v>5.3090992292040209</v>
      </c>
      <c r="E29" s="648" t="s">
        <v>76</v>
      </c>
      <c r="F29" s="650">
        <f>+C29</f>
        <v>104512201.44835339</v>
      </c>
      <c r="G29" s="650"/>
      <c r="J29" s="842">
        <v>104512201.44835339</v>
      </c>
      <c r="K29" s="840">
        <v>5.3090992292040209</v>
      </c>
      <c r="L29" s="841" t="s">
        <v>76</v>
      </c>
      <c r="M29" s="842">
        <v>104512201.44835339</v>
      </c>
      <c r="N29" s="842"/>
      <c r="O29" s="830"/>
      <c r="Q29" s="842">
        <f t="shared" si="1"/>
        <v>0</v>
      </c>
      <c r="R29" s="840">
        <f t="shared" si="2"/>
        <v>0</v>
      </c>
      <c r="S29" s="841" t="s">
        <v>76</v>
      </c>
      <c r="T29" s="842">
        <f t="shared" si="2"/>
        <v>0</v>
      </c>
      <c r="U29" s="842"/>
      <c r="V29" s="830"/>
    </row>
    <row r="30" spans="1:22" x14ac:dyDescent="0.25">
      <c r="A30" s="127">
        <v>20</v>
      </c>
      <c r="B30" s="140" t="s">
        <v>34</v>
      </c>
      <c r="C30" s="650">
        <f>'SEF-15 Summary'!AA37</f>
        <v>-46984140.979123831</v>
      </c>
      <c r="D30" s="647">
        <f t="shared" si="3"/>
        <v>-2.3867401432582627</v>
      </c>
      <c r="E30" s="648" t="s">
        <v>86</v>
      </c>
      <c r="F30" s="650"/>
      <c r="G30" s="650">
        <f>+C30</f>
        <v>-46984140.979123831</v>
      </c>
      <c r="I30" s="900">
        <f>G30/'[17]SEF-8 Table 2'!$E$9</f>
        <v>-46206019.723490983</v>
      </c>
      <c r="J30" s="842">
        <v>-41318427.490881979</v>
      </c>
      <c r="K30" s="840">
        <v>-2.0989284361421312</v>
      </c>
      <c r="L30" s="841" t="s">
        <v>86</v>
      </c>
      <c r="M30" s="842"/>
      <c r="N30" s="842">
        <v>-41318427.490881979</v>
      </c>
      <c r="O30" s="830"/>
      <c r="Q30" s="842">
        <f t="shared" si="1"/>
        <v>-5665713.4882418513</v>
      </c>
      <c r="R30" s="840">
        <f t="shared" si="2"/>
        <v>-0.28781170711613147</v>
      </c>
      <c r="S30" s="841" t="s">
        <v>86</v>
      </c>
      <c r="T30" s="842"/>
      <c r="U30" s="842">
        <f t="shared" si="2"/>
        <v>-5665713.4882418513</v>
      </c>
      <c r="V30" s="830"/>
    </row>
    <row r="31" spans="1:22" x14ac:dyDescent="0.25">
      <c r="A31" s="127">
        <v>21</v>
      </c>
      <c r="B31" s="142" t="s">
        <v>100</v>
      </c>
      <c r="C31" s="650">
        <f>'SEF-15 Summary'!AA38</f>
        <v>-58610357.76504492</v>
      </c>
      <c r="D31" s="647">
        <f t="shared" si="3"/>
        <v>-2.9773385396301437</v>
      </c>
      <c r="E31" s="648" t="s">
        <v>86</v>
      </c>
      <c r="F31" s="650"/>
      <c r="G31" s="650">
        <f>+C31</f>
        <v>-58610357.76504492</v>
      </c>
      <c r="I31" s="900">
        <f>G31/'[17]SEF-8 Table 2'!$E$9</f>
        <v>-57639690.552091278</v>
      </c>
      <c r="J31" s="842">
        <v>-49932542.908260092</v>
      </c>
      <c r="K31" s="840">
        <v>-2.5365155588789583</v>
      </c>
      <c r="L31" s="841" t="s">
        <v>86</v>
      </c>
      <c r="M31" s="842"/>
      <c r="N31" s="842">
        <v>-49932542.908260092</v>
      </c>
      <c r="O31" s="830"/>
      <c r="Q31" s="842">
        <f t="shared" si="1"/>
        <v>-8677814.856784828</v>
      </c>
      <c r="R31" s="840">
        <f t="shared" si="2"/>
        <v>-0.44082298075118542</v>
      </c>
      <c r="S31" s="841" t="s">
        <v>86</v>
      </c>
      <c r="T31" s="842"/>
      <c r="U31" s="842">
        <f t="shared" si="2"/>
        <v>-8677814.856784828</v>
      </c>
      <c r="V31" s="830"/>
    </row>
    <row r="32" spans="1:22" x14ac:dyDescent="0.25">
      <c r="A32" s="127">
        <v>22</v>
      </c>
      <c r="B32" s="140" t="s">
        <v>0</v>
      </c>
      <c r="C32" s="650">
        <f>'SEF-15 Summary'!AA39</f>
        <v>728609.68</v>
      </c>
      <c r="D32" s="647">
        <f t="shared" si="3"/>
        <v>3.7012530947309157E-2</v>
      </c>
      <c r="E32" s="648" t="s">
        <v>76</v>
      </c>
      <c r="F32" s="650">
        <f>+C32</f>
        <v>728609.68</v>
      </c>
      <c r="G32" s="650"/>
      <c r="J32" s="842">
        <v>728609.68</v>
      </c>
      <c r="K32" s="840">
        <v>3.7012530947309157E-2</v>
      </c>
      <c r="L32" s="841" t="s">
        <v>76</v>
      </c>
      <c r="M32" s="842">
        <v>728609.68</v>
      </c>
      <c r="N32" s="842"/>
      <c r="O32" s="830"/>
      <c r="Q32" s="842">
        <f t="shared" si="1"/>
        <v>0</v>
      </c>
      <c r="R32" s="840">
        <f t="shared" si="2"/>
        <v>0</v>
      </c>
      <c r="S32" s="841" t="s">
        <v>76</v>
      </c>
      <c r="T32" s="842">
        <f t="shared" si="2"/>
        <v>0</v>
      </c>
      <c r="U32" s="842"/>
      <c r="V32" s="830"/>
    </row>
    <row r="33" spans="1:22" x14ac:dyDescent="0.25">
      <c r="A33" s="127">
        <v>23</v>
      </c>
      <c r="B33" s="143" t="s">
        <v>33</v>
      </c>
      <c r="C33" s="650">
        <f>'SEF-15 Summary'!AA40</f>
        <v>159249408.54267809</v>
      </c>
      <c r="D33" s="647">
        <f t="shared" si="3"/>
        <v>8.08968618427709</v>
      </c>
      <c r="E33" s="648" t="s">
        <v>76</v>
      </c>
      <c r="F33" s="650">
        <f>+C33</f>
        <v>159249408.54267809</v>
      </c>
      <c r="G33" s="650"/>
      <c r="J33" s="842">
        <v>159249408.54267809</v>
      </c>
      <c r="K33" s="840">
        <v>8.08968618427709</v>
      </c>
      <c r="L33" s="841" t="s">
        <v>76</v>
      </c>
      <c r="M33" s="842">
        <v>159249408.54267809</v>
      </c>
      <c r="N33" s="842"/>
      <c r="O33" s="830"/>
      <c r="Q33" s="842">
        <f t="shared" si="1"/>
        <v>0</v>
      </c>
      <c r="R33" s="840">
        <f t="shared" si="2"/>
        <v>0</v>
      </c>
      <c r="S33" s="841" t="s">
        <v>76</v>
      </c>
      <c r="T33" s="842">
        <f t="shared" si="2"/>
        <v>0</v>
      </c>
      <c r="U33" s="842"/>
      <c r="V33" s="830"/>
    </row>
    <row r="34" spans="1:22" x14ac:dyDescent="0.25">
      <c r="A34" s="127">
        <v>24</v>
      </c>
      <c r="B34" s="143" t="s">
        <v>2</v>
      </c>
      <c r="C34" s="650">
        <f>'SEF-15 Summary'!AA41</f>
        <v>3681678.9550089934</v>
      </c>
      <c r="D34" s="647">
        <f t="shared" si="3"/>
        <v>0.18702504235234316</v>
      </c>
      <c r="E34" s="648" t="s">
        <v>76</v>
      </c>
      <c r="F34" s="650">
        <f>+C34</f>
        <v>3681678.9550089934</v>
      </c>
      <c r="G34" s="650"/>
      <c r="J34" s="842">
        <v>3681678.9550089934</v>
      </c>
      <c r="K34" s="840">
        <v>0.18702504235234316</v>
      </c>
      <c r="L34" s="841" t="s">
        <v>76</v>
      </c>
      <c r="M34" s="842">
        <v>3681678.9550089934</v>
      </c>
      <c r="N34" s="842"/>
      <c r="O34" s="830"/>
      <c r="Q34" s="842">
        <f t="shared" si="1"/>
        <v>0</v>
      </c>
      <c r="R34" s="840">
        <f t="shared" si="2"/>
        <v>0</v>
      </c>
      <c r="S34" s="841" t="s">
        <v>76</v>
      </c>
      <c r="T34" s="842">
        <f t="shared" si="2"/>
        <v>0</v>
      </c>
      <c r="U34" s="842"/>
      <c r="V34" s="830"/>
    </row>
    <row r="35" spans="1:22" x14ac:dyDescent="0.25">
      <c r="A35" s="127">
        <v>25</v>
      </c>
      <c r="B35" s="143" t="s">
        <v>186</v>
      </c>
      <c r="C35" s="650">
        <f>'SEF-15 Summary'!AA42</f>
        <v>4185186.7148175016</v>
      </c>
      <c r="D35" s="647">
        <f t="shared" si="3"/>
        <v>0.21260265551570753</v>
      </c>
      <c r="E35" s="648" t="s">
        <v>76</v>
      </c>
      <c r="F35" s="650">
        <f>+C35</f>
        <v>4185186.7148175016</v>
      </c>
      <c r="G35" s="650"/>
      <c r="J35" s="842">
        <v>4185186.7148175016</v>
      </c>
      <c r="K35" s="840">
        <v>0.21260265551570753</v>
      </c>
      <c r="L35" s="841" t="s">
        <v>76</v>
      </c>
      <c r="M35" s="842">
        <v>4185186.7148175016</v>
      </c>
      <c r="N35" s="842"/>
      <c r="O35" s="830"/>
      <c r="Q35" s="842">
        <f t="shared" si="1"/>
        <v>0</v>
      </c>
      <c r="R35" s="840">
        <f t="shared" si="2"/>
        <v>0</v>
      </c>
      <c r="S35" s="841" t="s">
        <v>76</v>
      </c>
      <c r="T35" s="842">
        <f t="shared" si="2"/>
        <v>0</v>
      </c>
      <c r="U35" s="842"/>
      <c r="V35" s="830"/>
    </row>
    <row r="36" spans="1:22" ht="15.75" thickBot="1" x14ac:dyDescent="0.3">
      <c r="A36" s="127">
        <v>27</v>
      </c>
      <c r="B36" s="144" t="s">
        <v>12</v>
      </c>
      <c r="C36" s="657">
        <f>SUM(C14:C35)</f>
        <v>1197562465.5947134</v>
      </c>
      <c r="D36" s="658">
        <f>SUM(D14:D35)</f>
        <v>60.834791296157633</v>
      </c>
      <c r="E36" s="659"/>
      <c r="F36" s="660">
        <f>SUM(F14:F35)</f>
        <v>430163067.21888351</v>
      </c>
      <c r="G36" s="660">
        <f>SUM(G14:G35)</f>
        <v>767399398.37583029</v>
      </c>
      <c r="H36" s="123">
        <f>SUM(F36:G36)-C36</f>
        <v>0</v>
      </c>
      <c r="J36" s="843">
        <v>1192300468.3930399</v>
      </c>
      <c r="K36" s="844">
        <v>60.567487910521031</v>
      </c>
      <c r="L36" s="845"/>
      <c r="M36" s="846">
        <v>430163067.21888351</v>
      </c>
      <c r="N36" s="846">
        <v>762137401.17415667</v>
      </c>
      <c r="O36" s="847">
        <v>0</v>
      </c>
      <c r="Q36" s="843">
        <f t="shared" si="1"/>
        <v>5261997.2016735077</v>
      </c>
      <c r="R36" s="844">
        <f t="shared" si="2"/>
        <v>0.26730338563660183</v>
      </c>
      <c r="S36" s="845"/>
      <c r="T36" s="846">
        <f t="shared" si="2"/>
        <v>0</v>
      </c>
      <c r="U36" s="846">
        <f t="shared" si="2"/>
        <v>5261997.2016736269</v>
      </c>
      <c r="V36" s="847">
        <v>0</v>
      </c>
    </row>
    <row r="37" spans="1:22" x14ac:dyDescent="0.25">
      <c r="A37" s="127">
        <v>28</v>
      </c>
      <c r="B37" s="140" t="s">
        <v>3</v>
      </c>
      <c r="C37" s="662">
        <f>'SEF-15 Adjustments'!DB23</f>
        <v>0.95111500000000004</v>
      </c>
      <c r="D37" s="359">
        <f>+C36/C39-D36</f>
        <v>0</v>
      </c>
      <c r="E37" s="875" t="s">
        <v>421</v>
      </c>
      <c r="F37" s="665">
        <f>+C37</f>
        <v>0.95111500000000004</v>
      </c>
      <c r="G37" s="665">
        <f>+C37</f>
        <v>0.95111500000000004</v>
      </c>
      <c r="J37" s="848">
        <v>0.95111500000000004</v>
      </c>
      <c r="K37" s="849">
        <v>0</v>
      </c>
      <c r="L37" s="926" t="s">
        <v>421</v>
      </c>
      <c r="M37" s="851">
        <v>0.95111500000000004</v>
      </c>
      <c r="N37" s="851">
        <v>0.95111500000000004</v>
      </c>
      <c r="O37" s="830"/>
      <c r="Q37" s="848">
        <f t="shared" si="1"/>
        <v>0</v>
      </c>
      <c r="R37" s="849">
        <f t="shared" si="2"/>
        <v>0</v>
      </c>
      <c r="S37" s="850" t="s">
        <v>421</v>
      </c>
      <c r="T37" s="851">
        <f t="shared" si="2"/>
        <v>0</v>
      </c>
      <c r="U37" s="851">
        <f t="shared" si="2"/>
        <v>0</v>
      </c>
      <c r="V37" s="830"/>
    </row>
    <row r="38" spans="1:22" x14ac:dyDescent="0.25">
      <c r="A38" s="127">
        <v>29</v>
      </c>
      <c r="B38" s="140" t="s">
        <v>135</v>
      </c>
      <c r="C38" s="667">
        <f>+C36/C37</f>
        <v>1259114266.5132117</v>
      </c>
      <c r="D38" s="124"/>
      <c r="E38" s="650"/>
      <c r="F38" s="667">
        <f>+F36/F37</f>
        <v>452272403.67240924</v>
      </c>
      <c r="G38" s="667">
        <f>+G36/G37</f>
        <v>806841862.84080291</v>
      </c>
      <c r="H38" s="123">
        <f>SUM(F38:G38)-C38</f>
        <v>0</v>
      </c>
      <c r="J38" s="852">
        <v>1253581815.4408667</v>
      </c>
      <c r="K38" s="853"/>
      <c r="L38" s="842"/>
      <c r="M38" s="852">
        <v>452272403.67240924</v>
      </c>
      <c r="N38" s="852">
        <v>801309411.76845765</v>
      </c>
      <c r="O38" s="847">
        <v>0</v>
      </c>
      <c r="Q38" s="852">
        <f t="shared" si="1"/>
        <v>5532451.0723450184</v>
      </c>
      <c r="R38" s="853"/>
      <c r="S38" s="842"/>
      <c r="T38" s="852">
        <f t="shared" si="2"/>
        <v>0</v>
      </c>
      <c r="U38" s="852">
        <f t="shared" si="2"/>
        <v>5532451.0723452568</v>
      </c>
      <c r="V38" s="847">
        <v>0</v>
      </c>
    </row>
    <row r="39" spans="1:22" x14ac:dyDescent="0.25">
      <c r="A39" s="127">
        <v>30</v>
      </c>
      <c r="B39" s="140" t="s">
        <v>83</v>
      </c>
      <c r="C39" s="650">
        <f>+[1]ProdFctr!$F$25/1000</f>
        <v>19685486.54609016</v>
      </c>
      <c r="D39" s="650"/>
      <c r="E39" s="650"/>
      <c r="F39" s="888">
        <f>Deficiency!D20</f>
        <v>20365544.557714779</v>
      </c>
      <c r="G39" s="896" t="s">
        <v>790</v>
      </c>
      <c r="I39" s="895"/>
      <c r="J39" s="842">
        <v>19685486.54609016</v>
      </c>
      <c r="K39" s="842"/>
      <c r="L39" s="842"/>
      <c r="M39" s="927">
        <v>20365544.557714779</v>
      </c>
      <c r="N39" s="928" t="s">
        <v>790</v>
      </c>
      <c r="O39" s="830"/>
      <c r="Q39" s="842">
        <f t="shared" si="1"/>
        <v>0</v>
      </c>
      <c r="R39" s="842"/>
      <c r="S39" s="842"/>
      <c r="T39" s="842">
        <f t="shared" ref="T39" si="4">+F39-M39</f>
        <v>0</v>
      </c>
      <c r="U39" s="928"/>
      <c r="V39" s="830"/>
    </row>
    <row r="40" spans="1:22" x14ac:dyDescent="0.25">
      <c r="A40" s="122">
        <v>31</v>
      </c>
      <c r="B40" s="121"/>
      <c r="C40" s="358">
        <f>+'SEF-15 Summary'!AA44-C36</f>
        <v>0</v>
      </c>
      <c r="D40" s="875" t="s">
        <v>421</v>
      </c>
      <c r="E40" s="672"/>
      <c r="F40" s="924" t="s">
        <v>789</v>
      </c>
      <c r="G40" s="924"/>
      <c r="J40" s="854">
        <v>0</v>
      </c>
      <c r="K40" s="926" t="s">
        <v>421</v>
      </c>
      <c r="L40" s="855"/>
      <c r="M40" s="929" t="s">
        <v>789</v>
      </c>
      <c r="N40" s="929"/>
      <c r="O40" s="830"/>
      <c r="Q40" s="854">
        <v>0</v>
      </c>
      <c r="R40" s="850" t="s">
        <v>421</v>
      </c>
      <c r="S40" s="855"/>
      <c r="T40" s="929" t="s">
        <v>789</v>
      </c>
      <c r="U40" s="929"/>
      <c r="V40" s="830"/>
    </row>
    <row r="41" spans="1:22" x14ac:dyDescent="0.25">
      <c r="A41" s="122">
        <v>32</v>
      </c>
      <c r="B41" s="121"/>
      <c r="C41" s="675" t="s">
        <v>59</v>
      </c>
      <c r="D41" s="675" t="s">
        <v>60</v>
      </c>
      <c r="E41" s="675"/>
      <c r="F41" s="889" t="s">
        <v>59</v>
      </c>
      <c r="G41" s="889" t="s">
        <v>60</v>
      </c>
      <c r="J41" s="856" t="s">
        <v>59</v>
      </c>
      <c r="K41" s="856" t="s">
        <v>60</v>
      </c>
      <c r="L41" s="856"/>
      <c r="M41" s="856" t="s">
        <v>59</v>
      </c>
      <c r="N41" s="856" t="s">
        <v>60</v>
      </c>
      <c r="O41" s="830"/>
      <c r="Q41" s="856" t="s">
        <v>59</v>
      </c>
      <c r="R41" s="856" t="s">
        <v>60</v>
      </c>
      <c r="S41" s="856"/>
      <c r="T41" s="856" t="s">
        <v>59</v>
      </c>
      <c r="U41" s="856" t="s">
        <v>60</v>
      </c>
      <c r="V41" s="830"/>
    </row>
    <row r="42" spans="1:22" x14ac:dyDescent="0.25">
      <c r="A42" s="122">
        <v>33</v>
      </c>
      <c r="B42" s="121"/>
      <c r="C42" s="678" t="s">
        <v>61</v>
      </c>
      <c r="D42" s="678" t="s">
        <v>61</v>
      </c>
      <c r="E42" s="678"/>
      <c r="F42" s="890" t="s">
        <v>61</v>
      </c>
      <c r="G42" s="890" t="s">
        <v>61</v>
      </c>
      <c r="J42" s="857" t="s">
        <v>61</v>
      </c>
      <c r="K42" s="857" t="s">
        <v>61</v>
      </c>
      <c r="L42" s="857"/>
      <c r="M42" s="857" t="s">
        <v>61</v>
      </c>
      <c r="N42" s="857" t="s">
        <v>61</v>
      </c>
      <c r="O42" s="830"/>
      <c r="Q42" s="857" t="s">
        <v>61</v>
      </c>
      <c r="R42" s="857" t="s">
        <v>61</v>
      </c>
      <c r="S42" s="857"/>
      <c r="T42" s="857" t="s">
        <v>61</v>
      </c>
      <c r="U42" s="857" t="s">
        <v>61</v>
      </c>
      <c r="V42" s="830"/>
    </row>
    <row r="43" spans="1:22" x14ac:dyDescent="0.25">
      <c r="A43" s="122">
        <v>34</v>
      </c>
      <c r="B43" s="121"/>
      <c r="C43" s="681" t="s">
        <v>136</v>
      </c>
      <c r="D43" s="682"/>
      <c r="E43" s="682"/>
      <c r="F43" s="891" t="s">
        <v>136</v>
      </c>
      <c r="G43" s="892"/>
      <c r="J43" s="858" t="s">
        <v>136</v>
      </c>
      <c r="K43" s="859"/>
      <c r="L43" s="859"/>
      <c r="M43" s="858" t="s">
        <v>136</v>
      </c>
      <c r="N43" s="859"/>
      <c r="O43" s="830"/>
      <c r="Q43" s="858" t="s">
        <v>136</v>
      </c>
      <c r="R43" s="859"/>
      <c r="S43" s="859"/>
      <c r="T43" s="858" t="s">
        <v>136</v>
      </c>
      <c r="U43" s="859"/>
      <c r="V43" s="830"/>
    </row>
    <row r="44" spans="1:22" x14ac:dyDescent="0.25">
      <c r="A44" s="127">
        <v>35</v>
      </c>
      <c r="B44" s="140" t="s">
        <v>137</v>
      </c>
      <c r="C44" s="647">
        <f>D36</f>
        <v>60.834791296157633</v>
      </c>
      <c r="D44" s="647">
        <f>C44/$C$37</f>
        <v>63.961551753634026</v>
      </c>
      <c r="E44" s="684"/>
      <c r="F44" s="893">
        <f>+C36/F39</f>
        <v>58.803360852978443</v>
      </c>
      <c r="G44" s="893">
        <f>+C38/F39</f>
        <v>61.825710721604054</v>
      </c>
      <c r="I44" s="901"/>
      <c r="J44" s="840">
        <v>60.567487910521031</v>
      </c>
      <c r="K44" s="840">
        <v>63.680509623464069</v>
      </c>
      <c r="L44" s="860"/>
      <c r="M44" s="840">
        <v>58.544983416187527</v>
      </c>
      <c r="N44" s="840">
        <v>61.554053312362363</v>
      </c>
      <c r="O44" s="830"/>
      <c r="Q44" s="840">
        <f t="shared" ref="Q44:Q47" si="5">+C44-J44</f>
        <v>0.26730338563660183</v>
      </c>
      <c r="R44" s="840">
        <f t="shared" ref="R44:R47" si="6">+D44-K44</f>
        <v>0.28104213016995772</v>
      </c>
      <c r="S44" s="860"/>
      <c r="T44" s="840">
        <f t="shared" ref="T44:T48" si="7">+F44-M44</f>
        <v>0.25837743679091574</v>
      </c>
      <c r="U44" s="840">
        <f t="shared" ref="U44:U48" si="8">+G44-N44</f>
        <v>0.27165740924169057</v>
      </c>
      <c r="V44" s="830"/>
    </row>
    <row r="45" spans="1:22" ht="15.75" thickBot="1" x14ac:dyDescent="0.3">
      <c r="A45" s="127">
        <v>36</v>
      </c>
      <c r="B45" s="140" t="s">
        <v>138</v>
      </c>
      <c r="C45" s="873">
        <f>SUMIF(E14:E35,"F",D14:D35)</f>
        <v>21.851787417686175</v>
      </c>
      <c r="D45" s="873">
        <f>C45/C$37</f>
        <v>22.974916195923914</v>
      </c>
      <c r="E45" s="684"/>
      <c r="F45" s="894">
        <f>+F36/F39</f>
        <v>21.122099927150298</v>
      </c>
      <c r="G45" s="894">
        <f>+F38/F39</f>
        <v>22.207724541354409</v>
      </c>
      <c r="J45" s="861">
        <v>21.851787417686175</v>
      </c>
      <c r="K45" s="861">
        <v>22.974916195923914</v>
      </c>
      <c r="L45" s="860"/>
      <c r="M45" s="861">
        <v>21.122099927150298</v>
      </c>
      <c r="N45" s="861">
        <v>22.207724541354409</v>
      </c>
      <c r="O45" s="830"/>
      <c r="Q45" s="861">
        <f t="shared" si="5"/>
        <v>0</v>
      </c>
      <c r="R45" s="861">
        <f t="shared" si="6"/>
        <v>0</v>
      </c>
      <c r="S45" s="860"/>
      <c r="T45" s="861">
        <f t="shared" si="7"/>
        <v>0</v>
      </c>
      <c r="U45" s="861">
        <f t="shared" si="8"/>
        <v>0</v>
      </c>
      <c r="V45" s="830"/>
    </row>
    <row r="46" spans="1:22" ht="15.75" thickBot="1" x14ac:dyDescent="0.3">
      <c r="A46" s="127">
        <v>37</v>
      </c>
      <c r="B46" s="140" t="s">
        <v>139</v>
      </c>
      <c r="C46" s="647">
        <f>SUMIF(E14:E35,"V",D14:D35)</f>
        <v>38.983003878471457</v>
      </c>
      <c r="D46" s="688">
        <f>C46/C$37</f>
        <v>40.986635557710116</v>
      </c>
      <c r="E46" s="684"/>
      <c r="F46" s="893">
        <f>+G36/F39</f>
        <v>37.681260925828163</v>
      </c>
      <c r="G46" s="899">
        <f>+G38/F39</f>
        <v>39.617986180249666</v>
      </c>
      <c r="J46" s="840">
        <v>38.715700492834841</v>
      </c>
      <c r="K46" s="862">
        <v>40.705593427540137</v>
      </c>
      <c r="L46" s="860"/>
      <c r="M46" s="840">
        <v>37.42288348903724</v>
      </c>
      <c r="N46" s="930">
        <v>39.346328771007961</v>
      </c>
      <c r="O46" s="830"/>
      <c r="Q46" s="840">
        <f t="shared" si="5"/>
        <v>0.26730338563661604</v>
      </c>
      <c r="R46" s="862">
        <f t="shared" si="6"/>
        <v>0.28104213016997903</v>
      </c>
      <c r="S46" s="860"/>
      <c r="T46" s="840">
        <f t="shared" si="7"/>
        <v>0.25837743679092284</v>
      </c>
      <c r="U46" s="930">
        <f t="shared" si="8"/>
        <v>0.27165740924170478</v>
      </c>
      <c r="V46" s="830"/>
    </row>
    <row r="47" spans="1:22" x14ac:dyDescent="0.25">
      <c r="A47" s="127">
        <v>38</v>
      </c>
      <c r="B47" s="140" t="s">
        <v>137</v>
      </c>
      <c r="C47" s="873">
        <f>SUM(C45:C46)</f>
        <v>60.834791296157633</v>
      </c>
      <c r="D47" s="647">
        <f>SUM(D45:D46)</f>
        <v>63.961551753634026</v>
      </c>
      <c r="E47" s="684"/>
      <c r="F47" s="894">
        <f>SUM(F45:F46)</f>
        <v>58.803360852978457</v>
      </c>
      <c r="G47" s="893">
        <f>SUM(G45:G46)</f>
        <v>61.825710721604075</v>
      </c>
      <c r="J47" s="861">
        <v>60.567487910521017</v>
      </c>
      <c r="K47" s="840">
        <v>63.680509623464047</v>
      </c>
      <c r="L47" s="860"/>
      <c r="M47" s="861">
        <v>58.544983416187534</v>
      </c>
      <c r="N47" s="840">
        <v>61.55405331236237</v>
      </c>
      <c r="O47" s="830"/>
      <c r="Q47" s="861">
        <f t="shared" si="5"/>
        <v>0.26730338563661604</v>
      </c>
      <c r="R47" s="840">
        <f t="shared" si="6"/>
        <v>0.28104213016997903</v>
      </c>
      <c r="S47" s="860"/>
      <c r="T47" s="861">
        <f t="shared" si="7"/>
        <v>0.25837743679092284</v>
      </c>
      <c r="U47" s="840">
        <f t="shared" si="8"/>
        <v>0.27165740924170478</v>
      </c>
      <c r="V47" s="830"/>
    </row>
    <row r="48" spans="1:22" x14ac:dyDescent="0.25">
      <c r="A48" s="117"/>
      <c r="B48" s="120"/>
      <c r="C48" s="360">
        <f>+C47-C44</f>
        <v>0</v>
      </c>
      <c r="D48" s="360">
        <f>+D47-D44</f>
        <v>0</v>
      </c>
      <c r="E48" s="356" t="s">
        <v>791</v>
      </c>
      <c r="F48" s="360">
        <f>+F47-F44</f>
        <v>0</v>
      </c>
      <c r="G48" s="360">
        <f>+G47-G44</f>
        <v>0</v>
      </c>
      <c r="J48" s="863">
        <v>0</v>
      </c>
      <c r="K48" s="863">
        <v>0</v>
      </c>
      <c r="L48" s="850" t="s">
        <v>791</v>
      </c>
      <c r="M48" s="863">
        <v>0</v>
      </c>
      <c r="N48" s="863">
        <v>0</v>
      </c>
      <c r="O48" s="830"/>
      <c r="Q48" s="863">
        <v>0</v>
      </c>
      <c r="R48" s="863">
        <v>0</v>
      </c>
      <c r="S48" s="850" t="s">
        <v>421</v>
      </c>
      <c r="T48" s="863">
        <f t="shared" si="7"/>
        <v>0</v>
      </c>
      <c r="U48" s="863">
        <f t="shared" si="8"/>
        <v>0</v>
      </c>
      <c r="V48" s="830"/>
    </row>
    <row r="49" spans="1:21" x14ac:dyDescent="0.25">
      <c r="A49" s="117"/>
      <c r="B49" s="823"/>
      <c r="E49" s="119"/>
      <c r="F49" s="119"/>
      <c r="G49" s="119"/>
      <c r="Q49" s="1000"/>
    </row>
    <row r="50" spans="1:21" x14ac:dyDescent="0.25">
      <c r="A50" s="117"/>
      <c r="C50" s="1000"/>
      <c r="D50" s="1000"/>
      <c r="E50" s="119"/>
      <c r="F50" s="119"/>
      <c r="G50" s="119"/>
    </row>
    <row r="51" spans="1:21" x14ac:dyDescent="0.25">
      <c r="A51" s="117"/>
      <c r="B51"/>
      <c r="C51" s="887"/>
      <c r="D51"/>
      <c r="E51"/>
      <c r="F51"/>
      <c r="G51" s="119"/>
    </row>
    <row r="52" spans="1:21" x14ac:dyDescent="0.25">
      <c r="A52" s="117"/>
      <c r="B52"/>
      <c r="C52" s="270"/>
      <c r="D52"/>
      <c r="E52"/>
      <c r="F52"/>
      <c r="G52" s="119"/>
      <c r="U52" s="1000"/>
    </row>
    <row r="53" spans="1:21" x14ac:dyDescent="0.25">
      <c r="A53" s="117"/>
      <c r="B53"/>
      <c r="C53"/>
      <c r="D53"/>
      <c r="E53"/>
      <c r="F53"/>
      <c r="G53" s="119"/>
    </row>
    <row r="54" spans="1:21" x14ac:dyDescent="0.25">
      <c r="A54" s="117"/>
      <c r="B54"/>
      <c r="C54"/>
      <c r="D54"/>
      <c r="E54"/>
      <c r="F54"/>
      <c r="G54" s="119"/>
    </row>
    <row r="55" spans="1:21" x14ac:dyDescent="0.25">
      <c r="A55" s="117"/>
      <c r="B55"/>
      <c r="C55"/>
      <c r="D55"/>
      <c r="E55"/>
      <c r="F55"/>
      <c r="G55" s="119"/>
    </row>
    <row r="56" spans="1:21" x14ac:dyDescent="0.25">
      <c r="A56" s="117"/>
      <c r="B56"/>
      <c r="C56"/>
      <c r="D56"/>
      <c r="E56"/>
      <c r="F56"/>
      <c r="G56" s="119"/>
    </row>
    <row r="57" spans="1:21" x14ac:dyDescent="0.25">
      <c r="A57" s="117"/>
      <c r="B57"/>
      <c r="C57"/>
      <c r="D57"/>
      <c r="E57"/>
      <c r="F57"/>
      <c r="G57" s="119"/>
    </row>
    <row r="58" spans="1:21" x14ac:dyDescent="0.25">
      <c r="A58" s="117"/>
      <c r="B58"/>
      <c r="C58"/>
      <c r="D58"/>
      <c r="E58"/>
      <c r="F58"/>
      <c r="G58" s="119"/>
    </row>
    <row r="59" spans="1:21" x14ac:dyDescent="0.25">
      <c r="A59" s="117"/>
      <c r="B59"/>
      <c r="C59"/>
      <c r="D59"/>
      <c r="E59"/>
      <c r="F59"/>
    </row>
    <row r="60" spans="1:21" x14ac:dyDescent="0.25">
      <c r="A60" s="117"/>
      <c r="B60"/>
      <c r="C60"/>
      <c r="D60"/>
      <c r="E60"/>
      <c r="F60"/>
    </row>
    <row r="61" spans="1:21" x14ac:dyDescent="0.25">
      <c r="A61" s="117"/>
      <c r="B61"/>
      <c r="C61"/>
      <c r="D61"/>
      <c r="E61"/>
      <c r="F61"/>
    </row>
    <row r="62" spans="1:21" x14ac:dyDescent="0.25">
      <c r="A62" s="117"/>
      <c r="B62"/>
      <c r="C62"/>
      <c r="D62"/>
      <c r="E62"/>
      <c r="F62"/>
    </row>
    <row r="63" spans="1:21" x14ac:dyDescent="0.25">
      <c r="A63" s="117"/>
      <c r="B63"/>
      <c r="C63"/>
      <c r="D63"/>
      <c r="E63"/>
      <c r="F63"/>
    </row>
    <row r="64" spans="1:21" x14ac:dyDescent="0.25">
      <c r="A64" s="117"/>
      <c r="B64" s="119"/>
      <c r="C64" s="119"/>
      <c r="D64" s="119"/>
    </row>
    <row r="65" spans="1:4" x14ac:dyDescent="0.25">
      <c r="A65" s="117"/>
      <c r="B65" s="119"/>
      <c r="C65" s="119"/>
      <c r="D65" s="119"/>
    </row>
    <row r="66" spans="1:4" x14ac:dyDescent="0.25">
      <c r="A66" s="117"/>
      <c r="B66" s="119"/>
      <c r="C66" s="119"/>
      <c r="D66" s="119"/>
    </row>
    <row r="67" spans="1:4" x14ac:dyDescent="0.25">
      <c r="A67" s="117"/>
      <c r="B67" s="119"/>
      <c r="C67" s="119"/>
      <c r="D67" s="119"/>
    </row>
    <row r="68" spans="1:4" x14ac:dyDescent="0.25">
      <c r="A68" s="117"/>
      <c r="B68" s="119"/>
      <c r="C68" s="119"/>
      <c r="D68" s="119"/>
    </row>
    <row r="69" spans="1:4" x14ac:dyDescent="0.25">
      <c r="A69" s="117"/>
      <c r="B69" s="119"/>
      <c r="C69" s="119"/>
      <c r="D69" s="119"/>
    </row>
    <row r="70" spans="1:4" x14ac:dyDescent="0.25">
      <c r="A70" s="117"/>
      <c r="B70" s="119"/>
      <c r="C70" s="119"/>
      <c r="D70" s="119"/>
    </row>
    <row r="71" spans="1:4" x14ac:dyDescent="0.25">
      <c r="A71" s="117"/>
      <c r="B71" s="119"/>
      <c r="C71" s="119"/>
      <c r="D71" s="119"/>
    </row>
    <row r="72" spans="1:4" x14ac:dyDescent="0.25">
      <c r="A72" s="117"/>
      <c r="B72" s="119"/>
      <c r="C72" s="119"/>
      <c r="D72" s="119"/>
    </row>
    <row r="73" spans="1:4" x14ac:dyDescent="0.25">
      <c r="A73" s="117"/>
      <c r="B73" s="119"/>
      <c r="C73" s="119"/>
      <c r="D73" s="119"/>
    </row>
    <row r="74" spans="1:4" x14ac:dyDescent="0.25">
      <c r="A74" s="117"/>
      <c r="B74" s="119"/>
      <c r="C74" s="119"/>
      <c r="D74" s="119"/>
    </row>
    <row r="75" spans="1:4" x14ac:dyDescent="0.25">
      <c r="A75" s="117"/>
      <c r="B75" s="119"/>
      <c r="C75" s="119"/>
      <c r="D75" s="119"/>
    </row>
    <row r="76" spans="1:4" x14ac:dyDescent="0.25">
      <c r="A76" s="117"/>
      <c r="B76" s="119"/>
      <c r="C76" s="119"/>
      <c r="D76" s="119"/>
    </row>
    <row r="77" spans="1:4" x14ac:dyDescent="0.25">
      <c r="A77" s="117"/>
      <c r="B77" s="119"/>
      <c r="C77" s="119"/>
      <c r="D77" s="119"/>
    </row>
    <row r="78" spans="1:4" x14ac:dyDescent="0.25">
      <c r="A78" s="117"/>
      <c r="B78" s="119"/>
      <c r="C78" s="119"/>
      <c r="D78" s="119"/>
    </row>
    <row r="79" spans="1:4" x14ac:dyDescent="0.25">
      <c r="A79" s="117"/>
      <c r="B79" s="119"/>
      <c r="C79" s="119"/>
      <c r="D79" s="119"/>
    </row>
    <row r="80" spans="1:4" x14ac:dyDescent="0.25">
      <c r="A80" s="117"/>
      <c r="B80" s="119"/>
      <c r="C80" s="119"/>
      <c r="D80" s="119"/>
    </row>
    <row r="81" spans="1:4" x14ac:dyDescent="0.25">
      <c r="A81" s="117"/>
      <c r="B81" s="119"/>
      <c r="C81" s="119"/>
      <c r="D81" s="119"/>
    </row>
    <row r="82" spans="1:4" x14ac:dyDescent="0.25">
      <c r="A82" s="117"/>
      <c r="B82" s="119"/>
      <c r="C82" s="119"/>
      <c r="D82" s="119"/>
    </row>
    <row r="83" spans="1:4" x14ac:dyDescent="0.25">
      <c r="A83" s="117"/>
      <c r="C83" s="116"/>
      <c r="D83" s="116"/>
    </row>
    <row r="84" spans="1:4" x14ac:dyDescent="0.25">
      <c r="A84" s="117"/>
      <c r="C84" s="116"/>
      <c r="D84" s="116"/>
    </row>
    <row r="85" spans="1:4" x14ac:dyDescent="0.25">
      <c r="A85" s="117"/>
      <c r="C85" s="116"/>
      <c r="D85" s="116"/>
    </row>
    <row r="86" spans="1:4" x14ac:dyDescent="0.25">
      <c r="A86" s="117"/>
      <c r="C86" s="116"/>
      <c r="D86" s="116"/>
    </row>
    <row r="87" spans="1:4" x14ac:dyDescent="0.25">
      <c r="A87" s="117"/>
      <c r="C87" s="116"/>
      <c r="D87" s="116"/>
    </row>
    <row r="88" spans="1:4" x14ac:dyDescent="0.25">
      <c r="A88" s="117"/>
      <c r="C88" s="116"/>
      <c r="D88" s="116"/>
    </row>
    <row r="89" spans="1:4" x14ac:dyDescent="0.25">
      <c r="A89" s="117"/>
      <c r="C89" s="116"/>
      <c r="D89" s="116"/>
    </row>
    <row r="90" spans="1:4" x14ac:dyDescent="0.25">
      <c r="A90" s="117"/>
    </row>
    <row r="91" spans="1:4" x14ac:dyDescent="0.25">
      <c r="A91" s="117"/>
    </row>
    <row r="92" spans="1:4" x14ac:dyDescent="0.25">
      <c r="A92" s="117"/>
    </row>
    <row r="93" spans="1:4" x14ac:dyDescent="0.25">
      <c r="A93" s="117"/>
    </row>
    <row r="94" spans="1:4" x14ac:dyDescent="0.25">
      <c r="A94" s="117"/>
    </row>
    <row r="95" spans="1:4" x14ac:dyDescent="0.25">
      <c r="A95" s="117"/>
    </row>
    <row r="96" spans="1:4" x14ac:dyDescent="0.25">
      <c r="A96" s="117"/>
    </row>
    <row r="97" spans="1:1" x14ac:dyDescent="0.25">
      <c r="A97" s="117"/>
    </row>
    <row r="98" spans="1:1" x14ac:dyDescent="0.25">
      <c r="A98" s="117"/>
    </row>
    <row r="99" spans="1:1" x14ac:dyDescent="0.25">
      <c r="A99" s="117"/>
    </row>
    <row r="100" spans="1:1" x14ac:dyDescent="0.25">
      <c r="A100" s="117"/>
    </row>
    <row r="101" spans="1:1" x14ac:dyDescent="0.25">
      <c r="A101" s="117"/>
    </row>
    <row r="102" spans="1:1" x14ac:dyDescent="0.25">
      <c r="A102" s="117"/>
    </row>
    <row r="103" spans="1:1" x14ac:dyDescent="0.25">
      <c r="A103" s="117"/>
    </row>
    <row r="104" spans="1:1" x14ac:dyDescent="0.25">
      <c r="A104" s="117"/>
    </row>
    <row r="105" spans="1:1" x14ac:dyDescent="0.25">
      <c r="A105" s="117"/>
    </row>
    <row r="106" spans="1:1" x14ac:dyDescent="0.25">
      <c r="A106" s="117"/>
    </row>
    <row r="107" spans="1:1" x14ac:dyDescent="0.25">
      <c r="A107" s="117"/>
    </row>
    <row r="108" spans="1:1" x14ac:dyDescent="0.25">
      <c r="A108" s="117"/>
    </row>
    <row r="109" spans="1:1" x14ac:dyDescent="0.25">
      <c r="A109" s="117"/>
    </row>
    <row r="110" spans="1:1" x14ac:dyDescent="0.25">
      <c r="A110" s="117"/>
    </row>
    <row r="111" spans="1:1" x14ac:dyDescent="0.25">
      <c r="A111" s="117"/>
    </row>
    <row r="112" spans="1:1" x14ac:dyDescent="0.25">
      <c r="A112" s="117"/>
    </row>
    <row r="113" spans="1:1" x14ac:dyDescent="0.25">
      <c r="A113" s="117"/>
    </row>
    <row r="114" spans="1:1" x14ac:dyDescent="0.25">
      <c r="A114" s="117"/>
    </row>
    <row r="115" spans="1:1" x14ac:dyDescent="0.25">
      <c r="A115" s="117"/>
    </row>
    <row r="116" spans="1:1" x14ac:dyDescent="0.25">
      <c r="A116" s="117"/>
    </row>
    <row r="117" spans="1:1" x14ac:dyDescent="0.25">
      <c r="A117" s="117"/>
    </row>
    <row r="118" spans="1:1" x14ac:dyDescent="0.25">
      <c r="A118" s="117"/>
    </row>
    <row r="119" spans="1:1" x14ac:dyDescent="0.25">
      <c r="A119" s="117"/>
    </row>
    <row r="120" spans="1:1" x14ac:dyDescent="0.25">
      <c r="A120" s="117"/>
    </row>
    <row r="121" spans="1:1" x14ac:dyDescent="0.25">
      <c r="A121" s="117"/>
    </row>
    <row r="122" spans="1:1" x14ac:dyDescent="0.25">
      <c r="A122" s="117"/>
    </row>
    <row r="123" spans="1:1" x14ac:dyDescent="0.25">
      <c r="A123" s="117"/>
    </row>
    <row r="124" spans="1:1" x14ac:dyDescent="0.25">
      <c r="A124" s="117"/>
    </row>
    <row r="125" spans="1:1" x14ac:dyDescent="0.25">
      <c r="A125" s="117"/>
    </row>
    <row r="126" spans="1:1" x14ac:dyDescent="0.25">
      <c r="A126" s="117"/>
    </row>
    <row r="127" spans="1:1" x14ac:dyDescent="0.25">
      <c r="A127" s="117"/>
    </row>
    <row r="128" spans="1:1" x14ac:dyDescent="0.25">
      <c r="A128" s="117"/>
    </row>
    <row r="129" spans="1:1" x14ac:dyDescent="0.25">
      <c r="A129" s="117"/>
    </row>
    <row r="130" spans="1:1" x14ac:dyDescent="0.25">
      <c r="A130" s="117"/>
    </row>
  </sheetData>
  <printOptions horizontalCentered="1"/>
  <pageMargins left="0.5" right="0.25" top="0.75" bottom="0.75" header="0.3" footer="0.3"/>
  <pageSetup scale="78"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1"/>
  <sheetViews>
    <sheetView zoomScale="82" zoomScaleNormal="82" workbookViewId="0">
      <pane ySplit="3" topLeftCell="A4" activePane="bottomLeft" state="frozen"/>
      <selection pane="bottomLeft" activeCell="C17" sqref="C17"/>
    </sheetView>
  </sheetViews>
  <sheetFormatPr defaultColWidth="9.28515625" defaultRowHeight="14.25" x14ac:dyDescent="0.2"/>
  <cols>
    <col min="1" max="1" width="7.42578125" style="619" customWidth="1"/>
    <col min="2" max="2" width="43" style="619" customWidth="1"/>
    <col min="3" max="3" width="17.7109375" style="619" customWidth="1"/>
    <col min="4" max="4" width="13.28515625" style="619" bestFit="1" customWidth="1"/>
    <col min="5" max="5" width="5" style="619" bestFit="1" customWidth="1"/>
    <col min="6" max="6" width="15.7109375" style="619" bestFit="1" customWidth="1"/>
    <col min="7" max="7" width="17.7109375" style="619" customWidth="1"/>
    <col min="8" max="11" width="18.5703125" style="619" customWidth="1"/>
    <col min="12" max="16384" width="9.28515625" style="619"/>
  </cols>
  <sheetData>
    <row r="1" spans="1:7" ht="20.25" x14ac:dyDescent="0.3">
      <c r="A1" s="617" t="s">
        <v>93</v>
      </c>
      <c r="B1" s="618"/>
      <c r="C1" s="618"/>
      <c r="D1" s="618"/>
      <c r="E1" s="712"/>
      <c r="F1" s="712"/>
      <c r="G1" s="713"/>
    </row>
    <row r="2" spans="1:7" ht="20.25" x14ac:dyDescent="0.3">
      <c r="A2" s="621" t="s">
        <v>124</v>
      </c>
      <c r="B2" s="622"/>
      <c r="C2" s="622"/>
      <c r="D2" s="622"/>
      <c r="E2" s="622"/>
      <c r="F2" s="622"/>
      <c r="G2" s="623"/>
    </row>
    <row r="3" spans="1:7" ht="21" x14ac:dyDescent="0.35">
      <c r="A3" s="719" t="s">
        <v>684</v>
      </c>
      <c r="B3" s="624"/>
      <c r="C3" s="624"/>
      <c r="D3" s="624"/>
      <c r="E3" s="624"/>
      <c r="F3" s="624"/>
      <c r="G3" s="625"/>
    </row>
    <row r="4" spans="1:7" x14ac:dyDescent="0.2">
      <c r="A4" s="626"/>
      <c r="B4" s="622"/>
      <c r="C4" s="622"/>
      <c r="D4" s="622"/>
      <c r="E4" s="622"/>
      <c r="F4" s="622"/>
      <c r="G4" s="623"/>
    </row>
    <row r="5" spans="1:7" ht="15" x14ac:dyDescent="0.25">
      <c r="A5" s="626" t="s">
        <v>53</v>
      </c>
      <c r="B5" s="622"/>
      <c r="C5" s="627" t="s">
        <v>125</v>
      </c>
      <c r="D5" s="622"/>
      <c r="E5" s="622"/>
      <c r="F5" s="622"/>
      <c r="G5" s="623"/>
    </row>
    <row r="6" spans="1:7" x14ac:dyDescent="0.2">
      <c r="A6" s="628">
        <v>3</v>
      </c>
      <c r="B6" s="629" t="s">
        <v>179</v>
      </c>
      <c r="C6" s="630">
        <v>148923662.89445901</v>
      </c>
      <c r="D6" s="631"/>
      <c r="E6" s="631"/>
      <c r="F6" s="631"/>
      <c r="G6" s="632"/>
    </row>
    <row r="7" spans="1:7" x14ac:dyDescent="0.2">
      <c r="A7" s="628">
        <v>4</v>
      </c>
      <c r="B7" s="629" t="s">
        <v>180</v>
      </c>
      <c r="C7" s="633">
        <v>79202112.316321075</v>
      </c>
      <c r="D7" s="631"/>
      <c r="E7" s="631"/>
      <c r="F7" s="631"/>
      <c r="G7" s="632"/>
    </row>
    <row r="8" spans="1:7" x14ac:dyDescent="0.2">
      <c r="A8" s="628">
        <v>5</v>
      </c>
      <c r="B8" s="629" t="s">
        <v>181</v>
      </c>
      <c r="C8" s="633">
        <v>1692468635.3914154</v>
      </c>
      <c r="D8" s="631"/>
      <c r="E8" s="631"/>
      <c r="F8" s="631"/>
      <c r="G8" s="632"/>
    </row>
    <row r="9" spans="1:7" x14ac:dyDescent="0.2">
      <c r="A9" s="628">
        <f>+A8+1</f>
        <v>6</v>
      </c>
      <c r="B9" s="629"/>
      <c r="C9" s="634">
        <f>SUM(C6:C8)</f>
        <v>1920594410.6021955</v>
      </c>
      <c r="D9" s="631"/>
      <c r="E9" s="631"/>
      <c r="F9" s="631"/>
      <c r="G9" s="632"/>
    </row>
    <row r="10" spans="1:7" x14ac:dyDescent="0.2">
      <c r="A10" s="628">
        <v>7</v>
      </c>
      <c r="B10" s="635" t="s">
        <v>126</v>
      </c>
      <c r="C10" s="636">
        <v>6.8000000000000005E-2</v>
      </c>
      <c r="D10" s="637"/>
      <c r="E10" s="637"/>
      <c r="F10" s="638" t="s">
        <v>84</v>
      </c>
      <c r="G10" s="639" t="s">
        <v>85</v>
      </c>
    </row>
    <row r="11" spans="1:7" x14ac:dyDescent="0.2">
      <c r="A11" s="628">
        <f>+A10+1</f>
        <v>8</v>
      </c>
      <c r="B11" s="635"/>
      <c r="C11" s="636"/>
      <c r="D11" s="638" t="s">
        <v>54</v>
      </c>
      <c r="E11" s="638"/>
      <c r="F11" s="638" t="s">
        <v>127</v>
      </c>
      <c r="G11" s="639" t="s">
        <v>127</v>
      </c>
    </row>
    <row r="12" spans="1:7" x14ac:dyDescent="0.2">
      <c r="A12" s="628">
        <f>+A11+1</f>
        <v>9</v>
      </c>
      <c r="B12" s="640"/>
      <c r="C12" s="636"/>
      <c r="D12" s="641" t="s">
        <v>55</v>
      </c>
      <c r="E12" s="641"/>
      <c r="F12" s="642" t="s">
        <v>128</v>
      </c>
      <c r="G12" s="643" t="s">
        <v>129</v>
      </c>
    </row>
    <row r="13" spans="1:7" x14ac:dyDescent="0.2">
      <c r="A13" s="628" t="s">
        <v>72</v>
      </c>
      <c r="B13" s="635"/>
      <c r="C13" s="638" t="s">
        <v>62</v>
      </c>
      <c r="D13" s="644" t="s">
        <v>87</v>
      </c>
      <c r="E13" s="644" t="s">
        <v>96</v>
      </c>
      <c r="F13" s="644" t="s">
        <v>130</v>
      </c>
      <c r="G13" s="645" t="s">
        <v>131</v>
      </c>
    </row>
    <row r="14" spans="1:7" x14ac:dyDescent="0.2">
      <c r="A14" s="628">
        <v>10</v>
      </c>
      <c r="B14" s="635" t="s">
        <v>73</v>
      </c>
      <c r="C14" s="646">
        <f>(C6*C$10/0.79)</f>
        <v>12818745.666864827</v>
      </c>
      <c r="D14" s="647">
        <v>0.624</v>
      </c>
      <c r="E14" s="648" t="s">
        <v>76</v>
      </c>
      <c r="F14" s="646">
        <f>+C14</f>
        <v>12818745.666864827</v>
      </c>
      <c r="G14" s="649"/>
    </row>
    <row r="15" spans="1:7" x14ac:dyDescent="0.2">
      <c r="A15" s="628" t="s">
        <v>94</v>
      </c>
      <c r="B15" s="635" t="s">
        <v>95</v>
      </c>
      <c r="C15" s="650">
        <v>3913502.79561463</v>
      </c>
      <c r="D15" s="647">
        <v>0.191</v>
      </c>
      <c r="E15" s="648" t="s">
        <v>86</v>
      </c>
      <c r="F15" s="650"/>
      <c r="G15" s="651">
        <f>+C15</f>
        <v>3913502.79561463</v>
      </c>
    </row>
    <row r="16" spans="1:7" x14ac:dyDescent="0.2">
      <c r="A16" s="628">
        <v>11</v>
      </c>
      <c r="B16" s="652" t="s">
        <v>31</v>
      </c>
      <c r="C16" s="650">
        <v>6817397.0095061176</v>
      </c>
      <c r="D16" s="647">
        <v>0.33200000000000002</v>
      </c>
      <c r="E16" s="648" t="s">
        <v>76</v>
      </c>
      <c r="F16" s="650">
        <f>+C16</f>
        <v>6817397.0095061176</v>
      </c>
      <c r="G16" s="651"/>
    </row>
    <row r="17" spans="1:7" x14ac:dyDescent="0.2">
      <c r="A17" s="628">
        <v>12</v>
      </c>
      <c r="B17" s="652" t="s">
        <v>32</v>
      </c>
      <c r="C17" s="650">
        <v>145680844.56533703</v>
      </c>
      <c r="D17" s="647">
        <v>7.0940000000000003</v>
      </c>
      <c r="E17" s="648" t="s">
        <v>76</v>
      </c>
      <c r="F17" s="650">
        <f>+C17</f>
        <v>145680844.56533703</v>
      </c>
      <c r="G17" s="651"/>
    </row>
    <row r="18" spans="1:7" x14ac:dyDescent="0.2">
      <c r="A18" s="628">
        <v>13</v>
      </c>
      <c r="B18" s="652" t="s">
        <v>182</v>
      </c>
      <c r="C18" s="650">
        <v>37089392.406405531</v>
      </c>
      <c r="D18" s="647">
        <v>1.806</v>
      </c>
      <c r="E18" s="648" t="s">
        <v>86</v>
      </c>
      <c r="F18" s="650"/>
      <c r="G18" s="651">
        <f>+C18</f>
        <v>37089392.406405531</v>
      </c>
    </row>
    <row r="19" spans="1:7" x14ac:dyDescent="0.2">
      <c r="A19" s="628">
        <v>14</v>
      </c>
      <c r="B19" s="652" t="s">
        <v>183</v>
      </c>
      <c r="C19" s="650">
        <v>468639005.35613108</v>
      </c>
      <c r="D19" s="647">
        <v>22.821000000000002</v>
      </c>
      <c r="E19" s="648" t="s">
        <v>86</v>
      </c>
      <c r="F19" s="650"/>
      <c r="G19" s="651">
        <f>+C19</f>
        <v>468639005.35613108</v>
      </c>
    </row>
    <row r="20" spans="1:7" x14ac:dyDescent="0.2">
      <c r="A20" s="628">
        <v>15</v>
      </c>
      <c r="B20" s="652" t="s">
        <v>30</v>
      </c>
      <c r="C20" s="650">
        <v>8072158.7332714284</v>
      </c>
      <c r="D20" s="647">
        <v>0.39300000000000002</v>
      </c>
      <c r="E20" s="648" t="s">
        <v>76</v>
      </c>
      <c r="F20" s="650">
        <f>+C20</f>
        <v>8072158.7332714284</v>
      </c>
      <c r="G20" s="651"/>
    </row>
    <row r="21" spans="1:7" x14ac:dyDescent="0.2">
      <c r="A21" s="628" t="s">
        <v>67</v>
      </c>
      <c r="B21" s="653" t="s">
        <v>132</v>
      </c>
      <c r="C21" s="650">
        <v>8840460.579817621</v>
      </c>
      <c r="D21" s="647">
        <v>0.43</v>
      </c>
      <c r="E21" s="648" t="s">
        <v>76</v>
      </c>
      <c r="F21" s="650">
        <f>+C21</f>
        <v>8840460.579817621</v>
      </c>
      <c r="G21" s="651"/>
    </row>
    <row r="22" spans="1:7" x14ac:dyDescent="0.2">
      <c r="A22" s="628" t="s">
        <v>68</v>
      </c>
      <c r="B22" s="653" t="s">
        <v>23</v>
      </c>
      <c r="C22" s="650">
        <v>3895439.2738404199</v>
      </c>
      <c r="D22" s="647">
        <v>0.19</v>
      </c>
      <c r="E22" s="648" t="s">
        <v>76</v>
      </c>
      <c r="F22" s="650">
        <f>+C22</f>
        <v>3895439.2738404199</v>
      </c>
      <c r="G22" s="651"/>
    </row>
    <row r="23" spans="1:7" x14ac:dyDescent="0.2">
      <c r="A23" s="628" t="s">
        <v>69</v>
      </c>
      <c r="B23" s="653" t="s">
        <v>58</v>
      </c>
      <c r="C23" s="650">
        <v>766379.13641918893</v>
      </c>
      <c r="D23" s="647">
        <v>3.6999999999999998E-2</v>
      </c>
      <c r="E23" s="648" t="s">
        <v>86</v>
      </c>
      <c r="F23" s="650"/>
      <c r="G23" s="651">
        <f>+C23</f>
        <v>766379.13641918893</v>
      </c>
    </row>
    <row r="24" spans="1:7" x14ac:dyDescent="0.2">
      <c r="A24" s="628" t="s">
        <v>70</v>
      </c>
      <c r="B24" s="653" t="s">
        <v>71</v>
      </c>
      <c r="C24" s="650">
        <v>1989467.6013443223</v>
      </c>
      <c r="D24" s="647">
        <v>9.7000000000000003E-2</v>
      </c>
      <c r="E24" s="648" t="s">
        <v>76</v>
      </c>
      <c r="F24" s="650">
        <f>+C24</f>
        <v>1989467.6013443223</v>
      </c>
      <c r="G24" s="651"/>
    </row>
    <row r="25" spans="1:7" x14ac:dyDescent="0.2">
      <c r="A25" s="628" t="s">
        <v>133</v>
      </c>
      <c r="B25" s="653" t="s">
        <v>134</v>
      </c>
      <c r="C25" s="650">
        <v>426928.32671306725</v>
      </c>
      <c r="D25" s="647">
        <v>2.1000000000000001E-2</v>
      </c>
      <c r="E25" s="648" t="s">
        <v>86</v>
      </c>
      <c r="F25" s="650"/>
      <c r="G25" s="651">
        <f>+C25</f>
        <v>426928.32671306725</v>
      </c>
    </row>
    <row r="26" spans="1:7" x14ac:dyDescent="0.2">
      <c r="A26" s="628">
        <v>16</v>
      </c>
      <c r="B26" s="652" t="s">
        <v>184</v>
      </c>
      <c r="C26" s="650">
        <v>126925932.5832969</v>
      </c>
      <c r="D26" s="647">
        <v>6.181</v>
      </c>
      <c r="E26" s="648" t="s">
        <v>86</v>
      </c>
      <c r="F26" s="650"/>
      <c r="G26" s="651">
        <f>+C26</f>
        <v>126925932.5832969</v>
      </c>
    </row>
    <row r="27" spans="1:7" x14ac:dyDescent="0.2">
      <c r="A27" s="628">
        <v>17</v>
      </c>
      <c r="B27" s="652" t="s">
        <v>185</v>
      </c>
      <c r="C27" s="650">
        <v>112486392.77130413</v>
      </c>
      <c r="D27" s="647">
        <v>5.4779999999999998</v>
      </c>
      <c r="E27" s="648" t="s">
        <v>86</v>
      </c>
      <c r="F27" s="650"/>
      <c r="G27" s="651">
        <f>+C27</f>
        <v>112486392.77130413</v>
      </c>
    </row>
    <row r="28" spans="1:7" x14ac:dyDescent="0.2">
      <c r="A28" s="628">
        <v>18</v>
      </c>
      <c r="B28" s="652" t="s">
        <v>57</v>
      </c>
      <c r="C28" s="650">
        <v>-8666881.7085096519</v>
      </c>
      <c r="D28" s="647">
        <v>-0.42199999999999999</v>
      </c>
      <c r="E28" s="648" t="s">
        <v>76</v>
      </c>
      <c r="F28" s="650">
        <f>+C28</f>
        <v>-8666881.7085096519</v>
      </c>
      <c r="G28" s="651"/>
    </row>
    <row r="29" spans="1:7" x14ac:dyDescent="0.2">
      <c r="A29" s="628">
        <v>19</v>
      </c>
      <c r="B29" s="652" t="s">
        <v>75</v>
      </c>
      <c r="C29" s="650">
        <v>108205898.55701637</v>
      </c>
      <c r="D29" s="647">
        <v>5.2690000000000001</v>
      </c>
      <c r="E29" s="648" t="s">
        <v>76</v>
      </c>
      <c r="F29" s="650">
        <f>+C29</f>
        <v>108205898.55701637</v>
      </c>
      <c r="G29" s="651"/>
    </row>
    <row r="30" spans="1:7" x14ac:dyDescent="0.2">
      <c r="A30" s="628">
        <v>20</v>
      </c>
      <c r="B30" s="652" t="s">
        <v>34</v>
      </c>
      <c r="C30" s="650">
        <v>-9043639.2224400043</v>
      </c>
      <c r="D30" s="647">
        <v>-0.44</v>
      </c>
      <c r="E30" s="648" t="s">
        <v>86</v>
      </c>
      <c r="F30" s="650"/>
      <c r="G30" s="651">
        <f>+C30</f>
        <v>-9043639.2224400043</v>
      </c>
    </row>
    <row r="31" spans="1:7" x14ac:dyDescent="0.2">
      <c r="A31" s="628">
        <v>21</v>
      </c>
      <c r="B31" s="654" t="s">
        <v>100</v>
      </c>
      <c r="C31" s="650">
        <v>-27552250.181711692</v>
      </c>
      <c r="D31" s="647">
        <v>-1.3420000000000001</v>
      </c>
      <c r="E31" s="648" t="s">
        <v>86</v>
      </c>
      <c r="F31" s="650"/>
      <c r="G31" s="651">
        <f>+C31</f>
        <v>-27552250.181711692</v>
      </c>
    </row>
    <row r="32" spans="1:7" x14ac:dyDescent="0.2">
      <c r="A32" s="628">
        <v>22</v>
      </c>
      <c r="B32" s="652" t="s">
        <v>0</v>
      </c>
      <c r="C32" s="650">
        <v>876514.03</v>
      </c>
      <c r="D32" s="647">
        <v>4.2999999999999997E-2</v>
      </c>
      <c r="E32" s="648" t="s">
        <v>76</v>
      </c>
      <c r="F32" s="650">
        <f>+C32</f>
        <v>876514.03</v>
      </c>
      <c r="G32" s="651"/>
    </row>
    <row r="33" spans="1:7" x14ac:dyDescent="0.2">
      <c r="A33" s="628">
        <v>23</v>
      </c>
      <c r="B33" s="655" t="s">
        <v>33</v>
      </c>
      <c r="C33" s="650">
        <v>155106180.2892209</v>
      </c>
      <c r="D33" s="647">
        <v>7.5529999999999999</v>
      </c>
      <c r="E33" s="648" t="s">
        <v>76</v>
      </c>
      <c r="F33" s="650">
        <f>+C33</f>
        <v>155106180.2892209</v>
      </c>
      <c r="G33" s="651"/>
    </row>
    <row r="34" spans="1:7" x14ac:dyDescent="0.2">
      <c r="A34" s="628">
        <v>24</v>
      </c>
      <c r="B34" s="655" t="s">
        <v>2</v>
      </c>
      <c r="C34" s="650">
        <v>3531950.8300239993</v>
      </c>
      <c r="D34" s="647">
        <v>0.17199999999999999</v>
      </c>
      <c r="E34" s="648" t="s">
        <v>76</v>
      </c>
      <c r="F34" s="650">
        <f>+C34</f>
        <v>3531950.8300239993</v>
      </c>
      <c r="G34" s="651"/>
    </row>
    <row r="35" spans="1:7" x14ac:dyDescent="0.2">
      <c r="A35" s="628">
        <v>25</v>
      </c>
      <c r="B35" s="655" t="s">
        <v>186</v>
      </c>
      <c r="C35" s="650">
        <v>8031923.03318753</v>
      </c>
      <c r="D35" s="647">
        <v>0.39100000000000001</v>
      </c>
      <c r="E35" s="648" t="s">
        <v>76</v>
      </c>
      <c r="F35" s="650">
        <f>+C35</f>
        <v>8031923.03318753</v>
      </c>
      <c r="G35" s="651"/>
    </row>
    <row r="36" spans="1:7" ht="15" thickBot="1" x14ac:dyDescent="0.25">
      <c r="A36" s="628">
        <v>27</v>
      </c>
      <c r="B36" s="656" t="s">
        <v>12</v>
      </c>
      <c r="C36" s="657">
        <f>SUM(C14:C35)</f>
        <v>1168851742.4326539</v>
      </c>
      <c r="D36" s="658">
        <f>SUM(D14:D35)</f>
        <v>56.918999999999997</v>
      </c>
      <c r="E36" s="659"/>
      <c r="F36" s="660">
        <f>SUM(F14:F35)</f>
        <v>455200098.46092093</v>
      </c>
      <c r="G36" s="661">
        <f>SUM(G14:G35)</f>
        <v>713651643.97173285</v>
      </c>
    </row>
    <row r="37" spans="1:7" ht="15" x14ac:dyDescent="0.25">
      <c r="A37" s="628">
        <v>28</v>
      </c>
      <c r="B37" s="652" t="s">
        <v>3</v>
      </c>
      <c r="C37" s="662">
        <v>0.95111500000000004</v>
      </c>
      <c r="D37" s="663"/>
      <c r="E37" s="664"/>
      <c r="F37" s="665">
        <f>+C37</f>
        <v>0.95111500000000004</v>
      </c>
      <c r="G37" s="666">
        <f>+C37</f>
        <v>0.95111500000000004</v>
      </c>
    </row>
    <row r="38" spans="1:7" ht="15" x14ac:dyDescent="0.25">
      <c r="A38" s="628">
        <v>29</v>
      </c>
      <c r="B38" s="652" t="s">
        <v>135</v>
      </c>
      <c r="C38" s="667">
        <f>+C36/C37</f>
        <v>1228927881.9413571</v>
      </c>
      <c r="D38" s="663"/>
      <c r="E38" s="650"/>
      <c r="F38" s="667">
        <f>+F36/F37</f>
        <v>478596277.48581499</v>
      </c>
      <c r="G38" s="668">
        <f>+G36/G37</f>
        <v>750331604.45554197</v>
      </c>
    </row>
    <row r="39" spans="1:7" x14ac:dyDescent="0.2">
      <c r="A39" s="628">
        <v>30</v>
      </c>
      <c r="B39" s="669" t="s">
        <v>83</v>
      </c>
      <c r="C39" s="650">
        <v>20535748.503355935</v>
      </c>
      <c r="D39" s="650"/>
      <c r="E39" s="650"/>
      <c r="F39" s="669"/>
      <c r="G39" s="670"/>
    </row>
    <row r="40" spans="1:7" x14ac:dyDescent="0.2">
      <c r="A40" s="628">
        <v>31</v>
      </c>
      <c r="B40" s="671"/>
      <c r="C40" s="671"/>
      <c r="D40" s="672"/>
      <c r="E40" s="672"/>
      <c r="F40" s="673"/>
      <c r="G40" s="674"/>
    </row>
    <row r="41" spans="1:7" x14ac:dyDescent="0.2">
      <c r="A41" s="628">
        <v>32</v>
      </c>
      <c r="B41" s="671"/>
      <c r="C41" s="675" t="s">
        <v>59</v>
      </c>
      <c r="D41" s="675" t="s">
        <v>60</v>
      </c>
      <c r="E41" s="675"/>
      <c r="F41" s="676"/>
      <c r="G41" s="677"/>
    </row>
    <row r="42" spans="1:7" x14ac:dyDescent="0.2">
      <c r="A42" s="628">
        <v>33</v>
      </c>
      <c r="B42" s="671"/>
      <c r="C42" s="678" t="s">
        <v>61</v>
      </c>
      <c r="D42" s="678" t="s">
        <v>61</v>
      </c>
      <c r="E42" s="678"/>
      <c r="F42" s="679"/>
      <c r="G42" s="680"/>
    </row>
    <row r="43" spans="1:7" x14ac:dyDescent="0.2">
      <c r="A43" s="628">
        <v>34</v>
      </c>
      <c r="B43" s="671"/>
      <c r="C43" s="681" t="s">
        <v>136</v>
      </c>
      <c r="D43" s="682"/>
      <c r="E43" s="682"/>
      <c r="F43" s="675"/>
      <c r="G43" s="683"/>
    </row>
    <row r="44" spans="1:7" x14ac:dyDescent="0.2">
      <c r="A44" s="628">
        <v>35</v>
      </c>
      <c r="B44" s="669" t="s">
        <v>137</v>
      </c>
      <c r="C44" s="647">
        <f>D36</f>
        <v>56.918999999999997</v>
      </c>
      <c r="D44" s="647">
        <f>ROUND(C44/C$37,3)</f>
        <v>59.844000000000001</v>
      </c>
      <c r="E44" s="684"/>
      <c r="F44" s="684"/>
      <c r="G44" s="685"/>
    </row>
    <row r="45" spans="1:7" x14ac:dyDescent="0.2">
      <c r="A45" s="628">
        <v>36</v>
      </c>
      <c r="B45" s="669" t="s">
        <v>138</v>
      </c>
      <c r="C45" s="647">
        <f>ROUND(SUM(D14,D16:D17,D20:D22,D24,D28:D29,D32:D35),3)</f>
        <v>22.166</v>
      </c>
      <c r="D45" s="647">
        <f>ROUND(C45/C$37,3)</f>
        <v>23.305</v>
      </c>
      <c r="E45" s="684"/>
      <c r="F45" s="686"/>
      <c r="G45" s="687"/>
    </row>
    <row r="46" spans="1:7" x14ac:dyDescent="0.2">
      <c r="A46" s="628">
        <v>37</v>
      </c>
      <c r="B46" s="669" t="s">
        <v>139</v>
      </c>
      <c r="C46" s="688">
        <f>ROUND(SUM(D15,D18:D19,D23,D25:D27,D30:D31),3)</f>
        <v>34.753</v>
      </c>
      <c r="D46" s="688">
        <f>ROUND(C46/C$37,3)</f>
        <v>36.539000000000001</v>
      </c>
      <c r="E46" s="684"/>
      <c r="F46" s="686"/>
      <c r="G46" s="687"/>
    </row>
    <row r="47" spans="1:7" x14ac:dyDescent="0.2">
      <c r="A47" s="628">
        <v>38</v>
      </c>
      <c r="B47" s="669" t="s">
        <v>137</v>
      </c>
      <c r="C47" s="647">
        <f>SUM(C45:C46)</f>
        <v>56.918999999999997</v>
      </c>
      <c r="D47" s="647">
        <f>SUM(D45:D46)</f>
        <v>59.844000000000001</v>
      </c>
      <c r="E47" s="684"/>
      <c r="F47" s="684"/>
      <c r="G47" s="685"/>
    </row>
    <row r="48" spans="1:7" x14ac:dyDescent="0.2">
      <c r="A48" s="689"/>
      <c r="B48" s="690"/>
      <c r="C48" s="690"/>
      <c r="D48" s="690"/>
      <c r="E48" s="690"/>
      <c r="F48" s="690"/>
      <c r="G48" s="691"/>
    </row>
    <row r="49" spans="1:7" ht="15" x14ac:dyDescent="0.25">
      <c r="A49" s="692"/>
      <c r="B49" s="693"/>
      <c r="E49" s="694"/>
      <c r="F49" s="694"/>
      <c r="G49" s="694"/>
    </row>
    <row r="50" spans="1:7" ht="15" x14ac:dyDescent="0.25">
      <c r="A50" s="692"/>
      <c r="E50" s="694"/>
      <c r="F50" s="694"/>
      <c r="G50" s="694"/>
    </row>
    <row r="51" spans="1:7" ht="15.75" thickBot="1" x14ac:dyDescent="0.3">
      <c r="A51" s="692"/>
      <c r="B51" s="695"/>
      <c r="C51" s="696"/>
      <c r="D51" s="697" t="s">
        <v>56</v>
      </c>
      <c r="E51" s="694"/>
      <c r="F51" s="694"/>
      <c r="G51" s="694"/>
    </row>
    <row r="52" spans="1:7" ht="15" x14ac:dyDescent="0.25">
      <c r="A52" s="692"/>
      <c r="B52" s="698" t="s">
        <v>140</v>
      </c>
      <c r="C52" s="699" t="s">
        <v>141</v>
      </c>
      <c r="D52" s="700" t="s">
        <v>142</v>
      </c>
      <c r="E52" s="694"/>
      <c r="F52" s="694"/>
      <c r="G52" s="694"/>
    </row>
    <row r="53" spans="1:7" ht="15" x14ac:dyDescent="0.25">
      <c r="A53" s="692"/>
      <c r="B53" s="701" t="s">
        <v>52</v>
      </c>
      <c r="C53" s="702">
        <v>407</v>
      </c>
      <c r="D53" s="703">
        <v>4459451.03318753</v>
      </c>
      <c r="E53" s="694"/>
      <c r="F53" s="694"/>
      <c r="G53" s="694"/>
    </row>
    <row r="54" spans="1:7" ht="15" x14ac:dyDescent="0.25">
      <c r="A54" s="692"/>
      <c r="B54" s="704" t="s">
        <v>81</v>
      </c>
      <c r="C54" s="697">
        <v>407.3</v>
      </c>
      <c r="D54" s="705">
        <v>687420</v>
      </c>
      <c r="E54" s="694"/>
      <c r="F54" s="694"/>
      <c r="G54" s="694"/>
    </row>
    <row r="55" spans="1:7" ht="15" x14ac:dyDescent="0.25">
      <c r="A55" s="692"/>
      <c r="B55" s="704" t="s">
        <v>97</v>
      </c>
      <c r="C55" s="697">
        <v>407.3</v>
      </c>
      <c r="D55" s="705">
        <v>2885052</v>
      </c>
      <c r="E55" s="694"/>
      <c r="F55" s="694"/>
      <c r="G55" s="694"/>
    </row>
    <row r="56" spans="1:7" ht="15.75" thickBot="1" x14ac:dyDescent="0.3">
      <c r="A56" s="692"/>
      <c r="B56" s="704" t="s">
        <v>99</v>
      </c>
      <c r="C56" s="706"/>
      <c r="D56" s="707">
        <f>SUM(D53:D55)</f>
        <v>8031923.03318753</v>
      </c>
      <c r="E56" s="694"/>
      <c r="F56" s="694"/>
      <c r="G56" s="694"/>
    </row>
    <row r="57" spans="1:7" ht="16.5" thickTop="1" thickBot="1" x14ac:dyDescent="0.3">
      <c r="A57" s="692"/>
      <c r="B57" s="708"/>
      <c r="C57" s="709" t="s">
        <v>143</v>
      </c>
      <c r="D57" s="710">
        <v>0</v>
      </c>
      <c r="E57" s="694"/>
      <c r="F57" s="694"/>
      <c r="G57" s="694"/>
    </row>
    <row r="58" spans="1:7" ht="15" x14ac:dyDescent="0.25">
      <c r="A58" s="692"/>
      <c r="E58" s="694"/>
      <c r="F58" s="694"/>
      <c r="G58" s="694"/>
    </row>
    <row r="59" spans="1:7" ht="15" x14ac:dyDescent="0.25">
      <c r="A59" s="692"/>
      <c r="B59" s="694"/>
      <c r="C59" s="694"/>
      <c r="D59" s="694"/>
    </row>
    <row r="60" spans="1:7" ht="15" x14ac:dyDescent="0.25">
      <c r="A60" s="692"/>
      <c r="B60" s="694"/>
      <c r="C60" s="694"/>
      <c r="D60" s="694"/>
    </row>
    <row r="61" spans="1:7" ht="15" x14ac:dyDescent="0.25">
      <c r="A61" s="692"/>
      <c r="B61" s="694"/>
      <c r="C61" s="694"/>
      <c r="D61" s="711"/>
    </row>
    <row r="62" spans="1:7" ht="15" x14ac:dyDescent="0.25">
      <c r="A62" s="692"/>
      <c r="B62" s="694"/>
      <c r="C62" s="694"/>
      <c r="D62" s="711"/>
    </row>
    <row r="63" spans="1:7" ht="15" x14ac:dyDescent="0.25">
      <c r="A63" s="692"/>
      <c r="B63" s="694"/>
      <c r="C63" s="694"/>
      <c r="D63" s="694"/>
    </row>
    <row r="64" spans="1:7" ht="15" x14ac:dyDescent="0.25">
      <c r="A64" s="692"/>
      <c r="B64" s="694"/>
      <c r="C64" s="694"/>
      <c r="D64" s="694"/>
    </row>
    <row r="65" spans="1:4" ht="15" x14ac:dyDescent="0.25">
      <c r="A65" s="692"/>
      <c r="B65" s="694"/>
      <c r="C65" s="694"/>
      <c r="D65" s="694"/>
    </row>
    <row r="66" spans="1:4" ht="15" x14ac:dyDescent="0.25">
      <c r="A66" s="692"/>
      <c r="B66" s="694"/>
      <c r="C66" s="694"/>
      <c r="D66" s="694"/>
    </row>
    <row r="67" spans="1:4" ht="15" x14ac:dyDescent="0.25">
      <c r="A67" s="692"/>
      <c r="B67" s="694"/>
      <c r="C67" s="694"/>
      <c r="D67" s="694"/>
    </row>
    <row r="68" spans="1:4" ht="15" x14ac:dyDescent="0.25">
      <c r="A68" s="692"/>
      <c r="B68" s="694"/>
      <c r="C68" s="694"/>
      <c r="D68" s="694"/>
    </row>
    <row r="69" spans="1:4" ht="15" x14ac:dyDescent="0.25">
      <c r="A69" s="692"/>
      <c r="B69" s="694"/>
      <c r="C69" s="694"/>
      <c r="D69" s="694"/>
    </row>
    <row r="70" spans="1:4" ht="15" x14ac:dyDescent="0.25">
      <c r="A70" s="692"/>
      <c r="B70" s="694"/>
      <c r="C70" s="694"/>
      <c r="D70" s="694"/>
    </row>
    <row r="71" spans="1:4" ht="15" x14ac:dyDescent="0.25">
      <c r="A71" s="692"/>
      <c r="B71" s="694"/>
      <c r="C71" s="694"/>
      <c r="D71" s="694"/>
    </row>
    <row r="72" spans="1:4" ht="15" x14ac:dyDescent="0.25">
      <c r="A72" s="692"/>
      <c r="B72" s="694"/>
      <c r="C72" s="694"/>
      <c r="D72" s="694"/>
    </row>
    <row r="73" spans="1:4" ht="15" x14ac:dyDescent="0.25">
      <c r="A73" s="692"/>
      <c r="B73" s="694"/>
      <c r="C73" s="694"/>
      <c r="D73" s="694"/>
    </row>
    <row r="74" spans="1:4" ht="15" x14ac:dyDescent="0.25">
      <c r="A74" s="692"/>
      <c r="B74" s="694"/>
      <c r="C74" s="694"/>
      <c r="D74" s="694"/>
    </row>
    <row r="75" spans="1:4" ht="15" x14ac:dyDescent="0.25">
      <c r="A75" s="692"/>
      <c r="B75" s="694"/>
      <c r="C75" s="694"/>
      <c r="D75" s="694"/>
    </row>
    <row r="76" spans="1:4" ht="15" x14ac:dyDescent="0.25">
      <c r="A76" s="692"/>
      <c r="B76" s="694"/>
      <c r="C76" s="694"/>
      <c r="D76" s="694"/>
    </row>
    <row r="77" spans="1:4" ht="15" x14ac:dyDescent="0.25">
      <c r="A77" s="692"/>
      <c r="B77" s="694"/>
      <c r="C77" s="694"/>
      <c r="D77" s="694"/>
    </row>
    <row r="78" spans="1:4" ht="15" x14ac:dyDescent="0.25">
      <c r="A78" s="692"/>
      <c r="B78" s="694"/>
      <c r="C78" s="694"/>
      <c r="D78" s="694"/>
    </row>
    <row r="79" spans="1:4" ht="15" x14ac:dyDescent="0.25">
      <c r="A79" s="692"/>
      <c r="B79" s="694"/>
      <c r="C79" s="694"/>
      <c r="D79" s="694"/>
    </row>
    <row r="80" spans="1:4" ht="15" x14ac:dyDescent="0.25">
      <c r="A80" s="692"/>
      <c r="B80" s="694"/>
      <c r="C80" s="694"/>
      <c r="D80" s="694"/>
    </row>
    <row r="81" spans="1:4" ht="15" x14ac:dyDescent="0.25">
      <c r="A81" s="692"/>
      <c r="B81" s="694"/>
      <c r="C81" s="694"/>
      <c r="D81" s="694"/>
    </row>
    <row r="82" spans="1:4" ht="15" x14ac:dyDescent="0.25">
      <c r="A82" s="692"/>
      <c r="B82" s="694"/>
      <c r="C82" s="694"/>
      <c r="D82" s="694"/>
    </row>
    <row r="83" spans="1:4" x14ac:dyDescent="0.2">
      <c r="A83" s="692"/>
      <c r="C83" s="620"/>
      <c r="D83" s="620"/>
    </row>
    <row r="84" spans="1:4" x14ac:dyDescent="0.2">
      <c r="A84" s="692"/>
      <c r="C84" s="620"/>
      <c r="D84" s="620"/>
    </row>
    <row r="85" spans="1:4" x14ac:dyDescent="0.2">
      <c r="A85" s="692"/>
      <c r="C85" s="620"/>
      <c r="D85" s="620"/>
    </row>
    <row r="86" spans="1:4" x14ac:dyDescent="0.2">
      <c r="A86" s="692"/>
      <c r="C86" s="620"/>
      <c r="D86" s="620"/>
    </row>
    <row r="87" spans="1:4" x14ac:dyDescent="0.2">
      <c r="A87" s="692"/>
      <c r="C87" s="620"/>
      <c r="D87" s="620"/>
    </row>
    <row r="88" spans="1:4" x14ac:dyDescent="0.2">
      <c r="A88" s="692"/>
      <c r="C88" s="620"/>
      <c r="D88" s="620"/>
    </row>
    <row r="89" spans="1:4" x14ac:dyDescent="0.2">
      <c r="A89" s="692"/>
      <c r="C89" s="620"/>
      <c r="D89" s="620"/>
    </row>
    <row r="90" spans="1:4" x14ac:dyDescent="0.2">
      <c r="A90" s="692"/>
    </row>
    <row r="91" spans="1:4" x14ac:dyDescent="0.2">
      <c r="A91" s="692"/>
    </row>
    <row r="92" spans="1:4" x14ac:dyDescent="0.2">
      <c r="A92" s="692"/>
    </row>
    <row r="93" spans="1:4" x14ac:dyDescent="0.2">
      <c r="A93" s="692"/>
    </row>
    <row r="94" spans="1:4" x14ac:dyDescent="0.2">
      <c r="A94" s="692"/>
    </row>
    <row r="95" spans="1:4" x14ac:dyDescent="0.2">
      <c r="A95" s="692"/>
    </row>
    <row r="96" spans="1:4" x14ac:dyDescent="0.2">
      <c r="A96" s="692"/>
    </row>
    <row r="97" spans="1:1" x14ac:dyDescent="0.2">
      <c r="A97" s="692"/>
    </row>
    <row r="98" spans="1:1" x14ac:dyDescent="0.2">
      <c r="A98" s="692"/>
    </row>
    <row r="99" spans="1:1" x14ac:dyDescent="0.2">
      <c r="A99" s="692"/>
    </row>
    <row r="100" spans="1:1" x14ac:dyDescent="0.2">
      <c r="A100" s="692"/>
    </row>
    <row r="101" spans="1:1" x14ac:dyDescent="0.2">
      <c r="A101" s="692"/>
    </row>
    <row r="102" spans="1:1" x14ac:dyDescent="0.2">
      <c r="A102" s="692"/>
    </row>
    <row r="103" spans="1:1" x14ac:dyDescent="0.2">
      <c r="A103" s="692"/>
    </row>
    <row r="104" spans="1:1" x14ac:dyDescent="0.2">
      <c r="A104" s="692"/>
    </row>
    <row r="105" spans="1:1" x14ac:dyDescent="0.2">
      <c r="A105" s="692"/>
    </row>
    <row r="106" spans="1:1" x14ac:dyDescent="0.2">
      <c r="A106" s="692"/>
    </row>
    <row r="107" spans="1:1" x14ac:dyDescent="0.2">
      <c r="A107" s="692"/>
    </row>
    <row r="108" spans="1:1" x14ac:dyDescent="0.2">
      <c r="A108" s="692"/>
    </row>
    <row r="109" spans="1:1" x14ac:dyDescent="0.2">
      <c r="A109" s="692"/>
    </row>
    <row r="110" spans="1:1" x14ac:dyDescent="0.2">
      <c r="A110" s="692"/>
    </row>
    <row r="111" spans="1:1" x14ac:dyDescent="0.2">
      <c r="A111" s="692"/>
    </row>
    <row r="112" spans="1:1" x14ac:dyDescent="0.2">
      <c r="A112" s="692"/>
    </row>
    <row r="113" spans="1:1" x14ac:dyDescent="0.2">
      <c r="A113" s="692"/>
    </row>
    <row r="114" spans="1:1" x14ac:dyDescent="0.2">
      <c r="A114" s="692"/>
    </row>
    <row r="115" spans="1:1" x14ac:dyDescent="0.2">
      <c r="A115" s="692"/>
    </row>
    <row r="116" spans="1:1" x14ac:dyDescent="0.2">
      <c r="A116" s="692"/>
    </row>
    <row r="117" spans="1:1" x14ac:dyDescent="0.2">
      <c r="A117" s="692"/>
    </row>
    <row r="118" spans="1:1" x14ac:dyDescent="0.2">
      <c r="A118" s="692"/>
    </row>
    <row r="119" spans="1:1" x14ac:dyDescent="0.2">
      <c r="A119" s="692"/>
    </row>
    <row r="120" spans="1:1" x14ac:dyDescent="0.2">
      <c r="A120" s="692"/>
    </row>
    <row r="121" spans="1:1" x14ac:dyDescent="0.2">
      <c r="A121" s="692"/>
    </row>
    <row r="122" spans="1:1" x14ac:dyDescent="0.2">
      <c r="A122" s="692"/>
    </row>
    <row r="123" spans="1:1" x14ac:dyDescent="0.2">
      <c r="A123" s="692"/>
    </row>
    <row r="124" spans="1:1" x14ac:dyDescent="0.2">
      <c r="A124" s="692"/>
    </row>
    <row r="125" spans="1:1" x14ac:dyDescent="0.2">
      <c r="A125" s="692"/>
    </row>
    <row r="126" spans="1:1" x14ac:dyDescent="0.2">
      <c r="A126" s="692"/>
    </row>
    <row r="127" spans="1:1" x14ac:dyDescent="0.2">
      <c r="A127" s="692"/>
    </row>
    <row r="128" spans="1:1" x14ac:dyDescent="0.2">
      <c r="A128" s="692"/>
    </row>
    <row r="129" spans="1:1" x14ac:dyDescent="0.2">
      <c r="A129" s="692"/>
    </row>
    <row r="130" spans="1:1" x14ac:dyDescent="0.2">
      <c r="A130" s="692"/>
    </row>
    <row r="131" spans="1:1" x14ac:dyDescent="0.2">
      <c r="A131" s="692"/>
    </row>
  </sheetData>
  <pageMargins left="0.7" right="0.7" top="0.75" bottom="0.75" header="0.3" footer="0.3"/>
  <pageSetup scale="76"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3:E24"/>
  <sheetViews>
    <sheetView workbookViewId="0">
      <selection activeCell="G37" sqref="G37"/>
    </sheetView>
  </sheetViews>
  <sheetFormatPr defaultRowHeight="12.75" x14ac:dyDescent="0.2"/>
  <cols>
    <col min="1" max="1" width="5.28515625" customWidth="1"/>
    <col min="2" max="2" width="44" bestFit="1" customWidth="1"/>
    <col min="3" max="3" width="12.28515625" bestFit="1" customWidth="1"/>
    <col min="4" max="4" width="8.28515625" bestFit="1" customWidth="1"/>
    <col min="5" max="5" width="10.28515625" bestFit="1" customWidth="1"/>
  </cols>
  <sheetData>
    <row r="3" spans="1:5" ht="13.5" thickBot="1" x14ac:dyDescent="0.25"/>
    <row r="4" spans="1:5" x14ac:dyDescent="0.2">
      <c r="A4" s="74"/>
      <c r="B4" s="75"/>
      <c r="C4" s="75"/>
      <c r="D4" s="75"/>
      <c r="E4" s="85" t="s">
        <v>117</v>
      </c>
    </row>
    <row r="5" spans="1:5" x14ac:dyDescent="0.2">
      <c r="A5" s="76"/>
      <c r="B5" s="77"/>
      <c r="C5" s="77"/>
      <c r="D5" s="77"/>
      <c r="E5" s="86" t="s">
        <v>118</v>
      </c>
    </row>
    <row r="6" spans="1:5" x14ac:dyDescent="0.2">
      <c r="A6" s="76"/>
      <c r="B6" s="77"/>
      <c r="C6" s="77"/>
      <c r="D6" s="77"/>
      <c r="E6" s="87" t="s">
        <v>119</v>
      </c>
    </row>
    <row r="7" spans="1:5" x14ac:dyDescent="0.2">
      <c r="A7" s="76"/>
      <c r="B7" s="77"/>
      <c r="C7" s="77"/>
      <c r="D7" s="77"/>
      <c r="E7" s="87"/>
    </row>
    <row r="8" spans="1:5" x14ac:dyDescent="0.2">
      <c r="A8" s="84" t="s">
        <v>101</v>
      </c>
      <c r="B8" s="82"/>
      <c r="C8" s="82"/>
      <c r="D8" s="82"/>
      <c r="E8" s="83"/>
    </row>
    <row r="9" spans="1:5" x14ac:dyDescent="0.2">
      <c r="A9" s="84" t="s">
        <v>102</v>
      </c>
      <c r="B9" s="82"/>
      <c r="C9" s="82"/>
      <c r="D9" s="82"/>
      <c r="E9" s="83"/>
    </row>
    <row r="10" spans="1:5" x14ac:dyDescent="0.2">
      <c r="A10" s="84" t="s">
        <v>120</v>
      </c>
      <c r="B10" s="82"/>
      <c r="C10" s="82"/>
      <c r="D10" s="82"/>
      <c r="E10" s="83"/>
    </row>
    <row r="11" spans="1:5" x14ac:dyDescent="0.2">
      <c r="A11" s="137" t="s">
        <v>121</v>
      </c>
      <c r="B11" s="82"/>
      <c r="C11" s="82"/>
      <c r="D11" s="82"/>
      <c r="E11" s="83"/>
    </row>
    <row r="12" spans="1:5" x14ac:dyDescent="0.2">
      <c r="A12" s="76"/>
      <c r="B12" s="77"/>
      <c r="C12" s="77"/>
      <c r="D12" s="77"/>
      <c r="E12" s="78"/>
    </row>
    <row r="13" spans="1:5" x14ac:dyDescent="0.2">
      <c r="A13" s="76"/>
      <c r="B13" s="77"/>
      <c r="C13" s="77"/>
      <c r="D13" s="77"/>
      <c r="E13" s="78"/>
    </row>
    <row r="14" spans="1:5" x14ac:dyDescent="0.2">
      <c r="A14" s="76" t="s">
        <v>4</v>
      </c>
      <c r="B14" s="77"/>
      <c r="C14" s="77" t="s">
        <v>103</v>
      </c>
      <c r="D14" s="77"/>
      <c r="E14" s="78" t="s">
        <v>104</v>
      </c>
    </row>
    <row r="15" spans="1:5" x14ac:dyDescent="0.2">
      <c r="A15" s="76" t="s">
        <v>5</v>
      </c>
      <c r="B15" s="77" t="s">
        <v>6</v>
      </c>
      <c r="C15" s="77" t="s">
        <v>105</v>
      </c>
      <c r="D15" s="77" t="s">
        <v>106</v>
      </c>
      <c r="E15" s="78" t="s">
        <v>107</v>
      </c>
    </row>
    <row r="16" spans="1:5" x14ac:dyDescent="0.2">
      <c r="A16" s="76"/>
      <c r="B16" s="77"/>
      <c r="C16" s="77"/>
      <c r="D16" s="77"/>
      <c r="E16" s="78"/>
    </row>
    <row r="17" spans="1:5" x14ac:dyDescent="0.2">
      <c r="A17" s="76">
        <v>1</v>
      </c>
      <c r="B17" s="107" t="s">
        <v>122</v>
      </c>
      <c r="C17" s="108">
        <v>0.51500000000000001</v>
      </c>
      <c r="D17" s="108">
        <v>5.4951456310679617E-2</v>
      </c>
      <c r="E17" s="109">
        <f>ROUND(C17*D17,4)</f>
        <v>2.8299999999999999E-2</v>
      </c>
    </row>
    <row r="18" spans="1:5" x14ac:dyDescent="0.2">
      <c r="A18" s="76">
        <f>+A17+1</f>
        <v>2</v>
      </c>
      <c r="B18" s="107" t="s">
        <v>108</v>
      </c>
      <c r="C18" s="108">
        <v>0.48499999999999999</v>
      </c>
      <c r="D18" s="108">
        <v>9.4E-2</v>
      </c>
      <c r="E18" s="109">
        <f>ROUND(C18*D18,4)</f>
        <v>4.5600000000000002E-2</v>
      </c>
    </row>
    <row r="19" spans="1:5" x14ac:dyDescent="0.2">
      <c r="A19" s="76">
        <f t="shared" ref="A19:A23" si="0">+A18+1</f>
        <v>3</v>
      </c>
      <c r="B19" s="107" t="s">
        <v>74</v>
      </c>
      <c r="C19" s="105">
        <f>SUM(C17:C18)</f>
        <v>1</v>
      </c>
      <c r="D19" s="106"/>
      <c r="E19" s="110">
        <f>SUM(E17:E18)</f>
        <v>7.3899999999999993E-2</v>
      </c>
    </row>
    <row r="20" spans="1:5" x14ac:dyDescent="0.2">
      <c r="A20" s="76">
        <f t="shared" si="0"/>
        <v>4</v>
      </c>
      <c r="B20" s="107"/>
      <c r="C20" s="111"/>
      <c r="D20" s="111"/>
      <c r="E20" s="112"/>
    </row>
    <row r="21" spans="1:5" x14ac:dyDescent="0.2">
      <c r="A21" s="76">
        <f t="shared" si="0"/>
        <v>5</v>
      </c>
      <c r="B21" s="107" t="s">
        <v>123</v>
      </c>
      <c r="C21" s="108">
        <f>+C17</f>
        <v>0.51500000000000001</v>
      </c>
      <c r="D21" s="108">
        <f>D17*0.79</f>
        <v>4.3411650485436902E-2</v>
      </c>
      <c r="E21" s="109">
        <f>ROUND(E17*0.79,4)</f>
        <v>2.24E-2</v>
      </c>
    </row>
    <row r="22" spans="1:5" x14ac:dyDescent="0.2">
      <c r="A22" s="76">
        <f t="shared" si="0"/>
        <v>6</v>
      </c>
      <c r="B22" s="107" t="s">
        <v>108</v>
      </c>
      <c r="C22" s="108">
        <f>+C18</f>
        <v>0.48499999999999999</v>
      </c>
      <c r="D22" s="108">
        <f>+D18</f>
        <v>9.4E-2</v>
      </c>
      <c r="E22" s="109">
        <f>ROUND(C22*D22,4)</f>
        <v>4.5600000000000002E-2</v>
      </c>
    </row>
    <row r="23" spans="1:5" x14ac:dyDescent="0.2">
      <c r="A23" s="76">
        <f t="shared" si="0"/>
        <v>7</v>
      </c>
      <c r="B23" s="107" t="s">
        <v>109</v>
      </c>
      <c r="C23" s="105">
        <f>SUM(C21:C22)</f>
        <v>1</v>
      </c>
      <c r="D23" s="106"/>
      <c r="E23" s="110">
        <f>SUM(E21:E22)</f>
        <v>6.8000000000000005E-2</v>
      </c>
    </row>
    <row r="24" spans="1:5" ht="13.5" thickBot="1" x14ac:dyDescent="0.25">
      <c r="A24" s="79"/>
      <c r="B24" s="80"/>
      <c r="C24" s="80"/>
      <c r="D24" s="80"/>
      <c r="E24" s="81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3:B5"/>
  <sheetViews>
    <sheetView workbookViewId="0">
      <selection activeCell="J34" sqref="J34:J35"/>
    </sheetView>
  </sheetViews>
  <sheetFormatPr defaultRowHeight="12.75" x14ac:dyDescent="0.2"/>
  <sheetData>
    <row r="3" spans="1:2" x14ac:dyDescent="0.2">
      <c r="A3" t="s">
        <v>10</v>
      </c>
      <c r="B3" s="11" t="s">
        <v>115</v>
      </c>
    </row>
    <row r="4" spans="1:2" x14ac:dyDescent="0.2">
      <c r="A4" t="s">
        <v>11</v>
      </c>
      <c r="B4" s="11" t="s">
        <v>116</v>
      </c>
    </row>
    <row r="5" spans="1:2" x14ac:dyDescent="0.2">
      <c r="B5" s="261">
        <v>0.21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48"/>
  <sheetViews>
    <sheetView topLeftCell="A145" workbookViewId="0">
      <selection activeCell="E10" sqref="E10"/>
    </sheetView>
  </sheetViews>
  <sheetFormatPr defaultRowHeight="12.75" x14ac:dyDescent="0.2"/>
  <cols>
    <col min="1" max="1" width="4.42578125" customWidth="1"/>
    <col min="2" max="2" width="51" customWidth="1"/>
    <col min="3" max="3" width="15" bestFit="1" customWidth="1"/>
    <col min="4" max="4" width="14" bestFit="1" customWidth="1"/>
    <col min="5" max="5" width="13.42578125" bestFit="1" customWidth="1"/>
    <col min="6" max="6" width="13.42578125" customWidth="1"/>
    <col min="7" max="7" width="40" bestFit="1" customWidth="1"/>
    <col min="8" max="8" width="15" bestFit="1" customWidth="1"/>
    <col min="9" max="9" width="13.42578125" bestFit="1" customWidth="1"/>
    <col min="10" max="10" width="15" bestFit="1" customWidth="1"/>
    <col min="12" max="12" width="13.42578125" bestFit="1" customWidth="1"/>
    <col min="13" max="14" width="11.7109375" bestFit="1" customWidth="1"/>
    <col min="15" max="15" width="13.42578125" bestFit="1" customWidth="1"/>
    <col min="16" max="16" width="11.7109375" bestFit="1" customWidth="1"/>
    <col min="17" max="17" width="11.28515625" bestFit="1" customWidth="1"/>
    <col min="18" max="18" width="11.7109375" bestFit="1" customWidth="1"/>
    <col min="21" max="21" width="10.28515625" bestFit="1" customWidth="1"/>
  </cols>
  <sheetData>
    <row r="2" spans="2:10" x14ac:dyDescent="0.2">
      <c r="B2" s="341" t="s">
        <v>296</v>
      </c>
      <c r="C2" s="297"/>
      <c r="D2" s="297"/>
      <c r="E2" s="298"/>
      <c r="G2" s="296"/>
      <c r="H2" s="297"/>
      <c r="I2" s="297"/>
      <c r="J2" s="298"/>
    </row>
    <row r="3" spans="2:10" x14ac:dyDescent="0.2">
      <c r="B3" s="342" t="s">
        <v>297</v>
      </c>
      <c r="C3" s="302"/>
      <c r="D3" s="302"/>
      <c r="E3" s="303"/>
      <c r="G3" s="329" t="s">
        <v>288</v>
      </c>
      <c r="H3" s="330"/>
      <c r="I3" s="330"/>
      <c r="J3" s="331"/>
    </row>
    <row r="4" spans="2:10" x14ac:dyDescent="0.2">
      <c r="G4" s="332" t="s">
        <v>22</v>
      </c>
      <c r="H4" s="82"/>
      <c r="I4" s="82"/>
      <c r="J4" s="333"/>
    </row>
    <row r="5" spans="2:10" x14ac:dyDescent="0.2">
      <c r="C5" s="271" t="s">
        <v>291</v>
      </c>
      <c r="D5" s="271" t="s">
        <v>292</v>
      </c>
      <c r="E5" s="271"/>
      <c r="F5" s="271"/>
      <c r="G5" s="332" t="s">
        <v>250</v>
      </c>
      <c r="H5" s="82"/>
      <c r="I5" s="82"/>
      <c r="J5" s="333"/>
    </row>
    <row r="6" spans="2:10" x14ac:dyDescent="0.2">
      <c r="B6" s="294" t="s">
        <v>295</v>
      </c>
      <c r="C6" s="294" t="s">
        <v>290</v>
      </c>
      <c r="D6" s="294" t="s">
        <v>293</v>
      </c>
      <c r="E6" s="294" t="s">
        <v>294</v>
      </c>
      <c r="F6" s="271"/>
      <c r="G6" s="334" t="s">
        <v>251</v>
      </c>
      <c r="H6" s="335"/>
      <c r="I6" s="335"/>
      <c r="J6" s="336"/>
    </row>
    <row r="7" spans="2:10" ht="15" x14ac:dyDescent="0.25">
      <c r="B7" s="316"/>
      <c r="C7" s="317"/>
      <c r="D7" s="317"/>
      <c r="E7" s="318"/>
      <c r="G7" s="337"/>
      <c r="H7" s="82"/>
      <c r="I7" s="82"/>
      <c r="J7" s="333"/>
    </row>
    <row r="8" spans="2:10" x14ac:dyDescent="0.2">
      <c r="B8" s="319" t="s">
        <v>454</v>
      </c>
      <c r="C8" s="320">
        <f>'SEF-15 Summary'!D25</f>
        <v>81044146.280000001</v>
      </c>
      <c r="D8" s="320"/>
      <c r="E8" s="321"/>
      <c r="G8" s="338" t="s">
        <v>252</v>
      </c>
      <c r="H8" s="339"/>
      <c r="I8" s="339"/>
      <c r="J8" s="340"/>
    </row>
    <row r="9" spans="2:10" x14ac:dyDescent="0.2">
      <c r="B9" s="319" t="s">
        <v>455</v>
      </c>
      <c r="C9" s="322">
        <f>'SEF-15 Summary'!D33</f>
        <v>183617976.11000001</v>
      </c>
      <c r="D9" s="323"/>
      <c r="E9" s="324"/>
      <c r="F9" s="291"/>
      <c r="G9" s="338" t="s">
        <v>253</v>
      </c>
      <c r="H9" s="339"/>
      <c r="I9" s="339"/>
      <c r="J9" s="340"/>
    </row>
    <row r="10" spans="2:10" x14ac:dyDescent="0.2">
      <c r="B10" s="319" t="s">
        <v>289</v>
      </c>
      <c r="C10" s="325">
        <f>SUM(C8:C9)</f>
        <v>264662122.39000002</v>
      </c>
      <c r="D10" s="320">
        <f>H21</f>
        <v>264662122.39000002</v>
      </c>
      <c r="E10" s="364">
        <f>ROUND(C10-D10,0)</f>
        <v>0</v>
      </c>
      <c r="G10" s="272"/>
      <c r="H10" s="273" t="s">
        <v>254</v>
      </c>
      <c r="I10" s="274" t="s">
        <v>255</v>
      </c>
      <c r="J10" s="275" t="s">
        <v>256</v>
      </c>
    </row>
    <row r="11" spans="2:10" x14ac:dyDescent="0.2">
      <c r="B11" s="326"/>
      <c r="C11" s="327"/>
      <c r="D11" s="327"/>
      <c r="E11" s="328"/>
      <c r="G11" s="276" t="s">
        <v>257</v>
      </c>
      <c r="H11" s="67"/>
      <c r="I11" s="67"/>
      <c r="J11" s="277"/>
    </row>
    <row r="12" spans="2:10" x14ac:dyDescent="0.2">
      <c r="B12" s="304"/>
      <c r="C12" s="305"/>
      <c r="D12" s="305"/>
      <c r="E12" s="306"/>
      <c r="F12" s="291"/>
      <c r="G12" s="278" t="s">
        <v>258</v>
      </c>
      <c r="H12" s="98">
        <v>2064593541.5999999</v>
      </c>
      <c r="I12" s="98">
        <v>949160646.39999986</v>
      </c>
      <c r="J12" s="12">
        <f>SUM(H12:I12)</f>
        <v>3013754188</v>
      </c>
    </row>
    <row r="13" spans="2:10" x14ac:dyDescent="0.2">
      <c r="B13" s="307" t="s">
        <v>183</v>
      </c>
      <c r="C13" s="308">
        <f>'SEF-15 Summary'!D26</f>
        <v>535009174.27999997</v>
      </c>
      <c r="D13" s="309"/>
      <c r="E13" s="310"/>
      <c r="G13" s="278" t="s">
        <v>259</v>
      </c>
      <c r="H13" s="65">
        <v>351214.45</v>
      </c>
      <c r="I13" s="65">
        <v>0</v>
      </c>
      <c r="J13" s="277">
        <f>SUM(H13:I13)</f>
        <v>351214.45</v>
      </c>
    </row>
    <row r="14" spans="2:10" x14ac:dyDescent="0.2">
      <c r="B14" s="307" t="s">
        <v>30</v>
      </c>
      <c r="C14" s="311">
        <f>'SEF-15 Summary'!D27</f>
        <v>-23522407.310000002</v>
      </c>
      <c r="D14" s="309"/>
      <c r="E14" s="310"/>
      <c r="G14" s="278" t="s">
        <v>260</v>
      </c>
      <c r="H14" s="65">
        <v>189780073.88</v>
      </c>
      <c r="I14" s="65">
        <v>0</v>
      </c>
      <c r="J14" s="277">
        <f>SUM(H14:I14)</f>
        <v>189780073.88</v>
      </c>
    </row>
    <row r="15" spans="2:10" x14ac:dyDescent="0.2">
      <c r="B15" s="307" t="s">
        <v>134</v>
      </c>
      <c r="C15" s="311">
        <f>'SEF-15 Summary'!D32</f>
        <v>489609.01</v>
      </c>
      <c r="D15" s="309"/>
      <c r="E15" s="310"/>
      <c r="G15" s="278" t="s">
        <v>261</v>
      </c>
      <c r="H15" s="39">
        <v>116671946.33999999</v>
      </c>
      <c r="I15" s="66">
        <v>16725305.34</v>
      </c>
      <c r="J15" s="279">
        <f>SUM(H15:I15)</f>
        <v>133397251.67999999</v>
      </c>
    </row>
    <row r="16" spans="2:10" x14ac:dyDescent="0.2">
      <c r="B16" s="307"/>
      <c r="C16" s="309"/>
      <c r="D16" s="309"/>
      <c r="E16" s="310"/>
      <c r="G16" s="278" t="s">
        <v>262</v>
      </c>
      <c r="H16" s="98">
        <f>SUM(H12:H15)</f>
        <v>2371396776.27</v>
      </c>
      <c r="I16" s="98">
        <f>SUM(I12:I15)</f>
        <v>965885951.73999989</v>
      </c>
      <c r="J16" s="12">
        <f>SUM(J12:J15)</f>
        <v>3337282728.0099998</v>
      </c>
    </row>
    <row r="17" spans="2:19" x14ac:dyDescent="0.2">
      <c r="B17" s="307" t="s">
        <v>298</v>
      </c>
      <c r="C17" s="308">
        <f>SUM(C13:C16)</f>
        <v>511976375.97999996</v>
      </c>
      <c r="D17" s="312">
        <f>H22</f>
        <v>511976375.97999996</v>
      </c>
      <c r="E17" s="364">
        <f>C17-D17</f>
        <v>0</v>
      </c>
      <c r="G17" s="276" t="s">
        <v>263</v>
      </c>
      <c r="H17" s="67"/>
      <c r="I17" s="67"/>
      <c r="J17" s="277"/>
    </row>
    <row r="18" spans="2:19" x14ac:dyDescent="0.2">
      <c r="B18" s="313"/>
      <c r="C18" s="314"/>
      <c r="D18" s="314"/>
      <c r="E18" s="315"/>
      <c r="G18" s="276" t="s">
        <v>264</v>
      </c>
      <c r="H18" s="67"/>
      <c r="I18" s="67"/>
      <c r="J18" s="277"/>
    </row>
    <row r="19" spans="2:19" x14ac:dyDescent="0.2">
      <c r="B19" s="316"/>
      <c r="C19" s="317"/>
      <c r="D19" s="317"/>
      <c r="E19" s="318"/>
      <c r="G19" s="276" t="s">
        <v>265</v>
      </c>
      <c r="H19" s="67"/>
      <c r="I19" s="67"/>
      <c r="J19" s="277"/>
    </row>
    <row r="20" spans="2:19" x14ac:dyDescent="0.2">
      <c r="B20" s="319" t="s">
        <v>75</v>
      </c>
      <c r="C20" s="320">
        <f>'SEF-15 Summary'!D36</f>
        <v>120717329.15000001</v>
      </c>
      <c r="D20" s="320">
        <f>H27</f>
        <v>120717329.14999999</v>
      </c>
      <c r="E20" s="364">
        <f>C20-D20</f>
        <v>0</v>
      </c>
      <c r="G20" s="276" t="s">
        <v>266</v>
      </c>
      <c r="H20" s="67"/>
      <c r="I20" s="67"/>
      <c r="J20" s="277"/>
      <c r="M20" s="293" t="s">
        <v>449</v>
      </c>
      <c r="N20" s="293" t="s">
        <v>449</v>
      </c>
      <c r="O20" s="293" t="s">
        <v>450</v>
      </c>
    </row>
    <row r="21" spans="2:19" x14ac:dyDescent="0.2">
      <c r="B21" s="326"/>
      <c r="C21" s="327"/>
      <c r="D21" s="327"/>
      <c r="E21" s="328"/>
      <c r="G21" s="278" t="s">
        <v>267</v>
      </c>
      <c r="H21" s="98">
        <v>264662122.39000002</v>
      </c>
      <c r="I21" s="98">
        <v>0</v>
      </c>
      <c r="J21" s="12">
        <f>H21+I21</f>
        <v>264662122.39000002</v>
      </c>
      <c r="L21" s="293" t="s">
        <v>446</v>
      </c>
      <c r="M21" s="293" t="s">
        <v>447</v>
      </c>
      <c r="N21" s="293" t="s">
        <v>448</v>
      </c>
      <c r="O21" s="363" t="s">
        <v>451</v>
      </c>
    </row>
    <row r="22" spans="2:19" x14ac:dyDescent="0.2">
      <c r="B22" s="304"/>
      <c r="C22" s="305"/>
      <c r="D22" s="305"/>
      <c r="E22" s="306"/>
      <c r="G22" s="278" t="s">
        <v>268</v>
      </c>
      <c r="H22" s="65">
        <v>511976375.97999996</v>
      </c>
      <c r="I22" s="65">
        <v>366605648.86000001</v>
      </c>
      <c r="J22" s="35">
        <f>H22+I22</f>
        <v>878582024.83999991</v>
      </c>
      <c r="K22">
        <v>557</v>
      </c>
      <c r="L22" s="98">
        <v>-20734892</v>
      </c>
      <c r="M22" s="98">
        <v>1775574.36</v>
      </c>
      <c r="N22" s="98">
        <v>522331.95</v>
      </c>
      <c r="O22" s="98">
        <f>L22-M22-N22</f>
        <v>-23032798.309999999</v>
      </c>
      <c r="P22" s="292">
        <f>SUM(C14:C15)-O22</f>
        <v>9.9999979138374329E-3</v>
      </c>
      <c r="Q22" s="291">
        <f>SUM(M22:N22)</f>
        <v>2297906.31</v>
      </c>
      <c r="R22" s="291">
        <f>-'SEF-15 Adjustments'!J22</f>
        <v>2297906.31</v>
      </c>
      <c r="S22" s="291">
        <f>Q22-R22</f>
        <v>0</v>
      </c>
    </row>
    <row r="23" spans="2:19" x14ac:dyDescent="0.2">
      <c r="B23" s="307" t="s">
        <v>29</v>
      </c>
      <c r="C23" s="308">
        <f>'SEF-15 Summary'!D34</f>
        <v>123883050.72</v>
      </c>
      <c r="D23" s="308">
        <f>H23</f>
        <v>123883050.72</v>
      </c>
      <c r="E23" s="364">
        <f>C23-D23</f>
        <v>0</v>
      </c>
      <c r="G23" s="278" t="s">
        <v>269</v>
      </c>
      <c r="H23" s="65">
        <v>123883050.72</v>
      </c>
      <c r="I23" s="65">
        <v>0</v>
      </c>
      <c r="J23" s="35">
        <f>H23+I23</f>
        <v>123883050.72</v>
      </c>
    </row>
    <row r="24" spans="2:19" x14ac:dyDescent="0.2">
      <c r="B24" s="313"/>
      <c r="C24" s="314"/>
      <c r="D24" s="314"/>
      <c r="E24" s="315"/>
      <c r="G24" s="278" t="s">
        <v>270</v>
      </c>
      <c r="H24" s="39">
        <v>-78853312.420000002</v>
      </c>
      <c r="I24" s="66">
        <v>0</v>
      </c>
      <c r="J24" s="40">
        <f>H24+I24</f>
        <v>-78853312.420000002</v>
      </c>
    </row>
    <row r="25" spans="2:19" x14ac:dyDescent="0.2">
      <c r="B25" s="316"/>
      <c r="C25" s="317"/>
      <c r="D25" s="317"/>
      <c r="E25" s="318"/>
      <c r="G25" s="278" t="s">
        <v>271</v>
      </c>
      <c r="H25" s="98">
        <f>SUM(H21:H24)</f>
        <v>821668236.67000008</v>
      </c>
      <c r="I25" s="98">
        <f>SUM(I21:I24)</f>
        <v>366605648.86000001</v>
      </c>
      <c r="J25" s="12">
        <f>SUM(J21:J24)</f>
        <v>1188273885.53</v>
      </c>
    </row>
    <row r="26" spans="2:19" x14ac:dyDescent="0.2">
      <c r="B26" s="319" t="s">
        <v>299</v>
      </c>
      <c r="C26" s="320">
        <f>'SEF-15 Summary'!D37</f>
        <v>-189780073.88</v>
      </c>
      <c r="D26" s="320">
        <f>-H14</f>
        <v>-189780073.88</v>
      </c>
      <c r="E26" s="364">
        <f>C26-D26</f>
        <v>0</v>
      </c>
      <c r="G26" s="280" t="s">
        <v>272</v>
      </c>
      <c r="H26" s="281"/>
      <c r="I26" s="281"/>
      <c r="J26" s="282"/>
    </row>
    <row r="27" spans="2:19" x14ac:dyDescent="0.2">
      <c r="B27" s="326"/>
      <c r="C27" s="327"/>
      <c r="D27" s="327"/>
      <c r="E27" s="328"/>
      <c r="G27" s="278" t="s">
        <v>273</v>
      </c>
      <c r="H27" s="98">
        <v>120717329.14999999</v>
      </c>
      <c r="I27" s="98">
        <v>6538618.8400000008</v>
      </c>
      <c r="J27" s="12">
        <f t="shared" ref="J27:J40" si="0">H27+I27</f>
        <v>127255947.98999999</v>
      </c>
      <c r="K27" t="s">
        <v>452</v>
      </c>
      <c r="L27" s="98">
        <v>128319986</v>
      </c>
      <c r="M27" s="98">
        <v>5970826.8099999996</v>
      </c>
      <c r="N27" s="98">
        <v>1631829.6900000002</v>
      </c>
      <c r="O27" s="98">
        <f>L27-M27-N27</f>
        <v>120717329.5</v>
      </c>
      <c r="P27" s="291">
        <f>O27-H27</f>
        <v>0.35000000894069672</v>
      </c>
      <c r="Q27" s="291">
        <f>SUM(M27:N27)</f>
        <v>7602656.5</v>
      </c>
      <c r="R27" s="291">
        <f>-'SEF-15 Adjustments'!J29</f>
        <v>7602656.5</v>
      </c>
      <c r="S27" s="291">
        <f>Q27-R27</f>
        <v>0</v>
      </c>
    </row>
    <row r="28" spans="2:19" x14ac:dyDescent="0.2">
      <c r="G28" s="278" t="s">
        <v>274</v>
      </c>
      <c r="H28" s="99">
        <v>22605208.919999998</v>
      </c>
      <c r="I28" s="99">
        <v>0</v>
      </c>
      <c r="J28" s="35">
        <f t="shared" si="0"/>
        <v>22605208.919999998</v>
      </c>
    </row>
    <row r="29" spans="2:19" x14ac:dyDescent="0.2">
      <c r="G29" s="278" t="s">
        <v>275</v>
      </c>
      <c r="H29" s="99">
        <v>82423054.329999998</v>
      </c>
      <c r="I29" s="99">
        <v>54776144.879999995</v>
      </c>
      <c r="J29" s="35">
        <f t="shared" si="0"/>
        <v>137199199.20999998</v>
      </c>
    </row>
    <row r="30" spans="2:19" x14ac:dyDescent="0.2">
      <c r="B30" s="361" t="s">
        <v>592</v>
      </c>
      <c r="C30" s="361"/>
      <c r="D30" s="361"/>
      <c r="E30" s="751">
        <f>ROUND('Recon Depr'!C115,0)</f>
        <v>0</v>
      </c>
      <c r="G30" s="278" t="s">
        <v>276</v>
      </c>
      <c r="H30" s="99">
        <v>50242169.629999995</v>
      </c>
      <c r="I30" s="99">
        <v>28603120.590000004</v>
      </c>
      <c r="J30" s="35">
        <f t="shared" si="0"/>
        <v>78845290.219999999</v>
      </c>
      <c r="K30" t="s">
        <v>9</v>
      </c>
      <c r="M30" s="291">
        <f>SUM(M22:M29)</f>
        <v>7746401.1699999999</v>
      </c>
      <c r="N30" s="291">
        <f>SUM(N22:N29)</f>
        <v>2154161.64</v>
      </c>
    </row>
    <row r="31" spans="2:19" x14ac:dyDescent="0.2">
      <c r="B31" s="361"/>
      <c r="C31" s="361"/>
      <c r="D31" s="361"/>
      <c r="E31" s="361"/>
      <c r="G31" s="278" t="s">
        <v>277</v>
      </c>
      <c r="H31" s="99">
        <v>23447356.580000002</v>
      </c>
      <c r="I31" s="99">
        <v>6815798.96</v>
      </c>
      <c r="J31" s="35">
        <f t="shared" si="0"/>
        <v>30263155.540000003</v>
      </c>
      <c r="M31" s="291">
        <f>'SEF-15 Summary'!D28</f>
        <v>7746401.1699999999</v>
      </c>
      <c r="N31" s="291">
        <f>'SEF-15 Summary'!D31</f>
        <v>2154161.64</v>
      </c>
    </row>
    <row r="32" spans="2:19" x14ac:dyDescent="0.2">
      <c r="B32" s="361" t="s">
        <v>661</v>
      </c>
      <c r="C32" s="361"/>
      <c r="D32" s="361"/>
      <c r="E32" s="751">
        <f>SUM(M32:N32)+SUM(S22:S27)</f>
        <v>0</v>
      </c>
      <c r="G32" s="278" t="s">
        <v>278</v>
      </c>
      <c r="H32" s="99">
        <v>74607188.019999996</v>
      </c>
      <c r="I32" s="99">
        <v>16362228.15</v>
      </c>
      <c r="J32" s="35">
        <f t="shared" si="0"/>
        <v>90969416.170000002</v>
      </c>
      <c r="M32" s="291">
        <f>M30-M31</f>
        <v>0</v>
      </c>
      <c r="N32" s="291">
        <f>N30-N31</f>
        <v>0</v>
      </c>
      <c r="O32" t="s">
        <v>308</v>
      </c>
    </row>
    <row r="33" spans="2:10" x14ac:dyDescent="0.2">
      <c r="B33" s="19" t="s">
        <v>306</v>
      </c>
      <c r="C33" s="19" t="s">
        <v>293</v>
      </c>
      <c r="D33" s="361"/>
      <c r="E33" s="361"/>
      <c r="G33" s="278" t="s">
        <v>279</v>
      </c>
      <c r="H33" s="99">
        <v>130370063.31000002</v>
      </c>
      <c r="I33" s="99">
        <v>59064725.75</v>
      </c>
      <c r="J33" s="35">
        <f t="shared" si="0"/>
        <v>189434789.06</v>
      </c>
    </row>
    <row r="34" spans="2:10" x14ac:dyDescent="0.2">
      <c r="B34" s="361" t="s">
        <v>300</v>
      </c>
      <c r="C34" s="343">
        <v>19615477.620000001</v>
      </c>
      <c r="D34" s="361"/>
      <c r="E34" s="361"/>
      <c r="G34" s="278" t="s">
        <v>280</v>
      </c>
      <c r="H34" s="99">
        <v>358781056.63</v>
      </c>
      <c r="I34" s="99">
        <v>129257771.81999999</v>
      </c>
      <c r="J34" s="35">
        <f t="shared" si="0"/>
        <v>488038828.44999999</v>
      </c>
    </row>
    <row r="35" spans="2:10" x14ac:dyDescent="0.2">
      <c r="B35" s="361" t="s">
        <v>301</v>
      </c>
      <c r="C35" s="344">
        <v>1366670.39</v>
      </c>
      <c r="D35" s="361"/>
      <c r="E35" s="361"/>
      <c r="G35" s="278" t="s">
        <v>281</v>
      </c>
      <c r="H35" s="99">
        <v>101756083.26000001</v>
      </c>
      <c r="I35" s="99">
        <v>40672495.5</v>
      </c>
      <c r="J35" s="35">
        <f t="shared" si="0"/>
        <v>142428578.75999999</v>
      </c>
    </row>
    <row r="36" spans="2:10" x14ac:dyDescent="0.2">
      <c r="B36" s="361" t="s">
        <v>302</v>
      </c>
      <c r="C36" s="344">
        <v>11503305.449999999</v>
      </c>
      <c r="D36" s="361"/>
      <c r="E36" s="361"/>
      <c r="G36" s="278" t="s">
        <v>282</v>
      </c>
      <c r="H36" s="99">
        <v>31876556.52</v>
      </c>
      <c r="I36" s="99">
        <v>0</v>
      </c>
      <c r="J36" s="35">
        <f t="shared" si="0"/>
        <v>31876556.52</v>
      </c>
    </row>
    <row r="37" spans="2:10" x14ac:dyDescent="0.2">
      <c r="B37" s="361" t="s">
        <v>303</v>
      </c>
      <c r="C37" s="344">
        <v>16876846.449999999</v>
      </c>
      <c r="D37" s="361"/>
      <c r="E37" s="361"/>
      <c r="G37" s="283" t="s">
        <v>283</v>
      </c>
      <c r="H37" s="99">
        <v>-82382578.529999986</v>
      </c>
      <c r="I37" s="99">
        <v>-9504349.1700000018</v>
      </c>
      <c r="J37" s="284">
        <f t="shared" si="0"/>
        <v>-91886927.699999988</v>
      </c>
    </row>
    <row r="38" spans="2:10" x14ac:dyDescent="0.2">
      <c r="B38" s="361" t="s">
        <v>304</v>
      </c>
      <c r="C38" s="344">
        <v>40462858.509999998</v>
      </c>
      <c r="D38" s="361"/>
      <c r="E38" s="361"/>
      <c r="G38" s="283" t="s">
        <v>284</v>
      </c>
      <c r="H38" s="99">
        <v>224985851.35999998</v>
      </c>
      <c r="I38" s="99">
        <v>103681635.63</v>
      </c>
      <c r="J38" s="284">
        <f t="shared" si="0"/>
        <v>328667486.99000001</v>
      </c>
    </row>
    <row r="39" spans="2:10" x14ac:dyDescent="0.2">
      <c r="B39" s="361" t="s">
        <v>305</v>
      </c>
      <c r="C39" s="344">
        <v>26846787.920000002</v>
      </c>
      <c r="D39" s="361"/>
      <c r="E39" s="361"/>
      <c r="G39" s="283" t="s">
        <v>285</v>
      </c>
      <c r="H39" s="99">
        <v>40037496.210000001</v>
      </c>
      <c r="I39" s="99">
        <v>29239527.760000002</v>
      </c>
      <c r="J39" s="284">
        <f t="shared" si="0"/>
        <v>69277023.969999999</v>
      </c>
    </row>
    <row r="40" spans="2:10" x14ac:dyDescent="0.2">
      <c r="B40" s="361" t="s">
        <v>340</v>
      </c>
      <c r="C40" s="346">
        <f>SUM(C34:C39)</f>
        <v>116671946.33999999</v>
      </c>
      <c r="D40" s="361"/>
      <c r="E40" s="361"/>
      <c r="G40" s="283" t="s">
        <v>286</v>
      </c>
      <c r="H40" s="285">
        <v>18928553.430000007</v>
      </c>
      <c r="I40" s="286">
        <v>94783.429999999702</v>
      </c>
      <c r="J40" s="287">
        <f t="shared" si="0"/>
        <v>19023336.860000007</v>
      </c>
    </row>
    <row r="41" spans="2:10" x14ac:dyDescent="0.2">
      <c r="B41" s="361" t="s">
        <v>307</v>
      </c>
      <c r="C41" s="752">
        <f>H15</f>
        <v>116671946.33999999</v>
      </c>
      <c r="D41" s="361"/>
      <c r="E41" s="361"/>
      <c r="G41" s="280" t="s">
        <v>287</v>
      </c>
      <c r="H41" s="98">
        <f>SUM(H25:H40)</f>
        <v>2020063625.4899998</v>
      </c>
      <c r="I41" s="98">
        <f>SUM(I25:I40)</f>
        <v>832208150.99999988</v>
      </c>
      <c r="J41" s="12">
        <f>SUM(J25:J40)</f>
        <v>2852271776.4900007</v>
      </c>
    </row>
    <row r="42" spans="2:10" x14ac:dyDescent="0.2">
      <c r="B42" s="361" t="s">
        <v>308</v>
      </c>
      <c r="C42" s="751">
        <f>C40-C41</f>
        <v>0</v>
      </c>
      <c r="D42" s="361"/>
      <c r="E42" s="751">
        <f>C42</f>
        <v>0</v>
      </c>
      <c r="G42" s="283"/>
      <c r="H42" s="281"/>
      <c r="I42" s="281"/>
      <c r="J42" s="282"/>
    </row>
    <row r="43" spans="2:10" ht="15" x14ac:dyDescent="0.35">
      <c r="B43" s="361"/>
      <c r="C43" s="361"/>
      <c r="D43" s="361"/>
      <c r="E43" s="361"/>
      <c r="G43" s="288" t="s">
        <v>218</v>
      </c>
      <c r="H43" s="289">
        <f>H16-H41</f>
        <v>351333150.78000021</v>
      </c>
      <c r="I43" s="289">
        <f>I16-I41</f>
        <v>133677800.74000001</v>
      </c>
      <c r="J43" s="290">
        <f>J16-J41</f>
        <v>485010951.51999903</v>
      </c>
    </row>
    <row r="44" spans="2:10" x14ac:dyDescent="0.2">
      <c r="B44" s="361"/>
      <c r="C44" s="361"/>
      <c r="D44" s="361"/>
      <c r="E44" s="361"/>
      <c r="G44" s="301"/>
      <c r="H44" s="302"/>
      <c r="I44" s="302"/>
      <c r="J44" s="303"/>
    </row>
    <row r="45" spans="2:10" x14ac:dyDescent="0.2">
      <c r="B45" s="19" t="s">
        <v>339</v>
      </c>
      <c r="C45" s="19" t="s">
        <v>293</v>
      </c>
      <c r="D45" s="361" t="s">
        <v>394</v>
      </c>
      <c r="E45" s="361"/>
    </row>
    <row r="46" spans="2:10" x14ac:dyDescent="0.2">
      <c r="B46" s="361" t="s">
        <v>309</v>
      </c>
      <c r="C46" s="343">
        <v>11851.09</v>
      </c>
      <c r="D46" s="753" t="s">
        <v>308</v>
      </c>
      <c r="E46" s="343"/>
    </row>
    <row r="47" spans="2:10" x14ac:dyDescent="0.2">
      <c r="B47" s="361" t="s">
        <v>310</v>
      </c>
      <c r="C47" s="344">
        <v>4399060.03</v>
      </c>
      <c r="D47" s="381">
        <f>'SEF-15 Summary'!D35</f>
        <v>-6480453.6300000008</v>
      </c>
      <c r="E47" s="751">
        <f>SUM(C47:D47,D65)</f>
        <v>0</v>
      </c>
      <c r="F47" t="s">
        <v>342</v>
      </c>
    </row>
    <row r="48" spans="2:10" x14ac:dyDescent="0.2">
      <c r="B48" s="361" t="s">
        <v>311</v>
      </c>
      <c r="C48" s="344">
        <v>332297.28000000003</v>
      </c>
      <c r="D48" s="753" t="s">
        <v>387</v>
      </c>
      <c r="E48" s="344"/>
    </row>
    <row r="49" spans="2:5" x14ac:dyDescent="0.2">
      <c r="B49" s="361" t="s">
        <v>312</v>
      </c>
      <c r="C49" s="344">
        <v>4575.96</v>
      </c>
      <c r="D49" s="753" t="s">
        <v>187</v>
      </c>
      <c r="E49" s="344"/>
    </row>
    <row r="50" spans="2:5" x14ac:dyDescent="0.2">
      <c r="B50" s="361" t="s">
        <v>313</v>
      </c>
      <c r="C50" s="344">
        <v>94392.04</v>
      </c>
      <c r="D50" s="753" t="s">
        <v>187</v>
      </c>
      <c r="E50" s="344"/>
    </row>
    <row r="51" spans="2:5" x14ac:dyDescent="0.2">
      <c r="B51" s="361" t="s">
        <v>314</v>
      </c>
      <c r="C51" s="344">
        <v>619875.41</v>
      </c>
      <c r="D51" s="753" t="s">
        <v>390</v>
      </c>
      <c r="E51" s="344"/>
    </row>
    <row r="52" spans="2:5" x14ac:dyDescent="0.2">
      <c r="B52" s="361" t="s">
        <v>315</v>
      </c>
      <c r="C52" s="344">
        <v>86529.63</v>
      </c>
      <c r="D52" s="753" t="s">
        <v>389</v>
      </c>
      <c r="E52" s="344"/>
    </row>
    <row r="53" spans="2:5" x14ac:dyDescent="0.2">
      <c r="B53" s="361" t="s">
        <v>316</v>
      </c>
      <c r="C53" s="344">
        <v>48033.48</v>
      </c>
      <c r="D53" s="753" t="s">
        <v>391</v>
      </c>
      <c r="E53" s="344"/>
    </row>
    <row r="54" spans="2:5" x14ac:dyDescent="0.2">
      <c r="B54" s="361" t="s">
        <v>317</v>
      </c>
      <c r="C54" s="344">
        <v>6758.76</v>
      </c>
      <c r="D54" s="753" t="s">
        <v>392</v>
      </c>
      <c r="E54" s="344"/>
    </row>
    <row r="55" spans="2:5" x14ac:dyDescent="0.2">
      <c r="B55" s="361" t="s">
        <v>318</v>
      </c>
      <c r="C55" s="344">
        <v>137223.6</v>
      </c>
      <c r="D55" s="753" t="s">
        <v>393</v>
      </c>
      <c r="E55" s="344"/>
    </row>
    <row r="56" spans="2:5" x14ac:dyDescent="0.2">
      <c r="B56" s="361" t="s">
        <v>319</v>
      </c>
      <c r="C56" s="344">
        <v>78649</v>
      </c>
      <c r="D56" s="361"/>
      <c r="E56" s="344"/>
    </row>
    <row r="57" spans="2:5" x14ac:dyDescent="0.2">
      <c r="B57" s="361" t="s">
        <v>320</v>
      </c>
      <c r="C57" s="344">
        <v>427881.84</v>
      </c>
      <c r="D57" s="361"/>
      <c r="E57" s="344"/>
    </row>
    <row r="58" spans="2:5" x14ac:dyDescent="0.2">
      <c r="B58" s="361" t="s">
        <v>321</v>
      </c>
      <c r="C58" s="344">
        <v>85891.78</v>
      </c>
      <c r="D58" s="361"/>
      <c r="E58" s="344"/>
    </row>
    <row r="59" spans="2:5" x14ac:dyDescent="0.2">
      <c r="B59" s="361" t="s">
        <v>322</v>
      </c>
      <c r="C59" s="344">
        <v>416323.58</v>
      </c>
      <c r="D59" s="361"/>
      <c r="E59" s="344"/>
    </row>
    <row r="60" spans="2:5" x14ac:dyDescent="0.2">
      <c r="B60" s="361" t="s">
        <v>323</v>
      </c>
      <c r="C60" s="344">
        <v>83570.36</v>
      </c>
      <c r="D60" s="361"/>
      <c r="E60" s="344"/>
    </row>
    <row r="61" spans="2:5" x14ac:dyDescent="0.2">
      <c r="B61" s="361" t="s">
        <v>324</v>
      </c>
      <c r="C61" s="344">
        <v>5615180.3899999997</v>
      </c>
      <c r="D61" s="361"/>
      <c r="E61" s="344"/>
    </row>
    <row r="62" spans="2:5" x14ac:dyDescent="0.2">
      <c r="B62" s="361" t="s">
        <v>325</v>
      </c>
      <c r="C62" s="344">
        <v>-1281.3499999999999</v>
      </c>
      <c r="D62" s="361"/>
      <c r="E62" s="344"/>
    </row>
    <row r="63" spans="2:5" x14ac:dyDescent="0.2">
      <c r="B63" s="361" t="s">
        <v>326</v>
      </c>
      <c r="C63" s="344">
        <v>2119653.67</v>
      </c>
      <c r="D63" s="361"/>
      <c r="E63" s="344"/>
    </row>
    <row r="64" spans="2:5" x14ac:dyDescent="0.2">
      <c r="B64" t="s">
        <v>327</v>
      </c>
      <c r="C64" s="344">
        <v>339995.76</v>
      </c>
      <c r="E64" s="344"/>
    </row>
    <row r="65" spans="2:21" ht="15" x14ac:dyDescent="0.25">
      <c r="B65" t="s">
        <v>328</v>
      </c>
      <c r="C65" s="344">
        <v>4913813.8600000003</v>
      </c>
      <c r="D65" s="344">
        <f>I69</f>
        <v>2081393.6</v>
      </c>
      <c r="E65" s="344" t="s">
        <v>668</v>
      </c>
      <c r="H65" s="714" t="s">
        <v>669</v>
      </c>
      <c r="I65" s="715" t="s">
        <v>670</v>
      </c>
      <c r="J65" s="715" t="s">
        <v>671</v>
      </c>
      <c r="K65" s="715" t="s">
        <v>672</v>
      </c>
      <c r="L65" s="715" t="s">
        <v>673</v>
      </c>
      <c r="M65" s="715" t="s">
        <v>674</v>
      </c>
      <c r="N65" s="715" t="s">
        <v>675</v>
      </c>
      <c r="O65" s="715" t="s">
        <v>676</v>
      </c>
      <c r="P65" s="715" t="s">
        <v>677</v>
      </c>
      <c r="Q65" s="715" t="s">
        <v>678</v>
      </c>
      <c r="R65" s="715" t="s">
        <v>679</v>
      </c>
      <c r="S65" s="715" t="s">
        <v>680</v>
      </c>
      <c r="T65" s="715" t="s">
        <v>681</v>
      </c>
      <c r="U65" s="714"/>
    </row>
    <row r="66" spans="2:21" ht="15" x14ac:dyDescent="0.25">
      <c r="B66" t="s">
        <v>329</v>
      </c>
      <c r="C66" s="344">
        <v>1940600.96</v>
      </c>
      <c r="E66" s="344"/>
      <c r="H66" s="714">
        <v>2019</v>
      </c>
      <c r="I66" s="716"/>
      <c r="J66" s="716"/>
      <c r="K66" s="716"/>
      <c r="L66" s="716">
        <v>183409.6</v>
      </c>
      <c r="M66" s="716">
        <v>183409.6</v>
      </c>
      <c r="N66" s="716">
        <v>173316</v>
      </c>
      <c r="O66" s="717">
        <v>173316</v>
      </c>
      <c r="P66" s="717">
        <v>173316</v>
      </c>
      <c r="Q66" s="717">
        <v>173316</v>
      </c>
      <c r="R66" s="717">
        <v>173316</v>
      </c>
      <c r="S66" s="717">
        <v>173316</v>
      </c>
      <c r="T66" s="717">
        <v>173316</v>
      </c>
      <c r="U66" s="716">
        <f>SUM(I66:T66)</f>
        <v>1580031.2</v>
      </c>
    </row>
    <row r="67" spans="2:21" ht="15" x14ac:dyDescent="0.25">
      <c r="B67" t="s">
        <v>330</v>
      </c>
      <c r="C67" s="344">
        <v>1707966.61</v>
      </c>
      <c r="E67" s="344"/>
      <c r="H67" s="714">
        <v>2020</v>
      </c>
      <c r="I67" s="717">
        <v>173316</v>
      </c>
      <c r="J67" s="717">
        <v>173316</v>
      </c>
      <c r="K67" s="717">
        <v>173316</v>
      </c>
      <c r="L67" s="717">
        <v>173316</v>
      </c>
      <c r="M67" s="717">
        <v>173316</v>
      </c>
      <c r="N67" s="717">
        <v>174917.6</v>
      </c>
      <c r="O67" s="716">
        <v>174917.6</v>
      </c>
      <c r="P67" s="716">
        <v>174917.6</v>
      </c>
      <c r="Q67" s="716"/>
      <c r="R67" s="716"/>
      <c r="S67" s="716"/>
      <c r="T67" s="716"/>
      <c r="U67" s="716">
        <f>SUM(I67:T67)</f>
        <v>1391332.8</v>
      </c>
    </row>
    <row r="68" spans="2:21" ht="15" x14ac:dyDescent="0.25">
      <c r="B68" t="s">
        <v>331</v>
      </c>
      <c r="C68" s="344">
        <v>229225.96</v>
      </c>
      <c r="E68" s="344"/>
      <c r="H68" s="714"/>
      <c r="I68" s="716"/>
      <c r="J68" s="716"/>
      <c r="K68" s="716"/>
      <c r="L68" s="716"/>
      <c r="M68" s="716"/>
      <c r="N68" s="716"/>
      <c r="O68" s="716"/>
      <c r="P68" s="716"/>
      <c r="Q68" s="716"/>
      <c r="R68" s="716"/>
      <c r="S68" s="716"/>
      <c r="T68" s="716"/>
      <c r="U68" s="716"/>
    </row>
    <row r="69" spans="2:21" ht="15" x14ac:dyDescent="0.25">
      <c r="B69" t="s">
        <v>332</v>
      </c>
      <c r="C69" s="344">
        <v>17904.71</v>
      </c>
      <c r="E69" s="344"/>
      <c r="H69" s="714" t="s">
        <v>682</v>
      </c>
      <c r="I69" s="716">
        <f>SUM(O66:T66,I67:N67)</f>
        <v>2081393.6</v>
      </c>
      <c r="J69" s="716"/>
      <c r="K69" s="716"/>
      <c r="L69" s="716"/>
      <c r="M69" s="716"/>
      <c r="N69" s="716"/>
      <c r="O69" s="716"/>
      <c r="P69" s="716"/>
      <c r="Q69" s="716"/>
      <c r="R69" s="716"/>
      <c r="S69" s="716"/>
      <c r="T69" s="716"/>
      <c r="U69" s="716"/>
    </row>
    <row r="70" spans="2:21" x14ac:dyDescent="0.2">
      <c r="B70" t="s">
        <v>333</v>
      </c>
      <c r="C70" s="344">
        <v>362228.38</v>
      </c>
      <c r="E70" s="344"/>
    </row>
    <row r="71" spans="2:21" x14ac:dyDescent="0.2">
      <c r="B71" t="s">
        <v>334</v>
      </c>
      <c r="C71" s="344">
        <v>395585.82</v>
      </c>
      <c r="E71" s="344"/>
    </row>
    <row r="72" spans="2:21" x14ac:dyDescent="0.2">
      <c r="B72" t="s">
        <v>335</v>
      </c>
      <c r="C72" s="344">
        <v>384894.35</v>
      </c>
      <c r="E72" s="344"/>
    </row>
    <row r="73" spans="2:21" x14ac:dyDescent="0.2">
      <c r="B73" t="s">
        <v>336</v>
      </c>
      <c r="C73" s="344">
        <v>-107902.36</v>
      </c>
      <c r="E73" s="344"/>
    </row>
    <row r="74" spans="2:21" x14ac:dyDescent="0.2">
      <c r="B74" t="s">
        <v>337</v>
      </c>
      <c r="C74" s="344">
        <v>753762.91</v>
      </c>
      <c r="E74" s="344"/>
    </row>
    <row r="75" spans="2:21" x14ac:dyDescent="0.2">
      <c r="B75" t="s">
        <v>338</v>
      </c>
      <c r="C75" s="344">
        <v>1342244.41</v>
      </c>
      <c r="E75" s="344"/>
    </row>
    <row r="76" spans="2:21" x14ac:dyDescent="0.2">
      <c r="B76" t="s">
        <v>341</v>
      </c>
      <c r="C76" s="295">
        <f>SUM(C46:C75)</f>
        <v>26846787.920000006</v>
      </c>
      <c r="E76" s="299"/>
    </row>
    <row r="77" spans="2:21" x14ac:dyDescent="0.2">
      <c r="B77" t="s">
        <v>340</v>
      </c>
      <c r="C77" s="345">
        <f>C39</f>
        <v>26846787.920000002</v>
      </c>
    </row>
    <row r="78" spans="2:21" x14ac:dyDescent="0.2">
      <c r="B78" t="s">
        <v>308</v>
      </c>
      <c r="C78" s="291">
        <f>C76-C77</f>
        <v>0</v>
      </c>
      <c r="E78" s="291">
        <f>C78</f>
        <v>0</v>
      </c>
    </row>
    <row r="81" spans="2:8" x14ac:dyDescent="0.2">
      <c r="B81" s="294" t="s">
        <v>385</v>
      </c>
      <c r="C81" s="294" t="s">
        <v>293</v>
      </c>
    </row>
    <row r="82" spans="2:8" x14ac:dyDescent="0.2">
      <c r="B82" t="s">
        <v>343</v>
      </c>
      <c r="C82" s="343">
        <v>617.42999999999995</v>
      </c>
      <c r="F82" s="343"/>
    </row>
    <row r="83" spans="2:8" x14ac:dyDescent="0.2">
      <c r="B83" t="s">
        <v>344</v>
      </c>
      <c r="C83" s="344">
        <v>-456719.84</v>
      </c>
      <c r="F83" s="344"/>
    </row>
    <row r="84" spans="2:8" x14ac:dyDescent="0.2">
      <c r="B84" t="s">
        <v>345</v>
      </c>
      <c r="C84" s="344">
        <v>383785.54</v>
      </c>
      <c r="F84" s="344"/>
    </row>
    <row r="85" spans="2:8" x14ac:dyDescent="0.2">
      <c r="B85" t="s">
        <v>346</v>
      </c>
      <c r="C85" s="344">
        <v>488509.99</v>
      </c>
      <c r="E85" s="293" t="s">
        <v>308</v>
      </c>
      <c r="F85" s="344"/>
    </row>
    <row r="86" spans="2:8" x14ac:dyDescent="0.2">
      <c r="B86" t="s">
        <v>347</v>
      </c>
      <c r="C86" s="344">
        <v>102184546.95</v>
      </c>
      <c r="D86" s="292">
        <f>C86</f>
        <v>102184546.95</v>
      </c>
      <c r="E86" t="s">
        <v>386</v>
      </c>
    </row>
    <row r="87" spans="2:8" x14ac:dyDescent="0.2">
      <c r="B87" t="s">
        <v>348</v>
      </c>
      <c r="C87" s="344">
        <v>-92663729.560000002</v>
      </c>
      <c r="D87" s="292">
        <f>C87</f>
        <v>-92663729.560000002</v>
      </c>
      <c r="E87" t="s">
        <v>386</v>
      </c>
    </row>
    <row r="88" spans="2:8" x14ac:dyDescent="0.2">
      <c r="B88" t="s">
        <v>349</v>
      </c>
      <c r="C88" s="344">
        <v>79395.100000000006</v>
      </c>
      <c r="D88" s="347">
        <f>SUM(D86:D87)</f>
        <v>9520817.3900000006</v>
      </c>
      <c r="F88" t="s">
        <v>394</v>
      </c>
    </row>
    <row r="89" spans="2:8" x14ac:dyDescent="0.2">
      <c r="B89" t="s">
        <v>350</v>
      </c>
      <c r="C89" s="344">
        <v>1026108</v>
      </c>
      <c r="D89" s="292">
        <f>'SEF-15 Summary'!D38</f>
        <v>-9520817.3900000006</v>
      </c>
      <c r="E89" s="291">
        <f>SUM(D88:D89)</f>
        <v>0</v>
      </c>
      <c r="F89" t="s">
        <v>409</v>
      </c>
      <c r="G89" s="293"/>
      <c r="H89" s="293"/>
    </row>
    <row r="90" spans="2:8" x14ac:dyDescent="0.2">
      <c r="B90" t="s">
        <v>351</v>
      </c>
      <c r="C90" s="344">
        <v>1289779.48</v>
      </c>
      <c r="F90" s="344"/>
      <c r="G90" s="293"/>
      <c r="H90" s="293"/>
    </row>
    <row r="91" spans="2:8" x14ac:dyDescent="0.2">
      <c r="B91" t="s">
        <v>352</v>
      </c>
      <c r="C91" s="344">
        <v>6613539.0300000003</v>
      </c>
      <c r="F91" s="344"/>
      <c r="G91" s="293"/>
      <c r="H91" s="293"/>
    </row>
    <row r="92" spans="2:8" x14ac:dyDescent="0.2">
      <c r="B92" t="s">
        <v>353</v>
      </c>
      <c r="C92" s="344">
        <v>8642057.7899999991</v>
      </c>
      <c r="F92" s="344"/>
      <c r="G92" s="293"/>
      <c r="H92" s="293"/>
    </row>
    <row r="93" spans="2:8" x14ac:dyDescent="0.2">
      <c r="B93" t="s">
        <v>354</v>
      </c>
      <c r="C93" s="344">
        <v>317744.11</v>
      </c>
      <c r="F93" s="344"/>
      <c r="G93" s="293"/>
      <c r="H93" s="293"/>
    </row>
    <row r="94" spans="2:8" x14ac:dyDescent="0.2">
      <c r="B94" t="s">
        <v>355</v>
      </c>
      <c r="C94" s="344">
        <v>2954747.12</v>
      </c>
      <c r="F94" s="344"/>
      <c r="H94" s="293"/>
    </row>
    <row r="95" spans="2:8" x14ac:dyDescent="0.2">
      <c r="B95" t="s">
        <v>356</v>
      </c>
      <c r="C95" s="344">
        <v>6230102.9299999997</v>
      </c>
      <c r="F95" s="344"/>
      <c r="H95" s="293"/>
    </row>
    <row r="96" spans="2:8" x14ac:dyDescent="0.2">
      <c r="B96" t="s">
        <v>357</v>
      </c>
      <c r="C96" s="344">
        <v>3782152.6</v>
      </c>
      <c r="F96" s="344"/>
      <c r="H96" s="293"/>
    </row>
    <row r="97" spans="2:6" x14ac:dyDescent="0.2">
      <c r="B97" t="s">
        <v>358</v>
      </c>
      <c r="C97" s="344">
        <v>59211.46</v>
      </c>
      <c r="F97" s="344"/>
    </row>
    <row r="98" spans="2:6" x14ac:dyDescent="0.2">
      <c r="B98" t="s">
        <v>359</v>
      </c>
      <c r="C98" s="344">
        <v>2568695.27</v>
      </c>
      <c r="F98" s="344"/>
    </row>
    <row r="99" spans="2:6" x14ac:dyDescent="0.2">
      <c r="B99" t="s">
        <v>360</v>
      </c>
      <c r="C99" s="344">
        <v>2648638.5699999998</v>
      </c>
      <c r="F99" s="344"/>
    </row>
    <row r="100" spans="2:6" x14ac:dyDescent="0.2">
      <c r="B100" t="s">
        <v>361</v>
      </c>
      <c r="C100" s="344">
        <v>-4682850.62</v>
      </c>
      <c r="F100" s="344"/>
    </row>
    <row r="101" spans="2:6" x14ac:dyDescent="0.2">
      <c r="B101" t="s">
        <v>362</v>
      </c>
      <c r="C101" s="344">
        <v>-1444383.35</v>
      </c>
      <c r="F101" s="344"/>
    </row>
    <row r="102" spans="2:6" x14ac:dyDescent="0.2">
      <c r="B102" t="s">
        <v>363</v>
      </c>
      <c r="C102" s="344">
        <v>-804244.07</v>
      </c>
      <c r="F102" s="344"/>
    </row>
    <row r="103" spans="2:6" x14ac:dyDescent="0.2">
      <c r="B103" t="s">
        <v>364</v>
      </c>
      <c r="C103" s="344">
        <v>1095883.44</v>
      </c>
      <c r="F103" s="344"/>
    </row>
    <row r="104" spans="2:6" x14ac:dyDescent="0.2">
      <c r="B104" t="s">
        <v>365</v>
      </c>
      <c r="C104" s="344">
        <v>-2139893.6800000002</v>
      </c>
      <c r="F104" s="344"/>
    </row>
    <row r="105" spans="2:6" x14ac:dyDescent="0.2">
      <c r="B105" t="s">
        <v>366</v>
      </c>
      <c r="C105" s="344">
        <v>3101654.98</v>
      </c>
      <c r="F105" s="344"/>
    </row>
    <row r="106" spans="2:6" x14ac:dyDescent="0.2">
      <c r="B106" t="s">
        <v>367</v>
      </c>
      <c r="C106" s="344">
        <v>-1028262.46</v>
      </c>
      <c r="F106" s="344"/>
    </row>
    <row r="107" spans="2:6" x14ac:dyDescent="0.2">
      <c r="B107" t="s">
        <v>368</v>
      </c>
      <c r="C107" s="344">
        <v>149330.96</v>
      </c>
      <c r="F107" s="344"/>
    </row>
    <row r="108" spans="2:6" x14ac:dyDescent="0.2">
      <c r="B108" t="s">
        <v>369</v>
      </c>
      <c r="C108" s="344">
        <v>103841.44</v>
      </c>
      <c r="F108" s="344"/>
    </row>
    <row r="109" spans="2:6" x14ac:dyDescent="0.2">
      <c r="B109" t="s">
        <v>370</v>
      </c>
      <c r="C109" s="344">
        <v>-85169.87</v>
      </c>
      <c r="F109" s="344"/>
    </row>
    <row r="110" spans="2:6" x14ac:dyDescent="0.2">
      <c r="B110" t="s">
        <v>371</v>
      </c>
      <c r="C110" s="344">
        <v>-2146520.5299999998</v>
      </c>
      <c r="F110" s="344"/>
    </row>
    <row r="111" spans="2:6" x14ac:dyDescent="0.2">
      <c r="B111" t="s">
        <v>372</v>
      </c>
      <c r="C111" s="344">
        <v>2700856</v>
      </c>
      <c r="F111" s="344"/>
    </row>
    <row r="112" spans="2:6" x14ac:dyDescent="0.2">
      <c r="B112" t="s">
        <v>373</v>
      </c>
      <c r="C112" s="344">
        <v>23487.49</v>
      </c>
      <c r="F112" s="344"/>
    </row>
    <row r="113" spans="2:6" x14ac:dyDescent="0.2">
      <c r="B113" t="s">
        <v>374</v>
      </c>
      <c r="C113" s="344">
        <v>-28200</v>
      </c>
      <c r="F113" s="344"/>
    </row>
    <row r="114" spans="2:6" x14ac:dyDescent="0.2">
      <c r="B114" t="s">
        <v>375</v>
      </c>
      <c r="C114" s="344">
        <v>4759926.55</v>
      </c>
      <c r="F114" s="344"/>
    </row>
    <row r="115" spans="2:6" x14ac:dyDescent="0.2">
      <c r="B115" t="s">
        <v>376</v>
      </c>
      <c r="C115" s="344">
        <v>1361167.59</v>
      </c>
      <c r="F115" s="344"/>
    </row>
    <row r="116" spans="2:6" x14ac:dyDescent="0.2">
      <c r="B116" t="s">
        <v>377</v>
      </c>
      <c r="C116" s="344">
        <v>2604737.2200000002</v>
      </c>
      <c r="F116" s="344"/>
    </row>
    <row r="117" spans="2:6" x14ac:dyDescent="0.2">
      <c r="B117" t="s">
        <v>378</v>
      </c>
      <c r="C117" s="344">
        <v>305.69</v>
      </c>
      <c r="F117" s="344"/>
    </row>
    <row r="118" spans="2:6" x14ac:dyDescent="0.2">
      <c r="B118" t="s">
        <v>379</v>
      </c>
      <c r="C118" s="344">
        <v>-1534440.27</v>
      </c>
      <c r="F118" s="344"/>
    </row>
    <row r="119" spans="2:6" x14ac:dyDescent="0.2">
      <c r="B119" t="s">
        <v>380</v>
      </c>
      <c r="C119" s="344">
        <v>-518432.1</v>
      </c>
      <c r="F119" s="344"/>
    </row>
    <row r="120" spans="2:6" x14ac:dyDescent="0.2">
      <c r="B120" t="s">
        <v>381</v>
      </c>
      <c r="C120" s="344">
        <v>460265.34</v>
      </c>
      <c r="F120" s="344"/>
    </row>
    <row r="121" spans="2:6" x14ac:dyDescent="0.2">
      <c r="B121" t="s">
        <v>382</v>
      </c>
      <c r="C121" s="344">
        <v>-7647518.7599999998</v>
      </c>
      <c r="F121" s="344"/>
    </row>
    <row r="122" spans="2:6" x14ac:dyDescent="0.2">
      <c r="B122" t="s">
        <v>383</v>
      </c>
      <c r="C122" s="344">
        <v>1200.58</v>
      </c>
      <c r="F122" s="344"/>
    </row>
    <row r="123" spans="2:6" x14ac:dyDescent="0.2">
      <c r="B123" t="s">
        <v>384</v>
      </c>
      <c r="C123" s="344">
        <v>10934.97</v>
      </c>
      <c r="F123" s="344"/>
    </row>
    <row r="124" spans="2:6" x14ac:dyDescent="0.2">
      <c r="B124" t="s">
        <v>410</v>
      </c>
      <c r="C124" s="346">
        <f>SUM(C82:C123)</f>
        <v>40462858.510000005</v>
      </c>
      <c r="D124" t="s">
        <v>388</v>
      </c>
      <c r="F124" s="343"/>
    </row>
    <row r="125" spans="2:6" x14ac:dyDescent="0.2">
      <c r="B125" t="s">
        <v>307</v>
      </c>
      <c r="C125" s="292">
        <f>C38</f>
        <v>40462858.509999998</v>
      </c>
      <c r="F125" s="300"/>
    </row>
    <row r="126" spans="2:6" x14ac:dyDescent="0.2">
      <c r="B126" t="s">
        <v>308</v>
      </c>
      <c r="C126" s="291">
        <f>C124-C125</f>
        <v>0</v>
      </c>
      <c r="E126" s="291">
        <f>C126</f>
        <v>0</v>
      </c>
    </row>
    <row r="128" spans="2:6" x14ac:dyDescent="0.2">
      <c r="B128" s="294" t="s">
        <v>284</v>
      </c>
      <c r="C128" s="294" t="s">
        <v>293</v>
      </c>
    </row>
    <row r="129" spans="2:5" x14ac:dyDescent="0.2">
      <c r="B129" s="254" t="s">
        <v>419</v>
      </c>
      <c r="C129" s="295"/>
    </row>
    <row r="130" spans="2:5" x14ac:dyDescent="0.2">
      <c r="B130" t="s">
        <v>395</v>
      </c>
      <c r="C130" s="291">
        <v>80284530.450000003</v>
      </c>
    </row>
    <row r="131" spans="2:5" x14ac:dyDescent="0.2">
      <c r="B131" t="s">
        <v>396</v>
      </c>
      <c r="C131" s="292">
        <v>78452694.450000003</v>
      </c>
    </row>
    <row r="132" spans="2:5" x14ac:dyDescent="0.2">
      <c r="B132" t="s">
        <v>397</v>
      </c>
      <c r="C132" s="292">
        <v>1116935.45</v>
      </c>
      <c r="D132" s="292">
        <f>'SEF-15 Summary'!D30</f>
        <v>1116935.45</v>
      </c>
      <c r="E132" s="291">
        <f>C132-D132</f>
        <v>0</v>
      </c>
    </row>
    <row r="133" spans="2:5" x14ac:dyDescent="0.2">
      <c r="B133" t="s">
        <v>398</v>
      </c>
      <c r="C133" s="292">
        <v>26055741</v>
      </c>
    </row>
    <row r="134" spans="2:5" x14ac:dyDescent="0.2">
      <c r="B134" t="s">
        <v>399</v>
      </c>
      <c r="C134" s="292">
        <v>18857735</v>
      </c>
    </row>
    <row r="135" spans="2:5" x14ac:dyDescent="0.2">
      <c r="B135" t="s">
        <v>400</v>
      </c>
      <c r="C135" s="292">
        <v>555598.32999999996</v>
      </c>
    </row>
    <row r="136" spans="2:5" x14ac:dyDescent="0.2">
      <c r="B136" t="s">
        <v>401</v>
      </c>
      <c r="C136" s="292">
        <v>9951203</v>
      </c>
    </row>
    <row r="137" spans="2:5" x14ac:dyDescent="0.2">
      <c r="B137" t="s">
        <v>402</v>
      </c>
      <c r="C137" s="292">
        <v>8673531.1099999994</v>
      </c>
    </row>
    <row r="138" spans="2:5" x14ac:dyDescent="0.2">
      <c r="B138" t="s">
        <v>403</v>
      </c>
      <c r="C138" s="292">
        <v>1113233.8899999999</v>
      </c>
    </row>
    <row r="139" spans="2:5" x14ac:dyDescent="0.2">
      <c r="B139" t="s">
        <v>404</v>
      </c>
      <c r="C139" s="292">
        <v>-522331.95</v>
      </c>
    </row>
    <row r="140" spans="2:5" x14ac:dyDescent="0.2">
      <c r="B140" t="s">
        <v>405</v>
      </c>
      <c r="C140" s="292">
        <v>-8011228.9100000001</v>
      </c>
    </row>
    <row r="141" spans="2:5" x14ac:dyDescent="0.2">
      <c r="B141" t="s">
        <v>406</v>
      </c>
      <c r="C141" s="292">
        <v>-12672.42</v>
      </c>
    </row>
    <row r="142" spans="2:5" x14ac:dyDescent="0.2">
      <c r="B142" t="s">
        <v>407</v>
      </c>
      <c r="C142" s="292">
        <v>-120930.02</v>
      </c>
    </row>
    <row r="143" spans="2:5" x14ac:dyDescent="0.2">
      <c r="B143" t="s">
        <v>408</v>
      </c>
      <c r="C143" s="353">
        <v>-6367.81</v>
      </c>
    </row>
    <row r="144" spans="2:5" x14ac:dyDescent="0.2">
      <c r="B144" t="s">
        <v>410</v>
      </c>
      <c r="C144" s="354">
        <f>SUM(C130:C143)</f>
        <v>216387671.57000002</v>
      </c>
    </row>
    <row r="145" spans="2:5" x14ac:dyDescent="0.2">
      <c r="B145" s="254" t="s">
        <v>420</v>
      </c>
      <c r="C145" s="354">
        <v>8598179.7899999991</v>
      </c>
    </row>
    <row r="146" spans="2:5" x14ac:dyDescent="0.2">
      <c r="B146" t="s">
        <v>453</v>
      </c>
      <c r="C146" s="299">
        <f>SUM(C144:C145)</f>
        <v>224985851.36000001</v>
      </c>
    </row>
    <row r="147" spans="2:5" x14ac:dyDescent="0.2">
      <c r="B147" t="s">
        <v>307</v>
      </c>
      <c r="C147" s="260">
        <f>H38</f>
        <v>224985851.35999998</v>
      </c>
    </row>
    <row r="148" spans="2:5" x14ac:dyDescent="0.2">
      <c r="B148" t="s">
        <v>308</v>
      </c>
      <c r="C148" s="291">
        <f>C146-C147</f>
        <v>0</v>
      </c>
      <c r="E148" s="291">
        <f>C148</f>
        <v>0</v>
      </c>
    </row>
  </sheetData>
  <conditionalFormatting sqref="C42">
    <cfRule type="cellIs" dxfId="46" priority="42" operator="equal">
      <formula>0</formula>
    </cfRule>
    <cfRule type="cellIs" dxfId="45" priority="49" operator="notEqual">
      <formula>0</formula>
    </cfRule>
  </conditionalFormatting>
  <conditionalFormatting sqref="E47">
    <cfRule type="cellIs" dxfId="44" priority="40" operator="equal">
      <formula>0</formula>
    </cfRule>
    <cfRule type="cellIs" dxfId="43" priority="41" operator="notEqual">
      <formula>0</formula>
    </cfRule>
  </conditionalFormatting>
  <conditionalFormatting sqref="E89">
    <cfRule type="cellIs" dxfId="42" priority="38" operator="equal">
      <formula>0</formula>
    </cfRule>
    <cfRule type="cellIs" dxfId="41" priority="39" operator="notEqual">
      <formula>0</formula>
    </cfRule>
  </conditionalFormatting>
  <conditionalFormatting sqref="C78">
    <cfRule type="cellIs" dxfId="40" priority="36" operator="equal">
      <formula>0</formula>
    </cfRule>
    <cfRule type="cellIs" dxfId="39" priority="37" operator="notEqual">
      <formula>0</formula>
    </cfRule>
  </conditionalFormatting>
  <conditionalFormatting sqref="C126">
    <cfRule type="cellIs" dxfId="38" priority="34" operator="equal">
      <formula>0</formula>
    </cfRule>
    <cfRule type="cellIs" dxfId="37" priority="35" operator="notEqual">
      <formula>0</formula>
    </cfRule>
  </conditionalFormatting>
  <conditionalFormatting sqref="E132">
    <cfRule type="cellIs" dxfId="36" priority="32" operator="equal">
      <formula>0</formula>
    </cfRule>
    <cfRule type="cellIs" dxfId="35" priority="33" operator="notEqual">
      <formula>0</formula>
    </cfRule>
  </conditionalFormatting>
  <conditionalFormatting sqref="E148">
    <cfRule type="cellIs" dxfId="34" priority="30" operator="equal">
      <formula>0</formula>
    </cfRule>
    <cfRule type="cellIs" dxfId="33" priority="31" operator="notEqual">
      <formula>0</formula>
    </cfRule>
  </conditionalFormatting>
  <conditionalFormatting sqref="C148">
    <cfRule type="cellIs" dxfId="32" priority="27" operator="equal">
      <formula>0</formula>
    </cfRule>
    <cfRule type="cellIs" dxfId="31" priority="28" operator="notEqual">
      <formula>0</formula>
    </cfRule>
  </conditionalFormatting>
  <conditionalFormatting sqref="E10">
    <cfRule type="cellIs" dxfId="30" priority="25" operator="equal">
      <formula>0</formula>
    </cfRule>
    <cfRule type="cellIs" dxfId="29" priority="26" operator="notEqual">
      <formula>0</formula>
    </cfRule>
  </conditionalFormatting>
  <conditionalFormatting sqref="E20">
    <cfRule type="cellIs" dxfId="28" priority="23" operator="equal">
      <formula>0</formula>
    </cfRule>
    <cfRule type="cellIs" dxfId="27" priority="24" operator="notEqual">
      <formula>0</formula>
    </cfRule>
  </conditionalFormatting>
  <conditionalFormatting sqref="E26">
    <cfRule type="cellIs" dxfId="26" priority="21" operator="equal">
      <formula>0</formula>
    </cfRule>
    <cfRule type="cellIs" dxfId="25" priority="22" operator="notEqual">
      <formula>0</formula>
    </cfRule>
  </conditionalFormatting>
  <conditionalFormatting sqref="E17">
    <cfRule type="cellIs" dxfId="24" priority="19" operator="equal">
      <formula>0</formula>
    </cfRule>
    <cfRule type="cellIs" dxfId="23" priority="20" operator="notEqual">
      <formula>0</formula>
    </cfRule>
  </conditionalFormatting>
  <conditionalFormatting sqref="E23">
    <cfRule type="cellIs" dxfId="22" priority="17" operator="equal">
      <formula>0</formula>
    </cfRule>
    <cfRule type="cellIs" dxfId="21" priority="18" operator="notEqual">
      <formula>0</formula>
    </cfRule>
  </conditionalFormatting>
  <conditionalFormatting sqref="E42">
    <cfRule type="cellIs" dxfId="20" priority="15" operator="equal">
      <formula>0</formula>
    </cfRule>
    <cfRule type="cellIs" dxfId="19" priority="16" operator="notEqual">
      <formula>0</formula>
    </cfRule>
  </conditionalFormatting>
  <conditionalFormatting sqref="E78">
    <cfRule type="cellIs" dxfId="18" priority="13" operator="equal">
      <formula>0</formula>
    </cfRule>
    <cfRule type="cellIs" dxfId="17" priority="14" operator="notEqual">
      <formula>0</formula>
    </cfRule>
  </conditionalFormatting>
  <conditionalFormatting sqref="E126">
    <cfRule type="cellIs" dxfId="16" priority="11" operator="equal">
      <formula>0</formula>
    </cfRule>
    <cfRule type="cellIs" dxfId="15" priority="12" operator="notEqual">
      <formula>0</formula>
    </cfRule>
  </conditionalFormatting>
  <conditionalFormatting sqref="M32:N32">
    <cfRule type="cellIs" dxfId="14" priority="9" operator="equal">
      <formula>0</formula>
    </cfRule>
    <cfRule type="cellIs" dxfId="13" priority="10" operator="notEqual">
      <formula>0</formula>
    </cfRule>
  </conditionalFormatting>
  <conditionalFormatting sqref="E32">
    <cfRule type="cellIs" dxfId="12" priority="7" operator="equal">
      <formula>0</formula>
    </cfRule>
    <cfRule type="cellIs" dxfId="11" priority="8" operator="notEqual">
      <formula>0</formula>
    </cfRule>
  </conditionalFormatting>
  <conditionalFormatting sqref="E30">
    <cfRule type="cellIs" dxfId="10" priority="5" operator="equal">
      <formula>0</formula>
    </cfRule>
    <cfRule type="cellIs" dxfId="9" priority="6" operator="notEqual">
      <formula>0</formula>
    </cfRule>
  </conditionalFormatting>
  <conditionalFormatting sqref="S22">
    <cfRule type="cellIs" dxfId="8" priority="3" operator="equal">
      <formula>0</formula>
    </cfRule>
    <cfRule type="cellIs" dxfId="7" priority="4" operator="notEqual">
      <formula>0</formula>
    </cfRule>
  </conditionalFormatting>
  <conditionalFormatting sqref="S27">
    <cfRule type="cellIs" dxfId="6" priority="1" operator="equal">
      <formula>0</formula>
    </cfRule>
    <cfRule type="cellIs" dxfId="5" priority="2" operator="notEqual">
      <formula>0</formula>
    </cfRule>
  </conditionalFormatting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2021-06-17T07:00:00+00:00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4BC0738-AA01-49E7-B2AC-F56BB8C83433}"/>
</file>

<file path=customXml/itemProps2.xml><?xml version="1.0" encoding="utf-8"?>
<ds:datastoreItem xmlns:ds="http://schemas.openxmlformats.org/officeDocument/2006/customXml" ds:itemID="{7D767885-2930-4A43-ACC3-10C2DA1F0C8F}"/>
</file>

<file path=customXml/itemProps3.xml><?xml version="1.0" encoding="utf-8"?>
<ds:datastoreItem xmlns:ds="http://schemas.openxmlformats.org/officeDocument/2006/customXml" ds:itemID="{218C222D-D388-4D74-A123-10A64BCACA8B}"/>
</file>

<file path=customXml/itemProps4.xml><?xml version="1.0" encoding="utf-8"?>
<ds:datastoreItem xmlns:ds="http://schemas.openxmlformats.org/officeDocument/2006/customXml" ds:itemID="{3AE054C0-691D-4B9B-80F6-2817D685B7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26</vt:i4>
      </vt:variant>
    </vt:vector>
  </HeadingPairs>
  <TitlesOfParts>
    <vt:vector size="41" baseType="lpstr">
      <vt:lpstr>Summary of Changes</vt:lpstr>
      <vt:lpstr>Deficiency</vt:lpstr>
      <vt:lpstr>SEF-15 Summary</vt:lpstr>
      <vt:lpstr>SEF-15 Adjustments</vt:lpstr>
      <vt:lpstr>SEF-16 2020 PCORC A-1</vt:lpstr>
      <vt:lpstr>2019 GRC A-1 UE-200907</vt:lpstr>
      <vt:lpstr>ROR</vt:lpstr>
      <vt:lpstr>Name Ranges</vt:lpstr>
      <vt:lpstr>Recon</vt:lpstr>
      <vt:lpstr>Recon Depr</vt:lpstr>
      <vt:lpstr>ARC Dep-ARO Accr</vt:lpstr>
      <vt:lpstr>Col Depr Adj</vt:lpstr>
      <vt:lpstr>Col Acq Adj</vt:lpstr>
      <vt:lpstr>Prod Rel GP</vt:lpstr>
      <vt:lpstr>Reconcile PKW to A-1</vt:lpstr>
      <vt:lpstr>_Colstrip1and2</vt:lpstr>
      <vt:lpstr>_Colstrip3and4</vt:lpstr>
      <vt:lpstr>_ConvFactor</vt:lpstr>
      <vt:lpstr>_Deficiency</vt:lpstr>
      <vt:lpstr>_DeprAMAtoEOP</vt:lpstr>
      <vt:lpstr>_Exhibit_A_1_Power_Cost_Baseline_Rate</vt:lpstr>
      <vt:lpstr>_FIT</vt:lpstr>
      <vt:lpstr>_MontanaEnergyTax</vt:lpstr>
      <vt:lpstr>_PC_pg1</vt:lpstr>
      <vt:lpstr>_PC_pg2</vt:lpstr>
      <vt:lpstr>_PC_pg3</vt:lpstr>
      <vt:lpstr>_PropInsurance</vt:lpstr>
      <vt:lpstr>_RB_AMA_EOP</vt:lpstr>
      <vt:lpstr>_Reg_AssetsLiab</vt:lpstr>
      <vt:lpstr>_RemoveGrnDirect</vt:lpstr>
      <vt:lpstr>_RemovEIM</vt:lpstr>
      <vt:lpstr>_SPI_BiosmassPPA</vt:lpstr>
      <vt:lpstr>_TempNorm</vt:lpstr>
      <vt:lpstr>_WHSolar</vt:lpstr>
      <vt:lpstr>FIT</vt:lpstr>
      <vt:lpstr>'SEF-15 Summary'!Print_Area</vt:lpstr>
      <vt:lpstr>'SEF-15 Summary'!Print_Titles</vt:lpstr>
      <vt:lpstr>'Summary of Changes'!RY</vt:lpstr>
      <vt:lpstr>RY</vt:lpstr>
      <vt:lpstr>'Summary of Changes'!TY</vt:lpstr>
      <vt:lpstr>TY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NC</cp:lastModifiedBy>
  <cp:lastPrinted>2021-01-28T04:40:04Z</cp:lastPrinted>
  <dcterms:created xsi:type="dcterms:W3CDTF">2003-07-18T22:08:24Z</dcterms:created>
  <dcterms:modified xsi:type="dcterms:W3CDTF">2021-06-16T01:54:03Z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