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externalLinks/externalLink4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-15" windowWidth="8535" windowHeight="5970" activeTab="3"/>
  </bookViews>
  <sheets>
    <sheet name="Summary" sheetId="4" r:id="rId1"/>
    <sheet name="Earnings" sheetId="2" r:id="rId2"/>
    <sheet name="Conservation" sheetId="3" r:id="rId3"/>
    <sheet name="Baselines" sheetId="5" r:id="rId4"/>
    <sheet name="Deferral" sheetId="6" r:id="rId5"/>
    <sheet name="Load Shapes" sheetId="7" r:id="rId6"/>
  </sheets>
  <externalReferences>
    <externalReference r:id="rId7"/>
    <externalReference r:id="rId8"/>
    <externalReference r:id="rId9"/>
    <externalReference r:id="rId10"/>
  </externalReferences>
  <calcPr calcId="145621"/>
</workbook>
</file>

<file path=xl/calcChain.xml><?xml version="1.0" encoding="utf-8"?>
<calcChain xmlns="http://schemas.openxmlformats.org/spreadsheetml/2006/main">
  <c r="B11" i="3" l="1"/>
  <c r="E11" i="3" s="1"/>
  <c r="D11" i="3"/>
  <c r="D21" i="3" s="1"/>
  <c r="C11" i="3" l="1"/>
  <c r="C21" i="3" s="1"/>
  <c r="B21" i="3"/>
  <c r="B40" i="6" l="1"/>
  <c r="B41" i="6" s="1"/>
  <c r="B42" i="6" s="1"/>
  <c r="B43" i="6" s="1"/>
  <c r="B44" i="6" s="1"/>
  <c r="B45" i="6" s="1"/>
  <c r="B46" i="6" s="1"/>
  <c r="B47" i="6" s="1"/>
  <c r="B48" i="6" s="1"/>
  <c r="B49" i="6" s="1"/>
  <c r="B50" i="6" s="1"/>
  <c r="K28" i="6"/>
  <c r="R28" i="6"/>
  <c r="D28" i="6"/>
  <c r="D51" i="6" s="1"/>
  <c r="T28" i="6"/>
  <c r="M28" i="6"/>
  <c r="F51" i="6" s="1"/>
  <c r="E22" i="7"/>
  <c r="F22" i="7"/>
  <c r="G22" i="7"/>
  <c r="H22" i="7"/>
  <c r="I22" i="7"/>
  <c r="J22" i="7"/>
  <c r="K22" i="7"/>
  <c r="L22" i="7"/>
  <c r="M22" i="7"/>
  <c r="N22" i="7"/>
  <c r="O22" i="7"/>
  <c r="D22" i="7"/>
  <c r="P24" i="7"/>
  <c r="P25" i="7"/>
  <c r="P26" i="7"/>
  <c r="P27" i="7"/>
  <c r="P31" i="7"/>
  <c r="P32" i="7"/>
  <c r="P33" i="7"/>
  <c r="P21" i="7"/>
  <c r="E34" i="7"/>
  <c r="F34" i="7"/>
  <c r="G34" i="7"/>
  <c r="H34" i="7"/>
  <c r="I34" i="7"/>
  <c r="J34" i="7"/>
  <c r="K34" i="7"/>
  <c r="L34" i="7"/>
  <c r="M34" i="7"/>
  <c r="N34" i="7"/>
  <c r="O34" i="7"/>
  <c r="D34" i="7"/>
  <c r="O28" i="7"/>
  <c r="O29" i="7" s="1"/>
  <c r="N28" i="7"/>
  <c r="N29" i="7" s="1"/>
  <c r="M28" i="7"/>
  <c r="M29" i="7" s="1"/>
  <c r="L28" i="7"/>
  <c r="L29" i="7" s="1"/>
  <c r="K28" i="7"/>
  <c r="K29" i="7" s="1"/>
  <c r="J28" i="7"/>
  <c r="J29" i="7" s="1"/>
  <c r="I28" i="7"/>
  <c r="I29" i="7" s="1"/>
  <c r="H28" i="7"/>
  <c r="H29" i="7" s="1"/>
  <c r="G28" i="7"/>
  <c r="G29" i="7" s="1"/>
  <c r="F28" i="7"/>
  <c r="F29" i="7" s="1"/>
  <c r="E28" i="7"/>
  <c r="E29" i="7" s="1"/>
  <c r="D28" i="7"/>
  <c r="P28" i="7" s="1"/>
  <c r="D40" i="6" l="1"/>
  <c r="D42" i="6"/>
  <c r="D44" i="6"/>
  <c r="D46" i="6"/>
  <c r="D48" i="6"/>
  <c r="D50" i="6"/>
  <c r="D39" i="6"/>
  <c r="D41" i="6"/>
  <c r="D43" i="6"/>
  <c r="D45" i="6"/>
  <c r="D47" i="6"/>
  <c r="D49" i="6"/>
  <c r="P34" i="7"/>
  <c r="O12" i="7" s="1"/>
  <c r="T27" i="6" s="1"/>
  <c r="N36" i="7"/>
  <c r="L36" i="7"/>
  <c r="J36" i="7"/>
  <c r="H36" i="7"/>
  <c r="F36" i="7"/>
  <c r="O36" i="7"/>
  <c r="M36" i="7"/>
  <c r="K36" i="7"/>
  <c r="I36" i="7"/>
  <c r="G36" i="7"/>
  <c r="E36" i="7"/>
  <c r="P22" i="7"/>
  <c r="D29" i="7"/>
  <c r="P29" i="7" l="1"/>
  <c r="D10" i="7" s="1"/>
  <c r="M16" i="6" s="1"/>
  <c r="D12" i="7"/>
  <c r="T16" i="6" s="1"/>
  <c r="F8" i="7"/>
  <c r="F18" i="6" s="1"/>
  <c r="J8" i="7"/>
  <c r="F22" i="6" s="1"/>
  <c r="N8" i="7"/>
  <c r="F26" i="6" s="1"/>
  <c r="F12" i="7"/>
  <c r="T18" i="6" s="1"/>
  <c r="J12" i="7"/>
  <c r="T22" i="6" s="1"/>
  <c r="N12" i="7"/>
  <c r="T26" i="6" s="1"/>
  <c r="E8" i="7"/>
  <c r="F17" i="6" s="1"/>
  <c r="I8" i="7"/>
  <c r="F21" i="6" s="1"/>
  <c r="M8" i="7"/>
  <c r="F25" i="6" s="1"/>
  <c r="E12" i="7"/>
  <c r="T17" i="6" s="1"/>
  <c r="I12" i="7"/>
  <c r="T21" i="6" s="1"/>
  <c r="M12" i="7"/>
  <c r="T25" i="6" s="1"/>
  <c r="H8" i="7"/>
  <c r="F20" i="6" s="1"/>
  <c r="L8" i="7"/>
  <c r="F24" i="6" s="1"/>
  <c r="D8" i="7"/>
  <c r="F16" i="6" s="1"/>
  <c r="H12" i="7"/>
  <c r="T20" i="6" s="1"/>
  <c r="L12" i="7"/>
  <c r="T24" i="6" s="1"/>
  <c r="G8" i="7"/>
  <c r="F19" i="6" s="1"/>
  <c r="K8" i="7"/>
  <c r="F23" i="6" s="1"/>
  <c r="O8" i="7"/>
  <c r="F27" i="6" s="1"/>
  <c r="G12" i="7"/>
  <c r="T19" i="6" s="1"/>
  <c r="K12" i="7"/>
  <c r="T23" i="6" s="1"/>
  <c r="D36" i="7"/>
  <c r="P36" i="7" l="1"/>
  <c r="D14" i="7" s="1"/>
  <c r="F39" i="6" s="1"/>
  <c r="G10" i="7"/>
  <c r="M19" i="6" s="1"/>
  <c r="M10" i="7"/>
  <c r="M25" i="6" s="1"/>
  <c r="E10" i="7"/>
  <c r="M17" i="6" s="1"/>
  <c r="F10" i="7"/>
  <c r="M18" i="6" s="1"/>
  <c r="J10" i="7"/>
  <c r="M22" i="6" s="1"/>
  <c r="N10" i="7"/>
  <c r="M26" i="6" s="1"/>
  <c r="K10" i="7"/>
  <c r="M23" i="6" s="1"/>
  <c r="O10" i="7"/>
  <c r="M27" i="6" s="1"/>
  <c r="I10" i="7"/>
  <c r="M21" i="6" s="1"/>
  <c r="H10" i="7"/>
  <c r="M20" i="6" s="1"/>
  <c r="L10" i="7"/>
  <c r="M24" i="6" s="1"/>
  <c r="D17" i="5"/>
  <c r="F17" i="5"/>
  <c r="E17" i="5"/>
  <c r="I14" i="7" l="1"/>
  <c r="F44" i="6" s="1"/>
  <c r="G14" i="7"/>
  <c r="F42" i="6" s="1"/>
  <c r="O14" i="7"/>
  <c r="F50" i="6" s="1"/>
  <c r="L14" i="7"/>
  <c r="F47" i="6" s="1"/>
  <c r="E14" i="7"/>
  <c r="F40" i="6" s="1"/>
  <c r="F14" i="7"/>
  <c r="F41" i="6" s="1"/>
  <c r="N14" i="7"/>
  <c r="F49" i="6" s="1"/>
  <c r="K14" i="7"/>
  <c r="F46" i="6" s="1"/>
  <c r="H14" i="7"/>
  <c r="F43" i="6" s="1"/>
  <c r="M14" i="7"/>
  <c r="F48" i="6" s="1"/>
  <c r="J14" i="7"/>
  <c r="F45" i="6" s="1"/>
  <c r="G17" i="5"/>
  <c r="K38" i="6" s="1"/>
  <c r="D9" i="4" s="1"/>
  <c r="K17" i="6"/>
  <c r="K19" i="6"/>
  <c r="K21" i="6"/>
  <c r="K23" i="6"/>
  <c r="K25" i="6"/>
  <c r="K27" i="6"/>
  <c r="K16" i="6"/>
  <c r="K18" i="6"/>
  <c r="K20" i="6"/>
  <c r="K22" i="6"/>
  <c r="K24" i="6"/>
  <c r="K26" i="6"/>
  <c r="D17" i="6"/>
  <c r="D19" i="6"/>
  <c r="D21" i="6"/>
  <c r="D23" i="6"/>
  <c r="D25" i="6"/>
  <c r="D27" i="6"/>
  <c r="D16" i="6"/>
  <c r="D18" i="6"/>
  <c r="D20" i="6"/>
  <c r="D22" i="6"/>
  <c r="D24" i="6"/>
  <c r="D26" i="6"/>
  <c r="R17" i="6"/>
  <c r="R19" i="6"/>
  <c r="R21" i="6"/>
  <c r="R23" i="6"/>
  <c r="R25" i="6"/>
  <c r="R27" i="6"/>
  <c r="R16" i="6"/>
  <c r="R18" i="6"/>
  <c r="R20" i="6"/>
  <c r="R22" i="6"/>
  <c r="R24" i="6"/>
  <c r="R26" i="6"/>
  <c r="B17" i="6" l="1"/>
  <c r="B18" i="6" s="1"/>
  <c r="B19" i="6" s="1"/>
  <c r="B20" i="6" s="1"/>
  <c r="B21" i="6" s="1"/>
  <c r="B22" i="6" s="1"/>
  <c r="B23" i="6" s="1"/>
  <c r="B24" i="6" s="1"/>
  <c r="B25" i="6" s="1"/>
  <c r="B26" i="6" s="1"/>
  <c r="B27" i="6" s="1"/>
  <c r="F15" i="5"/>
  <c r="F19" i="5" s="1"/>
  <c r="E15" i="5"/>
  <c r="E19" i="5" s="1"/>
  <c r="D15" i="5"/>
  <c r="F12" i="5"/>
  <c r="E12" i="5"/>
  <c r="D12" i="5"/>
  <c r="F11" i="5"/>
  <c r="E11" i="5"/>
  <c r="D11" i="5"/>
  <c r="F10" i="5"/>
  <c r="E10" i="5"/>
  <c r="D10" i="5"/>
  <c r="A10" i="5"/>
  <c r="A11" i="5" s="1"/>
  <c r="A12" i="5" s="1"/>
  <c r="A13" i="5" s="1"/>
  <c r="A14" i="5" s="1"/>
  <c r="A15" i="5" s="1"/>
  <c r="A16" i="5" s="1"/>
  <c r="F13" i="5" l="1"/>
  <c r="F21" i="5" s="1"/>
  <c r="U28" i="6" s="1"/>
  <c r="G12" i="5"/>
  <c r="D13" i="5"/>
  <c r="G10" i="5"/>
  <c r="E13" i="5"/>
  <c r="E21" i="5" s="1"/>
  <c r="G11" i="5"/>
  <c r="D19" i="5"/>
  <c r="G15" i="5"/>
  <c r="G19" i="5" s="1"/>
  <c r="F23" i="5" l="1"/>
  <c r="U27" i="6"/>
  <c r="U20" i="6"/>
  <c r="U17" i="6"/>
  <c r="U22" i="6"/>
  <c r="U18" i="6"/>
  <c r="U23" i="6"/>
  <c r="K39" i="6"/>
  <c r="D8" i="4" s="1"/>
  <c r="U26" i="6"/>
  <c r="U16" i="6"/>
  <c r="U19" i="6"/>
  <c r="U21" i="6"/>
  <c r="U24" i="6"/>
  <c r="U25" i="6"/>
  <c r="E23" i="5"/>
  <c r="J20" i="6" s="1"/>
  <c r="L20" i="6" s="1"/>
  <c r="N28" i="6"/>
  <c r="N21" i="6"/>
  <c r="N20" i="6"/>
  <c r="N27" i="6"/>
  <c r="N23" i="6"/>
  <c r="N25" i="6"/>
  <c r="N17" i="6"/>
  <c r="N24" i="6"/>
  <c r="N16" i="6"/>
  <c r="N19" i="6"/>
  <c r="N26" i="6"/>
  <c r="N18" i="6"/>
  <c r="N22" i="6"/>
  <c r="J18" i="6"/>
  <c r="L18" i="6" s="1"/>
  <c r="O18" i="6" s="1"/>
  <c r="J22" i="6"/>
  <c r="L22" i="6" s="1"/>
  <c r="O22" i="6" s="1"/>
  <c r="J26" i="6"/>
  <c r="L26" i="6" s="1"/>
  <c r="J17" i="6"/>
  <c r="L17" i="6" s="1"/>
  <c r="O17" i="6" s="1"/>
  <c r="J21" i="6"/>
  <c r="L21" i="6" s="1"/>
  <c r="O21" i="6" s="1"/>
  <c r="J25" i="6"/>
  <c r="L25" i="6" s="1"/>
  <c r="O25" i="6" s="1"/>
  <c r="Q18" i="6"/>
  <c r="S18" i="6" s="1"/>
  <c r="V18" i="6" s="1"/>
  <c r="Q20" i="6"/>
  <c r="S20" i="6" s="1"/>
  <c r="V20" i="6" s="1"/>
  <c r="Q22" i="6"/>
  <c r="S22" i="6" s="1"/>
  <c r="V22" i="6" s="1"/>
  <c r="Q24" i="6"/>
  <c r="S24" i="6" s="1"/>
  <c r="Q26" i="6"/>
  <c r="S26" i="6" s="1"/>
  <c r="V26" i="6" s="1"/>
  <c r="Q16" i="6"/>
  <c r="S16" i="6" s="1"/>
  <c r="V16" i="6" s="1"/>
  <c r="Q17" i="6"/>
  <c r="S17" i="6" s="1"/>
  <c r="V17" i="6" s="1"/>
  <c r="Q19" i="6"/>
  <c r="S19" i="6" s="1"/>
  <c r="Q21" i="6"/>
  <c r="S21" i="6" s="1"/>
  <c r="V21" i="6" s="1"/>
  <c r="Q23" i="6"/>
  <c r="S23" i="6" s="1"/>
  <c r="V23" i="6" s="1"/>
  <c r="Q25" i="6"/>
  <c r="S25" i="6" s="1"/>
  <c r="V25" i="6" s="1"/>
  <c r="Q27" i="6"/>
  <c r="S27" i="6" s="1"/>
  <c r="V27" i="6" s="1"/>
  <c r="D21" i="5"/>
  <c r="G13" i="5"/>
  <c r="G21" i="5" s="1"/>
  <c r="D12" i="3"/>
  <c r="D13" i="3" s="1"/>
  <c r="C22" i="3"/>
  <c r="C23" i="3" s="1"/>
  <c r="C12" i="3"/>
  <c r="C13" i="3" s="1"/>
  <c r="C10" i="2"/>
  <c r="C9" i="2"/>
  <c r="C8" i="2"/>
  <c r="O26" i="6" l="1"/>
  <c r="O20" i="6"/>
  <c r="E9" i="2"/>
  <c r="F9" i="2"/>
  <c r="D9" i="2"/>
  <c r="F8" i="2"/>
  <c r="D8" i="2"/>
  <c r="E8" i="2"/>
  <c r="C11" i="2"/>
  <c r="C13" i="2" s="1"/>
  <c r="F10" i="2"/>
  <c r="D10" i="2"/>
  <c r="E10" i="2"/>
  <c r="V19" i="6"/>
  <c r="V24" i="6"/>
  <c r="J27" i="6"/>
  <c r="L27" i="6" s="1"/>
  <c r="O27" i="6" s="1"/>
  <c r="J23" i="6"/>
  <c r="L23" i="6" s="1"/>
  <c r="O23" i="6" s="1"/>
  <c r="J19" i="6"/>
  <c r="L19" i="6" s="1"/>
  <c r="O19" i="6" s="1"/>
  <c r="J16" i="6"/>
  <c r="L16" i="6" s="1"/>
  <c r="O16" i="6" s="1"/>
  <c r="J24" i="6"/>
  <c r="L24" i="6" s="1"/>
  <c r="O24" i="6" s="1"/>
  <c r="E12" i="3"/>
  <c r="E13" i="3" s="1"/>
  <c r="E21" i="3"/>
  <c r="D22" i="3"/>
  <c r="D23" i="3" s="1"/>
  <c r="E22" i="3"/>
  <c r="E23" i="3" s="1"/>
  <c r="G23" i="5"/>
  <c r="G51" i="6"/>
  <c r="G41" i="6"/>
  <c r="G43" i="6"/>
  <c r="G45" i="6"/>
  <c r="G47" i="6"/>
  <c r="G49" i="6"/>
  <c r="G39" i="6"/>
  <c r="G40" i="6"/>
  <c r="G42" i="6"/>
  <c r="G44" i="6"/>
  <c r="G46" i="6"/>
  <c r="G48" i="6"/>
  <c r="G50" i="6"/>
  <c r="D23" i="5"/>
  <c r="G28" i="6"/>
  <c r="G19" i="6"/>
  <c r="G23" i="6"/>
  <c r="G27" i="6"/>
  <c r="G16" i="6"/>
  <c r="G20" i="6"/>
  <c r="G24" i="6"/>
  <c r="G17" i="6"/>
  <c r="G21" i="6"/>
  <c r="G25" i="6"/>
  <c r="G18" i="6"/>
  <c r="G22" i="6"/>
  <c r="G26" i="6"/>
  <c r="C18" i="6"/>
  <c r="E18" i="6" s="1"/>
  <c r="C22" i="6"/>
  <c r="E22" i="6" s="1"/>
  <c r="C26" i="6"/>
  <c r="E26" i="6" s="1"/>
  <c r="C17" i="6"/>
  <c r="E17" i="6" s="1"/>
  <c r="C21" i="6"/>
  <c r="E21" i="6" s="1"/>
  <c r="C25" i="6"/>
  <c r="E25" i="6" s="1"/>
  <c r="C20" i="6"/>
  <c r="E20" i="6" s="1"/>
  <c r="H20" i="6" s="1"/>
  <c r="C24" i="6"/>
  <c r="E24" i="6" s="1"/>
  <c r="C16" i="6"/>
  <c r="E16" i="6" s="1"/>
  <c r="C19" i="6"/>
  <c r="E19" i="6" s="1"/>
  <c r="C23" i="6"/>
  <c r="E23" i="6" s="1"/>
  <c r="C27" i="6"/>
  <c r="E27" i="6" s="1"/>
  <c r="V28" i="6" l="1"/>
  <c r="O28" i="6"/>
  <c r="H24" i="6"/>
  <c r="E11" i="2"/>
  <c r="E17" i="2" s="1"/>
  <c r="E18" i="2" s="1"/>
  <c r="F11" i="2"/>
  <c r="F17" i="2" s="1"/>
  <c r="F18" i="2" s="1"/>
  <c r="G18" i="2" s="1"/>
  <c r="D11" i="2"/>
  <c r="D17" i="2" s="1"/>
  <c r="D18" i="2" s="1"/>
  <c r="H23" i="6"/>
  <c r="H16" i="6"/>
  <c r="H27" i="6"/>
  <c r="H19" i="6"/>
  <c r="H25" i="6"/>
  <c r="H17" i="6"/>
  <c r="H22" i="6"/>
  <c r="H21" i="6"/>
  <c r="H26" i="6"/>
  <c r="H18" i="6"/>
  <c r="C41" i="6"/>
  <c r="E41" i="6" s="1"/>
  <c r="H41" i="6" s="1"/>
  <c r="C43" i="6"/>
  <c r="E43" i="6" s="1"/>
  <c r="H43" i="6" s="1"/>
  <c r="C45" i="6"/>
  <c r="E45" i="6" s="1"/>
  <c r="H45" i="6" s="1"/>
  <c r="C47" i="6"/>
  <c r="E47" i="6" s="1"/>
  <c r="H47" i="6" s="1"/>
  <c r="C49" i="6"/>
  <c r="E49" i="6" s="1"/>
  <c r="H49" i="6" s="1"/>
  <c r="C39" i="6"/>
  <c r="E39" i="6" s="1"/>
  <c r="H39" i="6" s="1"/>
  <c r="C40" i="6"/>
  <c r="E40" i="6" s="1"/>
  <c r="H40" i="6" s="1"/>
  <c r="C42" i="6"/>
  <c r="E42" i="6" s="1"/>
  <c r="H42" i="6" s="1"/>
  <c r="C44" i="6"/>
  <c r="E44" i="6" s="1"/>
  <c r="H44" i="6" s="1"/>
  <c r="C46" i="6"/>
  <c r="E46" i="6" s="1"/>
  <c r="H46" i="6" s="1"/>
  <c r="C48" i="6"/>
  <c r="E48" i="6" s="1"/>
  <c r="H48" i="6" s="1"/>
  <c r="C50" i="6"/>
  <c r="E50" i="6" s="1"/>
  <c r="H50" i="6" s="1"/>
  <c r="H28" i="6" l="1"/>
  <c r="F8" i="6" s="1"/>
  <c r="D12" i="4" s="1"/>
  <c r="H51" i="6"/>
  <c r="F9" i="6" s="1"/>
  <c r="D19" i="4" s="1"/>
  <c r="B24" i="3" l="1"/>
  <c r="E25" i="3" s="1"/>
  <c r="B14" i="3"/>
  <c r="D15" i="3"/>
  <c r="E15" i="3"/>
  <c r="C15" i="3"/>
  <c r="G15" i="2"/>
  <c r="G20" i="2" s="1"/>
  <c r="D13" i="4" s="1"/>
  <c r="C25" i="3" l="1"/>
  <c r="D25" i="3"/>
  <c r="D14" i="4" s="1"/>
  <c r="D15" i="4" s="1"/>
</calcChain>
</file>

<file path=xl/sharedStrings.xml><?xml version="1.0" encoding="utf-8"?>
<sst xmlns="http://schemas.openxmlformats.org/spreadsheetml/2006/main" count="220" uniqueCount="138">
  <si>
    <t>Customers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</si>
  <si>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</si>
  <si>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</si>
  <si>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</si>
  <si>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</si>
  <si>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</si>
  <si>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</si>
  <si>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</si>
  <si>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</si>
  <si>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</si>
  <si>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</si>
  <si>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</si>
  <si>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</si>
  <si>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Current</t>
  </si>
  <si>
    <t>Revenue</t>
  </si>
  <si>
    <t>Expenses</t>
  </si>
  <si>
    <t>ROR</t>
  </si>
  <si>
    <t>GRC</t>
  </si>
  <si>
    <t>Rate Base</t>
  </si>
  <si>
    <t>Deadband High</t>
  </si>
  <si>
    <t>Deferral Amount</t>
  </si>
  <si>
    <t>Percentage Achieved</t>
  </si>
  <si>
    <t>Under Recovery</t>
  </si>
  <si>
    <t>Under Rebate</t>
  </si>
  <si>
    <t>Percentage Multiplier</t>
  </si>
  <si>
    <t>Scenario 1</t>
  </si>
  <si>
    <t>Scenario 2</t>
  </si>
  <si>
    <t>Scenario 3</t>
  </si>
  <si>
    <t>Deferral</t>
  </si>
  <si>
    <t>Line No.</t>
  </si>
  <si>
    <t>Source</t>
  </si>
  <si>
    <t>Schedule 7</t>
  </si>
  <si>
    <t>Schedules 40, 46, 49, 448, 449, 458 &amp; 459</t>
  </si>
  <si>
    <t>(a)</t>
  </si>
  <si>
    <t>(b)</t>
  </si>
  <si>
    <t>(c)</t>
  </si>
  <si>
    <t>(d)</t>
  </si>
  <si>
    <t>(e)</t>
  </si>
  <si>
    <t>2009 GRC (UE-090704)</t>
  </si>
  <si>
    <t>Total Proforma Revenue</t>
  </si>
  <si>
    <t>UE-090704 WP</t>
  </si>
  <si>
    <t>Less: Basic Charge Revenue</t>
  </si>
  <si>
    <t>Less: Allocated Power Costs</t>
  </si>
  <si>
    <t>(2)-(3)-(4)</t>
  </si>
  <si>
    <t>(5)/(7)x100</t>
  </si>
  <si>
    <t>Line</t>
  </si>
  <si>
    <t>No.</t>
  </si>
  <si>
    <t>Month</t>
  </si>
  <si>
    <t>Usage</t>
  </si>
  <si>
    <t>(7)/(9)</t>
  </si>
  <si>
    <t>(11)*(13)</t>
  </si>
  <si>
    <t>per Customer</t>
  </si>
  <si>
    <t>( c )</t>
  </si>
  <si>
    <t>Allowed</t>
  </si>
  <si>
    <t>* 2009 GRC is based on 2008 Test Period.</t>
  </si>
  <si>
    <t>Total Company</t>
  </si>
  <si>
    <t>Residential</t>
  </si>
  <si>
    <t>Sec Volt (kW&lt;50)</t>
  </si>
  <si>
    <t>Sec Volt (kW&gt;50 &amp; &lt;350)</t>
  </si>
  <si>
    <t>Sec Volt (kW&gt;350)</t>
  </si>
  <si>
    <t>Pri Volt</t>
  </si>
  <si>
    <t>31,35,43</t>
  </si>
  <si>
    <t>Lighting</t>
  </si>
  <si>
    <t>50-59</t>
  </si>
  <si>
    <t>Campus</t>
  </si>
  <si>
    <t>High Volt</t>
  </si>
  <si>
    <t>46,49</t>
  </si>
  <si>
    <t>Wheeling</t>
  </si>
  <si>
    <t>448, 449</t>
  </si>
  <si>
    <t>Subtotal</t>
  </si>
  <si>
    <t>subtotal</t>
  </si>
  <si>
    <t>System total</t>
  </si>
  <si>
    <t>Source data from PSE Response to Staff Data Request 96, Attachment A, and JAP-4 Workpapers pages 25 and 37</t>
  </si>
  <si>
    <t>Group R - Schedule 7</t>
  </si>
  <si>
    <t>Group R (Residential, Schedule 7)</t>
  </si>
  <si>
    <t>Group C (Commercial Schedules 24-35, 43, 50-59)</t>
  </si>
  <si>
    <t>Group T (Wheeling Schedules 40, 46, 49, 448, 449)</t>
  </si>
  <si>
    <t>System</t>
  </si>
  <si>
    <t>Load Shapes for Rate Groups</t>
  </si>
  <si>
    <t>Actual</t>
  </si>
  <si>
    <t>Schedules 24, 25, 26, 29, 31, 35, 43 &amp; 57</t>
  </si>
  <si>
    <t>Note (1)</t>
  </si>
  <si>
    <t>Usage data based on billing data load shapes and 2010 energy usage info from JAP-4 Workpapers Page 37</t>
  </si>
  <si>
    <t>Customers (1)</t>
  </si>
  <si>
    <t>Usage (2)</t>
  </si>
  <si>
    <t>Note (2)</t>
  </si>
  <si>
    <t>Customer count based on JAP-4 Workpapers Page 33</t>
  </si>
  <si>
    <t>(d) = (b)*(c )</t>
  </si>
  <si>
    <t>( e)</t>
  </si>
  <si>
    <t>(f) = (e )*.02265</t>
  </si>
  <si>
    <t>(d)-(f)</t>
  </si>
  <si>
    <t>(f) = (e )*.019401</t>
  </si>
  <si>
    <t>Class by Class Deferral</t>
  </si>
  <si>
    <t>Target</t>
  </si>
  <si>
    <t>System Deferral</t>
  </si>
  <si>
    <t>Portion of ROR overearned</t>
  </si>
  <si>
    <t>Deferral amount</t>
  </si>
  <si>
    <t>Group C - Schedules 24-26, 29, 31, 35, 43 &amp; 57</t>
  </si>
  <si>
    <t>Earnings Test</t>
  </si>
  <si>
    <t>Minimum amount to be returned to customers</t>
  </si>
  <si>
    <t>Final Deferral Amount</t>
  </si>
  <si>
    <t>Conservation Test</t>
  </si>
  <si>
    <t>In an actual filing, current usage should be actual monthly current usage.</t>
  </si>
  <si>
    <t>Customer count based on JAP-4 Workpapers Page 33. In an actual filing, current customers should be actual monthly customers.</t>
  </si>
  <si>
    <t>in customers</t>
  </si>
  <si>
    <t>in usage</t>
  </si>
  <si>
    <t>Percentage Changes</t>
  </si>
  <si>
    <t>Existing Change in Load</t>
  </si>
  <si>
    <t>and Change in Customer Count</t>
  </si>
  <si>
    <t>(See Deferral Tab, highlighted cells)</t>
  </si>
  <si>
    <t>Results</t>
  </si>
  <si>
    <t>(See Deferral Tab, Rows 6-27)</t>
  </si>
  <si>
    <t>(See Deferral Tab, Rows 29-50)</t>
  </si>
  <si>
    <t>(See Earnings Tab, Scenario 3)</t>
  </si>
  <si>
    <t>(See Conservation Tab, Scenario 2)</t>
  </si>
  <si>
    <t>Scenario 2 achievement based on 2010 Elec Consv tab in JAP Workpapers 11-13-15-17-21</t>
  </si>
  <si>
    <t>Target based on 2011 ACP tab in JAP Workpapers 11-13-15-17-21</t>
  </si>
  <si>
    <t>Additional amount to be deferred</t>
  </si>
  <si>
    <t>Amount Added to Rebate</t>
  </si>
  <si>
    <t>Amount Added to Recovery</t>
  </si>
  <si>
    <t>Base Year Sales (kWh)</t>
  </si>
  <si>
    <t>Base Year Customers</t>
  </si>
  <si>
    <t>Base Monthly Use Per Customer</t>
  </si>
  <si>
    <t>Net Decoupled Revenue</t>
  </si>
  <si>
    <t>2009 GRC Revenue/Unit (¢/kWh)</t>
  </si>
  <si>
    <t>Base Monthly Revenue/Customer</t>
  </si>
  <si>
    <t>Base</t>
  </si>
  <si>
    <t>Band</t>
  </si>
  <si>
    <t>+</t>
  </si>
  <si>
    <t>=</t>
  </si>
  <si>
    <t>2% growth in all</t>
  </si>
  <si>
    <t>2% growth in expenses</t>
  </si>
  <si>
    <t>2% growth in revenue</t>
  </si>
  <si>
    <t>Group V - Schedules 40, 46, 49, 448, 449, 458 &amp; 459</t>
  </si>
  <si>
    <t>Load Shapes</t>
  </si>
  <si>
    <t>UTC Staff Response to Bench Request on Full Decoupling</t>
  </si>
  <si>
    <t>Summary of Electric Decoupling Effects</t>
  </si>
  <si>
    <t xml:space="preserve">         Baselines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</si>
</sst>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&quot;$&quot;* #,##0_);_(&quot;$&quot;* \(#,##0\);_(&quot;$&quot;* &quot;-&quot;??_);_(@_)"/>
    <numFmt numFmtId="166" formatCode="_(&quot;$&quot;* #,##0_);_(&quot;$&quot;* \(#,##0\);_(&quot;$&quot;* &quot;-&quot;?_);_(@_)"/>
    <numFmt numFmtId="167" formatCode="_(* #,##0_);_(* \(#,##0\);_(* &quot;-&quot;??_);_(@_)"/>
    <numFmt numFmtId="168" formatCode="_(* #,##0.0000_);_(* \(#,##0.0000\);_(* &quot;-&quot;??_);_(@_)"/>
    <numFmt numFmtId="169" formatCode="[$-409]mmm\-yy;@"/>
  </numFmts>
  <fonts count="1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i/>
      <sz val="11"/>
      <color indexed="8"/>
      <name val="Calibri"/>
      <family val="2"/>
    </font>
    <font>
      <b/>
      <i/>
      <sz val="11"/>
      <color indexed="10"/>
      <name val="Calibri"/>
      <family val="2"/>
    </font>
    <font>
      <sz val="8"/>
      <name val="Calibri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i/>
      <u/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2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2" borderId="1" applyNumberFormat="0">
      <alignment horizontal="center" vertical="center" wrapText="1"/>
    </xf>
  </cellStyleXfs>
  <cellXfs count="68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Alignment="1">
      <alignment horizontal="right"/>
    </xf>
    <xf numFmtId="164" fontId="5" fillId="0" borderId="0" xfId="3" applyNumberFormat="1" applyFont="1"/>
    <xf numFmtId="10" fontId="5" fillId="0" borderId="0" xfId="3" applyNumberFormat="1" applyFont="1"/>
    <xf numFmtId="165" fontId="5" fillId="0" borderId="0" xfId="2" applyNumberFormat="1" applyFont="1"/>
    <xf numFmtId="165" fontId="0" fillId="0" borderId="0" xfId="0" applyNumberFormat="1"/>
    <xf numFmtId="10" fontId="0" fillId="0" borderId="0" xfId="0" applyNumberFormat="1"/>
    <xf numFmtId="167" fontId="5" fillId="0" borderId="0" xfId="1" applyNumberFormat="1" applyFont="1"/>
    <xf numFmtId="9" fontId="0" fillId="0" borderId="0" xfId="0" applyNumberFormat="1"/>
    <xf numFmtId="0" fontId="6" fillId="0" borderId="0" xfId="0" applyFont="1" applyAlignment="1">
      <alignment horizontal="center"/>
    </xf>
    <xf numFmtId="0" fontId="7" fillId="0" borderId="0" xfId="0" applyFont="1"/>
    <xf numFmtId="41" fontId="6" fillId="2" borderId="1" xfId="4" applyNumberFormat="1" applyFont="1" applyFill="1" applyBorder="1">
      <alignment horizontal="center" vertical="center" wrapText="1"/>
    </xf>
    <xf numFmtId="0" fontId="7" fillId="0" borderId="1" xfId="0" applyFont="1" applyBorder="1"/>
    <xf numFmtId="41" fontId="6" fillId="2" borderId="1" xfId="4" applyNumberFormat="1" applyFont="1" applyFill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165" fontId="7" fillId="0" borderId="0" xfId="2" applyNumberFormat="1" applyFont="1"/>
    <xf numFmtId="165" fontId="7" fillId="0" borderId="0" xfId="2" applyNumberFormat="1" applyFont="1" applyBorder="1"/>
    <xf numFmtId="165" fontId="7" fillId="0" borderId="1" xfId="2" applyNumberFormat="1" applyFont="1" applyBorder="1"/>
    <xf numFmtId="165" fontId="7" fillId="0" borderId="0" xfId="0" applyNumberFormat="1" applyFont="1"/>
    <xf numFmtId="3" fontId="7" fillId="0" borderId="0" xfId="0" applyNumberFormat="1" applyFont="1"/>
    <xf numFmtId="168" fontId="7" fillId="0" borderId="0" xfId="1" applyNumberFormat="1" applyFont="1"/>
    <xf numFmtId="0" fontId="9" fillId="0" borderId="0" xfId="0" applyFont="1"/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2" xfId="0" applyFont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167" fontId="7" fillId="0" borderId="0" xfId="1" applyNumberFormat="1" applyFont="1"/>
    <xf numFmtId="167" fontId="7" fillId="0" borderId="0" xfId="0" applyNumberFormat="1" applyFont="1"/>
    <xf numFmtId="44" fontId="7" fillId="0" borderId="0" xfId="2" applyFont="1"/>
    <xf numFmtId="169" fontId="7" fillId="0" borderId="0" xfId="0" applyNumberFormat="1" applyFont="1" applyAlignment="1">
      <alignment horizontal="right"/>
    </xf>
    <xf numFmtId="17" fontId="0" fillId="0" borderId="0" xfId="0" applyNumberFormat="1"/>
    <xf numFmtId="1" fontId="0" fillId="0" borderId="0" xfId="0" applyNumberFormat="1"/>
    <xf numFmtId="0" fontId="0" fillId="0" borderId="0" xfId="0" applyFill="1"/>
    <xf numFmtId="1" fontId="0" fillId="0" borderId="0" xfId="0" applyNumberFormat="1" applyFill="1"/>
    <xf numFmtId="9" fontId="0" fillId="0" borderId="0" xfId="3" applyFont="1"/>
    <xf numFmtId="1" fontId="7" fillId="0" borderId="0" xfId="0" applyNumberFormat="1" applyFont="1"/>
    <xf numFmtId="0" fontId="5" fillId="0" borderId="0" xfId="3" applyNumberFormat="1" applyFont="1"/>
    <xf numFmtId="10" fontId="0" fillId="0" borderId="0" xfId="3" applyNumberFormat="1" applyFont="1"/>
    <xf numFmtId="165" fontId="0" fillId="0" borderId="0" xfId="2" applyNumberFormat="1" applyFont="1"/>
    <xf numFmtId="167" fontId="7" fillId="3" borderId="0" xfId="1" applyNumberFormat="1" applyFont="1" applyFill="1"/>
    <xf numFmtId="1" fontId="7" fillId="3" borderId="0" xfId="0" applyNumberFormat="1" applyFont="1" applyFill="1"/>
    <xf numFmtId="0" fontId="7" fillId="3" borderId="0" xfId="0" applyFont="1" applyFill="1"/>
    <xf numFmtId="166" fontId="3" fillId="0" borderId="0" xfId="0" applyNumberFormat="1" applyFont="1" applyFill="1"/>
    <xf numFmtId="0" fontId="0" fillId="0" borderId="6" xfId="0" applyBorder="1"/>
    <xf numFmtId="0" fontId="0" fillId="0" borderId="0" xfId="0" applyBorder="1"/>
    <xf numFmtId="165" fontId="0" fillId="0" borderId="7" xfId="0" applyNumberFormat="1" applyBorder="1"/>
    <xf numFmtId="0" fontId="0" fillId="0" borderId="8" xfId="0" applyBorder="1"/>
    <xf numFmtId="0" fontId="0" fillId="0" borderId="2" xfId="0" applyBorder="1"/>
    <xf numFmtId="165" fontId="0" fillId="0" borderId="9" xfId="0" applyNumberFormat="1" applyBorder="1"/>
    <xf numFmtId="0" fontId="0" fillId="0" borderId="0" xfId="0" applyAlignment="1">
      <alignment horizontal="center"/>
    </xf>
    <xf numFmtId="165" fontId="0" fillId="0" borderId="0" xfId="2" applyNumberFormat="1" applyFont="1" applyAlignment="1">
      <alignment horizontal="center"/>
    </xf>
    <xf numFmtId="0" fontId="0" fillId="0" borderId="1" xfId="0" applyBorder="1"/>
    <xf numFmtId="165" fontId="0" fillId="0" borderId="1" xfId="2" applyNumberFormat="1" applyFont="1" applyBorder="1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0" fontId="11" fillId="0" borderId="0" xfId="0" applyFont="1"/>
    <xf numFmtId="0" fontId="11" fillId="0" borderId="0" xfId="0" applyFont="1" applyAlignment="1">
      <alignment horizontal="center"/>
    </xf>
    <xf numFmtId="0" fontId="11" fillId="0" borderId="0" xfId="0" applyFont="1" applyAlignment="1"/>
    <xf numFmtId="0" fontId="11" fillId="0" borderId="0" xfId="0" applyFont="1" applyAlignment="1">
      <alignment horizontal="center"/>
    </xf>
    <xf numFmtId="0" fontId="9" fillId="0" borderId="1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</cellXfs>
  <cellStyles count="5">
    <cellStyle name="Comma" xfId="1" builtinId="3"/>
    <cellStyle name="Currency" xfId="2" builtinId="4"/>
    <cellStyle name="Normal" xfId="0" builtinId="0"/>
    <cellStyle name="Percent" xfId="3" builtinId="5"/>
    <cellStyle name="Report Heading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sharedStrings" Target="sharedStrings.xml"/><Relationship Id="rId18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ATECASE/OPEN%20RATECASES/PSE%202011%20GRC%20UE-111048%20&amp;%20UG-111049/Reports,%20Workpapers/Company%20Workpapers/Highly%20Confidential%20Workpapers/John%20Story%20and%20Michael%20Stranik/JHS-4%20through%20JHS-9%20Elec%202011%20GR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SE%20GRC%20111048-111049/PSE/Workpapers%20of%20Jon%20Pillaris%20public/JAP-11-13-15-17-21%20Piliaris%20(Electric%20Workpapers)%2006-13-1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RATECASE/OPEN%20RATECASES/PSE%202011%20GRC%20UE-111048%20&amp;%20UG-111049/Staff/Deborah/workpapers/JAP-11-13-15-17-21%20Piliaris%20(Electric%20Workpapers)%2006-13-11%20staff%20revision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RATECASE/OPEN%20RATECASES/PSE%202011%20GRC%20UE-111048%20&amp;%20UG-111049/Reports,%20Workpapers/Company%20Workpapers/Public%20Workpapers/Workpapers%20of%20Jon%20Pillaris/JAP-11-13-15-17-21%20Piliaris%20(Electric%20Workpapers)%2006-13-1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HS-4"/>
      <sheetName val="JHS-5"/>
      <sheetName val="JHS-5.01(A)"/>
      <sheetName val="JHS-6"/>
      <sheetName val="JHS-7"/>
      <sheetName val="JHS-8 Unit Cost"/>
      <sheetName val="JHS-9 Ex A-1"/>
      <sheetName val="JHS-9 Ex A-2"/>
      <sheetName val="JHS-9 Ex A-3"/>
      <sheetName val="JHS-9 Ex A-4"/>
      <sheetName val="JHS-9 Ex A-5"/>
      <sheetName val="DEM RY PC"/>
      <sheetName val="Restated TY"/>
      <sheetName val="09-10"/>
      <sheetName val="Production Adjustment"/>
      <sheetName val="Production Factor"/>
      <sheetName val="Production Plant Premiums"/>
      <sheetName val="Prod Plant"/>
      <sheetName val="Prodn OM11GRC"/>
      <sheetName val="EB&amp;Taxes"/>
      <sheetName val="TransmRev"/>
      <sheetName val="Restating Print Macros"/>
      <sheetName val="Module13"/>
      <sheetName val="Module14"/>
      <sheetName val="Module15"/>
      <sheetName val="Module1"/>
    </sheetNames>
    <sheetDataSet>
      <sheetData sheetId="0" refreshError="1">
        <row r="21">
          <cell r="AP21">
            <v>2183578829.9671845</v>
          </cell>
        </row>
        <row r="47">
          <cell r="AP47">
            <v>1770598294.883276</v>
          </cell>
        </row>
        <row r="51">
          <cell r="AP51">
            <v>4904756946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P-11"/>
      <sheetName val="JAP-13"/>
      <sheetName val="JAP-15"/>
      <sheetName val="JAP-17"/>
      <sheetName val="JAP-21"/>
      <sheetName val="2010 Elec Consv"/>
      <sheetName val="2010 C-I Savings by Sch"/>
      <sheetName val="2010 C-I Savings Without RCM"/>
      <sheetName val="2010 RCM Savings"/>
      <sheetName val="2011 ACP"/>
      <sheetName val="F2011 Forecast"/>
      <sheetName val="Allocated PCA UE-090704"/>
      <sheetName val="COS Summary UR-090704"/>
      <sheetName val="Rev Req Summary UE-090704"/>
      <sheetName val="PCA Baseline UE-090704"/>
      <sheetName val="Revenue Summary UE-090704"/>
      <sheetName val="Sch 7 Rates - UE-090704"/>
      <sheetName val="Sch 24 Rates - UE-090704"/>
      <sheetName val="Sch 25 Rates - UE-090704"/>
      <sheetName val="Sch 26 Rates - UE-090704"/>
      <sheetName val="Sch 29 Rates - UE-090704"/>
      <sheetName val="Sch 31 Rates - UE-090704"/>
      <sheetName val="Sch 35 Rates - UE-090704"/>
      <sheetName val="Sch 40 Rates - UE-090704"/>
      <sheetName val="Sch 43 Rates - UE-090704"/>
      <sheetName val="Sch 46 Rates - UE-090704"/>
      <sheetName val="Sch 49 Rates - UE-090704"/>
      <sheetName val="Sch 449 Rates - UE-090704"/>
      <sheetName val="Sch 459 Rates - UE-090704"/>
      <sheetName val="Sch 57 Rates - UE-090704"/>
      <sheetName val="NEEA Allocation"/>
      <sheetName val="Schedule Impacts"/>
    </sheetNames>
    <sheetDataSet>
      <sheetData sheetId="0"/>
      <sheetData sheetId="1"/>
      <sheetData sheetId="2"/>
      <sheetData sheetId="3"/>
      <sheetData sheetId="4"/>
      <sheetData sheetId="5">
        <row r="64">
          <cell r="Q64">
            <v>293560144.29425943</v>
          </cell>
        </row>
      </sheetData>
      <sheetData sheetId="6"/>
      <sheetData sheetId="7"/>
      <sheetData sheetId="8"/>
      <sheetData sheetId="9">
        <row r="17">
          <cell r="D17">
            <v>138900</v>
          </cell>
        </row>
        <row r="29">
          <cell r="D29">
            <v>177719</v>
          </cell>
        </row>
        <row r="34">
          <cell r="D34">
            <v>23500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P-11"/>
      <sheetName val="JAP-13"/>
      <sheetName val="JAP-15"/>
      <sheetName val="JAP-17"/>
      <sheetName val="JAP-21"/>
      <sheetName val="2010 Elec Consv"/>
      <sheetName val="2010 C-I Savings by Sch"/>
      <sheetName val="2010 C-I Savings Without RCM"/>
      <sheetName val="2010 RCM Savings"/>
      <sheetName val="2011 ACP"/>
      <sheetName val="F2011 Forecast"/>
      <sheetName val="Allocated PCA UE-090704"/>
      <sheetName val="COS Summary UR-090704"/>
      <sheetName val="Rev Req Summary UE-090704"/>
      <sheetName val="PCA Baseline UE-090704"/>
      <sheetName val="Revenue Summary UE-090704"/>
      <sheetName val="Sch 7 Rates - UE-090704"/>
      <sheetName val="Sch 24 Rates - UE-090704"/>
      <sheetName val="Sch 25 Rates - UE-090704"/>
      <sheetName val="Sch 26 Rates - UE-090704"/>
      <sheetName val="Sch 29 Rates - UE-090704"/>
      <sheetName val="Sch 31 Rates - UE-090704"/>
      <sheetName val="Sch 35 Rates - UE-090704"/>
      <sheetName val="Sch 40 Rates - UE-090704"/>
      <sheetName val="Sch 43 Rates - UE-090704"/>
      <sheetName val="Sch 46 Rates - UE-090704"/>
      <sheetName val="Sch 49 Rates - UE-090704"/>
      <sheetName val="Sch 449 Rates - UE-090704"/>
      <sheetName val="Sch 459 Rates - UE-090704"/>
      <sheetName val="Sch 57 Rates - UE-090704"/>
      <sheetName val="NEEA Allocation"/>
      <sheetName val="Schedule Impac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8">
          <cell r="E28">
            <v>772470708</v>
          </cell>
          <cell r="F28">
            <v>175424453</v>
          </cell>
          <cell r="G28">
            <v>200103597</v>
          </cell>
          <cell r="H28">
            <v>134050094</v>
          </cell>
          <cell r="I28">
            <v>79263905</v>
          </cell>
          <cell r="J28">
            <v>236181</v>
          </cell>
          <cell r="K28">
            <v>8462078</v>
          </cell>
          <cell r="L28">
            <v>40510763</v>
          </cell>
          <cell r="M28">
            <v>32542797</v>
          </cell>
          <cell r="N28">
            <v>0</v>
          </cell>
        </row>
        <row r="30">
          <cell r="O30">
            <v>6.5129000000000001</v>
          </cell>
        </row>
      </sheetData>
      <sheetData sheetId="12"/>
      <sheetData sheetId="13"/>
      <sheetData sheetId="14"/>
      <sheetData sheetId="15">
        <row r="10">
          <cell r="F10">
            <v>1104542863.0619414</v>
          </cell>
        </row>
        <row r="17">
          <cell r="F17">
            <v>703023013.47970939</v>
          </cell>
        </row>
        <row r="23">
          <cell r="F23">
            <v>121923620.60380539</v>
          </cell>
        </row>
        <row r="25">
          <cell r="F25">
            <v>45886766.893721998</v>
          </cell>
        </row>
        <row r="30">
          <cell r="F30">
            <v>35878666.337484002</v>
          </cell>
        </row>
        <row r="36">
          <cell r="F36">
            <v>6229187.6799256317</v>
          </cell>
        </row>
      </sheetData>
      <sheetData sheetId="16">
        <row r="14">
          <cell r="J14">
            <v>83893120.75</v>
          </cell>
        </row>
        <row r="24">
          <cell r="F24">
            <v>10949843922.833302</v>
          </cell>
        </row>
      </sheetData>
      <sheetData sheetId="17">
        <row r="14">
          <cell r="J14">
            <v>19883403.32</v>
          </cell>
        </row>
        <row r="24">
          <cell r="F24">
            <v>2699020700.8268003</v>
          </cell>
        </row>
      </sheetData>
      <sheetData sheetId="18">
        <row r="12">
          <cell r="J12">
            <v>4759258.51</v>
          </cell>
        </row>
        <row r="30">
          <cell r="F30">
            <v>3138801366.0187006</v>
          </cell>
        </row>
      </sheetData>
      <sheetData sheetId="19">
        <row r="12">
          <cell r="J12">
            <v>993509.7</v>
          </cell>
        </row>
        <row r="26">
          <cell r="F26">
            <v>2144001968.7592001</v>
          </cell>
        </row>
      </sheetData>
      <sheetData sheetId="20">
        <row r="14">
          <cell r="J14">
            <v>168356.41000000003</v>
          </cell>
        </row>
        <row r="32">
          <cell r="F32">
            <v>14686879.683000002</v>
          </cell>
        </row>
      </sheetData>
      <sheetData sheetId="21">
        <row r="12">
          <cell r="J12">
            <v>1911079.44</v>
          </cell>
        </row>
        <row r="26">
          <cell r="F26">
            <v>1355021470.5106001</v>
          </cell>
        </row>
      </sheetData>
      <sheetData sheetId="22">
        <row r="12">
          <cell r="G12">
            <v>3943.08</v>
          </cell>
        </row>
        <row r="26">
          <cell r="C26">
            <v>4659141</v>
          </cell>
        </row>
      </sheetData>
      <sheetData sheetId="23">
        <row r="16">
          <cell r="J16">
            <v>180111.65999999997</v>
          </cell>
        </row>
        <row r="41">
          <cell r="F41">
            <v>686423567</v>
          </cell>
        </row>
      </sheetData>
      <sheetData sheetId="24">
        <row r="12">
          <cell r="J12">
            <v>704168.37</v>
          </cell>
        </row>
        <row r="24">
          <cell r="F24">
            <v>165824493.2367</v>
          </cell>
        </row>
      </sheetData>
      <sheetData sheetId="25">
        <row r="20">
          <cell r="E20">
            <v>50817657</v>
          </cell>
        </row>
      </sheetData>
      <sheetData sheetId="26">
        <row r="20">
          <cell r="E20">
            <v>521770327</v>
          </cell>
        </row>
      </sheetData>
      <sheetData sheetId="27">
        <row r="14">
          <cell r="G14">
            <v>19200</v>
          </cell>
        </row>
        <row r="28">
          <cell r="C28">
            <v>1755228861</v>
          </cell>
        </row>
      </sheetData>
      <sheetData sheetId="28">
        <row r="14">
          <cell r="G14">
            <v>44000</v>
          </cell>
        </row>
        <row r="22">
          <cell r="C22">
            <v>289934135</v>
          </cell>
        </row>
      </sheetData>
      <sheetData sheetId="29">
        <row r="10">
          <cell r="E10">
            <v>7142163.7668000013</v>
          </cell>
        </row>
        <row r="11">
          <cell r="K11">
            <v>726751.60677000007</v>
          </cell>
        </row>
      </sheetData>
      <sheetData sheetId="30"/>
      <sheetData sheetId="3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P-11"/>
      <sheetName val="JAP-13"/>
      <sheetName val="JAP-15"/>
      <sheetName val="JAP-17"/>
      <sheetName val="JAP-21"/>
      <sheetName val="2010 Elec Consv"/>
      <sheetName val="2010 C-I Savings by Sch"/>
      <sheetName val="2010 C-I Savings Without RCM"/>
      <sheetName val="2010 RCM Savings"/>
      <sheetName val="2011 ACP"/>
      <sheetName val="F2011 Forecast"/>
      <sheetName val="Allocated PCA UE-090704"/>
      <sheetName val="COS Summary UR-090704"/>
      <sheetName val="Rev Req Summary UE-090704"/>
      <sheetName val="PCA Baseline UE-090704"/>
      <sheetName val="Revenue Summary UE-090704"/>
      <sheetName val="Sch 7 Rates - UE-090704"/>
      <sheetName val="Sch 24 Rates - UE-090704"/>
      <sheetName val="Sch 25 Rates - UE-090704"/>
      <sheetName val="Sch 26 Rates - UE-090704"/>
      <sheetName val="Sch 29 Rates - UE-090704"/>
      <sheetName val="Sch 31 Rates - UE-090704"/>
      <sheetName val="Sch 35 Rates - UE-090704"/>
      <sheetName val="Sch 40 Rates - UE-090704"/>
      <sheetName val="Sch 43 Rates - UE-090704"/>
      <sheetName val="Sch 46 Rates - UE-090704"/>
      <sheetName val="Sch 49 Rates - UE-090704"/>
      <sheetName val="Sch 449 Rates - UE-090704"/>
      <sheetName val="Sch 459 Rates - UE-090704"/>
      <sheetName val="Sch 57 Rates - UE-090704"/>
      <sheetName val="NEEA Allocation"/>
      <sheetName val="Schedule Impac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14">
          <cell r="C14">
            <v>11566455</v>
          </cell>
        </row>
      </sheetData>
      <sheetData sheetId="17">
        <row r="14">
          <cell r="C14">
            <v>1477960</v>
          </cell>
        </row>
      </sheetData>
      <sheetData sheetId="18">
        <row r="12">
          <cell r="C12">
            <v>94411</v>
          </cell>
        </row>
      </sheetData>
      <sheetData sheetId="19">
        <row r="12">
          <cell r="C12">
            <v>9827</v>
          </cell>
        </row>
      </sheetData>
      <sheetData sheetId="20">
        <row r="14">
          <cell r="C14">
            <v>8853</v>
          </cell>
        </row>
      </sheetData>
      <sheetData sheetId="21">
        <row r="12">
          <cell r="C12">
            <v>5816</v>
          </cell>
        </row>
      </sheetData>
      <sheetData sheetId="22">
        <row r="12">
          <cell r="C12">
            <v>12</v>
          </cell>
        </row>
      </sheetData>
      <sheetData sheetId="23">
        <row r="16">
          <cell r="C16">
            <v>1191</v>
          </cell>
        </row>
      </sheetData>
      <sheetData sheetId="24">
        <row r="12">
          <cell r="C12">
            <v>2143</v>
          </cell>
        </row>
      </sheetData>
      <sheetData sheetId="25"/>
      <sheetData sheetId="26"/>
      <sheetData sheetId="27">
        <row r="14">
          <cell r="C14">
            <v>24</v>
          </cell>
        </row>
      </sheetData>
      <sheetData sheetId="28">
        <row r="14">
          <cell r="C14">
            <v>55</v>
          </cell>
        </row>
      </sheetData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20"/>
  <sheetViews>
    <sheetView view="pageLayout" zoomScaleNormal="100" workbookViewId="0">
      <selection activeCell="B8" sqref="B8"/>
    </sheetView>
  </sheetViews>
  <sheetFormatPr defaultRowHeight="15" x14ac:dyDescent="0.25"/>
  <cols>
    <col min="2" max="2" width="26.42578125" bestFit="1" customWidth="1"/>
    <col min="3" max="3" width="3.140625" bestFit="1" customWidth="1"/>
    <col min="4" max="4" width="16.140625" customWidth="1"/>
    <col min="5" max="5" width="34.7109375" customWidth="1"/>
  </cols>
  <sheetData>
    <row r="3" spans="1:5" ht="18.75" x14ac:dyDescent="0.3">
      <c r="A3" s="65" t="s">
        <v>135</v>
      </c>
      <c r="B3" s="65"/>
      <c r="C3" s="65"/>
      <c r="D3" s="65"/>
      <c r="E3" s="65"/>
    </row>
    <row r="5" spans="1:5" ht="18.75" x14ac:dyDescent="0.3">
      <c r="A5" s="65" t="s">
        <v>136</v>
      </c>
      <c r="B5" s="65"/>
      <c r="C5" s="65"/>
      <c r="D5" s="65"/>
      <c r="E5" s="65"/>
    </row>
    <row r="6" spans="1:5" x14ac:dyDescent="0.25">
      <c r="C6" s="2"/>
    </row>
    <row r="7" spans="1:5" x14ac:dyDescent="0.25">
      <c r="A7" s="1" t="s">
        <v>45</v>
      </c>
      <c r="C7" s="2"/>
    </row>
    <row r="8" spans="1:5" x14ac:dyDescent="0.25">
      <c r="A8" s="55">
        <v>1</v>
      </c>
      <c r="B8" s="2" t="s">
        <v>107</v>
      </c>
      <c r="D8" s="9">
        <f>Deferral!K39</f>
        <v>4.5338204188130948E-2</v>
      </c>
      <c r="E8" t="s">
        <v>109</v>
      </c>
    </row>
    <row r="9" spans="1:5" x14ac:dyDescent="0.25">
      <c r="A9" s="55">
        <v>2</v>
      </c>
      <c r="B9" s="2" t="s">
        <v>108</v>
      </c>
      <c r="D9" s="9">
        <f>Deferral!K38</f>
        <v>-1.7064731326575933E-2</v>
      </c>
      <c r="E9" t="s">
        <v>109</v>
      </c>
    </row>
    <row r="10" spans="1:5" x14ac:dyDescent="0.25">
      <c r="A10" s="55"/>
      <c r="C10" s="2"/>
    </row>
    <row r="11" spans="1:5" x14ac:dyDescent="0.25">
      <c r="A11" s="55"/>
      <c r="C11" s="2"/>
    </row>
    <row r="12" spans="1:5" x14ac:dyDescent="0.25">
      <c r="A12" s="55">
        <v>3</v>
      </c>
      <c r="B12" t="s">
        <v>92</v>
      </c>
      <c r="C12" s="51"/>
      <c r="D12" s="40">
        <f>Deferral!F8</f>
        <v>-31402980.398683272</v>
      </c>
      <c r="E12" t="s">
        <v>111</v>
      </c>
    </row>
    <row r="13" spans="1:5" x14ac:dyDescent="0.25">
      <c r="A13" s="55">
        <v>4</v>
      </c>
      <c r="B13" t="s">
        <v>98</v>
      </c>
      <c r="C13" s="52" t="s">
        <v>128</v>
      </c>
      <c r="D13" s="40">
        <f>Earnings!G20</f>
        <v>-6703.8356605097651</v>
      </c>
      <c r="E13" t="s">
        <v>113</v>
      </c>
    </row>
    <row r="14" spans="1:5" x14ac:dyDescent="0.25">
      <c r="A14" s="55">
        <v>5</v>
      </c>
      <c r="B14" s="53" t="s">
        <v>101</v>
      </c>
      <c r="C14" s="1" t="s">
        <v>128</v>
      </c>
      <c r="D14" s="54">
        <f>Conservation!D25</f>
        <v>-4980535.8851674497</v>
      </c>
      <c r="E14" s="53" t="s">
        <v>114</v>
      </c>
    </row>
    <row r="15" spans="1:5" x14ac:dyDescent="0.25">
      <c r="A15" s="55">
        <v>6</v>
      </c>
      <c r="B15" t="s">
        <v>100</v>
      </c>
      <c r="C15" s="51" t="s">
        <v>129</v>
      </c>
      <c r="D15" s="6">
        <f>D12+D13+D14</f>
        <v>-36390220.119511232</v>
      </c>
    </row>
    <row r="16" spans="1:5" x14ac:dyDescent="0.25">
      <c r="A16" s="55"/>
      <c r="B16" s="9"/>
      <c r="C16" s="5"/>
    </row>
    <row r="17" spans="1:5" x14ac:dyDescent="0.25">
      <c r="A17" s="55"/>
    </row>
    <row r="18" spans="1:5" x14ac:dyDescent="0.25">
      <c r="A18" s="55"/>
    </row>
    <row r="19" spans="1:5" x14ac:dyDescent="0.25">
      <c r="A19" s="55">
        <v>7</v>
      </c>
      <c r="B19" t="s">
        <v>94</v>
      </c>
      <c r="D19" s="40">
        <f>Deferral!F9</f>
        <v>-28793800.897641435</v>
      </c>
      <c r="E19" t="s">
        <v>112</v>
      </c>
    </row>
    <row r="20" spans="1:5" x14ac:dyDescent="0.25">
      <c r="A20" s="55"/>
    </row>
  </sheetData>
  <mergeCells count="2">
    <mergeCell ref="A5:E5"/>
    <mergeCell ref="A3:E3"/>
  </mergeCells>
  <phoneticPr fontId="4" type="noConversion"/>
  <pageMargins left="0.7" right="0.7" top="1" bottom="0.75" header="0.3" footer="0.3"/>
  <pageSetup orientation="portrait" r:id="rId1"/>
  <headerFooter>
    <oddHeader>&amp;C&amp;"-,Bold"&amp;16
Appendix 1&amp;R&amp;10Docket Numbers UE-111048 and UG-111049
Page 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0"/>
  <sheetViews>
    <sheetView view="pageLayout" zoomScaleNormal="100" workbookViewId="0">
      <selection activeCell="B3" sqref="B3"/>
    </sheetView>
  </sheetViews>
  <sheetFormatPr defaultRowHeight="15" x14ac:dyDescent="0.25"/>
  <cols>
    <col min="2" max="2" width="24" bestFit="1" customWidth="1"/>
    <col min="3" max="3" width="15.28515625" bestFit="1" customWidth="1"/>
    <col min="4" max="4" width="16.7109375" customWidth="1"/>
    <col min="5" max="5" width="19.7109375" customWidth="1"/>
    <col min="6" max="6" width="18.7109375" customWidth="1"/>
    <col min="7" max="7" width="18" customWidth="1"/>
  </cols>
  <sheetData>
    <row r="2" spans="1:7" ht="18.75" x14ac:dyDescent="0.3">
      <c r="A2" s="65" t="s">
        <v>135</v>
      </c>
      <c r="B2" s="65"/>
      <c r="C2" s="65"/>
      <c r="D2" s="65"/>
      <c r="E2" s="65"/>
      <c r="F2" s="65"/>
      <c r="G2" s="65"/>
    </row>
    <row r="4" spans="1:7" ht="18.75" x14ac:dyDescent="0.3">
      <c r="A4" s="65" t="s">
        <v>98</v>
      </c>
      <c r="B4" s="65"/>
      <c r="C4" s="65"/>
      <c r="D4" s="65"/>
      <c r="E4" s="65"/>
      <c r="F4" s="65"/>
      <c r="G4" s="65"/>
    </row>
    <row r="6" spans="1:7" x14ac:dyDescent="0.25">
      <c r="C6" s="38">
        <v>2010</v>
      </c>
      <c r="D6" t="s">
        <v>130</v>
      </c>
      <c r="E6" t="s">
        <v>131</v>
      </c>
      <c r="F6" t="s">
        <v>132</v>
      </c>
    </row>
    <row r="7" spans="1:7" x14ac:dyDescent="0.25">
      <c r="C7" s="1" t="s">
        <v>17</v>
      </c>
      <c r="D7" s="1" t="s">
        <v>25</v>
      </c>
      <c r="E7" s="1" t="s">
        <v>26</v>
      </c>
      <c r="F7" s="1" t="s">
        <v>27</v>
      </c>
    </row>
    <row r="8" spans="1:7" x14ac:dyDescent="0.25">
      <c r="B8" t="s">
        <v>14</v>
      </c>
      <c r="C8" s="5">
        <f>'[1]JHS-4'!$AP$21</f>
        <v>2183578829.9671845</v>
      </c>
      <c r="D8" s="6">
        <f>C8*1.02</f>
        <v>2227250406.5665283</v>
      </c>
      <c r="E8" s="6">
        <f>C8</f>
        <v>2183578829.9671845</v>
      </c>
      <c r="F8" s="6">
        <f>C8*1.02</f>
        <v>2227250406.5665283</v>
      </c>
    </row>
    <row r="9" spans="1:7" x14ac:dyDescent="0.25">
      <c r="B9" t="s">
        <v>15</v>
      </c>
      <c r="C9" s="5">
        <f>'[1]JHS-4'!$AP$47</f>
        <v>1770598294.883276</v>
      </c>
      <c r="D9" s="6">
        <f t="shared" ref="D9:D10" si="0">C9*1.02</f>
        <v>1806010260.7809415</v>
      </c>
      <c r="E9" s="6">
        <f>C9*1.02</f>
        <v>1806010260.7809415</v>
      </c>
      <c r="F9" s="6">
        <f>C9</f>
        <v>1770598294.883276</v>
      </c>
    </row>
    <row r="10" spans="1:7" x14ac:dyDescent="0.25">
      <c r="B10" t="s">
        <v>18</v>
      </c>
      <c r="C10" s="5">
        <f>'[1]JHS-4'!$AP$51</f>
        <v>4904756946</v>
      </c>
      <c r="D10" s="6">
        <f t="shared" si="0"/>
        <v>5002852084.9200001</v>
      </c>
      <c r="E10" s="6">
        <f>C10</f>
        <v>4904756946</v>
      </c>
      <c r="F10" s="6">
        <f>C10</f>
        <v>4904756946</v>
      </c>
    </row>
    <row r="11" spans="1:7" x14ac:dyDescent="0.25">
      <c r="B11" t="s">
        <v>16</v>
      </c>
      <c r="C11" s="4">
        <f>(C8-C9)/C10</f>
        <v>8.4200000047037718E-2</v>
      </c>
      <c r="D11" s="4">
        <f>(D8-D9)/D10</f>
        <v>8.4200000047037732E-2</v>
      </c>
      <c r="E11" s="4">
        <f>(E8-E9)/E10</f>
        <v>7.698007737043186E-2</v>
      </c>
      <c r="F11" s="4">
        <f>(F8-F9)/F10</f>
        <v>9.3103922724584356E-2</v>
      </c>
    </row>
    <row r="12" spans="1:7" x14ac:dyDescent="0.25">
      <c r="B12" t="s">
        <v>127</v>
      </c>
      <c r="C12" s="4">
        <v>2.5000000000000001E-3</v>
      </c>
      <c r="D12" s="4"/>
    </row>
    <row r="13" spans="1:7" x14ac:dyDescent="0.25">
      <c r="B13" t="s">
        <v>19</v>
      </c>
      <c r="C13" s="4">
        <f>C11+$C$12</f>
        <v>8.670000004703772E-2</v>
      </c>
      <c r="D13" s="7"/>
    </row>
    <row r="14" spans="1:7" x14ac:dyDescent="0.25">
      <c r="C14" s="4"/>
      <c r="D14" s="7"/>
    </row>
    <row r="15" spans="1:7" x14ac:dyDescent="0.25">
      <c r="B15" t="s">
        <v>96</v>
      </c>
      <c r="F15" s="7"/>
      <c r="G15" s="5">
        <f>Deferral!F8</f>
        <v>-31402980.398683272</v>
      </c>
    </row>
    <row r="17" spans="2:7" x14ac:dyDescent="0.25">
      <c r="B17" t="s">
        <v>95</v>
      </c>
      <c r="D17" s="39">
        <f>IF(D11&lt;$C$13,0,D11-$C$13)</f>
        <v>0</v>
      </c>
      <c r="E17" s="39">
        <f>IF(E11&lt;$C$13,0,E11-$C$13)</f>
        <v>0</v>
      </c>
      <c r="F17" s="39">
        <f>IF(F11&lt;$C$13,0,F11-$C$13)</f>
        <v>6.4039226775466362E-3</v>
      </c>
    </row>
    <row r="18" spans="2:7" x14ac:dyDescent="0.25">
      <c r="B18" t="s">
        <v>99</v>
      </c>
      <c r="D18" s="5">
        <f>D17*D10</f>
        <v>0</v>
      </c>
      <c r="E18" s="5">
        <f>E17*E10</f>
        <v>0</v>
      </c>
      <c r="F18" s="5">
        <f>F17*C10</f>
        <v>31409684.234343782</v>
      </c>
      <c r="G18" s="6">
        <f>-F18</f>
        <v>-31409684.234343782</v>
      </c>
    </row>
    <row r="19" spans="2:7" x14ac:dyDescent="0.25">
      <c r="D19" s="3"/>
      <c r="E19" s="3"/>
      <c r="F19" s="3"/>
    </row>
    <row r="20" spans="2:7" x14ac:dyDescent="0.25">
      <c r="B20" t="s">
        <v>117</v>
      </c>
      <c r="D20" s="3"/>
      <c r="E20" s="3"/>
      <c r="F20" s="3"/>
      <c r="G20" s="6">
        <f>IF(G15&lt;G18,0,G18-G15)</f>
        <v>-6703.8356605097651</v>
      </c>
    </row>
  </sheetData>
  <mergeCells count="2">
    <mergeCell ref="A4:G4"/>
    <mergeCell ref="A2:G2"/>
  </mergeCells>
  <phoneticPr fontId="4" type="noConversion"/>
  <pageMargins left="0.7" right="0.7" top="0.75" bottom="0.75" header="0.3" footer="0.3"/>
  <pageSetup orientation="landscape" r:id="rId1"/>
  <headerFooter>
    <oddHeader>&amp;C&amp;"-,Bold"&amp;14
Workpapers&amp;R&amp;10Docket Numbers UE-111048 and UG-111049
Appendix 1
Electric - Page 1a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31"/>
  <sheetViews>
    <sheetView view="pageLayout" zoomScaleNormal="100" workbookViewId="0">
      <selection activeCell="A5" sqref="A5:E5"/>
    </sheetView>
  </sheetViews>
  <sheetFormatPr defaultRowHeight="15" x14ac:dyDescent="0.25"/>
  <cols>
    <col min="1" max="1" width="20.5703125" bestFit="1" customWidth="1"/>
    <col min="2" max="2" width="17.85546875" customWidth="1"/>
    <col min="3" max="5" width="15.28515625" bestFit="1" customWidth="1"/>
  </cols>
  <sheetData>
    <row r="3" spans="1:5" ht="18.75" x14ac:dyDescent="0.3">
      <c r="A3" s="65" t="s">
        <v>135</v>
      </c>
      <c r="B3" s="65"/>
      <c r="C3" s="65"/>
      <c r="D3" s="65"/>
      <c r="E3" s="65"/>
    </row>
    <row r="5" spans="1:5" ht="18.75" x14ac:dyDescent="0.3">
      <c r="A5" s="65" t="s">
        <v>101</v>
      </c>
      <c r="B5" s="65"/>
      <c r="C5" s="65"/>
      <c r="D5" s="65"/>
      <c r="E5" s="65"/>
    </row>
    <row r="6" spans="1:5" x14ac:dyDescent="0.25">
      <c r="B6" s="56"/>
      <c r="C6" s="56"/>
      <c r="D6" s="56"/>
      <c r="E6" s="56"/>
    </row>
    <row r="7" spans="1:5" x14ac:dyDescent="0.25">
      <c r="A7" s="56" t="s">
        <v>22</v>
      </c>
      <c r="B7" t="s">
        <v>93</v>
      </c>
      <c r="C7" t="s">
        <v>25</v>
      </c>
      <c r="D7" t="s">
        <v>26</v>
      </c>
      <c r="E7" t="s">
        <v>27</v>
      </c>
    </row>
    <row r="11" spans="1:5" x14ac:dyDescent="0.25">
      <c r="B11" s="8">
        <f>('[2]2011 ACP'!$D$17+'[2]2011 ACP'!$D$29+'[2]2011 ACP'!$D$34)*1000</f>
        <v>340119000</v>
      </c>
      <c r="C11" s="8">
        <f>B11*1.1</f>
        <v>374130900.00000006</v>
      </c>
      <c r="D11" s="8">
        <f>'[2]2010 Elec Consv'!$Q$64</f>
        <v>293560144.29425943</v>
      </c>
      <c r="E11" s="8">
        <f>B11*1.3</f>
        <v>442154700</v>
      </c>
    </row>
    <row r="12" spans="1:5" x14ac:dyDescent="0.25">
      <c r="B12" s="3"/>
      <c r="C12" s="3">
        <f>((C11-$B$11)/$B$11)+100%</f>
        <v>1.1000000000000001</v>
      </c>
      <c r="D12" s="3">
        <f>((D11-$B$11)/$B$11)+100%</f>
        <v>0.86311010056556503</v>
      </c>
      <c r="E12" s="3">
        <f>((E11-$B$11)/$B$11)+100%</f>
        <v>1.3</v>
      </c>
    </row>
    <row r="13" spans="1:5" x14ac:dyDescent="0.25">
      <c r="A13" t="s">
        <v>21</v>
      </c>
      <c r="B13" s="3"/>
      <c r="C13" s="3">
        <f>IF(C12&gt;120%, 120%, C12)</f>
        <v>1.1000000000000001</v>
      </c>
      <c r="D13" s="3">
        <f>IF(D12&gt;120%, 120%, D12)</f>
        <v>0.86311010056556503</v>
      </c>
      <c r="E13" s="3">
        <f>IF(E12&gt;120%, 120%, E12)</f>
        <v>1.2</v>
      </c>
    </row>
    <row r="14" spans="1:5" x14ac:dyDescent="0.25">
      <c r="A14" t="s">
        <v>24</v>
      </c>
      <c r="B14" s="5">
        <f>IF(Deferral!F8&gt;0, Deferral!F8, 0)</f>
        <v>0</v>
      </c>
    </row>
    <row r="15" spans="1:5" x14ac:dyDescent="0.25">
      <c r="A15" t="s">
        <v>20</v>
      </c>
      <c r="C15" s="44">
        <f>$B$14*C13-$B$14</f>
        <v>0</v>
      </c>
      <c r="D15" s="44">
        <f t="shared" ref="D15:E15" si="0">$B$14*D13-$B$14</f>
        <v>0</v>
      </c>
      <c r="E15" s="44">
        <f t="shared" si="0"/>
        <v>0</v>
      </c>
    </row>
    <row r="16" spans="1:5" x14ac:dyDescent="0.25">
      <c r="A16" t="s">
        <v>119</v>
      </c>
    </row>
    <row r="19" spans="1:6" x14ac:dyDescent="0.25">
      <c r="B19" s="56"/>
      <c r="C19" s="56"/>
      <c r="D19" s="56"/>
      <c r="E19" s="56"/>
    </row>
    <row r="20" spans="1:6" x14ac:dyDescent="0.25">
      <c r="A20" s="56" t="s">
        <v>23</v>
      </c>
      <c r="B20" t="s">
        <v>93</v>
      </c>
      <c r="C20" t="s">
        <v>25</v>
      </c>
      <c r="D20" t="s">
        <v>26</v>
      </c>
      <c r="E20" t="s">
        <v>27</v>
      </c>
    </row>
    <row r="21" spans="1:6" x14ac:dyDescent="0.25">
      <c r="B21" s="8">
        <f>B11</f>
        <v>340119000</v>
      </c>
      <c r="C21" s="8">
        <f>C11</f>
        <v>374130900.00000006</v>
      </c>
      <c r="D21" s="8">
        <f>D11</f>
        <v>293560144.29425943</v>
      </c>
      <c r="E21" s="8">
        <f>E11</f>
        <v>442154700</v>
      </c>
    </row>
    <row r="22" spans="1:6" x14ac:dyDescent="0.25">
      <c r="B22" s="3"/>
      <c r="C22" s="3">
        <f>((C21-$B$11)/$B$11)+100%</f>
        <v>1.1000000000000001</v>
      </c>
      <c r="D22" s="3">
        <f>((D21-$B$11)/$B$11)+100%</f>
        <v>0.86311010056556503</v>
      </c>
      <c r="E22" s="3">
        <f>((E21-$B$11)/$B$11)+100%</f>
        <v>1.3</v>
      </c>
    </row>
    <row r="23" spans="1:6" x14ac:dyDescent="0.25">
      <c r="A23" t="s">
        <v>21</v>
      </c>
      <c r="B23" s="3"/>
      <c r="C23" s="3">
        <f>IF(C22&gt;120%, 1/120%, 1/C22)</f>
        <v>0.90909090909090906</v>
      </c>
      <c r="D23" s="3">
        <f>IF(D22&gt;120%, 1/120%, 1/D22)</f>
        <v>1.1586007385902863</v>
      </c>
      <c r="E23" s="3">
        <f>IF(E22&gt;120%, 1/120%, 1/E22)</f>
        <v>0.83333333333333337</v>
      </c>
      <c r="F23" s="3"/>
    </row>
    <row r="24" spans="1:6" x14ac:dyDescent="0.25">
      <c r="A24" t="s">
        <v>24</v>
      </c>
      <c r="B24" s="5">
        <f>IF(Deferral!F8&lt;0, Deferral!F8, 0)</f>
        <v>-31402980.398683272</v>
      </c>
    </row>
    <row r="25" spans="1:6" x14ac:dyDescent="0.25">
      <c r="A25" t="s">
        <v>20</v>
      </c>
      <c r="C25" s="44">
        <f>$B$24*C23-$B$24</f>
        <v>2854816.3998802975</v>
      </c>
      <c r="D25" s="44">
        <f t="shared" ref="D25:E25" si="1">$B$24*D23-$B$24</f>
        <v>-4980535.8851674497</v>
      </c>
      <c r="E25" s="44">
        <f t="shared" si="1"/>
        <v>5233830.0664472096</v>
      </c>
    </row>
    <row r="26" spans="1:6" x14ac:dyDescent="0.25">
      <c r="A26" t="s">
        <v>118</v>
      </c>
    </row>
    <row r="27" spans="1:6" x14ac:dyDescent="0.25">
      <c r="C27" s="7"/>
    </row>
    <row r="30" spans="1:6" x14ac:dyDescent="0.25">
      <c r="A30" t="s">
        <v>116</v>
      </c>
    </row>
    <row r="31" spans="1:6" x14ac:dyDescent="0.25">
      <c r="A31" t="s">
        <v>115</v>
      </c>
    </row>
  </sheetData>
  <mergeCells count="2">
    <mergeCell ref="A5:E5"/>
    <mergeCell ref="A3:E3"/>
  </mergeCells>
  <phoneticPr fontId="4" type="noConversion"/>
  <pageMargins left="0.7" right="0.7" top="1" bottom="0.75" header="0.3" footer="0.3"/>
  <pageSetup orientation="portrait" r:id="rId1"/>
  <headerFooter>
    <oddHeader>&amp;C&amp;"-,Bold"&amp;14
Workpapers&amp;R&amp;10Docket Numbers UE-111048 and UG-111049
Appendix 1
Electric - Page 1b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P25"/>
  <sheetViews>
    <sheetView tabSelected="1" view="pageLayout" zoomScaleNormal="100" workbookViewId="0">
      <selection activeCell="A5" sqref="A5:G5"/>
    </sheetView>
  </sheetViews>
  <sheetFormatPr defaultColWidth="8.85546875" defaultRowHeight="12.75" x14ac:dyDescent="0.2"/>
  <cols>
    <col min="1" max="1" width="8.5703125" style="11" customWidth="1"/>
    <col min="2" max="2" width="32.7109375" style="11" customWidth="1"/>
    <col min="3" max="3" width="13.85546875" style="11" bestFit="1" customWidth="1"/>
    <col min="4" max="4" width="16.28515625" style="11" bestFit="1" customWidth="1"/>
    <col min="5" max="5" width="14.7109375" style="11" bestFit="1" customWidth="1"/>
    <col min="6" max="6" width="13.85546875" style="11" bestFit="1" customWidth="1"/>
    <col min="7" max="7" width="16.28515625" style="11" customWidth="1"/>
    <col min="8" max="16384" width="8.85546875" style="11"/>
  </cols>
  <sheetData>
    <row r="3" spans="1:16" ht="23.25" x14ac:dyDescent="0.35">
      <c r="A3" s="65" t="s">
        <v>135</v>
      </c>
      <c r="B3" s="65"/>
      <c r="C3" s="65"/>
      <c r="D3" s="65"/>
      <c r="E3" s="65"/>
      <c r="F3" s="65"/>
      <c r="G3" s="65"/>
      <c r="H3" s="59"/>
      <c r="I3" s="59"/>
      <c r="J3" s="59"/>
      <c r="K3" s="59"/>
      <c r="L3" s="59"/>
      <c r="M3" s="59"/>
      <c r="N3" s="59"/>
      <c r="O3" s="59"/>
      <c r="P3" s="59"/>
    </row>
    <row r="5" spans="1:16" ht="22.15" customHeight="1" x14ac:dyDescent="0.25">
      <c r="A5" s="66" t="s">
        <v>137</v>
      </c>
      <c r="B5" s="66"/>
      <c r="C5" s="66"/>
      <c r="D5" s="66"/>
      <c r="E5" s="66"/>
      <c r="F5" s="66"/>
      <c r="G5" s="66"/>
    </row>
    <row r="6" spans="1:16" x14ac:dyDescent="0.2">
      <c r="A6" s="10"/>
      <c r="B6" s="10"/>
      <c r="C6" s="10"/>
      <c r="D6" s="10"/>
      <c r="E6" s="10"/>
      <c r="F6" s="10"/>
    </row>
    <row r="7" spans="1:16" ht="51" x14ac:dyDescent="0.2">
      <c r="A7" s="12" t="s">
        <v>29</v>
      </c>
      <c r="B7" s="13"/>
      <c r="C7" s="12" t="s">
        <v>30</v>
      </c>
      <c r="D7" s="12" t="s">
        <v>73</v>
      </c>
      <c r="E7" s="14" t="s">
        <v>97</v>
      </c>
      <c r="F7" s="14" t="s">
        <v>133</v>
      </c>
      <c r="G7" s="12" t="s">
        <v>55</v>
      </c>
    </row>
    <row r="8" spans="1:16" x14ac:dyDescent="0.2">
      <c r="B8" s="15" t="s">
        <v>33</v>
      </c>
      <c r="C8" s="15" t="s">
        <v>34</v>
      </c>
      <c r="D8" s="15" t="s">
        <v>35</v>
      </c>
      <c r="E8" s="15" t="s">
        <v>36</v>
      </c>
      <c r="F8" s="15" t="s">
        <v>37</v>
      </c>
    </row>
    <row r="9" spans="1:16" x14ac:dyDescent="0.2">
      <c r="A9" s="15">
        <v>1</v>
      </c>
      <c r="B9" s="16" t="s">
        <v>38</v>
      </c>
      <c r="C9" s="15"/>
      <c r="D9" s="15"/>
      <c r="E9" s="15"/>
      <c r="F9" s="15"/>
    </row>
    <row r="10" spans="1:16" x14ac:dyDescent="0.2">
      <c r="A10" s="15">
        <f t="shared" ref="A10:A16" si="0">A9+1</f>
        <v>2</v>
      </c>
      <c r="B10" s="11" t="s">
        <v>39</v>
      </c>
      <c r="C10" s="15" t="s">
        <v>40</v>
      </c>
      <c r="D10" s="17">
        <f>'[3]Revenue Summary UE-090704'!F10</f>
        <v>1104542863.0619414</v>
      </c>
      <c r="E10" s="17">
        <f>'[3]Revenue Summary UE-090704'!F17+'[3]Revenue Summary UE-090704'!F23+'[3]Sch 57 Rates - UE-090704'!K11</f>
        <v>825673385.69028485</v>
      </c>
      <c r="F10" s="17">
        <f>'[3]Revenue Summary UE-090704'!F25+'[3]Revenue Summary UE-090704'!F30+'[3]Revenue Summary UE-090704'!F36</f>
        <v>87994620.911131635</v>
      </c>
      <c r="G10" s="20">
        <f>SUM(D10:F10)</f>
        <v>2018210869.663358</v>
      </c>
    </row>
    <row r="11" spans="1:16" x14ac:dyDescent="0.2">
      <c r="A11" s="15">
        <f t="shared" si="0"/>
        <v>3</v>
      </c>
      <c r="B11" s="11" t="s">
        <v>41</v>
      </c>
      <c r="C11" s="15" t="s">
        <v>40</v>
      </c>
      <c r="D11" s="18">
        <f>'[3]Sch 7 Rates - UE-090704'!J14</f>
        <v>83893120.75</v>
      </c>
      <c r="E11" s="18">
        <f>('[3]Sch 24 Rates - UE-090704'!J14+'[3]Sch 25 Rates - UE-090704'!J12+'[3]Sch 26 Rates - UE-090704'!J12+'[3]Sch 29 Rates - UE-090704'!J14+'[3]Sch 31 Rates - UE-090704'!J12+'[3]Sch 35 Rates - UE-090704'!G12+'[3]Sch 43 Rates - UE-090704'!J12)</f>
        <v>28423718.829999998</v>
      </c>
      <c r="F11" s="18">
        <f>'[3]Sch 40 Rates - UE-090704'!J16+'[3]Sch 43 Rates - UE-090704'!J12+'[3]Sch 449 Rates - UE-090704'!G14+'[3]Sch 459 Rates - UE-090704'!G14</f>
        <v>947480.03</v>
      </c>
      <c r="G11" s="20">
        <f t="shared" ref="G11:G17" si="1">SUM(D11:F11)</f>
        <v>113264319.61</v>
      </c>
    </row>
    <row r="12" spans="1:16" x14ac:dyDescent="0.2">
      <c r="A12" s="15">
        <f t="shared" si="0"/>
        <v>4</v>
      </c>
      <c r="B12" s="11" t="s">
        <v>42</v>
      </c>
      <c r="C12" s="15" t="s">
        <v>40</v>
      </c>
      <c r="D12" s="19">
        <f>'[3]Allocated PCA UE-090704'!E28</f>
        <v>772470708</v>
      </c>
      <c r="E12" s="19">
        <f>SUM('[3]Allocated PCA UE-090704'!F28:K28)+'[3]Allocated PCA UE-090704'!O30*'[3]Sch 57 Rates - UE-090704'!E10/100</f>
        <v>598005469.9839679</v>
      </c>
      <c r="F12" s="19">
        <f>SUM('[3]Allocated PCA UE-090704'!L28:N28)</f>
        <v>73053560</v>
      </c>
      <c r="G12" s="20">
        <f t="shared" si="1"/>
        <v>1443529737.9839678</v>
      </c>
    </row>
    <row r="13" spans="1:16" x14ac:dyDescent="0.2">
      <c r="A13" s="15">
        <f t="shared" si="0"/>
        <v>5</v>
      </c>
      <c r="B13" s="11" t="s">
        <v>123</v>
      </c>
      <c r="C13" s="15" t="s">
        <v>43</v>
      </c>
      <c r="D13" s="20">
        <f>D10-D11-D12</f>
        <v>248179034.31194139</v>
      </c>
      <c r="E13" s="20">
        <f t="shared" ref="E13:F13" si="2">E10-E11-E12</f>
        <v>199244196.87631691</v>
      </c>
      <c r="F13" s="20">
        <f t="shared" si="2"/>
        <v>13993580.881131634</v>
      </c>
      <c r="G13" s="20">
        <f t="shared" si="1"/>
        <v>461416812.06938994</v>
      </c>
    </row>
    <row r="14" spans="1:16" x14ac:dyDescent="0.2">
      <c r="A14" s="15">
        <f t="shared" si="0"/>
        <v>6</v>
      </c>
      <c r="C14" s="15"/>
      <c r="G14" s="28"/>
    </row>
    <row r="15" spans="1:16" x14ac:dyDescent="0.2">
      <c r="A15" s="15">
        <f t="shared" si="0"/>
        <v>7</v>
      </c>
      <c r="B15" s="11" t="s">
        <v>120</v>
      </c>
      <c r="C15" s="15" t="s">
        <v>40</v>
      </c>
      <c r="D15" s="21">
        <f>'[3]Sch 7 Rates - UE-090704'!F24</f>
        <v>10949843922.833302</v>
      </c>
      <c r="E15" s="21">
        <f>'[3]Sch 24 Rates - UE-090704'!F24+'[3]Sch 25 Rates - UE-090704'!F30+'[3]Sch 26 Rates - UE-090704'!F26+'[3]Sch 29 Rates - UE-090704'!F32+'[3]Sch 31 Rates - UE-090704'!F26+'[3]Sch 35 Rates - UE-090704'!C26+'[3]Sch 43 Rates - UE-090704'!F24+'[3]Sch 57 Rates - UE-090704'!E10</f>
        <v>9529158183.8018017</v>
      </c>
      <c r="F15" s="21">
        <f>'[3]Sch 40 Rates - UE-090704'!F41+'[3]Sch 46 Rates - UE-090704'!E20+'[3]Sch 49 Rates - UE-090704'!E20+'[3]Sch 449 Rates - UE-090704'!C28+'[3]Sch 459 Rates - UE-090704'!C22</f>
        <v>3304174547</v>
      </c>
      <c r="G15" s="28">
        <f t="shared" si="1"/>
        <v>23783176653.635101</v>
      </c>
    </row>
    <row r="16" spans="1:16" x14ac:dyDescent="0.2">
      <c r="A16" s="15">
        <f t="shared" si="0"/>
        <v>8</v>
      </c>
      <c r="C16" s="15"/>
      <c r="G16" s="28"/>
    </row>
    <row r="17" spans="1:7" x14ac:dyDescent="0.2">
      <c r="A17" s="15">
        <v>9</v>
      </c>
      <c r="B17" s="11" t="s">
        <v>121</v>
      </c>
      <c r="C17" s="15" t="s">
        <v>40</v>
      </c>
      <c r="D17" s="28">
        <f>'[4]Sch 7 Rates - UE-090704'!$C$14</f>
        <v>11566455</v>
      </c>
      <c r="E17" s="28">
        <f>'[4]Sch 24 Rates - UE-090704'!$C$14+'[4]Sch 25 Rates - UE-090704'!$C$12+'[4]Sch 26 Rates - UE-090704'!$C$12+'[4]Sch 29 Rates - UE-090704'!$C$14+'[4]Sch 31 Rates - UE-090704'!$C$12+'[4]Sch 35 Rates - UE-090704'!$C$12+'[4]Sch 43 Rates - UE-090704'!$C$12</f>
        <v>1599022</v>
      </c>
      <c r="F17" s="28">
        <f>'[4]Sch 40 Rates - UE-090704'!$C$16+'[4]Sch 449 Rates - UE-090704'!$C$14+'[4]Sch 459 Rates - UE-090704'!$C$14</f>
        <v>1270</v>
      </c>
      <c r="G17" s="28">
        <f t="shared" si="1"/>
        <v>13166747</v>
      </c>
    </row>
    <row r="18" spans="1:7" x14ac:dyDescent="0.2">
      <c r="A18" s="15">
        <v>10</v>
      </c>
      <c r="C18" s="15"/>
    </row>
    <row r="19" spans="1:7" x14ac:dyDescent="0.2">
      <c r="A19" s="15">
        <v>11</v>
      </c>
      <c r="B19" s="11" t="s">
        <v>122</v>
      </c>
      <c r="C19" s="15" t="s">
        <v>49</v>
      </c>
      <c r="D19" s="28">
        <f>D15/D17</f>
        <v>946.68970940822419</v>
      </c>
      <c r="E19" s="28">
        <f t="shared" ref="E19:F19" si="3">E15/E17</f>
        <v>5959.3665276661623</v>
      </c>
      <c r="F19" s="28">
        <f t="shared" si="3"/>
        <v>2601712.2417322835</v>
      </c>
      <c r="G19" s="28">
        <f>G15/G17</f>
        <v>1806.3061934458908</v>
      </c>
    </row>
    <row r="20" spans="1:7" x14ac:dyDescent="0.2">
      <c r="A20" s="15">
        <v>12</v>
      </c>
      <c r="C20" s="15"/>
    </row>
    <row r="21" spans="1:7" x14ac:dyDescent="0.2">
      <c r="A21" s="15">
        <v>13</v>
      </c>
      <c r="B21" s="11" t="s">
        <v>124</v>
      </c>
      <c r="C21" s="15" t="s">
        <v>44</v>
      </c>
      <c r="D21" s="22">
        <f t="shared" ref="D21:F21" si="4">ROUND(D13/D15*100,4)</f>
        <v>2.2665000000000002</v>
      </c>
      <c r="E21" s="22">
        <f t="shared" si="4"/>
        <v>2.0909</v>
      </c>
      <c r="F21" s="22">
        <f t="shared" si="4"/>
        <v>0.42349999999999999</v>
      </c>
      <c r="G21" s="22">
        <f>ROUND(G13/G15*100,4)</f>
        <v>1.9400999999999999</v>
      </c>
    </row>
    <row r="22" spans="1:7" x14ac:dyDescent="0.2">
      <c r="A22" s="15">
        <v>14</v>
      </c>
      <c r="C22" s="15"/>
      <c r="D22" s="22"/>
      <c r="E22" s="22"/>
      <c r="F22" s="22"/>
    </row>
    <row r="23" spans="1:7" x14ac:dyDescent="0.2">
      <c r="A23" s="15">
        <v>15</v>
      </c>
      <c r="B23" s="11" t="s">
        <v>125</v>
      </c>
      <c r="C23" s="15" t="s">
        <v>50</v>
      </c>
      <c r="D23" s="30">
        <f>D19*D21/100</f>
        <v>21.456722263737401</v>
      </c>
      <c r="E23" s="30">
        <f t="shared" ref="E23:G23" si="5">E19*E21/100</f>
        <v>124.60439472697179</v>
      </c>
      <c r="F23" s="30">
        <f t="shared" si="5"/>
        <v>11018.251343736219</v>
      </c>
      <c r="G23" s="30">
        <f t="shared" si="5"/>
        <v>35.044146459043731</v>
      </c>
    </row>
    <row r="25" spans="1:7" x14ac:dyDescent="0.2">
      <c r="A25" s="11" t="s">
        <v>54</v>
      </c>
    </row>
  </sheetData>
  <mergeCells count="2">
    <mergeCell ref="A3:G3"/>
    <mergeCell ref="A5:G5"/>
  </mergeCells>
  <pageMargins left="0.7" right="0.7" top="0.75" bottom="0.75" header="0.3" footer="0.3"/>
  <pageSetup orientation="landscape" r:id="rId1"/>
  <headerFooter>
    <oddHeader>&amp;C&amp;"-,Bold"&amp;14
Workpapers&amp;R&amp;10Docket Number uE-111048 and UG-111049
Appendix 1
Electric - Page 1c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V55"/>
  <sheetViews>
    <sheetView view="pageLayout" topLeftCell="G1" zoomScaleNormal="100" workbookViewId="0">
      <selection activeCell="A5" sqref="A5:V5"/>
    </sheetView>
  </sheetViews>
  <sheetFormatPr defaultRowHeight="15" x14ac:dyDescent="0.25"/>
  <cols>
    <col min="1" max="1" width="5" bestFit="1" customWidth="1"/>
    <col min="2" max="2" width="8.28515625" bestFit="1" customWidth="1"/>
    <col min="3" max="3" width="14" customWidth="1"/>
    <col min="4" max="4" width="13.28515625" bestFit="1" customWidth="1"/>
    <col min="5" max="5" width="12.28515625" bestFit="1" customWidth="1"/>
    <col min="6" max="6" width="13.42578125" bestFit="1" customWidth="1"/>
    <col min="7" max="7" width="14" bestFit="1" customWidth="1"/>
    <col min="8" max="8" width="14" customWidth="1"/>
    <col min="9" max="9" width="1.85546875" customWidth="1"/>
    <col min="10" max="10" width="13.28515625" bestFit="1" customWidth="1"/>
    <col min="11" max="11" width="13.7109375" bestFit="1" customWidth="1"/>
    <col min="12" max="12" width="12.28515625" bestFit="1" customWidth="1"/>
    <col min="13" max="13" width="12" bestFit="1" customWidth="1"/>
    <col min="14" max="14" width="13.42578125" bestFit="1" customWidth="1"/>
    <col min="15" max="15" width="12.85546875" bestFit="1" customWidth="1"/>
    <col min="16" max="16" width="2.28515625" customWidth="1"/>
    <col min="17" max="17" width="13.28515625" bestFit="1" customWidth="1"/>
    <col min="18" max="18" width="10.42578125" bestFit="1" customWidth="1"/>
    <col min="19" max="19" width="11.28515625" bestFit="1" customWidth="1"/>
    <col min="20" max="20" width="11" bestFit="1" customWidth="1"/>
    <col min="21" max="21" width="12.28515625" customWidth="1"/>
    <col min="22" max="22" width="11.28515625" bestFit="1" customWidth="1"/>
  </cols>
  <sheetData>
    <row r="3" spans="1:22" ht="28.5" x14ac:dyDescent="0.45">
      <c r="A3" s="67" t="s">
        <v>135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</row>
    <row r="4" spans="1:22" ht="23.25" x14ac:dyDescent="0.35">
      <c r="A4" s="58"/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</row>
    <row r="5" spans="1:22" ht="28.5" x14ac:dyDescent="0.45">
      <c r="A5" s="67" t="s">
        <v>28</v>
      </c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</row>
    <row r="6" spans="1:22" ht="15.75" thickBot="1" x14ac:dyDescent="0.3"/>
    <row r="7" spans="1:22" x14ac:dyDescent="0.25">
      <c r="D7" s="62" t="s">
        <v>110</v>
      </c>
      <c r="E7" s="63"/>
      <c r="F7" s="64"/>
    </row>
    <row r="8" spans="1:22" x14ac:dyDescent="0.25">
      <c r="D8" s="45" t="s">
        <v>92</v>
      </c>
      <c r="E8" s="46"/>
      <c r="F8" s="47">
        <f>H28+O28+V28</f>
        <v>-31402980.398683272</v>
      </c>
    </row>
    <row r="9" spans="1:22" ht="15.75" thickBot="1" x14ac:dyDescent="0.3">
      <c r="D9" s="48" t="s">
        <v>94</v>
      </c>
      <c r="E9" s="49"/>
      <c r="F9" s="50">
        <f>H51</f>
        <v>-28793800.897641435</v>
      </c>
    </row>
    <row r="11" spans="1:22" x14ac:dyDescent="0.25">
      <c r="A11" s="23"/>
      <c r="B11" s="23"/>
      <c r="C11" s="61" t="s">
        <v>31</v>
      </c>
      <c r="D11" s="61"/>
      <c r="E11" s="61"/>
      <c r="F11" s="61"/>
      <c r="G11" s="61"/>
      <c r="H11" s="61"/>
      <c r="I11" s="24"/>
      <c r="J11" s="61" t="s">
        <v>80</v>
      </c>
      <c r="K11" s="61"/>
      <c r="L11" s="61"/>
      <c r="M11" s="61"/>
      <c r="N11" s="61"/>
      <c r="O11" s="61"/>
      <c r="P11" s="23"/>
      <c r="Q11" s="61" t="s">
        <v>32</v>
      </c>
      <c r="R11" s="61"/>
      <c r="S11" s="61"/>
      <c r="T11" s="61"/>
      <c r="U11" s="61"/>
      <c r="V11" s="61"/>
    </row>
    <row r="12" spans="1:22" x14ac:dyDescent="0.25">
      <c r="A12" s="23"/>
      <c r="B12" s="23"/>
      <c r="C12" s="25" t="s">
        <v>126</v>
      </c>
      <c r="D12" s="25" t="s">
        <v>13</v>
      </c>
      <c r="E12" s="25" t="s">
        <v>53</v>
      </c>
      <c r="F12" s="25" t="s">
        <v>13</v>
      </c>
      <c r="G12" s="25" t="s">
        <v>79</v>
      </c>
      <c r="H12" s="25" t="s">
        <v>28</v>
      </c>
      <c r="I12" s="25"/>
      <c r="J12" s="25" t="s">
        <v>126</v>
      </c>
      <c r="K12" s="25" t="s">
        <v>13</v>
      </c>
      <c r="L12" s="25" t="s">
        <v>53</v>
      </c>
      <c r="M12" s="25" t="s">
        <v>13</v>
      </c>
      <c r="N12" s="25" t="s">
        <v>79</v>
      </c>
      <c r="O12" s="25" t="s">
        <v>28</v>
      </c>
      <c r="P12" s="23"/>
      <c r="Q12" s="25" t="s">
        <v>126</v>
      </c>
      <c r="R12" s="25" t="s">
        <v>13</v>
      </c>
      <c r="S12" s="25" t="s">
        <v>53</v>
      </c>
      <c r="T12" s="25" t="s">
        <v>13</v>
      </c>
      <c r="U12" s="25" t="s">
        <v>79</v>
      </c>
      <c r="V12" s="25" t="s">
        <v>28</v>
      </c>
    </row>
    <row r="13" spans="1:22" x14ac:dyDescent="0.25">
      <c r="A13" s="25" t="s">
        <v>45</v>
      </c>
      <c r="B13" s="23"/>
      <c r="C13" s="25" t="s">
        <v>14</v>
      </c>
      <c r="D13" s="25" t="s">
        <v>83</v>
      </c>
      <c r="E13" s="25" t="s">
        <v>14</v>
      </c>
      <c r="F13" s="25" t="s">
        <v>84</v>
      </c>
      <c r="G13" s="25" t="s">
        <v>14</v>
      </c>
      <c r="H13" s="25"/>
      <c r="I13" s="25"/>
      <c r="J13" s="25" t="s">
        <v>14</v>
      </c>
      <c r="K13" s="25" t="s">
        <v>0</v>
      </c>
      <c r="L13" s="25" t="s">
        <v>14</v>
      </c>
      <c r="M13" s="25" t="s">
        <v>48</v>
      </c>
      <c r="N13" s="25" t="s">
        <v>14</v>
      </c>
      <c r="O13" s="25"/>
      <c r="P13" s="23"/>
      <c r="Q13" s="25" t="s">
        <v>14</v>
      </c>
      <c r="R13" s="25" t="s">
        <v>0</v>
      </c>
      <c r="S13" s="25" t="s">
        <v>14</v>
      </c>
      <c r="T13" s="25" t="s">
        <v>48</v>
      </c>
      <c r="U13" s="25" t="s">
        <v>14</v>
      </c>
      <c r="V13" s="25"/>
    </row>
    <row r="14" spans="1:22" ht="15.75" thickBot="1" x14ac:dyDescent="0.3">
      <c r="A14" s="26" t="s">
        <v>46</v>
      </c>
      <c r="B14" s="26" t="s">
        <v>47</v>
      </c>
      <c r="C14" s="26" t="s">
        <v>51</v>
      </c>
      <c r="D14" s="26"/>
      <c r="E14" s="26"/>
      <c r="F14" s="26"/>
      <c r="G14" s="26"/>
      <c r="H14" s="26"/>
      <c r="I14" s="26"/>
      <c r="J14" s="26" t="s">
        <v>51</v>
      </c>
      <c r="K14" s="26"/>
      <c r="L14" s="26"/>
      <c r="M14" s="26"/>
      <c r="N14" s="26"/>
      <c r="O14" s="26"/>
      <c r="P14" s="26"/>
      <c r="Q14" s="26" t="s">
        <v>51</v>
      </c>
      <c r="R14" s="26"/>
      <c r="S14" s="26"/>
      <c r="T14" s="26"/>
      <c r="U14" s="26"/>
      <c r="V14" s="26"/>
    </row>
    <row r="15" spans="1:22" x14ac:dyDescent="0.25">
      <c r="A15" s="15"/>
      <c r="B15" s="15" t="s">
        <v>33</v>
      </c>
      <c r="C15" s="15" t="s">
        <v>34</v>
      </c>
      <c r="D15" s="15" t="s">
        <v>52</v>
      </c>
      <c r="E15" s="27" t="s">
        <v>87</v>
      </c>
      <c r="F15" s="27" t="s">
        <v>88</v>
      </c>
      <c r="G15" s="27" t="s">
        <v>89</v>
      </c>
      <c r="H15" s="27" t="s">
        <v>90</v>
      </c>
      <c r="I15" s="27"/>
      <c r="J15" s="15"/>
      <c r="K15" s="15"/>
      <c r="L15" s="27"/>
      <c r="M15" s="27"/>
      <c r="N15" s="27"/>
      <c r="O15" s="27"/>
      <c r="P15" s="11"/>
      <c r="Q15" s="15"/>
      <c r="R15" s="15"/>
      <c r="S15" s="27"/>
      <c r="T15" s="27"/>
      <c r="V15" s="27"/>
    </row>
    <row r="16" spans="1:22" x14ac:dyDescent="0.25">
      <c r="A16" s="15">
        <v>1</v>
      </c>
      <c r="B16" s="31">
        <v>40179</v>
      </c>
      <c r="C16" s="30">
        <f>Baselines!$D$23</f>
        <v>21.456722263737401</v>
      </c>
      <c r="D16" s="28">
        <f t="shared" ref="D16:D26" si="0">D$28/12</f>
        <v>952803</v>
      </c>
      <c r="E16" s="17">
        <f>D16*C16</f>
        <v>20444029.343055788</v>
      </c>
      <c r="F16" s="37">
        <f>F$28*'Load Shapes'!$D8</f>
        <v>1383498283.4404745</v>
      </c>
      <c r="G16" s="17">
        <f>F16*Baselines!$D$21/100</f>
        <v>31356988.594178356</v>
      </c>
      <c r="H16" s="17">
        <f>E16-G16</f>
        <v>-10912959.251122568</v>
      </c>
      <c r="I16" s="29"/>
      <c r="J16" s="30">
        <f>Baselines!$E$23</f>
        <v>124.60439472697179</v>
      </c>
      <c r="K16" s="28">
        <f t="shared" ref="K16:K26" si="1">K$28/12</f>
        <v>125553</v>
      </c>
      <c r="L16" s="17">
        <f>K16*J16</f>
        <v>15644455.571155488</v>
      </c>
      <c r="M16" s="11">
        <f>M$28*'Load Shapes'!$D10</f>
        <v>896690961.56255591</v>
      </c>
      <c r="N16" s="17">
        <f>M16*Baselines!$E$21/100</f>
        <v>18748911.31531148</v>
      </c>
      <c r="O16" s="17">
        <f>L16-N16</f>
        <v>-3104455.7441559918</v>
      </c>
      <c r="P16" s="11"/>
      <c r="Q16" s="30">
        <f>Baselines!$F$23</f>
        <v>11018.251343736219</v>
      </c>
      <c r="R16" s="28">
        <f t="shared" ref="R16:R26" si="2">R$28/12</f>
        <v>149</v>
      </c>
      <c r="S16" s="17">
        <f>R16*Q16</f>
        <v>1641719.4502166966</v>
      </c>
      <c r="T16" s="37">
        <f>T$28*'Load Shapes'!$D12</f>
        <v>279917586.74727947</v>
      </c>
      <c r="U16" s="17">
        <f>T16*Baselines!$F$21/100</f>
        <v>1185450.9798747285</v>
      </c>
      <c r="V16" s="17">
        <f>S16-U16</f>
        <v>456268.47034196812</v>
      </c>
    </row>
    <row r="17" spans="1:22" x14ac:dyDescent="0.25">
      <c r="A17" s="15">
        <v>2</v>
      </c>
      <c r="B17" s="31">
        <f t="shared" ref="B17:B27" si="3">EDATE(B16,1)</f>
        <v>40210</v>
      </c>
      <c r="C17" s="30">
        <f>Baselines!$D$23</f>
        <v>21.456722263737401</v>
      </c>
      <c r="D17" s="28">
        <f t="shared" si="0"/>
        <v>952803</v>
      </c>
      <c r="E17" s="17">
        <f t="shared" ref="E17:E27" si="4">D17*C17</f>
        <v>20444029.343055788</v>
      </c>
      <c r="F17" s="37">
        <f>F$28*'Load Shapes'!$E8</f>
        <v>1157322023.6969421</v>
      </c>
      <c r="G17" s="17">
        <f>F17*Baselines!$D$21/100</f>
        <v>26230703.667091195</v>
      </c>
      <c r="H17" s="17">
        <f t="shared" ref="H17:H27" si="5">E17-G17</f>
        <v>-5786674.3240354061</v>
      </c>
      <c r="I17" s="29"/>
      <c r="J17" s="30">
        <f>Baselines!$E$23</f>
        <v>124.60439472697179</v>
      </c>
      <c r="K17" s="28">
        <f t="shared" si="1"/>
        <v>125553</v>
      </c>
      <c r="L17" s="17">
        <f t="shared" ref="L17:L27" si="6">K17*J17</f>
        <v>15644455.571155488</v>
      </c>
      <c r="M17" s="11">
        <f>M$28*'Load Shapes'!$E10</f>
        <v>855245010.41753185</v>
      </c>
      <c r="N17" s="17">
        <f>M17*Baselines!$E$21/100</f>
        <v>17882317.922820173</v>
      </c>
      <c r="O17" s="17">
        <f t="shared" ref="O17:O27" si="7">L17-N17</f>
        <v>-2237862.3516646847</v>
      </c>
      <c r="P17" s="11"/>
      <c r="Q17" s="30">
        <f>Baselines!$F$23</f>
        <v>11018.251343736219</v>
      </c>
      <c r="R17" s="28">
        <f t="shared" si="2"/>
        <v>149</v>
      </c>
      <c r="S17" s="17">
        <f t="shared" ref="S17:S27" si="8">R17*Q17</f>
        <v>1641719.4502166966</v>
      </c>
      <c r="T17" s="37">
        <f>T$28*'Load Shapes'!$E12</f>
        <v>284604032.52351236</v>
      </c>
      <c r="U17" s="17">
        <f>T17*Baselines!$F$21/100</f>
        <v>1205298.0777370748</v>
      </c>
      <c r="V17" s="17">
        <f t="shared" ref="V17:V27" si="9">S17-U17</f>
        <v>436421.37247962179</v>
      </c>
    </row>
    <row r="18" spans="1:22" x14ac:dyDescent="0.25">
      <c r="A18" s="15">
        <v>3</v>
      </c>
      <c r="B18" s="31">
        <f t="shared" si="3"/>
        <v>40238</v>
      </c>
      <c r="C18" s="30">
        <f>Baselines!$D$23</f>
        <v>21.456722263737401</v>
      </c>
      <c r="D18" s="28">
        <f t="shared" si="0"/>
        <v>952803</v>
      </c>
      <c r="E18" s="17">
        <f t="shared" si="4"/>
        <v>20444029.343055788</v>
      </c>
      <c r="F18" s="37">
        <f>F$28*'Load Shapes'!$F8</f>
        <v>1093632621.8717782</v>
      </c>
      <c r="G18" s="17">
        <f>F18*Baselines!$D$21/100</f>
        <v>24787183.374723855</v>
      </c>
      <c r="H18" s="17">
        <f t="shared" si="5"/>
        <v>-4343154.031668067</v>
      </c>
      <c r="I18" s="29"/>
      <c r="J18" s="30">
        <f>Baselines!$E$23</f>
        <v>124.60439472697179</v>
      </c>
      <c r="K18" s="28">
        <f t="shared" si="1"/>
        <v>125553</v>
      </c>
      <c r="L18" s="17">
        <f t="shared" si="6"/>
        <v>15644455.571155488</v>
      </c>
      <c r="M18" s="11">
        <f>M$28*'Load Shapes'!$F10</f>
        <v>840526304.41305006</v>
      </c>
      <c r="N18" s="17">
        <f>M18*Baselines!$E$21/100</f>
        <v>17574564.498972464</v>
      </c>
      <c r="O18" s="17">
        <f t="shared" si="7"/>
        <v>-1930108.9278169759</v>
      </c>
      <c r="P18" s="11"/>
      <c r="Q18" s="30">
        <f>Baselines!$F$23</f>
        <v>11018.251343736219</v>
      </c>
      <c r="R18" s="28">
        <f t="shared" si="2"/>
        <v>149</v>
      </c>
      <c r="S18" s="17">
        <f t="shared" si="8"/>
        <v>1641719.4502166966</v>
      </c>
      <c r="T18" s="37">
        <f>T$28*'Load Shapes'!$F12</f>
        <v>265261873.84635815</v>
      </c>
      <c r="U18" s="17">
        <f>T18*Baselines!$F$21/100</f>
        <v>1123384.0357393268</v>
      </c>
      <c r="V18" s="17">
        <f t="shared" si="9"/>
        <v>518335.41447736975</v>
      </c>
    </row>
    <row r="19" spans="1:22" x14ac:dyDescent="0.25">
      <c r="A19" s="15">
        <v>4</v>
      </c>
      <c r="B19" s="31">
        <f t="shared" si="3"/>
        <v>40269</v>
      </c>
      <c r="C19" s="30">
        <f>Baselines!$D$23</f>
        <v>21.456722263737401</v>
      </c>
      <c r="D19" s="28">
        <f t="shared" si="0"/>
        <v>952803</v>
      </c>
      <c r="E19" s="17">
        <f t="shared" si="4"/>
        <v>20444029.343055788</v>
      </c>
      <c r="F19" s="37">
        <f>F$28*'Load Shapes'!$G8</f>
        <v>1005793654.1880563</v>
      </c>
      <c r="G19" s="17">
        <f>F19*Baselines!$D$21/100</f>
        <v>22796313.172172297</v>
      </c>
      <c r="H19" s="17">
        <f t="shared" si="5"/>
        <v>-2352283.8291165084</v>
      </c>
      <c r="I19" s="29"/>
      <c r="J19" s="30">
        <f>Baselines!$E$23</f>
        <v>124.60439472697179</v>
      </c>
      <c r="K19" s="28">
        <f t="shared" si="1"/>
        <v>125553</v>
      </c>
      <c r="L19" s="17">
        <f t="shared" si="6"/>
        <v>15644455.571155488</v>
      </c>
      <c r="M19" s="11">
        <f>M$28*'Load Shapes'!$G10</f>
        <v>805776479.02828002</v>
      </c>
      <c r="N19" s="17">
        <f>M19*Baselines!$E$21/100</f>
        <v>16847980.400002308</v>
      </c>
      <c r="O19" s="17">
        <f t="shared" si="7"/>
        <v>-1203524.8288468197</v>
      </c>
      <c r="P19" s="11"/>
      <c r="Q19" s="30">
        <f>Baselines!$F$23</f>
        <v>11018.251343736219</v>
      </c>
      <c r="R19" s="28">
        <f t="shared" si="2"/>
        <v>149</v>
      </c>
      <c r="S19" s="17">
        <f t="shared" si="8"/>
        <v>1641719.4502166966</v>
      </c>
      <c r="T19" s="37">
        <f>T$28*'Load Shapes'!$G12</f>
        <v>281630210.42572302</v>
      </c>
      <c r="U19" s="17">
        <f>T19*Baselines!$F$21/100</f>
        <v>1192703.941152937</v>
      </c>
      <c r="V19" s="17">
        <f t="shared" si="9"/>
        <v>449015.50906375959</v>
      </c>
    </row>
    <row r="20" spans="1:22" x14ac:dyDescent="0.25">
      <c r="A20" s="15">
        <v>5</v>
      </c>
      <c r="B20" s="31">
        <f t="shared" si="3"/>
        <v>40299</v>
      </c>
      <c r="C20" s="30">
        <f>Baselines!$D$23</f>
        <v>21.456722263737401</v>
      </c>
      <c r="D20" s="28">
        <f t="shared" si="0"/>
        <v>952803</v>
      </c>
      <c r="E20" s="17">
        <f t="shared" si="4"/>
        <v>20444029.343055788</v>
      </c>
      <c r="F20" s="37">
        <f>F$28*'Load Shapes'!$H8</f>
        <v>904434054.94819605</v>
      </c>
      <c r="G20" s="17">
        <f>F20*Baselines!$D$21/100</f>
        <v>20498997.855400864</v>
      </c>
      <c r="H20" s="17">
        <f t="shared" si="5"/>
        <v>-54968.512345075607</v>
      </c>
      <c r="I20" s="29"/>
      <c r="J20" s="30">
        <f>Baselines!$E$23</f>
        <v>124.60439472697179</v>
      </c>
      <c r="K20" s="28">
        <f t="shared" si="1"/>
        <v>125553</v>
      </c>
      <c r="L20" s="17">
        <f t="shared" si="6"/>
        <v>15644455.571155488</v>
      </c>
      <c r="M20" s="11">
        <f>M$28*'Load Shapes'!$H10</f>
        <v>792838648.29501295</v>
      </c>
      <c r="N20" s="17">
        <f>M20*Baselines!$E$21/100</f>
        <v>16577463.297200425</v>
      </c>
      <c r="O20" s="17">
        <f t="shared" si="7"/>
        <v>-933007.72604493611</v>
      </c>
      <c r="P20" s="11"/>
      <c r="Q20" s="30">
        <f>Baselines!$F$23</f>
        <v>11018.251343736219</v>
      </c>
      <c r="R20" s="28">
        <f t="shared" si="2"/>
        <v>149</v>
      </c>
      <c r="S20" s="17">
        <f t="shared" si="8"/>
        <v>1641719.4502166966</v>
      </c>
      <c r="T20" s="37">
        <f>T$28*'Load Shapes'!$H12</f>
        <v>280126802.10694891</v>
      </c>
      <c r="U20" s="17">
        <f>T20*Baselines!$F$21/100</f>
        <v>1186337.0069229286</v>
      </c>
      <c r="V20" s="17">
        <f t="shared" si="9"/>
        <v>455382.44329376798</v>
      </c>
    </row>
    <row r="21" spans="1:22" x14ac:dyDescent="0.25">
      <c r="A21" s="15">
        <v>6</v>
      </c>
      <c r="B21" s="31">
        <f t="shared" si="3"/>
        <v>40330</v>
      </c>
      <c r="C21" s="30">
        <f>Baselines!$D$23</f>
        <v>21.456722263737401</v>
      </c>
      <c r="D21" s="28">
        <f t="shared" si="0"/>
        <v>952803</v>
      </c>
      <c r="E21" s="17">
        <f t="shared" si="4"/>
        <v>20444029.343055788</v>
      </c>
      <c r="F21" s="37">
        <f>F$28*'Load Shapes'!$I8</f>
        <v>821447066.45927703</v>
      </c>
      <c r="G21" s="17">
        <f>F21*Baselines!$D$21/100</f>
        <v>18618097.761299513</v>
      </c>
      <c r="H21" s="17">
        <f t="shared" si="5"/>
        <v>1825931.5817562751</v>
      </c>
      <c r="I21" s="29"/>
      <c r="J21" s="30">
        <f>Baselines!$E$23</f>
        <v>124.60439472697179</v>
      </c>
      <c r="K21" s="28">
        <f t="shared" si="1"/>
        <v>125553</v>
      </c>
      <c r="L21" s="17">
        <f t="shared" si="6"/>
        <v>15644455.571155488</v>
      </c>
      <c r="M21" s="11">
        <f>M$28*'Load Shapes'!$I10</f>
        <v>783601005.6772989</v>
      </c>
      <c r="N21" s="17">
        <f>M21*Baselines!$E$21/100</f>
        <v>16384313.427706642</v>
      </c>
      <c r="O21" s="17">
        <f t="shared" si="7"/>
        <v>-739857.85655115359</v>
      </c>
      <c r="P21" s="11"/>
      <c r="Q21" s="30">
        <f>Baselines!$F$23</f>
        <v>11018.251343736219</v>
      </c>
      <c r="R21" s="28">
        <f t="shared" si="2"/>
        <v>149</v>
      </c>
      <c r="S21" s="17">
        <f t="shared" si="8"/>
        <v>1641719.4502166966</v>
      </c>
      <c r="T21" s="37">
        <f>T$28*'Load Shapes'!$I12</f>
        <v>274392552.13592106</v>
      </c>
      <c r="U21" s="17">
        <f>T21*Baselines!$F$21/100</f>
        <v>1162052.4582956256</v>
      </c>
      <c r="V21" s="17">
        <f t="shared" si="9"/>
        <v>479666.99192107096</v>
      </c>
    </row>
    <row r="22" spans="1:22" x14ac:dyDescent="0.25">
      <c r="A22" s="15">
        <v>7</v>
      </c>
      <c r="B22" s="31">
        <f t="shared" si="3"/>
        <v>40360</v>
      </c>
      <c r="C22" s="30">
        <f>Baselines!$D$23</f>
        <v>21.456722263737401</v>
      </c>
      <c r="D22" s="28">
        <f t="shared" si="0"/>
        <v>952803</v>
      </c>
      <c r="E22" s="17">
        <f t="shared" si="4"/>
        <v>20444029.343055788</v>
      </c>
      <c r="F22" s="37">
        <f>F$28*'Load Shapes'!$J8</f>
        <v>753116843.91649806</v>
      </c>
      <c r="G22" s="17">
        <f>F22*Baselines!$D$21/100</f>
        <v>17069393.26736743</v>
      </c>
      <c r="H22" s="17">
        <f t="shared" si="5"/>
        <v>3374636.0756883584</v>
      </c>
      <c r="I22" s="29"/>
      <c r="J22" s="30">
        <f>Baselines!$E$23</f>
        <v>124.60439472697179</v>
      </c>
      <c r="K22" s="28">
        <f t="shared" si="1"/>
        <v>125553</v>
      </c>
      <c r="L22" s="17">
        <f t="shared" si="6"/>
        <v>15644455.571155488</v>
      </c>
      <c r="M22" s="11">
        <f>M$28*'Load Shapes'!$J10</f>
        <v>785485093.505427</v>
      </c>
      <c r="N22" s="17">
        <f>M22*Baselines!$E$21/100</f>
        <v>16423707.820104973</v>
      </c>
      <c r="O22" s="17">
        <f t="shared" si="7"/>
        <v>-779252.2489494849</v>
      </c>
      <c r="P22" s="11"/>
      <c r="Q22" s="30">
        <f>Baselines!$F$23</f>
        <v>11018.251343736219</v>
      </c>
      <c r="R22" s="28">
        <f t="shared" si="2"/>
        <v>149</v>
      </c>
      <c r="S22" s="17">
        <f t="shared" si="8"/>
        <v>1641719.4502166966</v>
      </c>
      <c r="T22" s="37">
        <f>T$28*'Load Shapes'!$J12</f>
        <v>277829458.69358045</v>
      </c>
      <c r="U22" s="17">
        <f>T22*Baselines!$F$21/100</f>
        <v>1176607.7575673133</v>
      </c>
      <c r="V22" s="17">
        <f t="shared" si="9"/>
        <v>465111.69264938333</v>
      </c>
    </row>
    <row r="23" spans="1:22" x14ac:dyDescent="0.25">
      <c r="A23" s="15">
        <v>8</v>
      </c>
      <c r="B23" s="31">
        <f t="shared" si="3"/>
        <v>40391</v>
      </c>
      <c r="C23" s="30">
        <f>Baselines!$D$23</f>
        <v>21.456722263737401</v>
      </c>
      <c r="D23" s="28">
        <f t="shared" si="0"/>
        <v>952803</v>
      </c>
      <c r="E23" s="17">
        <f t="shared" si="4"/>
        <v>20444029.343055788</v>
      </c>
      <c r="F23" s="37">
        <f>F$28*'Load Shapes'!$K8</f>
        <v>735390804.8670373</v>
      </c>
      <c r="G23" s="17">
        <f>F23*Baselines!$D$21/100</f>
        <v>16667632.592311401</v>
      </c>
      <c r="H23" s="17">
        <f t="shared" si="5"/>
        <v>3776396.7507443875</v>
      </c>
      <c r="I23" s="29"/>
      <c r="J23" s="30">
        <f>Baselines!$E$23</f>
        <v>124.60439472697179</v>
      </c>
      <c r="K23" s="28">
        <f t="shared" si="1"/>
        <v>125553</v>
      </c>
      <c r="L23" s="17">
        <f t="shared" si="6"/>
        <v>15644455.571155488</v>
      </c>
      <c r="M23" s="11">
        <f>M$28*'Load Shapes'!$K10</f>
        <v>807422675.49360812</v>
      </c>
      <c r="N23" s="17">
        <f>M23*Baselines!$E$21/100</f>
        <v>16882400.721895851</v>
      </c>
      <c r="O23" s="17">
        <f t="shared" si="7"/>
        <v>-1237945.1507403627</v>
      </c>
      <c r="P23" s="11"/>
      <c r="Q23" s="30">
        <f>Baselines!$F$23</f>
        <v>11018.251343736219</v>
      </c>
      <c r="R23" s="28">
        <f t="shared" si="2"/>
        <v>149</v>
      </c>
      <c r="S23" s="17">
        <f t="shared" si="8"/>
        <v>1641719.4502166966</v>
      </c>
      <c r="T23" s="37">
        <f>T$28*'Load Shapes'!$K12</f>
        <v>281601233.85063112</v>
      </c>
      <c r="U23" s="17">
        <f>T23*Baselines!$F$21/100</f>
        <v>1192581.2253574226</v>
      </c>
      <c r="V23" s="17">
        <f t="shared" si="9"/>
        <v>449138.22485927399</v>
      </c>
    </row>
    <row r="24" spans="1:22" x14ac:dyDescent="0.25">
      <c r="A24" s="15">
        <v>9</v>
      </c>
      <c r="B24" s="31">
        <f t="shared" si="3"/>
        <v>40422</v>
      </c>
      <c r="C24" s="30">
        <f>Baselines!$D$23</f>
        <v>21.456722263737401</v>
      </c>
      <c r="D24" s="28">
        <f t="shared" si="0"/>
        <v>952803</v>
      </c>
      <c r="E24" s="17">
        <f t="shared" si="4"/>
        <v>20444029.343055788</v>
      </c>
      <c r="F24" s="37">
        <f>F$28*'Load Shapes'!$L8</f>
        <v>768267073.07105589</v>
      </c>
      <c r="G24" s="17">
        <f>F24*Baselines!$D$21/100</f>
        <v>17412773.211155485</v>
      </c>
      <c r="H24" s="17">
        <f t="shared" si="5"/>
        <v>3031256.1319003031</v>
      </c>
      <c r="I24" s="29"/>
      <c r="J24" s="30">
        <f>Baselines!$E$23</f>
        <v>124.60439472697179</v>
      </c>
      <c r="K24" s="28">
        <f t="shared" si="1"/>
        <v>125553</v>
      </c>
      <c r="L24" s="17">
        <f t="shared" si="6"/>
        <v>15644455.571155488</v>
      </c>
      <c r="M24" s="11">
        <f>M$28*'Load Shapes'!$L10</f>
        <v>813523754.23984814</v>
      </c>
      <c r="N24" s="17">
        <f>M24*Baselines!$E$21/100</f>
        <v>17009968.177400984</v>
      </c>
      <c r="O24" s="17">
        <f t="shared" si="7"/>
        <v>-1365512.6062454954</v>
      </c>
      <c r="P24" s="11"/>
      <c r="Q24" s="30">
        <f>Baselines!$F$23</f>
        <v>11018.251343736219</v>
      </c>
      <c r="R24" s="28">
        <f t="shared" si="2"/>
        <v>149</v>
      </c>
      <c r="S24" s="17">
        <f t="shared" si="8"/>
        <v>1641719.4502166966</v>
      </c>
      <c r="T24" s="37">
        <f>T$28*'Load Shapes'!$L12</f>
        <v>290314317.85391325</v>
      </c>
      <c r="U24" s="17">
        <f>T24*Baselines!$F$21/100</f>
        <v>1229481.1361113226</v>
      </c>
      <c r="V24" s="17">
        <f t="shared" si="9"/>
        <v>412238.31410537404</v>
      </c>
    </row>
    <row r="25" spans="1:22" x14ac:dyDescent="0.25">
      <c r="A25" s="15">
        <v>10</v>
      </c>
      <c r="B25" s="31">
        <f t="shared" si="3"/>
        <v>40452</v>
      </c>
      <c r="C25" s="30">
        <f>Baselines!$D$23</f>
        <v>21.456722263737401</v>
      </c>
      <c r="D25" s="28">
        <f t="shared" si="0"/>
        <v>952803</v>
      </c>
      <c r="E25" s="17">
        <f t="shared" si="4"/>
        <v>20444029.343055788</v>
      </c>
      <c r="F25" s="37">
        <f>F$28*'Load Shapes'!$M8</f>
        <v>772934818.27843213</v>
      </c>
      <c r="G25" s="17">
        <f>F25*Baselines!$D$21/100</f>
        <v>17518567.656280667</v>
      </c>
      <c r="H25" s="17">
        <f t="shared" si="5"/>
        <v>2925461.6867751218</v>
      </c>
      <c r="I25" s="29"/>
      <c r="J25" s="30">
        <f>Baselines!$E$23</f>
        <v>124.60439472697179</v>
      </c>
      <c r="K25" s="28">
        <f t="shared" si="1"/>
        <v>125553</v>
      </c>
      <c r="L25" s="17">
        <f t="shared" si="6"/>
        <v>15644455.571155488</v>
      </c>
      <c r="M25" s="11">
        <f>M$28*'Load Shapes'!$M10</f>
        <v>775532356.57399213</v>
      </c>
      <c r="N25" s="17">
        <f>M25*Baselines!$E$21/100</f>
        <v>16215606.043605601</v>
      </c>
      <c r="O25" s="17">
        <f t="shared" si="7"/>
        <v>-571150.47245011292</v>
      </c>
      <c r="P25" s="11"/>
      <c r="Q25" s="30">
        <f>Baselines!$F$23</f>
        <v>11018.251343736219</v>
      </c>
      <c r="R25" s="28">
        <f t="shared" si="2"/>
        <v>149</v>
      </c>
      <c r="S25" s="17">
        <f t="shared" si="8"/>
        <v>1641719.4502166966</v>
      </c>
      <c r="T25" s="37">
        <f>T$28*'Load Shapes'!$M12</f>
        <v>276272860.53525221</v>
      </c>
      <c r="U25" s="17">
        <f>T25*Baselines!$F$21/100</f>
        <v>1170015.564366793</v>
      </c>
      <c r="V25" s="17">
        <f t="shared" si="9"/>
        <v>471703.88584990357</v>
      </c>
    </row>
    <row r="26" spans="1:22" x14ac:dyDescent="0.25">
      <c r="A26" s="15">
        <v>11</v>
      </c>
      <c r="B26" s="31">
        <f t="shared" si="3"/>
        <v>40483</v>
      </c>
      <c r="C26" s="30">
        <f>Baselines!$D$23</f>
        <v>21.456722263737401</v>
      </c>
      <c r="D26" s="28">
        <f t="shared" si="0"/>
        <v>952803</v>
      </c>
      <c r="E26" s="17">
        <f t="shared" si="4"/>
        <v>20444029.343055788</v>
      </c>
      <c r="F26" s="37">
        <f>F$28*'Load Shapes'!$N8</f>
        <v>964492286.06702554</v>
      </c>
      <c r="G26" s="17">
        <f>F26*Baselines!$D$21/100</f>
        <v>21860217.663709134</v>
      </c>
      <c r="H26" s="17">
        <f t="shared" si="5"/>
        <v>-1416188.3206533454</v>
      </c>
      <c r="I26" s="29"/>
      <c r="J26" s="30">
        <f>Baselines!$E$23</f>
        <v>124.60439472697179</v>
      </c>
      <c r="K26" s="28">
        <f t="shared" si="1"/>
        <v>125553</v>
      </c>
      <c r="L26" s="17">
        <f t="shared" si="6"/>
        <v>15644455.571155488</v>
      </c>
      <c r="M26" s="11">
        <f>M$28*'Load Shapes'!$N10</f>
        <v>792020633.0512892</v>
      </c>
      <c r="N26" s="17">
        <f>M26*Baselines!$E$21/100</f>
        <v>16560359.416469404</v>
      </c>
      <c r="O26" s="17">
        <f t="shared" si="7"/>
        <v>-915903.84531391598</v>
      </c>
      <c r="P26" s="11"/>
      <c r="Q26" s="30">
        <f>Baselines!$F$23</f>
        <v>11018.251343736219</v>
      </c>
      <c r="R26" s="28">
        <f t="shared" si="2"/>
        <v>149</v>
      </c>
      <c r="S26" s="17">
        <f t="shared" si="8"/>
        <v>1641719.4502166966</v>
      </c>
      <c r="T26" s="37">
        <f>T$28*'Load Shapes'!$N12</f>
        <v>285145068.41783917</v>
      </c>
      <c r="U26" s="17">
        <f>T26*Baselines!$F$21/100</f>
        <v>1207589.364749549</v>
      </c>
      <c r="V26" s="17">
        <f t="shared" si="9"/>
        <v>434130.08546714764</v>
      </c>
    </row>
    <row r="27" spans="1:22" x14ac:dyDescent="0.25">
      <c r="A27" s="15">
        <v>12</v>
      </c>
      <c r="B27" s="31">
        <f t="shared" si="3"/>
        <v>40513</v>
      </c>
      <c r="C27" s="30">
        <f>Baselines!$D$23</f>
        <v>21.456722263737401</v>
      </c>
      <c r="D27" s="28">
        <f>D$28/12</f>
        <v>952803</v>
      </c>
      <c r="E27" s="17">
        <f t="shared" si="4"/>
        <v>20444029.343055788</v>
      </c>
      <c r="F27" s="37">
        <f>F$28*'Load Shapes'!$O8</f>
        <v>1300290901.1952252</v>
      </c>
      <c r="G27" s="17">
        <f>F27*Baselines!$D$21/100</f>
        <v>29471093.275589779</v>
      </c>
      <c r="H27" s="17">
        <f t="shared" si="5"/>
        <v>-9027063.9325339906</v>
      </c>
      <c r="I27" s="29"/>
      <c r="J27" s="30">
        <f>Baselines!$E$23</f>
        <v>124.60439472697179</v>
      </c>
      <c r="K27" s="28">
        <f>K$28/12</f>
        <v>125553</v>
      </c>
      <c r="L27" s="17">
        <f t="shared" si="6"/>
        <v>15644455.571155488</v>
      </c>
      <c r="M27" s="11">
        <f>M$28*'Load Shapes'!$O10</f>
        <v>885324223.74210465</v>
      </c>
      <c r="N27" s="17">
        <f>M27*Baselines!$E$21/100</f>
        <v>18511244.194223665</v>
      </c>
      <c r="O27" s="17">
        <f t="shared" si="7"/>
        <v>-2866788.6230681762</v>
      </c>
      <c r="P27" s="11"/>
      <c r="Q27" s="30">
        <f>Baselines!$F$23</f>
        <v>11018.251343736219</v>
      </c>
      <c r="R27" s="28">
        <f>R$28/12</f>
        <v>149</v>
      </c>
      <c r="S27" s="17">
        <f t="shared" si="8"/>
        <v>1641719.4502166966</v>
      </c>
      <c r="T27" s="37">
        <f>T$28*'Load Shapes'!$O12</f>
        <v>289759597.86304176</v>
      </c>
      <c r="U27" s="17">
        <f>T27*Baselines!$F$21/100</f>
        <v>1227131.8969499818</v>
      </c>
      <c r="V27" s="17">
        <f t="shared" si="9"/>
        <v>414587.55326671479</v>
      </c>
    </row>
    <row r="28" spans="1:22" x14ac:dyDescent="0.25">
      <c r="A28" s="15"/>
      <c r="B28" s="11"/>
      <c r="C28" s="28"/>
      <c r="D28" s="41">
        <f>952803*12</f>
        <v>11433636</v>
      </c>
      <c r="E28" s="11"/>
      <c r="F28" s="42">
        <v>11660620432</v>
      </c>
      <c r="G28" s="17">
        <f>F28*Baselines!$D$21/100</f>
        <v>264287962.09128001</v>
      </c>
      <c r="H28" s="17">
        <f>SUM(H16:H27)</f>
        <v>-18959609.974610515</v>
      </c>
      <c r="I28" s="11"/>
      <c r="J28" s="28"/>
      <c r="K28" s="41">
        <f>(112615+8106+841+1+487+1+176+3326)*12</f>
        <v>1506636</v>
      </c>
      <c r="L28" s="11"/>
      <c r="M28" s="43">
        <f>2822861364+3186207612+2195985035+1379122904+4806559+154110146+90893526</f>
        <v>9833987146</v>
      </c>
      <c r="N28" s="17">
        <f>M28*Baselines!$E$21/100</f>
        <v>205618837.23571399</v>
      </c>
      <c r="O28" s="17">
        <f>SUM(O16:O27)</f>
        <v>-17885370.381848112</v>
      </c>
      <c r="P28" s="11"/>
      <c r="Q28" s="28"/>
      <c r="R28" s="41">
        <f>(97+23+3+14+8+4)*12</f>
        <v>1788</v>
      </c>
      <c r="S28" s="11"/>
      <c r="T28" s="43">
        <f>751035933+593080320+110407161+1912332181</f>
        <v>3366855595</v>
      </c>
      <c r="U28" s="17">
        <f>T28*Baselines!$F$21/100</f>
        <v>14258633.444825001</v>
      </c>
      <c r="V28" s="17">
        <f>SUM(V16:V27)</f>
        <v>5441999.9577753544</v>
      </c>
    </row>
    <row r="29" spans="1:22" x14ac:dyDescent="0.25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</row>
    <row r="30" spans="1:22" x14ac:dyDescent="0.25">
      <c r="A30" s="11"/>
      <c r="B30" t="s">
        <v>81</v>
      </c>
      <c r="C30" t="s">
        <v>103</v>
      </c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</row>
    <row r="31" spans="1:22" x14ac:dyDescent="0.25">
      <c r="A31" s="11"/>
      <c r="B31" s="11" t="s">
        <v>85</v>
      </c>
      <c r="C31" s="11" t="s">
        <v>82</v>
      </c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</row>
    <row r="32" spans="1:22" x14ac:dyDescent="0.25">
      <c r="C32" t="s">
        <v>102</v>
      </c>
    </row>
    <row r="34" spans="1:12" x14ac:dyDescent="0.25">
      <c r="A34" s="23"/>
      <c r="B34" s="23"/>
      <c r="C34" s="61" t="s">
        <v>77</v>
      </c>
      <c r="D34" s="61"/>
      <c r="E34" s="61"/>
      <c r="F34" s="61"/>
      <c r="G34" s="61"/>
      <c r="H34" s="61"/>
    </row>
    <row r="35" spans="1:12" x14ac:dyDescent="0.25">
      <c r="A35" s="23"/>
      <c r="B35" s="23"/>
      <c r="C35" s="25" t="s">
        <v>126</v>
      </c>
      <c r="D35" s="25" t="s">
        <v>13</v>
      </c>
      <c r="E35" s="25" t="s">
        <v>53</v>
      </c>
      <c r="F35" s="25" t="s">
        <v>13</v>
      </c>
      <c r="G35" s="25" t="s">
        <v>79</v>
      </c>
      <c r="H35" s="25" t="s">
        <v>28</v>
      </c>
    </row>
    <row r="36" spans="1:12" x14ac:dyDescent="0.25">
      <c r="A36" s="25" t="s">
        <v>45</v>
      </c>
      <c r="B36" s="23"/>
      <c r="C36" s="25" t="s">
        <v>14</v>
      </c>
      <c r="D36" s="25" t="s">
        <v>83</v>
      </c>
      <c r="E36" s="25" t="s">
        <v>14</v>
      </c>
      <c r="F36" s="25" t="s">
        <v>84</v>
      </c>
      <c r="G36" s="25" t="s">
        <v>14</v>
      </c>
      <c r="H36" s="25"/>
    </row>
    <row r="37" spans="1:12" ht="15.75" thickBot="1" x14ac:dyDescent="0.3">
      <c r="A37" s="26" t="s">
        <v>46</v>
      </c>
      <c r="B37" s="26" t="s">
        <v>47</v>
      </c>
      <c r="C37" s="26" t="s">
        <v>51</v>
      </c>
      <c r="D37" s="26"/>
      <c r="E37" s="26"/>
      <c r="F37" s="26"/>
      <c r="G37" s="26"/>
      <c r="H37" s="26"/>
      <c r="K37" t="s">
        <v>106</v>
      </c>
    </row>
    <row r="38" spans="1:12" x14ac:dyDescent="0.25">
      <c r="A38" s="15"/>
      <c r="B38" s="15" t="s">
        <v>33</v>
      </c>
      <c r="C38" s="15" t="s">
        <v>34</v>
      </c>
      <c r="D38" s="15" t="s">
        <v>52</v>
      </c>
      <c r="E38" s="27" t="s">
        <v>87</v>
      </c>
      <c r="F38" s="27" t="s">
        <v>88</v>
      </c>
      <c r="G38" s="27" t="s">
        <v>91</v>
      </c>
      <c r="H38" s="27" t="s">
        <v>90</v>
      </c>
      <c r="K38" s="36">
        <f>-(1-D51/Baselines!G17)</f>
        <v>-1.7064731326575933E-2</v>
      </c>
      <c r="L38" t="s">
        <v>104</v>
      </c>
    </row>
    <row r="39" spans="1:12" x14ac:dyDescent="0.25">
      <c r="A39" s="15">
        <v>1</v>
      </c>
      <c r="B39" s="31">
        <v>40179</v>
      </c>
      <c r="C39" s="30">
        <f>Baselines!$G$23</f>
        <v>35.044146459043731</v>
      </c>
      <c r="D39" s="28">
        <f t="shared" ref="D39:D49" si="10">D$51/12</f>
        <v>1078505</v>
      </c>
      <c r="E39" s="17">
        <f>D39*C39</f>
        <v>37795287.176810957</v>
      </c>
      <c r="F39" s="37">
        <f>F$51*'Load Shapes'!$D14</f>
        <v>2556048786.9666471</v>
      </c>
      <c r="G39" s="17">
        <f>F39*Baselines!$G$21/100</f>
        <v>49589902.515939921</v>
      </c>
      <c r="H39" s="17">
        <f>E39-G39</f>
        <v>-11794615.339128964</v>
      </c>
      <c r="K39" s="36">
        <f>-(1-F51/Baselines!G15)</f>
        <v>4.5338204188130948E-2</v>
      </c>
      <c r="L39" t="s">
        <v>105</v>
      </c>
    </row>
    <row r="40" spans="1:12" x14ac:dyDescent="0.25">
      <c r="A40" s="15">
        <v>2</v>
      </c>
      <c r="B40" s="31">
        <f t="shared" ref="B40:B50" si="11">EDATE(B39,1)</f>
        <v>40210</v>
      </c>
      <c r="C40" s="30">
        <f>Baselines!$G$23</f>
        <v>35.044146459043731</v>
      </c>
      <c r="D40" s="28">
        <f t="shared" si="10"/>
        <v>1078505</v>
      </c>
      <c r="E40" s="17">
        <f t="shared" ref="E40:E50" si="12">D40*C40</f>
        <v>37795287.176810957</v>
      </c>
      <c r="F40" s="37">
        <f>F$51*'Load Shapes'!$E14</f>
        <v>2295470092.7584748</v>
      </c>
      <c r="G40" s="17">
        <f>F40*Baselines!$G$21/100</f>
        <v>44534415.269607171</v>
      </c>
      <c r="H40" s="17">
        <f t="shared" ref="H40:H50" si="13">E40-G40</f>
        <v>-6739128.0927962139</v>
      </c>
      <c r="K40" s="6"/>
    </row>
    <row r="41" spans="1:12" x14ac:dyDescent="0.25">
      <c r="A41" s="15">
        <v>3</v>
      </c>
      <c r="B41" s="31">
        <f t="shared" si="11"/>
        <v>40238</v>
      </c>
      <c r="C41" s="30">
        <f>Baselines!$G$23</f>
        <v>35.044146459043731</v>
      </c>
      <c r="D41" s="28">
        <f t="shared" si="10"/>
        <v>1078505</v>
      </c>
      <c r="E41" s="17">
        <f t="shared" si="12"/>
        <v>37795287.176810957</v>
      </c>
      <c r="F41" s="37">
        <f>F$51*'Load Shapes'!$F14</f>
        <v>2197774977.2911115</v>
      </c>
      <c r="G41" s="17">
        <f>F41*Baselines!$G$21/100</f>
        <v>42639032.334424853</v>
      </c>
      <c r="H41" s="17">
        <f t="shared" si="13"/>
        <v>-4843745.1576138958</v>
      </c>
      <c r="K41" s="6"/>
    </row>
    <row r="42" spans="1:12" x14ac:dyDescent="0.25">
      <c r="A42" s="15">
        <v>4</v>
      </c>
      <c r="B42" s="31">
        <f t="shared" si="11"/>
        <v>40269</v>
      </c>
      <c r="C42" s="30">
        <f>Baselines!$G$23</f>
        <v>35.044146459043731</v>
      </c>
      <c r="D42" s="28">
        <f t="shared" si="10"/>
        <v>1078505</v>
      </c>
      <c r="E42" s="17">
        <f t="shared" si="12"/>
        <v>37795287.176810957</v>
      </c>
      <c r="F42" s="37">
        <f>F$51*'Load Shapes'!$G14</f>
        <v>2092854209.2393165</v>
      </c>
      <c r="G42" s="17">
        <f>F42*Baselines!$G$21/100</f>
        <v>40603464.513451979</v>
      </c>
      <c r="H42" s="17">
        <f t="shared" si="13"/>
        <v>-2808177.3366410211</v>
      </c>
    </row>
    <row r="43" spans="1:12" x14ac:dyDescent="0.25">
      <c r="A43" s="15">
        <v>5</v>
      </c>
      <c r="B43" s="31">
        <f t="shared" si="11"/>
        <v>40299</v>
      </c>
      <c r="C43" s="30">
        <f>Baselines!$G$23</f>
        <v>35.044146459043731</v>
      </c>
      <c r="D43" s="28">
        <f t="shared" si="10"/>
        <v>1078505</v>
      </c>
      <c r="E43" s="17">
        <f t="shared" si="12"/>
        <v>37795287.176810957</v>
      </c>
      <c r="F43" s="37">
        <f>F$51*'Load Shapes'!$H14</f>
        <v>1978016650.6046162</v>
      </c>
      <c r="G43" s="17">
        <f>F43*Baselines!$G$21/100</f>
        <v>38375501.038380153</v>
      </c>
      <c r="H43" s="17">
        <f t="shared" si="13"/>
        <v>-580213.86156919599</v>
      </c>
    </row>
    <row r="44" spans="1:12" x14ac:dyDescent="0.25">
      <c r="A44" s="15">
        <v>6</v>
      </c>
      <c r="B44" s="31">
        <f t="shared" si="11"/>
        <v>40330</v>
      </c>
      <c r="C44" s="30">
        <f>Baselines!$G$23</f>
        <v>35.044146459043731</v>
      </c>
      <c r="D44" s="28">
        <f t="shared" si="10"/>
        <v>1078505</v>
      </c>
      <c r="E44" s="17">
        <f t="shared" si="12"/>
        <v>37795287.176810957</v>
      </c>
      <c r="F44" s="37">
        <f>F$51*'Load Shapes'!$I14</f>
        <v>1880718093.831666</v>
      </c>
      <c r="G44" s="17">
        <f>F44*Baselines!$G$21/100</f>
        <v>36487811.738428146</v>
      </c>
      <c r="H44" s="17">
        <f t="shared" si="13"/>
        <v>1307475.4383828118</v>
      </c>
    </row>
    <row r="45" spans="1:12" x14ac:dyDescent="0.25">
      <c r="A45" s="15">
        <v>7</v>
      </c>
      <c r="B45" s="31">
        <f t="shared" si="11"/>
        <v>40360</v>
      </c>
      <c r="C45" s="30">
        <f>Baselines!$G$23</f>
        <v>35.044146459043731</v>
      </c>
      <c r="D45" s="28">
        <f t="shared" si="10"/>
        <v>1078505</v>
      </c>
      <c r="E45" s="17">
        <f t="shared" si="12"/>
        <v>37795287.176810957</v>
      </c>
      <c r="F45" s="37">
        <f>F$51*'Load Shapes'!$J14</f>
        <v>1818510487.2797136</v>
      </c>
      <c r="G45" s="17">
        <f>F45*Baselines!$G$21/100</f>
        <v>35280921.96371372</v>
      </c>
      <c r="H45" s="17">
        <f t="shared" si="13"/>
        <v>2514365.2130972371</v>
      </c>
    </row>
    <row r="46" spans="1:12" x14ac:dyDescent="0.25">
      <c r="A46" s="15">
        <v>8</v>
      </c>
      <c r="B46" s="31">
        <f t="shared" si="11"/>
        <v>40391</v>
      </c>
      <c r="C46" s="30">
        <f>Baselines!$G$23</f>
        <v>35.044146459043731</v>
      </c>
      <c r="D46" s="28">
        <f t="shared" si="10"/>
        <v>1078505</v>
      </c>
      <c r="E46" s="17">
        <f t="shared" si="12"/>
        <v>37795287.176810957</v>
      </c>
      <c r="F46" s="37">
        <f>F$51*'Load Shapes'!$K14</f>
        <v>1826831296.8635073</v>
      </c>
      <c r="G46" s="17">
        <f>F46*Baselines!$G$21/100</f>
        <v>35442353.990448907</v>
      </c>
      <c r="H46" s="17">
        <f t="shared" si="13"/>
        <v>2352933.1863620505</v>
      </c>
    </row>
    <row r="47" spans="1:12" x14ac:dyDescent="0.25">
      <c r="A47" s="15">
        <v>9</v>
      </c>
      <c r="B47" s="31">
        <f t="shared" si="11"/>
        <v>40422</v>
      </c>
      <c r="C47" s="30">
        <f>Baselines!$G$23</f>
        <v>35.044146459043731</v>
      </c>
      <c r="D47" s="28">
        <f t="shared" si="10"/>
        <v>1078505</v>
      </c>
      <c r="E47" s="17">
        <f t="shared" si="12"/>
        <v>37795287.176810957</v>
      </c>
      <c r="F47" s="37">
        <f>F$51*'Load Shapes'!$L14</f>
        <v>1874453030.7345049</v>
      </c>
      <c r="G47" s="17">
        <f>F47*Baselines!$G$21/100</f>
        <v>36366263.249280125</v>
      </c>
      <c r="H47" s="17">
        <f t="shared" si="13"/>
        <v>1429023.9275308326</v>
      </c>
    </row>
    <row r="48" spans="1:12" x14ac:dyDescent="0.25">
      <c r="A48" s="15">
        <v>10</v>
      </c>
      <c r="B48" s="31">
        <f t="shared" si="11"/>
        <v>40452</v>
      </c>
      <c r="C48" s="30">
        <f>Baselines!$G$23</f>
        <v>35.044146459043731</v>
      </c>
      <c r="D48" s="28">
        <f t="shared" si="10"/>
        <v>1078505</v>
      </c>
      <c r="E48" s="17">
        <f t="shared" si="12"/>
        <v>37795287.176810957</v>
      </c>
      <c r="F48" s="37">
        <f>F$51*'Load Shapes'!$M14</f>
        <v>1826550317.3391833</v>
      </c>
      <c r="G48" s="17">
        <f>F48*Baselines!$G$21/100</f>
        <v>35436902.706697494</v>
      </c>
      <c r="H48" s="17">
        <f t="shared" si="13"/>
        <v>2358384.4701134637</v>
      </c>
    </row>
    <row r="49" spans="1:8" x14ac:dyDescent="0.25">
      <c r="A49" s="15">
        <v>11</v>
      </c>
      <c r="B49" s="31">
        <f t="shared" si="11"/>
        <v>40483</v>
      </c>
      <c r="C49" s="30">
        <f>Baselines!$G$23</f>
        <v>35.044146459043731</v>
      </c>
      <c r="D49" s="28">
        <f t="shared" si="10"/>
        <v>1078505</v>
      </c>
      <c r="E49" s="17">
        <f t="shared" si="12"/>
        <v>37795287.176810957</v>
      </c>
      <c r="F49" s="37">
        <f>F$51*'Load Shapes'!$N14</f>
        <v>2041806601.8051331</v>
      </c>
      <c r="G49" s="17">
        <f>F49*Baselines!$G$21/100</f>
        <v>39613089.881621383</v>
      </c>
      <c r="H49" s="17">
        <f t="shared" si="13"/>
        <v>-1817802.7048104256</v>
      </c>
    </row>
    <row r="50" spans="1:8" x14ac:dyDescent="0.25">
      <c r="A50" s="15">
        <v>12</v>
      </c>
      <c r="B50" s="31">
        <f t="shared" si="11"/>
        <v>40513</v>
      </c>
      <c r="C50" s="30">
        <f>Baselines!$G$23</f>
        <v>35.044146459043731</v>
      </c>
      <c r="D50" s="28">
        <f>D$51/12</f>
        <v>1078505</v>
      </c>
      <c r="E50" s="17">
        <f t="shared" si="12"/>
        <v>37795287.176810957</v>
      </c>
      <c r="F50" s="37">
        <f>F$51*'Load Shapes'!$O14</f>
        <v>2472428628.2861233</v>
      </c>
      <c r="G50" s="17">
        <f>F50*Baselines!$G$21/100</f>
        <v>47967587.817379072</v>
      </c>
      <c r="H50" s="17">
        <f t="shared" si="13"/>
        <v>-10172300.640568115</v>
      </c>
    </row>
    <row r="51" spans="1:8" x14ac:dyDescent="0.25">
      <c r="A51" s="15"/>
      <c r="B51" s="11"/>
      <c r="C51" s="28"/>
      <c r="D51" s="28">
        <f>D28+K28+R28</f>
        <v>12942060</v>
      </c>
      <c r="E51" s="11"/>
      <c r="F51" s="37">
        <f>F28+M28+T28</f>
        <v>24861463173</v>
      </c>
      <c r="G51" s="17">
        <f>F51*Baselines!$G$21/100</f>
        <v>482337247.019373</v>
      </c>
      <c r="H51" s="17">
        <f>SUM(H39:H50)</f>
        <v>-28793800.897641435</v>
      </c>
    </row>
    <row r="52" spans="1:8" x14ac:dyDescent="0.25">
      <c r="A52" s="11"/>
      <c r="B52" s="11"/>
      <c r="C52" s="11"/>
      <c r="D52" s="11"/>
      <c r="E52" s="11"/>
      <c r="F52" s="11"/>
      <c r="G52" s="11"/>
      <c r="H52" s="11"/>
    </row>
    <row r="53" spans="1:8" x14ac:dyDescent="0.25">
      <c r="A53" s="11"/>
      <c r="B53" t="s">
        <v>81</v>
      </c>
      <c r="C53" t="s">
        <v>86</v>
      </c>
      <c r="D53" s="11"/>
      <c r="E53" s="11"/>
      <c r="F53" s="11"/>
      <c r="G53" s="11"/>
      <c r="H53" s="11"/>
    </row>
    <row r="54" spans="1:8" x14ac:dyDescent="0.25">
      <c r="A54" s="11"/>
      <c r="B54" s="11" t="s">
        <v>85</v>
      </c>
      <c r="C54" s="11" t="s">
        <v>82</v>
      </c>
      <c r="D54" s="11"/>
      <c r="E54" s="11"/>
      <c r="F54" s="11"/>
      <c r="G54" s="11"/>
      <c r="H54" s="11"/>
    </row>
    <row r="55" spans="1:8" x14ac:dyDescent="0.25">
      <c r="C55" t="s">
        <v>102</v>
      </c>
    </row>
  </sheetData>
  <mergeCells count="7">
    <mergeCell ref="C34:H34"/>
    <mergeCell ref="D7:F7"/>
    <mergeCell ref="A3:V3"/>
    <mergeCell ref="A5:V5"/>
    <mergeCell ref="C11:H11"/>
    <mergeCell ref="J11:O11"/>
    <mergeCell ref="Q11:V11"/>
  </mergeCells>
  <pageMargins left="0.25" right="0.25" top="0.75" bottom="0.75" header="0.3" footer="0.3"/>
  <pageSetup scale="54" fitToHeight="0" orientation="landscape" r:id="rId1"/>
  <headerFooter>
    <oddHeader>&amp;C&amp;"-,Bold"&amp;22
Workpapers&amp;R&amp;20Docket Numbers UE-111048 and UG-111049
Appendix 1
Electric - Page 1d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36"/>
  <sheetViews>
    <sheetView view="pageLayout" zoomScaleNormal="100" workbookViewId="0">
      <selection activeCell="C13" sqref="C13"/>
    </sheetView>
  </sheetViews>
  <sheetFormatPr defaultRowHeight="15" x14ac:dyDescent="0.25"/>
  <cols>
    <col min="1" max="1" width="22.5703125" bestFit="1" customWidth="1"/>
    <col min="2" max="2" width="8.140625" bestFit="1" customWidth="1"/>
    <col min="4" max="11" width="12" bestFit="1" customWidth="1"/>
    <col min="12" max="15" width="11" bestFit="1" customWidth="1"/>
    <col min="16" max="16" width="12" bestFit="1" customWidth="1"/>
  </cols>
  <sheetData>
    <row r="2" spans="1:16" ht="23.25" x14ac:dyDescent="0.35">
      <c r="A2" s="60" t="s">
        <v>135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</row>
    <row r="3" spans="1:16" ht="23.25" x14ac:dyDescent="0.35">
      <c r="D3" s="57"/>
    </row>
    <row r="4" spans="1:16" ht="23.25" x14ac:dyDescent="0.35">
      <c r="A4" s="60" t="s">
        <v>134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</row>
    <row r="5" spans="1:16" ht="23.25" x14ac:dyDescent="0.35">
      <c r="A5" s="58"/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</row>
    <row r="7" spans="1:16" x14ac:dyDescent="0.25">
      <c r="A7" t="s">
        <v>78</v>
      </c>
      <c r="D7" s="2" t="s">
        <v>1</v>
      </c>
      <c r="E7" s="2" t="s">
        <v>2</v>
      </c>
      <c r="F7" s="2" t="s">
        <v>3</v>
      </c>
      <c r="G7" s="2" t="s">
        <v>4</v>
      </c>
      <c r="H7" s="2" t="s">
        <v>5</v>
      </c>
      <c r="I7" s="2" t="s">
        <v>6</v>
      </c>
      <c r="J7" s="2" t="s">
        <v>7</v>
      </c>
      <c r="K7" s="2" t="s">
        <v>8</v>
      </c>
      <c r="L7" s="2" t="s">
        <v>9</v>
      </c>
      <c r="M7" s="2" t="s">
        <v>10</v>
      </c>
      <c r="N7" s="2" t="s">
        <v>11</v>
      </c>
      <c r="O7" s="2" t="s">
        <v>12</v>
      </c>
    </row>
    <row r="8" spans="1:16" x14ac:dyDescent="0.25">
      <c r="A8" t="s">
        <v>74</v>
      </c>
      <c r="D8" s="36">
        <f>D22/$P22</f>
        <v>0.11864705583278988</v>
      </c>
      <c r="E8" s="36">
        <f t="shared" ref="E8:O8" si="0">E22/$P22</f>
        <v>9.9250467026688147E-2</v>
      </c>
      <c r="F8" s="36">
        <f t="shared" si="0"/>
        <v>9.3788544807662619E-2</v>
      </c>
      <c r="G8" s="36">
        <f t="shared" si="0"/>
        <v>8.6255586489023997E-2</v>
      </c>
      <c r="H8" s="36">
        <f t="shared" si="0"/>
        <v>7.7563115978475414E-2</v>
      </c>
      <c r="I8" s="36">
        <f t="shared" si="0"/>
        <v>7.0446257233877263E-2</v>
      </c>
      <c r="J8" s="36">
        <f t="shared" si="0"/>
        <v>6.4586344123657005E-2</v>
      </c>
      <c r="K8" s="36">
        <f t="shared" si="0"/>
        <v>6.3066181525720494E-2</v>
      </c>
      <c r="L8" s="36">
        <f t="shared" si="0"/>
        <v>6.588560853612184E-2</v>
      </c>
      <c r="M8" s="36">
        <f t="shared" si="0"/>
        <v>6.6285908437366078E-2</v>
      </c>
      <c r="N8" s="36">
        <f t="shared" si="0"/>
        <v>8.2713633609082182E-2</v>
      </c>
      <c r="O8" s="36">
        <f t="shared" si="0"/>
        <v>0.11151129639953496</v>
      </c>
    </row>
    <row r="9" spans="1:16" x14ac:dyDescent="0.25"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</row>
    <row r="10" spans="1:16" x14ac:dyDescent="0.25">
      <c r="A10" t="s">
        <v>75</v>
      </c>
      <c r="D10" s="36">
        <f>D29/$P29</f>
        <v>9.1182848650283962E-2</v>
      </c>
      <c r="E10" s="36">
        <f t="shared" ref="E10:O10" si="1">E29/$P29</f>
        <v>8.6968286384775786E-2</v>
      </c>
      <c r="F10" s="36">
        <f t="shared" si="1"/>
        <v>8.5471568340918194E-2</v>
      </c>
      <c r="G10" s="36">
        <f t="shared" si="1"/>
        <v>8.19379227433739E-2</v>
      </c>
      <c r="H10" s="36">
        <f t="shared" si="1"/>
        <v>8.0622298618470548E-2</v>
      </c>
      <c r="I10" s="36">
        <f t="shared" si="1"/>
        <v>7.9682939792740187E-2</v>
      </c>
      <c r="J10" s="36">
        <f t="shared" si="1"/>
        <v>7.9874529206083525E-2</v>
      </c>
      <c r="K10" s="36">
        <f t="shared" si="1"/>
        <v>8.2105321423165512E-2</v>
      </c>
      <c r="L10" s="36">
        <f t="shared" si="1"/>
        <v>8.2725728858690964E-2</v>
      </c>
      <c r="M10" s="36">
        <f t="shared" si="1"/>
        <v>7.8862453759606752E-2</v>
      </c>
      <c r="N10" s="36">
        <f t="shared" si="1"/>
        <v>8.0539116158337226E-2</v>
      </c>
      <c r="O10" s="36">
        <f t="shared" si="1"/>
        <v>9.0026986063553333E-2</v>
      </c>
    </row>
    <row r="11" spans="1:16" x14ac:dyDescent="0.25"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</row>
    <row r="12" spans="1:16" x14ac:dyDescent="0.25">
      <c r="A12" t="s">
        <v>76</v>
      </c>
      <c r="D12" s="36">
        <f>D34/$P34</f>
        <v>8.3139172099621766E-2</v>
      </c>
      <c r="E12" s="36">
        <f t="shared" ref="E12:O12" si="2">E34/$P34</f>
        <v>8.4531107584824225E-2</v>
      </c>
      <c r="F12" s="36">
        <f t="shared" si="2"/>
        <v>7.8786234325074506E-2</v>
      </c>
      <c r="G12" s="36">
        <f t="shared" si="2"/>
        <v>8.3647843656841789E-2</v>
      </c>
      <c r="H12" s="36">
        <f t="shared" si="2"/>
        <v>8.320131178864798E-2</v>
      </c>
      <c r="I12" s="36">
        <f t="shared" si="2"/>
        <v>8.1498164799052225E-2</v>
      </c>
      <c r="J12" s="36">
        <f t="shared" si="2"/>
        <v>8.251897084810389E-2</v>
      </c>
      <c r="K12" s="36">
        <f t="shared" si="2"/>
        <v>8.3639237236318456E-2</v>
      </c>
      <c r="L12" s="36">
        <f t="shared" si="2"/>
        <v>8.6227136763765255E-2</v>
      </c>
      <c r="M12" s="36">
        <f t="shared" si="2"/>
        <v>8.2056640904212053E-2</v>
      </c>
      <c r="N12" s="36">
        <f t="shared" si="2"/>
        <v>8.4691802298054647E-2</v>
      </c>
      <c r="O12" s="36">
        <f t="shared" si="2"/>
        <v>8.6062377695483472E-2</v>
      </c>
    </row>
    <row r="13" spans="1:16" x14ac:dyDescent="0.25"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</row>
    <row r="14" spans="1:16" x14ac:dyDescent="0.25">
      <c r="A14" t="s">
        <v>77</v>
      </c>
      <c r="D14" s="36">
        <f>D36/$P36</f>
        <v>0.10281167963366543</v>
      </c>
      <c r="E14" s="36">
        <f t="shared" ref="E14:O14" si="3">E36/$P36</f>
        <v>9.233045041578232E-2</v>
      </c>
      <c r="F14" s="36">
        <f t="shared" si="3"/>
        <v>8.8400870133739151E-2</v>
      </c>
      <c r="G14" s="36">
        <f t="shared" si="3"/>
        <v>8.4180653193099031E-2</v>
      </c>
      <c r="H14" s="36">
        <f t="shared" si="3"/>
        <v>7.9561554235181867E-2</v>
      </c>
      <c r="I14" s="36">
        <f t="shared" si="3"/>
        <v>7.5647924691502472E-2</v>
      </c>
      <c r="J14" s="36">
        <f t="shared" si="3"/>
        <v>7.3145754721896217E-2</v>
      </c>
      <c r="K14" s="36">
        <f t="shared" si="3"/>
        <v>7.3480441764484691E-2</v>
      </c>
      <c r="L14" s="36">
        <f t="shared" si="3"/>
        <v>7.5395925722110957E-2</v>
      </c>
      <c r="M14" s="36">
        <f t="shared" si="3"/>
        <v>7.3469139954837823E-2</v>
      </c>
      <c r="N14" s="36">
        <f t="shared" si="3"/>
        <v>8.2127370685992934E-2</v>
      </c>
      <c r="O14" s="36">
        <f t="shared" si="3"/>
        <v>9.9448234847707026E-2</v>
      </c>
    </row>
    <row r="18" spans="1:16" x14ac:dyDescent="0.25">
      <c r="A18" t="s">
        <v>72</v>
      </c>
    </row>
    <row r="20" spans="1:16" x14ac:dyDescent="0.25">
      <c r="D20" s="32">
        <v>40179</v>
      </c>
      <c r="E20" s="32">
        <v>40210</v>
      </c>
      <c r="F20" s="32">
        <v>40238</v>
      </c>
      <c r="G20" s="32">
        <v>40269</v>
      </c>
      <c r="H20" s="32">
        <v>40299</v>
      </c>
      <c r="I20" s="32">
        <v>40330</v>
      </c>
      <c r="J20" s="32">
        <v>40360</v>
      </c>
      <c r="K20" s="32">
        <v>40391</v>
      </c>
      <c r="L20" s="32">
        <v>40422</v>
      </c>
      <c r="M20" s="32">
        <v>40452</v>
      </c>
      <c r="N20" s="32">
        <v>40483</v>
      </c>
      <c r="O20" s="32">
        <v>40513</v>
      </c>
    </row>
    <row r="21" spans="1:16" x14ac:dyDescent="0.25">
      <c r="A21" t="s">
        <v>56</v>
      </c>
      <c r="B21">
        <v>7</v>
      </c>
      <c r="D21">
        <v>1265930828.3099999</v>
      </c>
      <c r="E21">
        <v>1058974662.72</v>
      </c>
      <c r="F21">
        <v>1000697483.65</v>
      </c>
      <c r="G21">
        <v>920322929.91999996</v>
      </c>
      <c r="H21">
        <v>827576706.12</v>
      </c>
      <c r="I21">
        <v>751641818.21000004</v>
      </c>
      <c r="J21">
        <v>689118187.88999999</v>
      </c>
      <c r="K21">
        <v>672898479.08000004</v>
      </c>
      <c r="L21" s="33">
        <v>702980974.98000002</v>
      </c>
      <c r="M21" s="33">
        <v>707252062.72000003</v>
      </c>
      <c r="N21" s="33">
        <v>882531285.51999998</v>
      </c>
      <c r="O21" s="33">
        <v>1189794275.3499999</v>
      </c>
      <c r="P21">
        <f>SUM(D21:O21)</f>
        <v>10669719694.470001</v>
      </c>
    </row>
    <row r="22" spans="1:16" x14ac:dyDescent="0.25">
      <c r="A22" t="s">
        <v>70</v>
      </c>
      <c r="D22">
        <f>D21</f>
        <v>1265930828.3099999</v>
      </c>
      <c r="E22">
        <f t="shared" ref="E22:O22" si="4">E21</f>
        <v>1058974662.72</v>
      </c>
      <c r="F22">
        <f t="shared" si="4"/>
        <v>1000697483.65</v>
      </c>
      <c r="G22">
        <f t="shared" si="4"/>
        <v>920322929.91999996</v>
      </c>
      <c r="H22">
        <f t="shared" si="4"/>
        <v>827576706.12</v>
      </c>
      <c r="I22">
        <f t="shared" si="4"/>
        <v>751641818.21000004</v>
      </c>
      <c r="J22">
        <f t="shared" si="4"/>
        <v>689118187.88999999</v>
      </c>
      <c r="K22">
        <f t="shared" si="4"/>
        <v>672898479.08000004</v>
      </c>
      <c r="L22">
        <f t="shared" si="4"/>
        <v>702980974.98000002</v>
      </c>
      <c r="M22">
        <f t="shared" si="4"/>
        <v>707252062.72000003</v>
      </c>
      <c r="N22">
        <f t="shared" si="4"/>
        <v>882531285.51999998</v>
      </c>
      <c r="O22">
        <f t="shared" si="4"/>
        <v>1189794275.3499999</v>
      </c>
      <c r="P22">
        <f>SUM(D22:O22)</f>
        <v>10669719694.470001</v>
      </c>
    </row>
    <row r="23" spans="1:16" x14ac:dyDescent="0.25">
      <c r="L23" s="34"/>
      <c r="M23" s="34"/>
    </row>
    <row r="24" spans="1:16" x14ac:dyDescent="0.25">
      <c r="A24" t="s">
        <v>57</v>
      </c>
      <c r="B24">
        <v>24</v>
      </c>
      <c r="D24">
        <v>249897244.41999999</v>
      </c>
      <c r="E24">
        <v>229454600.72</v>
      </c>
      <c r="F24">
        <v>220765444.71000001</v>
      </c>
      <c r="G24">
        <v>209566492.41999999</v>
      </c>
      <c r="H24">
        <v>202892225.03</v>
      </c>
      <c r="I24">
        <v>197371053.62</v>
      </c>
      <c r="J24">
        <v>199529416.84</v>
      </c>
      <c r="K24">
        <v>205911415.47</v>
      </c>
      <c r="L24" s="35">
        <v>208133104.94999999</v>
      </c>
      <c r="M24" s="35">
        <v>196489358.61000001</v>
      </c>
      <c r="N24" s="33">
        <v>208079389.81999999</v>
      </c>
      <c r="O24" s="33">
        <v>247067089.44</v>
      </c>
      <c r="P24">
        <f t="shared" ref="P24:P34" si="5">SUM(D24:O24)</f>
        <v>2575156836.0500002</v>
      </c>
    </row>
    <row r="25" spans="1:16" x14ac:dyDescent="0.25">
      <c r="A25" t="s">
        <v>58</v>
      </c>
      <c r="B25">
        <v>25</v>
      </c>
      <c r="D25">
        <v>259026820.81999999</v>
      </c>
      <c r="E25">
        <v>247279356.59</v>
      </c>
      <c r="F25">
        <v>244889060.22</v>
      </c>
      <c r="G25">
        <v>235073975.34999999</v>
      </c>
      <c r="H25">
        <v>233876818.31</v>
      </c>
      <c r="I25">
        <v>231240079.21000001</v>
      </c>
      <c r="J25">
        <v>234918100.5</v>
      </c>
      <c r="K25">
        <v>240701571.84999999</v>
      </c>
      <c r="L25" s="35">
        <v>242691620.72999999</v>
      </c>
      <c r="M25" s="35">
        <v>230519688.00999999</v>
      </c>
      <c r="N25" s="33">
        <v>236998327.00999999</v>
      </c>
      <c r="O25" s="33">
        <v>260183934.44999999</v>
      </c>
      <c r="P25">
        <f t="shared" si="5"/>
        <v>2897399353.0500002</v>
      </c>
    </row>
    <row r="26" spans="1:16" x14ac:dyDescent="0.25">
      <c r="A26" t="s">
        <v>59</v>
      </c>
      <c r="B26">
        <v>26</v>
      </c>
      <c r="D26">
        <v>183842240</v>
      </c>
      <c r="E26">
        <v>178282880</v>
      </c>
      <c r="F26">
        <v>176050080</v>
      </c>
      <c r="G26">
        <v>170518873.88999999</v>
      </c>
      <c r="H26">
        <v>167548079.22999999</v>
      </c>
      <c r="I26">
        <v>169366820</v>
      </c>
      <c r="J26">
        <v>175621880</v>
      </c>
      <c r="K26">
        <v>179379240</v>
      </c>
      <c r="L26" s="35">
        <v>177639980</v>
      </c>
      <c r="M26" s="35">
        <v>167735880</v>
      </c>
      <c r="N26" s="33">
        <v>163532280</v>
      </c>
      <c r="O26" s="33">
        <v>174976620</v>
      </c>
      <c r="P26">
        <f t="shared" si="5"/>
        <v>2084494853.1199999</v>
      </c>
    </row>
    <row r="27" spans="1:16" x14ac:dyDescent="0.25">
      <c r="A27" t="s">
        <v>60</v>
      </c>
      <c r="B27" t="s">
        <v>61</v>
      </c>
      <c r="D27">
        <v>130374741.88</v>
      </c>
      <c r="E27">
        <v>129727709.99000001</v>
      </c>
      <c r="F27">
        <v>129404208.41</v>
      </c>
      <c r="G27">
        <v>123756399.59</v>
      </c>
      <c r="H27">
        <v>122612709.28</v>
      </c>
      <c r="I27">
        <v>120393910.55</v>
      </c>
      <c r="J27">
        <v>110047929.13</v>
      </c>
      <c r="K27">
        <v>114448588.89</v>
      </c>
      <c r="L27" s="35">
        <v>117628292.77</v>
      </c>
      <c r="M27" s="35">
        <v>116151951.26000001</v>
      </c>
      <c r="N27" s="33">
        <v>117562006.54000001</v>
      </c>
      <c r="O27" s="33">
        <v>130382991.10000001</v>
      </c>
      <c r="P27">
        <f t="shared" si="5"/>
        <v>1462491439.3899999</v>
      </c>
    </row>
    <row r="28" spans="1:16" x14ac:dyDescent="0.25">
      <c r="A28" t="s">
        <v>62</v>
      </c>
      <c r="B28" t="s">
        <v>63</v>
      </c>
      <c r="D28">
        <f>90893526/12</f>
        <v>7574460.5</v>
      </c>
      <c r="E28">
        <f t="shared" ref="E28:O28" si="6">90893526/12</f>
        <v>7574460.5</v>
      </c>
      <c r="F28">
        <f t="shared" si="6"/>
        <v>7574460.5</v>
      </c>
      <c r="G28">
        <f t="shared" si="6"/>
        <v>7574460.5</v>
      </c>
      <c r="H28">
        <f t="shared" si="6"/>
        <v>7574460.5</v>
      </c>
      <c r="I28">
        <f t="shared" si="6"/>
        <v>7574460.5</v>
      </c>
      <c r="J28">
        <f t="shared" si="6"/>
        <v>7574460.5</v>
      </c>
      <c r="K28">
        <f t="shared" si="6"/>
        <v>7574460.5</v>
      </c>
      <c r="L28" s="34">
        <f t="shared" si="6"/>
        <v>7574460.5</v>
      </c>
      <c r="M28" s="34">
        <f t="shared" si="6"/>
        <v>7574460.5</v>
      </c>
      <c r="N28">
        <f t="shared" si="6"/>
        <v>7574460.5</v>
      </c>
      <c r="O28">
        <f t="shared" si="6"/>
        <v>7574460.5</v>
      </c>
      <c r="P28">
        <f t="shared" si="5"/>
        <v>90893526</v>
      </c>
    </row>
    <row r="29" spans="1:16" x14ac:dyDescent="0.25">
      <c r="A29" t="s">
        <v>69</v>
      </c>
      <c r="D29">
        <f>SUM(D24:D28)</f>
        <v>830715507.62</v>
      </c>
      <c r="E29">
        <f t="shared" ref="E29:O29" si="7">SUM(E24:E28)</f>
        <v>792319007.79999995</v>
      </c>
      <c r="F29">
        <f t="shared" si="7"/>
        <v>778683253.84000003</v>
      </c>
      <c r="G29">
        <f t="shared" si="7"/>
        <v>746490201.75</v>
      </c>
      <c r="H29">
        <f t="shared" si="7"/>
        <v>734504292.35000002</v>
      </c>
      <c r="I29">
        <f t="shared" si="7"/>
        <v>725946323.88</v>
      </c>
      <c r="J29">
        <f t="shared" si="7"/>
        <v>727691786.97000003</v>
      </c>
      <c r="K29">
        <f t="shared" si="7"/>
        <v>748015276.70999992</v>
      </c>
      <c r="L29" s="34">
        <f t="shared" si="7"/>
        <v>753667458.94999993</v>
      </c>
      <c r="M29" s="34">
        <f t="shared" si="7"/>
        <v>718471338.38</v>
      </c>
      <c r="N29">
        <f t="shared" si="7"/>
        <v>733746463.86999989</v>
      </c>
      <c r="O29">
        <f t="shared" si="7"/>
        <v>820185095.49000001</v>
      </c>
      <c r="P29">
        <f t="shared" si="5"/>
        <v>9110436007.6100006</v>
      </c>
    </row>
    <row r="30" spans="1:16" x14ac:dyDescent="0.25">
      <c r="L30" s="34"/>
      <c r="M30" s="34"/>
    </row>
    <row r="31" spans="1:16" x14ac:dyDescent="0.25">
      <c r="A31" t="s">
        <v>64</v>
      </c>
      <c r="B31">
        <v>40</v>
      </c>
      <c r="D31">
        <v>48063072</v>
      </c>
      <c r="E31">
        <v>55003792</v>
      </c>
      <c r="F31">
        <v>49692260</v>
      </c>
      <c r="G31">
        <v>48310675.229999997</v>
      </c>
      <c r="H31">
        <v>56201575.310000002</v>
      </c>
      <c r="I31">
        <v>54705422</v>
      </c>
      <c r="J31">
        <v>60743493.990000002</v>
      </c>
      <c r="K31">
        <v>60230473</v>
      </c>
      <c r="L31" s="35">
        <v>58213417</v>
      </c>
      <c r="M31" s="35">
        <v>56592756.990000002</v>
      </c>
      <c r="N31" s="33">
        <v>55963131.990000002</v>
      </c>
      <c r="O31" s="33">
        <v>54463988</v>
      </c>
      <c r="P31">
        <f t="shared" si="5"/>
        <v>658184057.50999999</v>
      </c>
    </row>
    <row r="32" spans="1:16" x14ac:dyDescent="0.25">
      <c r="A32" t="s">
        <v>65</v>
      </c>
      <c r="B32" t="s">
        <v>66</v>
      </c>
      <c r="D32">
        <v>43967270</v>
      </c>
      <c r="E32">
        <v>45386860</v>
      </c>
      <c r="F32">
        <v>43184760</v>
      </c>
      <c r="G32">
        <v>45436960</v>
      </c>
      <c r="H32">
        <v>45777209.579999998</v>
      </c>
      <c r="I32">
        <v>47447540</v>
      </c>
      <c r="J32">
        <v>46581340</v>
      </c>
      <c r="K32">
        <v>46473610</v>
      </c>
      <c r="L32" s="35">
        <v>59465392</v>
      </c>
      <c r="M32" s="35">
        <v>50601208</v>
      </c>
      <c r="N32" s="33">
        <v>51452130</v>
      </c>
      <c r="O32" s="33">
        <v>53951200</v>
      </c>
      <c r="P32">
        <f t="shared" si="5"/>
        <v>579725479.57999992</v>
      </c>
    </row>
    <row r="33" spans="1:16" x14ac:dyDescent="0.25">
      <c r="A33" t="s">
        <v>67</v>
      </c>
      <c r="B33" t="s">
        <v>68</v>
      </c>
      <c r="D33">
        <v>174282443</v>
      </c>
      <c r="E33">
        <v>170380804</v>
      </c>
      <c r="F33">
        <v>159492362</v>
      </c>
      <c r="G33">
        <v>174194535</v>
      </c>
      <c r="H33">
        <v>164533047</v>
      </c>
      <c r="I33">
        <v>158903321</v>
      </c>
      <c r="J33">
        <v>157001312</v>
      </c>
      <c r="K33">
        <v>161210519</v>
      </c>
      <c r="L33" s="35">
        <v>158525396</v>
      </c>
      <c r="M33" s="35">
        <v>155651238</v>
      </c>
      <c r="N33" s="33">
        <v>163870934</v>
      </c>
      <c r="O33" s="33">
        <v>167261258</v>
      </c>
      <c r="P33">
        <f t="shared" si="5"/>
        <v>1965307169</v>
      </c>
    </row>
    <row r="34" spans="1:16" x14ac:dyDescent="0.25">
      <c r="A34" t="s">
        <v>69</v>
      </c>
      <c r="D34">
        <f>SUM(D31:D33)</f>
        <v>266312785</v>
      </c>
      <c r="E34">
        <f t="shared" ref="E34:O34" si="8">SUM(E31:E33)</f>
        <v>270771456</v>
      </c>
      <c r="F34">
        <f t="shared" si="8"/>
        <v>252369382</v>
      </c>
      <c r="G34">
        <f t="shared" si="8"/>
        <v>267942170.22999999</v>
      </c>
      <c r="H34">
        <f t="shared" si="8"/>
        <v>266511831.88999999</v>
      </c>
      <c r="I34">
        <f t="shared" si="8"/>
        <v>261056283</v>
      </c>
      <c r="J34">
        <f t="shared" si="8"/>
        <v>264326145.99000001</v>
      </c>
      <c r="K34">
        <f t="shared" si="8"/>
        <v>267914602</v>
      </c>
      <c r="L34">
        <f t="shared" si="8"/>
        <v>276204205</v>
      </c>
      <c r="M34">
        <f t="shared" si="8"/>
        <v>262845202.99000001</v>
      </c>
      <c r="N34">
        <f t="shared" si="8"/>
        <v>271286195.99000001</v>
      </c>
      <c r="O34">
        <f t="shared" si="8"/>
        <v>275676446</v>
      </c>
      <c r="P34">
        <f t="shared" si="5"/>
        <v>3203216706.0899992</v>
      </c>
    </row>
    <row r="36" spans="1:16" x14ac:dyDescent="0.25">
      <c r="A36" t="s">
        <v>71</v>
      </c>
      <c r="D36">
        <f>D22+D29+D34</f>
        <v>2362959120.9299998</v>
      </c>
      <c r="E36">
        <f t="shared" ref="E36:P36" si="9">E22+E29+E34</f>
        <v>2122065126.52</v>
      </c>
      <c r="F36">
        <f t="shared" si="9"/>
        <v>2031750119.49</v>
      </c>
      <c r="G36">
        <f t="shared" si="9"/>
        <v>1934755301.9000001</v>
      </c>
      <c r="H36">
        <f t="shared" si="9"/>
        <v>1828592830.3600001</v>
      </c>
      <c r="I36">
        <f t="shared" si="9"/>
        <v>1738644425.0900002</v>
      </c>
      <c r="J36">
        <f t="shared" si="9"/>
        <v>1681136120.8500001</v>
      </c>
      <c r="K36">
        <f t="shared" si="9"/>
        <v>1688828357.79</v>
      </c>
      <c r="L36">
        <f t="shared" si="9"/>
        <v>1732852638.9299998</v>
      </c>
      <c r="M36">
        <f t="shared" si="9"/>
        <v>1688568604.0899999</v>
      </c>
      <c r="N36">
        <f t="shared" si="9"/>
        <v>1887563945.3799999</v>
      </c>
      <c r="O36">
        <f t="shared" si="9"/>
        <v>2285655816.8400002</v>
      </c>
      <c r="P36">
        <f t="shared" si="9"/>
        <v>22983372408.170002</v>
      </c>
    </row>
  </sheetData>
  <mergeCells count="2">
    <mergeCell ref="A2:P2"/>
    <mergeCell ref="A4:P4"/>
  </mergeCells>
  <pageMargins left="0.7" right="0.7" top="1" bottom="0.75" header="0.3" footer="0.3"/>
  <pageSetup scale="63" fitToHeight="0" orientation="landscape" r:id="rId1"/>
  <headerFooter>
    <oddHeader>&amp;C&amp;"-,Bold"&amp;18
Workpapers&amp;RDcket Numbers UE-111048 and UG-111049
Appendix 1
Electric - Page 1e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C4EC8B21DBB10C40AB4409B4BAF96A70" ma:contentTypeVersion="135" ma:contentTypeDescription="" ma:contentTypeScope="" ma:versionID="4cf01636f593e233ed3b56f3bf2fb631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c67bbc6b01ef53d9eb67ed595f238ae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Response</DocumentSetType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2011-06-13T07:00:00+00:00</OpenedDate>
    <Date1 xmlns="dc463f71-b30c-4ab2-9473-d307f9d35888">2011-12-07T08:00:00+00:00</Date1>
    <IsDocumentOrder xmlns="dc463f71-b30c-4ab2-9473-d307f9d35888" xsi:nil="true"/>
    <IsHighlyConfidential xmlns="dc463f71-b30c-4ab2-9473-d307f9d35888">false</IsHighlyConfidential>
    <CaseCompanyNames xmlns="dc463f71-b30c-4ab2-9473-d307f9d35888">Puget Sound Energy</CaseCompanyNames>
    <DocketNumber xmlns="dc463f71-b30c-4ab2-9473-d307f9d35888">111048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BF5819F1-5F36-4A92-8EF5-AF002F6BEDF2}"/>
</file>

<file path=customXml/itemProps2.xml><?xml version="1.0" encoding="utf-8"?>
<ds:datastoreItem xmlns:ds="http://schemas.openxmlformats.org/officeDocument/2006/customXml" ds:itemID="{72963FF3-7BB2-4701-A192-AAF9D2326A51}"/>
</file>

<file path=customXml/itemProps3.xml><?xml version="1.0" encoding="utf-8"?>
<ds:datastoreItem xmlns:ds="http://schemas.openxmlformats.org/officeDocument/2006/customXml" ds:itemID="{13C31A21-EAE0-40D4-89EE-E0751BE5FF96}"/>
</file>

<file path=customXml/itemProps4.xml><?xml version="1.0" encoding="utf-8"?>
<ds:datastoreItem xmlns:ds="http://schemas.openxmlformats.org/officeDocument/2006/customXml" ds:itemID="{3E6D2476-A4A3-4C50-A890-D222F53B629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Summary</vt:lpstr>
      <vt:lpstr>Earnings</vt:lpstr>
      <vt:lpstr>Conservation</vt:lpstr>
      <vt:lpstr>Baselines</vt:lpstr>
      <vt:lpstr>Deferral</vt:lpstr>
      <vt:lpstr>Load Shapes</vt:lpstr>
    </vt:vector>
  </TitlesOfParts>
  <Company>Washington Utilities and Transportation Commission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Mickelson, Christopher (UTC)</dc:creator>
  <cp:lastModifiedBy>Linda Anderson</cp:lastModifiedBy>
  <cp:lastPrinted>2011-12-07T22:02:25Z</cp:lastPrinted>
  <dcterms:created xsi:type="dcterms:W3CDTF">2011-09-26T23:17:01Z</dcterms:created>
  <dcterms:modified xsi:type="dcterms:W3CDTF">2011-12-07T22:05:01Z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0x0101006E56B4D1795A2E4DB2F0B01679ED314A00C4EC8B21DBB10C40AB4409B4BAF96A70</vt:lpwstr>
  </property>
  <property fmtid="{D5CDD505-2E9C-101B-9397-08002B2CF9AE}" pid="3" name="_docset_NoMedatataSyncRequired">
    <vt:lpwstr>False</vt:lpwstr>
  </property>
</Properties>
</file>