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ustomProperty3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0 PCORC\Settlement\2020 PCORC Work Papers SETTLEMENT\"/>
    </mc:Choice>
  </mc:AlternateContent>
  <bookViews>
    <workbookView xWindow="0" yWindow="0" windowWidth="25200" windowHeight="11025" activeTab="1"/>
  </bookViews>
  <sheets>
    <sheet name="SEF-8 Table 1" sheetId="2" r:id="rId1"/>
    <sheet name="SEF-8 Table 2" sheetId="3" r:id="rId2"/>
    <sheet name="Support" sheetId="1" r:id="rId3"/>
    <sheet name="190529 PC Bridge" sheetId="5" r:id="rId4"/>
    <sheet name="190529 Prod Fctr" sheetId="4" r:id="rId5"/>
  </sheets>
  <externalReferences>
    <externalReference r:id="rId6"/>
    <externalReference r:id="rId7"/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E32" i="3"/>
  <c r="E19" i="3"/>
  <c r="B26" i="1"/>
  <c r="D30" i="1"/>
  <c r="D26" i="1"/>
  <c r="B31" i="1"/>
  <c r="E7" i="3" s="1"/>
  <c r="E11" i="3" s="1"/>
  <c r="B28" i="1"/>
  <c r="B29" i="1"/>
  <c r="E9" i="3"/>
  <c r="E27" i="3"/>
  <c r="E28" i="3"/>
  <c r="B14" i="1"/>
  <c r="B8" i="1"/>
  <c r="B6" i="1"/>
  <c r="E15" i="3" l="1"/>
  <c r="B22" i="1" l="1"/>
  <c r="B21" i="1"/>
  <c r="B20" i="1"/>
  <c r="C14" i="1" l="1"/>
  <c r="C22" i="1"/>
  <c r="C21" i="1"/>
  <c r="C20" i="1"/>
  <c r="L56" i="5"/>
  <c r="I56" i="5"/>
  <c r="J56" i="5" s="1"/>
  <c r="I55" i="5"/>
  <c r="J55" i="5" s="1"/>
  <c r="L55" i="5" s="1"/>
  <c r="M54" i="5"/>
  <c r="N61" i="5" s="1"/>
  <c r="I54" i="5"/>
  <c r="M53" i="5"/>
  <c r="I53" i="5"/>
  <c r="N53" i="5" s="1"/>
  <c r="H50" i="5"/>
  <c r="H57" i="5" s="1"/>
  <c r="G50" i="5"/>
  <c r="G57" i="5" s="1"/>
  <c r="F50" i="5"/>
  <c r="E50" i="5"/>
  <c r="E57" i="5" s="1"/>
  <c r="L49" i="5"/>
  <c r="I49" i="5"/>
  <c r="J49" i="5" s="1"/>
  <c r="I48" i="5"/>
  <c r="J48" i="5" s="1"/>
  <c r="L48" i="5" s="1"/>
  <c r="I47" i="5"/>
  <c r="J46" i="5"/>
  <c r="L46" i="5" s="1"/>
  <c r="I46" i="5"/>
  <c r="I45" i="5"/>
  <c r="I44" i="5"/>
  <c r="J44" i="5" s="1"/>
  <c r="L44" i="5" s="1"/>
  <c r="J43" i="5"/>
  <c r="L43" i="5" s="1"/>
  <c r="I43" i="5"/>
  <c r="I42" i="5"/>
  <c r="I50" i="5" s="1"/>
  <c r="A42" i="5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41" i="5"/>
  <c r="K50" i="5"/>
  <c r="K57" i="5" s="1"/>
  <c r="I37" i="5"/>
  <c r="N35" i="5"/>
  <c r="J35" i="5"/>
  <c r="H28" i="5"/>
  <c r="I27" i="5"/>
  <c r="J27" i="5" s="1"/>
  <c r="I26" i="5"/>
  <c r="J26" i="5" s="1"/>
  <c r="F25" i="5"/>
  <c r="I25" i="5" s="1"/>
  <c r="J25" i="5" s="1"/>
  <c r="I24" i="5"/>
  <c r="J24" i="5" s="1"/>
  <c r="G21" i="5"/>
  <c r="G28" i="5" s="1"/>
  <c r="I20" i="5"/>
  <c r="J20" i="5" s="1"/>
  <c r="I19" i="5"/>
  <c r="J19" i="5" s="1"/>
  <c r="I18" i="5"/>
  <c r="J18" i="5" s="1"/>
  <c r="F17" i="5"/>
  <c r="H21" i="5"/>
  <c r="I15" i="5"/>
  <c r="J15" i="5" s="1"/>
  <c r="I13" i="5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N37" i="5"/>
  <c r="I8" i="5"/>
  <c r="J6" i="5"/>
  <c r="N45" i="5" s="1"/>
  <c r="C8" i="1"/>
  <c r="C6" i="1"/>
  <c r="G39" i="4"/>
  <c r="C39" i="4"/>
  <c r="G40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I17" i="5" l="1"/>
  <c r="J17" i="5" s="1"/>
  <c r="I16" i="5"/>
  <c r="J16" i="5" s="1"/>
  <c r="F21" i="5"/>
  <c r="N46" i="5"/>
  <c r="N43" i="5"/>
  <c r="N56" i="5"/>
  <c r="N49" i="5"/>
  <c r="N42" i="5"/>
  <c r="I14" i="5"/>
  <c r="J14" i="5" s="1"/>
  <c r="E21" i="5"/>
  <c r="J13" i="5"/>
  <c r="N44" i="5"/>
  <c r="N48" i="5"/>
  <c r="I51" i="5"/>
  <c r="I57" i="5" s="1"/>
  <c r="F57" i="5"/>
  <c r="J53" i="5"/>
  <c r="L53" i="5" s="1"/>
  <c r="J54" i="5"/>
  <c r="L54" i="5" s="1"/>
  <c r="N55" i="5"/>
  <c r="J45" i="5"/>
  <c r="L45" i="5" s="1"/>
  <c r="N47" i="5"/>
  <c r="J47" i="5"/>
  <c r="L47" i="5" s="1"/>
  <c r="N54" i="5"/>
  <c r="J42" i="5"/>
  <c r="E28" i="5" l="1"/>
  <c r="F28" i="5"/>
  <c r="J50" i="5"/>
  <c r="L42" i="5"/>
  <c r="L50" i="5" s="1"/>
  <c r="L57" i="5" s="1"/>
  <c r="N50" i="5"/>
  <c r="N57" i="5" s="1"/>
  <c r="J21" i="5"/>
  <c r="J28" i="5" s="1"/>
  <c r="I21" i="5"/>
  <c r="I28" i="5" l="1"/>
  <c r="M55" i="5"/>
  <c r="J57" i="5"/>
  <c r="N58" i="5" s="1"/>
  <c r="N60" i="5" s="1"/>
  <c r="N62" i="5" s="1"/>
  <c r="I22" i="5"/>
  <c r="E17" i="3" l="1"/>
  <c r="D17" i="3"/>
  <c r="E13" i="3"/>
  <c r="D13" i="3"/>
  <c r="F9" i="2" l="1"/>
  <c r="D9" i="2"/>
  <c r="E7" i="2" l="1"/>
  <c r="B10" i="1" l="1"/>
  <c r="C24" i="1" l="1"/>
  <c r="C12" i="1" s="1"/>
  <c r="C10" i="1"/>
  <c r="B24" i="1"/>
  <c r="B12" i="1" s="1"/>
  <c r="E21" i="3" l="1"/>
  <c r="D7" i="3"/>
  <c r="D11" i="3" s="1"/>
  <c r="D15" i="3" s="1"/>
  <c r="D19" i="3" s="1"/>
  <c r="D21" i="3" s="1"/>
  <c r="D7" i="2"/>
  <c r="D11" i="2" l="1"/>
  <c r="F7" i="2"/>
  <c r="F11" i="2" s="1"/>
</calcChain>
</file>

<file path=xl/sharedStrings.xml><?xml version="1.0" encoding="utf-8"?>
<sst xmlns="http://schemas.openxmlformats.org/spreadsheetml/2006/main" count="224" uniqueCount="128">
  <si>
    <t>Test Year Load</t>
  </si>
  <si>
    <t>Rate Year Load</t>
  </si>
  <si>
    <t>Production Factor</t>
  </si>
  <si>
    <t>Rate Year Power Costs</t>
  </si>
  <si>
    <t>Production Factored Power Costs</t>
  </si>
  <si>
    <t>2020 PCORC</t>
  </si>
  <si>
    <t>2019 GRC</t>
  </si>
  <si>
    <t>Total PKW</t>
  </si>
  <si>
    <t>Remove 557 (Fixed)</t>
  </si>
  <si>
    <t>Add Centralia Equity Kicker</t>
  </si>
  <si>
    <t>Total</t>
  </si>
  <si>
    <t>Description</t>
  </si>
  <si>
    <t>Green Direct Load</t>
  </si>
  <si>
    <t>Test Year</t>
  </si>
  <si>
    <t>Rate Year</t>
  </si>
  <si>
    <t>Not sure if we have</t>
  </si>
  <si>
    <t>Production</t>
  </si>
  <si>
    <t>Factor</t>
  </si>
  <si>
    <t>Load in kWh</t>
  </si>
  <si>
    <t>Unit Cost in MWh</t>
  </si>
  <si>
    <t>Power Costs*</t>
  </si>
  <si>
    <t>&lt;-----same-----&gt;</t>
  </si>
  <si>
    <t>and Production Factor = Test Year Load ÷ Rate Year Load</t>
  </si>
  <si>
    <t>* Test Year Power Costs = Rate Year Power Costs X Production Factor</t>
  </si>
  <si>
    <t>Without</t>
  </si>
  <si>
    <t>With</t>
  </si>
  <si>
    <t>Power Costs Used in Revenue Requirement</t>
  </si>
  <si>
    <t>Power Costs Recovered</t>
  </si>
  <si>
    <t>Recovered Power Costs vs. Power Costs Allowed</t>
  </si>
  <si>
    <t>3 = 1 x 2</t>
  </si>
  <si>
    <t>7 = 5 x 6</t>
  </si>
  <si>
    <t>8 = 7 - 1</t>
  </si>
  <si>
    <t>5 = 3 ÷ 4</t>
  </si>
  <si>
    <t>2 = 4 ÷ 6</t>
  </si>
  <si>
    <t>Puget Sound Energy</t>
  </si>
  <si>
    <t>Estimated Proforma Revenue $ / kWh</t>
  </si>
  <si>
    <t>Line No.</t>
  </si>
  <si>
    <t>Tariff</t>
  </si>
  <si>
    <t>Annual kWh Delivered Sales (Normalized)</t>
  </si>
  <si>
    <t>Estimated Annual Proforma Base Revenue</t>
  </si>
  <si>
    <t>Estimated 
$ / kwh</t>
  </si>
  <si>
    <t>F2018 Twelve Months ended April 2021</t>
  </si>
  <si>
    <t>7</t>
  </si>
  <si>
    <t>7A</t>
  </si>
  <si>
    <t>Total Residential</t>
  </si>
  <si>
    <t>8 &amp; 24</t>
  </si>
  <si>
    <t>11 &amp; 25</t>
  </si>
  <si>
    <t>12, 26 &amp; 26P</t>
  </si>
  <si>
    <t>Total Secondary Voltage</t>
  </si>
  <si>
    <t>10 &amp; 31</t>
  </si>
  <si>
    <t>Total Primary Voltage</t>
  </si>
  <si>
    <t>Total High Voltage</t>
  </si>
  <si>
    <t>50-59</t>
  </si>
  <si>
    <t>449-459-SC</t>
  </si>
  <si>
    <t>Total Delivered Sales Less 449/459/MS Special Contract</t>
  </si>
  <si>
    <t>Used in temperature normalization and rate spread rate design</t>
  </si>
  <si>
    <t>Twelve Months ended December 2018</t>
  </si>
  <si>
    <t>Base Electric Rates Effective 12-31-2018</t>
  </si>
  <si>
    <t>Base Tariff Rates</t>
  </si>
  <si>
    <t>Exh. SEF-7 Page 2</t>
  </si>
  <si>
    <t>Determination of Net Power Costs</t>
  </si>
  <si>
    <t xml:space="preserve">Test Year:  12MOE Dec 2018  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</si>
  <si>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</si>
  <si>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</si>
  <si>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</si>
  <si>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</si>
  <si>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</si>
  <si>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</si>
  <si>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</si>
  <si>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</si>
  <si>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</si>
  <si>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</si>
  <si>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F/V</t>
  </si>
  <si>
    <t>12MOE Dec 2018</t>
  </si>
  <si>
    <t>12MOE Apr 2021</t>
  </si>
  <si>
    <t>Benefits</t>
  </si>
  <si>
    <t>Payroll Tax</t>
  </si>
  <si>
    <t>Prod Factor</t>
  </si>
  <si>
    <t>VARIABLE ENERGY COSTS + 557</t>
  </si>
  <si>
    <t>V</t>
  </si>
  <si>
    <t>COAL FUEL (501)</t>
  </si>
  <si>
    <t>NATURAL GAS FUEL (547)</t>
  </si>
  <si>
    <t>PURCHASED POWER (555)</t>
  </si>
  <si>
    <t>F</t>
  </si>
  <si>
    <t>OTHER POWER EXPENSE (557)</t>
  </si>
  <si>
    <t>BROKERAGE FEES</t>
  </si>
  <si>
    <t>WHEELING  (565)</t>
  </si>
  <si>
    <t>SALES TO OTHER UTILITIES (447)</t>
  </si>
  <si>
    <t>PURCHASES / (SALES) OF NON -CORE GAS (456)</t>
  </si>
  <si>
    <t>TOTAL INCREASE (DECREASE) EXPENSE</t>
  </si>
  <si>
    <t>CHECK =&gt;</t>
  </si>
  <si>
    <t>OTHER PRODUCTION COSTS</t>
  </si>
  <si>
    <t>various</t>
  </si>
  <si>
    <t>PRODUCTION O&amp;M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</si>
  <si>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</si>
  <si>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</si>
  <si>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</si>
  <si>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</si>
  <si>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</si>
  <si>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INCREASE (DECREASE) EXPENSE</t>
  </si>
  <si>
    <t>----------------------------------------------------------------TIES TO ORDER----------------------------------------------------------------</t>
  </si>
  <si>
    <t>Rebuttal PF</t>
  </si>
  <si>
    <t>Temp Norm PF</t>
  </si>
  <si>
    <t>Pre Adjusteed</t>
  </si>
  <si>
    <t>Changes per</t>
  </si>
  <si>
    <t>Power Costs</t>
  </si>
  <si>
    <t>Order</t>
  </si>
  <si>
    <t>←Represents NOI difference in PRE-Order Authorized Power Costs Adjustments using Updated Prod Factor vs Pre Updated Prod Factor</t>
  </si>
  <si>
    <t>←Represents NOI impact of removing $2,000 plug</t>
  </si>
  <si>
    <t>←Total to ensure TY load consistently applied between rate design, Temp Norm, and Prod Fctr for base Power Costs</t>
  </si>
  <si>
    <t>From compliance filing work paper excel file "MFC Rev App A-PSE-WP-SEF-21.01E-PowerCosts-19GRC-01-2020.xlsx" tab "Power Cost Bridge to A-1"</t>
  </si>
  <si>
    <t>From compliance filing work paper excel file "MFC Rev App A-PSE-WP-SEF-21.01E-PowerCosts-19GRC-01-2020.xlsx" tab "Production Factor - Temp Norm"</t>
  </si>
  <si>
    <t>a</t>
  </si>
  <si>
    <t>b</t>
  </si>
  <si>
    <t>c</t>
  </si>
  <si>
    <t>d</t>
  </si>
  <si>
    <t>Settlement</t>
  </si>
  <si>
    <t>Variable PCA Baseline Rate to Use for Schedule B</t>
  </si>
  <si>
    <t>Schedule B Revenue</t>
  </si>
  <si>
    <t>Normalized Test Year Load in Kwh's used to Set Rates</t>
  </si>
  <si>
    <t>Rate Year Load in Kwh's</t>
  </si>
  <si>
    <t>Added for Settlement Work Paper</t>
  </si>
  <si>
    <t>Rate per Kwh set in rates</t>
  </si>
  <si>
    <t>s/h/b production factor but wasn't</t>
  </si>
  <si>
    <t>MT Energy Tax</t>
  </si>
  <si>
    <t>MT Energy Tax from model</t>
  </si>
  <si>
    <t>Total Variable Power Costs before Prod Factor - A-1 Equivalent</t>
  </si>
  <si>
    <t>Cost Properly Recovered in Schedule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</si>
</sst>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???_);_(@_)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_);_(&quot;$&quot;* \(#,##0.0000\);_(&quot;$&quot;* &quot;-&quot;_);_(@_)"/>
    <numFmt numFmtId="169" formatCode="_(* #,##0.000000_);_(* \(#,##0.000000\);_(* &quot;-&quot;??_);_(@_)"/>
    <numFmt numFmtId="170" formatCode="0.000000"/>
    <numFmt numFmtId="171" formatCode="0_);\(0\)"/>
    <numFmt numFmtId="172" formatCode="0.000%"/>
    <numFmt numFmtId="173" formatCode="_(* #,##0.0000000_);_(* \(#,##0.0000000\);_(* &quot;-&quot;??_);_(@_)"/>
    <numFmt numFmtId="176" formatCode="_(&quot;$&quot;* #,##0.000000_);_(&quot;$&quot;* \(#,##0.000000\);_(&quot;$&quot;* &quot;-&quot;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Arial"/>
      <family val="2"/>
    </font>
    <font>
      <sz val="10"/>
      <name val="Times New Roman"/>
      <family val="1"/>
    </font>
    <font>
      <b/>
      <i/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indexed="2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3" borderId="0" applyNumberFormat="0" applyBorder="0" applyAlignment="0" applyProtection="0"/>
    <xf numFmtId="43" fontId="4" fillId="0" borderId="0" applyFont="0" applyFill="0" applyBorder="0" applyAlignment="0" applyProtection="0"/>
    <xf numFmtId="0" fontId="8" fillId="5" borderId="0" applyNumberFormat="0" applyBorder="0" applyAlignment="0" applyProtection="0"/>
    <xf numFmtId="43" fontId="7" fillId="0" borderId="0" applyFont="0" applyFill="0" applyBorder="0" applyAlignment="0" applyProtection="0"/>
  </cellStyleXfs>
  <cellXfs count="125">
    <xf numFmtId="0" fontId="0" fillId="0" borderId="0" xfId="0"/>
    <xf numFmtId="41" fontId="0" fillId="0" borderId="0" xfId="0" applyNumberFormat="1"/>
    <xf numFmtId="0" fontId="1" fillId="0" borderId="1" xfId="0" applyFont="1" applyBorder="1" applyAlignment="1">
      <alignment horizontal="center"/>
    </xf>
    <xf numFmtId="42" fontId="0" fillId="0" borderId="0" xfId="0" applyNumberFormat="1"/>
    <xf numFmtId="41" fontId="0" fillId="0" borderId="0" xfId="0" applyNumberFormat="1" applyFont="1"/>
    <xf numFmtId="0" fontId="0" fillId="0" borderId="2" xfId="0" applyBorder="1"/>
    <xf numFmtId="42" fontId="0" fillId="0" borderId="3" xfId="0" applyNumberFormat="1" applyBorder="1"/>
    <xf numFmtId="0" fontId="0" fillId="2" borderId="0" xfId="0" applyFill="1"/>
    <xf numFmtId="0" fontId="0" fillId="2" borderId="0" xfId="0" quotePrefix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42" fontId="2" fillId="2" borderId="0" xfId="0" applyNumberFormat="1" applyFont="1" applyFill="1"/>
    <xf numFmtId="164" fontId="2" fillId="2" borderId="0" xfId="0" applyNumberFormat="1" applyFont="1" applyFill="1"/>
    <xf numFmtId="41" fontId="2" fillId="2" borderId="0" xfId="0" applyNumberFormat="1" applyFont="1" applyFill="1"/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/>
    <xf numFmtId="0" fontId="2" fillId="2" borderId="0" xfId="0" quotePrefix="1" applyFont="1" applyFill="1" applyAlignment="1">
      <alignment horizontal="left" indent="1"/>
    </xf>
    <xf numFmtId="0" fontId="3" fillId="2" borderId="1" xfId="0" applyFont="1" applyFill="1" applyBorder="1" applyAlignment="1">
      <alignment horizontal="centerContinuous"/>
    </xf>
    <xf numFmtId="164" fontId="2" fillId="2" borderId="1" xfId="0" applyNumberFormat="1" applyFont="1" applyFill="1" applyBorder="1"/>
    <xf numFmtId="0" fontId="4" fillId="0" borderId="0" xfId="0" applyFont="1" applyFill="1" applyAlignment="1"/>
    <xf numFmtId="0" fontId="6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quotePrefix="1" applyFont="1" applyFill="1" applyBorder="1" applyAlignment="1">
      <alignment horizontal="center" wrapText="1"/>
    </xf>
    <xf numFmtId="17" fontId="6" fillId="0" borderId="1" xfId="0" quotePrefix="1" applyNumberFormat="1" applyFont="1" applyFill="1" applyBorder="1" applyAlignment="1">
      <alignment horizontal="center" wrapText="1"/>
    </xf>
    <xf numFmtId="166" fontId="6" fillId="0" borderId="0" xfId="1" applyNumberFormat="1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166" fontId="4" fillId="0" borderId="0" xfId="0" applyNumberFormat="1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166" fontId="6" fillId="0" borderId="4" xfId="1" applyNumberFormat="1" applyFont="1" applyFill="1" applyBorder="1" applyAlignment="1">
      <alignment horizontal="center"/>
    </xf>
    <xf numFmtId="0" fontId="6" fillId="0" borderId="5" xfId="0" quotePrefix="1" applyFont="1" applyFill="1" applyBorder="1" applyAlignment="1"/>
    <xf numFmtId="166" fontId="6" fillId="4" borderId="5" xfId="0" applyNumberFormat="1" applyFont="1" applyFill="1" applyBorder="1" applyAlignment="1"/>
    <xf numFmtId="167" fontId="4" fillId="0" borderId="5" xfId="0" applyNumberFormat="1" applyFont="1" applyFill="1" applyBorder="1" applyAlignment="1"/>
    <xf numFmtId="0" fontId="4" fillId="0" borderId="5" xfId="0" applyFont="1" applyFill="1" applyBorder="1" applyAlignment="1"/>
    <xf numFmtId="166" fontId="6" fillId="0" borderId="6" xfId="0" applyNumberFormat="1" applyFont="1" applyFill="1" applyBorder="1" applyAlignment="1"/>
    <xf numFmtId="166" fontId="6" fillId="0" borderId="7" xfId="1" applyNumberFormat="1" applyFont="1" applyFill="1" applyBorder="1" applyAlignment="1">
      <alignment horizontal="center"/>
    </xf>
    <xf numFmtId="0" fontId="6" fillId="0" borderId="8" xfId="0" applyFont="1" applyFill="1" applyBorder="1" applyAlignment="1"/>
    <xf numFmtId="0" fontId="4" fillId="0" borderId="8" xfId="0" applyFont="1" applyFill="1" applyBorder="1" applyAlignment="1"/>
    <xf numFmtId="169" fontId="6" fillId="4" borderId="9" xfId="3" applyNumberFormat="1" applyFont="1" applyFill="1" applyBorder="1"/>
    <xf numFmtId="170" fontId="8" fillId="5" borderId="0" xfId="4" applyNumberFormat="1" applyAlignment="1"/>
    <xf numFmtId="171" fontId="9" fillId="0" borderId="0" xfId="0" applyNumberFormat="1" applyFont="1" applyFill="1" applyAlignment="1">
      <alignment horizontal="left"/>
    </xf>
    <xf numFmtId="171" fontId="9" fillId="0" borderId="0" xfId="0" applyNumberFormat="1" applyFont="1" applyFill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NumberFormat="1" applyFont="1" applyFill="1" applyAlignment="1">
      <alignment horizontal="left"/>
    </xf>
    <xf numFmtId="171" fontId="11" fillId="0" borderId="4" xfId="0" applyNumberFormat="1" applyFont="1" applyFill="1" applyBorder="1" applyAlignment="1">
      <alignment horizontal="centerContinuous"/>
    </xf>
    <xf numFmtId="171" fontId="11" fillId="0" borderId="6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horizontal="left" wrapText="1"/>
    </xf>
    <xf numFmtId="0" fontId="12" fillId="0" borderId="0" xfId="0" applyNumberFormat="1" applyFont="1" applyFill="1" applyAlignment="1">
      <alignment horizontal="center"/>
    </xf>
    <xf numFmtId="0" fontId="12" fillId="0" borderId="10" xfId="0" applyNumberFormat="1" applyFont="1" applyFill="1" applyBorder="1" applyAlignment="1">
      <alignment horizontal="center"/>
    </xf>
    <xf numFmtId="172" fontId="12" fillId="0" borderId="11" xfId="0" applyNumberFormat="1" applyFont="1" applyFill="1" applyBorder="1" applyAlignment="1">
      <alignment horizontal="center"/>
    </xf>
    <xf numFmtId="173" fontId="12" fillId="0" borderId="11" xfId="0" applyNumberFormat="1" applyFont="1" applyFill="1" applyBorder="1" applyAlignment="1">
      <alignment horizontal="center"/>
    </xf>
    <xf numFmtId="169" fontId="13" fillId="0" borderId="11" xfId="0" applyNumberFormat="1" applyFont="1" applyFill="1" applyBorder="1" applyAlignment="1">
      <alignment horizontal="center"/>
    </xf>
    <xf numFmtId="166" fontId="9" fillId="0" borderId="0" xfId="0" applyNumberFormat="1" applyFont="1" applyFill="1" applyAlignment="1">
      <alignment horizontal="left"/>
    </xf>
    <xf numFmtId="171" fontId="11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Alignment="1">
      <alignment horizontal="center"/>
    </xf>
    <xf numFmtId="43" fontId="9" fillId="0" borderId="0" xfId="0" applyNumberFormat="1" applyFont="1" applyFill="1" applyAlignment="1">
      <alignment horizontal="left"/>
    </xf>
    <xf numFmtId="171" fontId="9" fillId="0" borderId="0" xfId="0" applyNumberFormat="1" applyFont="1" applyFill="1" applyBorder="1" applyAlignment="1">
      <alignment horizontal="left"/>
    </xf>
    <xf numFmtId="166" fontId="9" fillId="0" borderId="12" xfId="0" applyNumberFormat="1" applyFont="1" applyFill="1" applyBorder="1" applyAlignment="1">
      <alignment horizontal="left"/>
    </xf>
    <xf numFmtId="171" fontId="9" fillId="0" borderId="0" xfId="0" applyNumberFormat="1" applyFont="1" applyFill="1" applyBorder="1" applyAlignment="1">
      <alignment horizontal="right"/>
    </xf>
    <xf numFmtId="171" fontId="9" fillId="0" borderId="0" xfId="0" applyNumberFormat="1" applyFont="1" applyFill="1" applyBorder="1" applyAlignment="1"/>
    <xf numFmtId="166" fontId="9" fillId="0" borderId="13" xfId="0" applyNumberFormat="1" applyFont="1" applyFill="1" applyBorder="1" applyAlignment="1">
      <alignment horizontal="left"/>
    </xf>
    <xf numFmtId="0" fontId="10" fillId="6" borderId="0" xfId="0" quotePrefix="1" applyNumberFormat="1" applyFont="1" applyFill="1" applyAlignment="1">
      <alignment horizontal="centerContinuous"/>
    </xf>
    <xf numFmtId="171" fontId="9" fillId="6" borderId="0" xfId="0" applyNumberFormat="1" applyFont="1" applyFill="1" applyAlignment="1">
      <alignment horizontal="centerContinuous"/>
    </xf>
    <xf numFmtId="0" fontId="0" fillId="6" borderId="0" xfId="0" applyFill="1" applyAlignment="1">
      <alignment horizontal="centerContinuous" wrapText="1"/>
    </xf>
    <xf numFmtId="0" fontId="6" fillId="6" borderId="0" xfId="0" applyFont="1" applyFill="1" applyAlignment="1">
      <alignment horizontal="centerContinuous" wrapText="1"/>
    </xf>
    <xf numFmtId="171" fontId="9" fillId="6" borderId="0" xfId="0" applyNumberFormat="1" applyFont="1" applyFill="1" applyAlignment="1">
      <alignment horizontal="left"/>
    </xf>
    <xf numFmtId="0" fontId="10" fillId="6" borderId="0" xfId="0" applyNumberFormat="1" applyFont="1" applyFill="1" applyAlignment="1">
      <alignment horizontal="left"/>
    </xf>
    <xf numFmtId="171" fontId="9" fillId="6" borderId="0" xfId="0" applyNumberFormat="1" applyFont="1" applyFill="1" applyAlignment="1">
      <alignment horizontal="center"/>
    </xf>
    <xf numFmtId="0" fontId="12" fillId="7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left" wrapText="1"/>
    </xf>
    <xf numFmtId="0" fontId="0" fillId="6" borderId="0" xfId="0" applyFill="1" applyAlignment="1">
      <alignment horizontal="left" wrapText="1"/>
    </xf>
    <xf numFmtId="0" fontId="12" fillId="6" borderId="0" xfId="0" applyNumberFormat="1" applyFont="1" applyFill="1" applyAlignment="1">
      <alignment horizontal="center"/>
    </xf>
    <xf numFmtId="171" fontId="14" fillId="7" borderId="0" xfId="0" applyNumberFormat="1" applyFont="1" applyFill="1" applyAlignment="1">
      <alignment horizontal="center"/>
    </xf>
    <xf numFmtId="0" fontId="12" fillId="6" borderId="10" xfId="0" applyNumberFormat="1" applyFont="1" applyFill="1" applyBorder="1" applyAlignment="1">
      <alignment horizontal="center"/>
    </xf>
    <xf numFmtId="0" fontId="12" fillId="7" borderId="10" xfId="0" applyNumberFormat="1" applyFont="1" applyFill="1" applyBorder="1" applyAlignment="1">
      <alignment horizontal="center"/>
    </xf>
    <xf numFmtId="0" fontId="15" fillId="6" borderId="0" xfId="0" applyFont="1" applyFill="1" applyBorder="1" applyAlignment="1">
      <alignment horizontal="left" wrapText="1"/>
    </xf>
    <xf numFmtId="172" fontId="12" fillId="6" borderId="11" xfId="0" applyNumberFormat="1" applyFont="1" applyFill="1" applyBorder="1" applyAlignment="1">
      <alignment horizontal="center"/>
    </xf>
    <xf numFmtId="172" fontId="12" fillId="7" borderId="11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Continuous" wrapText="1"/>
    </xf>
    <xf numFmtId="0" fontId="12" fillId="6" borderId="0" xfId="0" applyNumberFormat="1" applyFont="1" applyFill="1" applyBorder="1" applyAlignment="1">
      <alignment horizontal="center"/>
    </xf>
    <xf numFmtId="173" fontId="12" fillId="6" borderId="11" xfId="0" applyNumberFormat="1" applyFont="1" applyFill="1" applyBorder="1" applyAlignment="1">
      <alignment horizontal="center"/>
    </xf>
    <xf numFmtId="169" fontId="13" fillId="7" borderId="11" xfId="0" applyNumberFormat="1" applyFont="1" applyFill="1" applyBorder="1" applyAlignment="1">
      <alignment horizontal="center"/>
    </xf>
    <xf numFmtId="169" fontId="12" fillId="6" borderId="0" xfId="0" applyNumberFormat="1" applyFont="1" applyFill="1" applyBorder="1" applyAlignment="1">
      <alignment horizontal="center"/>
    </xf>
    <xf numFmtId="171" fontId="9" fillId="7" borderId="0" xfId="0" applyNumberFormat="1" applyFont="1" applyFill="1" applyAlignment="1">
      <alignment horizontal="center"/>
    </xf>
    <xf numFmtId="0" fontId="6" fillId="6" borderId="0" xfId="0" applyFont="1" applyFill="1" applyBorder="1" applyAlignment="1">
      <alignment horizontal="right" wrapText="1"/>
    </xf>
    <xf numFmtId="0" fontId="6" fillId="6" borderId="0" xfId="0" applyFont="1" applyFill="1" applyBorder="1" applyAlignment="1">
      <alignment horizontal="left" wrapText="1"/>
    </xf>
    <xf numFmtId="166" fontId="9" fillId="6" borderId="0" xfId="0" applyNumberFormat="1" applyFont="1" applyFill="1" applyAlignment="1">
      <alignment horizontal="left"/>
    </xf>
    <xf numFmtId="166" fontId="9" fillId="7" borderId="0" xfId="0" applyNumberFormat="1" applyFont="1" applyFill="1" applyAlignment="1">
      <alignment horizontal="left"/>
    </xf>
    <xf numFmtId="171" fontId="11" fillId="6" borderId="0" xfId="0" applyNumberFormat="1" applyFont="1" applyFill="1" applyBorder="1" applyAlignment="1">
      <alignment horizontal="left"/>
    </xf>
    <xf numFmtId="0" fontId="9" fillId="6" borderId="0" xfId="0" applyFont="1" applyFill="1" applyAlignment="1">
      <alignment horizontal="left" wrapText="1"/>
    </xf>
    <xf numFmtId="0" fontId="9" fillId="6" borderId="0" xfId="0" applyNumberFormat="1" applyFont="1" applyFill="1" applyAlignment="1">
      <alignment horizontal="center"/>
    </xf>
    <xf numFmtId="43" fontId="9" fillId="6" borderId="0" xfId="0" applyNumberFormat="1" applyFont="1" applyFill="1" applyAlignment="1">
      <alignment horizontal="left"/>
    </xf>
    <xf numFmtId="171" fontId="9" fillId="6" borderId="0" xfId="0" applyNumberFormat="1" applyFont="1" applyFill="1" applyBorder="1" applyAlignment="1">
      <alignment horizontal="left"/>
    </xf>
    <xf numFmtId="166" fontId="9" fillId="6" borderId="12" xfId="0" applyNumberFormat="1" applyFont="1" applyFill="1" applyBorder="1" applyAlignment="1">
      <alignment horizontal="left"/>
    </xf>
    <xf numFmtId="166" fontId="9" fillId="7" borderId="12" xfId="0" applyNumberFormat="1" applyFont="1" applyFill="1" applyBorder="1" applyAlignment="1">
      <alignment horizontal="left"/>
    </xf>
    <xf numFmtId="171" fontId="9" fillId="6" borderId="0" xfId="0" applyNumberFormat="1" applyFont="1" applyFill="1" applyBorder="1" applyAlignment="1">
      <alignment horizontal="right"/>
    </xf>
    <xf numFmtId="171" fontId="9" fillId="6" borderId="0" xfId="0" applyNumberFormat="1" applyFont="1" applyFill="1" applyBorder="1" applyAlignment="1"/>
    <xf numFmtId="166" fontId="9" fillId="6" borderId="2" xfId="0" applyNumberFormat="1" applyFont="1" applyFill="1" applyBorder="1" applyAlignment="1">
      <alignment horizontal="left"/>
    </xf>
    <xf numFmtId="166" fontId="16" fillId="6" borderId="0" xfId="5" applyNumberFormat="1" applyFont="1" applyFill="1" applyAlignment="1">
      <alignment horizontal="left"/>
    </xf>
    <xf numFmtId="166" fontId="9" fillId="4" borderId="2" xfId="0" applyNumberFormat="1" applyFont="1" applyFill="1" applyBorder="1" applyAlignment="1">
      <alignment horizontal="left"/>
    </xf>
    <xf numFmtId="166" fontId="9" fillId="6" borderId="13" xfId="0" applyNumberFormat="1" applyFont="1" applyFill="1" applyBorder="1" applyAlignment="1">
      <alignment horizontal="left"/>
    </xf>
    <xf numFmtId="166" fontId="9" fillId="7" borderId="13" xfId="0" applyNumberFormat="1" applyFont="1" applyFill="1" applyBorder="1" applyAlignment="1">
      <alignment horizontal="left"/>
    </xf>
    <xf numFmtId="166" fontId="9" fillId="7" borderId="0" xfId="0" applyNumberFormat="1" applyFont="1" applyFill="1" applyBorder="1" applyAlignment="1">
      <alignment horizontal="left"/>
    </xf>
    <xf numFmtId="166" fontId="0" fillId="0" borderId="0" xfId="5" applyNumberFormat="1" applyFont="1" applyAlignment="1">
      <alignment horizontal="left" wrapText="1"/>
    </xf>
    <xf numFmtId="166" fontId="6" fillId="0" borderId="0" xfId="5" applyNumberFormat="1" applyFont="1" applyFill="1" applyAlignment="1">
      <alignment horizontal="left" wrapText="1"/>
    </xf>
    <xf numFmtId="166" fontId="6" fillId="0" borderId="0" xfId="5" applyNumberFormat="1" applyFont="1" applyFill="1" applyAlignment="1">
      <alignment horizontal="left"/>
    </xf>
    <xf numFmtId="166" fontId="0" fillId="0" borderId="13" xfId="5" applyNumberFormat="1" applyFont="1" applyBorder="1" applyAlignment="1">
      <alignment horizontal="left" wrapText="1"/>
    </xf>
    <xf numFmtId="171" fontId="5" fillId="3" borderId="0" xfId="2" applyNumberFormat="1" applyAlignment="1">
      <alignment horizontal="left"/>
    </xf>
    <xf numFmtId="171" fontId="5" fillId="3" borderId="0" xfId="2" applyNumberFormat="1" applyAlignment="1">
      <alignment horizontal="center"/>
    </xf>
    <xf numFmtId="0" fontId="5" fillId="3" borderId="0" xfId="2" applyAlignment="1"/>
    <xf numFmtId="166" fontId="2" fillId="2" borderId="1" xfId="0" applyNumberFormat="1" applyFont="1" applyFill="1" applyBorder="1"/>
    <xf numFmtId="168" fontId="2" fillId="2" borderId="0" xfId="0" applyNumberFormat="1" applyFont="1" applyFill="1"/>
    <xf numFmtId="167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42" fontId="0" fillId="2" borderId="0" xfId="0" applyNumberFormat="1" applyFill="1"/>
    <xf numFmtId="176" fontId="2" fillId="2" borderId="0" xfId="0" applyNumberFormat="1" applyFont="1" applyFill="1"/>
    <xf numFmtId="44" fontId="0" fillId="2" borderId="0" xfId="0" applyNumberFormat="1" applyFill="1"/>
    <xf numFmtId="44" fontId="0" fillId="0" borderId="0" xfId="0" applyNumberFormat="1"/>
  </cellXfs>
  <cellStyles count="6">
    <cellStyle name="20% - Accent2 5 10" xfId="4"/>
    <cellStyle name="Comma" xfId="1" builtinId="3"/>
    <cellStyle name="Comma 10" xfId="5"/>
    <cellStyle name="Comma 2" xf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0%20PCORC/Original%20Filing/2020%20PCORC%20Work%20Papers%20To%20File%20-%20Fix%20Fixed/NEW-PSE-WP-SEF-5.01-PowerCosts-20PCORC-12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.00-PCORC-MODEL-SUPPLEMENTAL-20PCORC-2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4.00-PROD-ADJ-20PCORC-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Cost Lead"/>
      <sheetName val="w Colstrip 4, no PPA PKW"/>
      <sheetName val="Production O&amp;M Summary RJR"/>
      <sheetName val="OATT Trans Rev"/>
      <sheetName val="Pwrex"/>
      <sheetName val="Centralia Equity Kicker"/>
      <sheetName val="ProdFctr"/>
    </sheetNames>
    <sheetDataSet>
      <sheetData sheetId="0">
        <row r="13">
          <cell r="K13">
            <v>1.01684</v>
          </cell>
        </row>
      </sheetData>
      <sheetData sheetId="1"/>
      <sheetData sheetId="2"/>
      <sheetData sheetId="3"/>
      <sheetData sheetId="4"/>
      <sheetData sheetId="5"/>
      <sheetData sheetId="6">
        <row r="25">
          <cell r="F25">
            <v>19685486546.09016</v>
          </cell>
        </row>
        <row r="35">
          <cell r="M35">
            <v>-679392876</v>
          </cell>
        </row>
        <row r="41">
          <cell r="L41">
            <v>723147000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hanges"/>
      <sheetName val="Deficiency"/>
      <sheetName val="SEF-15 Summary"/>
      <sheetName val="SEF-15 Adjustments"/>
      <sheetName val="SEF-16 2020 PCORC A-1"/>
      <sheetName val="SEF-17 A-1 Compare"/>
      <sheetName val="2019 GRC A-1 UE-200907"/>
      <sheetName val="ROR"/>
      <sheetName val="Name Ranges"/>
      <sheetName val="Recon"/>
      <sheetName val="Recon Depr"/>
      <sheetName val="ARC Dep-ARO Accr"/>
      <sheetName val="Col Depr Adj"/>
      <sheetName val="Col Acq Adj"/>
      <sheetName val="Prod Rel GP"/>
      <sheetName val="Reconcile PKW to A-1"/>
    </sheetNames>
    <sheetDataSet>
      <sheetData sheetId="0"/>
      <sheetData sheetId="1"/>
      <sheetData sheetId="2"/>
      <sheetData sheetId="3">
        <row r="22">
          <cell r="Q22">
            <v>11934985.780000003</v>
          </cell>
          <cell r="S22">
            <v>11934985.780000003</v>
          </cell>
        </row>
        <row r="27">
          <cell r="Q27">
            <v>756559056.57050049</v>
          </cell>
          <cell r="S27">
            <v>769098525.92261243</v>
          </cell>
        </row>
        <row r="32">
          <cell r="Q32">
            <v>4094424</v>
          </cell>
          <cell r="S32">
            <v>4163374.1001599999</v>
          </cell>
        </row>
      </sheetData>
      <sheetData sheetId="4">
        <row r="23">
          <cell r="G23">
            <v>810486.93138415087</v>
          </cell>
        </row>
        <row r="46">
          <cell r="C46">
            <v>38.715700492834841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Factor===&gt;"/>
      <sheetName val="Exh BDJ-4 p1 (Prod Factor)"/>
      <sheetName val="GPI (F2020)"/>
      <sheetName val="Temperature Adjust Excl 139"/>
      <sheetName val="Schedule 139 Load"/>
      <sheetName val="UE-190529 LR - Energy"/>
    </sheetNames>
    <sheetDataSet>
      <sheetData sheetId="0"/>
      <sheetData sheetId="1">
        <row r="10">
          <cell r="E10">
            <v>19359468123.921001</v>
          </cell>
          <cell r="G10">
            <v>19685486546.09016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D7" sqref="D7"/>
    </sheetView>
  </sheetViews>
  <sheetFormatPr defaultRowHeight="15" x14ac:dyDescent="0.25"/>
  <cols>
    <col min="2" max="2" width="7.28515625" bestFit="1" customWidth="1"/>
    <col min="3" max="3" width="18.42578125" customWidth="1"/>
    <col min="4" max="4" width="18" bestFit="1" customWidth="1"/>
    <col min="5" max="5" width="15.28515625" customWidth="1"/>
    <col min="6" max="6" width="18" bestFit="1" customWidth="1"/>
  </cols>
  <sheetData>
    <row r="2" spans="1:7" x14ac:dyDescent="0.25">
      <c r="B2" s="7"/>
      <c r="C2" s="7"/>
      <c r="D2" s="7"/>
      <c r="E2" s="7"/>
      <c r="F2" s="7"/>
      <c r="G2" s="7"/>
    </row>
    <row r="3" spans="1:7" ht="15.75" x14ac:dyDescent="0.25">
      <c r="A3" s="7"/>
      <c r="B3" s="7"/>
      <c r="C3" s="9"/>
      <c r="D3" s="9"/>
      <c r="E3" s="10" t="s">
        <v>16</v>
      </c>
      <c r="F3" s="9"/>
      <c r="G3" s="7"/>
    </row>
    <row r="4" spans="1:7" ht="15.75" x14ac:dyDescent="0.25">
      <c r="A4" s="7"/>
      <c r="B4" s="117" t="s">
        <v>70</v>
      </c>
      <c r="C4" s="19" t="s">
        <v>11</v>
      </c>
      <c r="D4" s="11" t="s">
        <v>14</v>
      </c>
      <c r="E4" s="11" t="s">
        <v>17</v>
      </c>
      <c r="F4" s="11" t="s">
        <v>13</v>
      </c>
      <c r="G4" s="7"/>
    </row>
    <row r="5" spans="1:7" ht="15.75" x14ac:dyDescent="0.25">
      <c r="A5" s="7"/>
      <c r="B5" s="7"/>
      <c r="C5" s="16" t="s">
        <v>112</v>
      </c>
      <c r="D5" s="16" t="s">
        <v>113</v>
      </c>
      <c r="E5" s="16" t="s">
        <v>114</v>
      </c>
      <c r="F5" s="16" t="s">
        <v>115</v>
      </c>
      <c r="G5" s="7"/>
    </row>
    <row r="6" spans="1:7" ht="15.75" x14ac:dyDescent="0.25">
      <c r="A6" s="7"/>
      <c r="B6" s="7"/>
      <c r="C6" s="9"/>
      <c r="D6" s="9"/>
      <c r="E6" s="9"/>
      <c r="F6" s="9"/>
      <c r="G6" s="7"/>
    </row>
    <row r="7" spans="1:7" ht="15.75" x14ac:dyDescent="0.25">
      <c r="A7" s="7"/>
      <c r="B7" s="118">
        <v>1</v>
      </c>
      <c r="C7" s="9" t="s">
        <v>20</v>
      </c>
      <c r="D7" s="12">
        <f>Support!B12</f>
        <v>748718494.79050052</v>
      </c>
      <c r="E7" s="13">
        <f>F9/D9</f>
        <v>1.0168402571848718</v>
      </c>
      <c r="F7" s="12">
        <f>D7*E7</f>
        <v>761327106.80184269</v>
      </c>
      <c r="G7" s="7"/>
    </row>
    <row r="8" spans="1:7" ht="15.75" x14ac:dyDescent="0.25">
      <c r="A8" s="7"/>
      <c r="B8" s="118"/>
      <c r="C8" s="9"/>
      <c r="D8" s="9"/>
      <c r="E8" s="9"/>
      <c r="F8" s="9"/>
      <c r="G8" s="7"/>
    </row>
    <row r="9" spans="1:7" ht="15.75" x14ac:dyDescent="0.25">
      <c r="A9" s="7"/>
      <c r="B9" s="118">
        <v>2</v>
      </c>
      <c r="C9" s="9" t="s">
        <v>18</v>
      </c>
      <c r="D9" s="14">
        <f>Support!B8</f>
        <v>19359468123.921001</v>
      </c>
      <c r="E9" s="14"/>
      <c r="F9" s="14">
        <f>Support!B6</f>
        <v>19685486546.09016</v>
      </c>
      <c r="G9" s="7"/>
    </row>
    <row r="10" spans="1:7" ht="15.75" x14ac:dyDescent="0.25">
      <c r="A10" s="7"/>
      <c r="B10" s="118"/>
      <c r="C10" s="9"/>
      <c r="D10" s="9"/>
      <c r="E10" s="9"/>
      <c r="F10" s="9"/>
      <c r="G10" s="7"/>
    </row>
    <row r="11" spans="1:7" ht="15.75" x14ac:dyDescent="0.25">
      <c r="A11" s="7"/>
      <c r="B11" s="118">
        <v>3</v>
      </c>
      <c r="C11" s="9" t="s">
        <v>19</v>
      </c>
      <c r="D11" s="15">
        <f>D7/D9*100</f>
        <v>3.8674538473780009</v>
      </c>
      <c r="E11" s="16" t="s">
        <v>21</v>
      </c>
      <c r="F11" s="15">
        <f>F7/F9*100</f>
        <v>3.8674538473780009</v>
      </c>
      <c r="G11" s="7"/>
    </row>
    <row r="12" spans="1:7" ht="15.75" x14ac:dyDescent="0.25">
      <c r="A12" s="7"/>
      <c r="B12" s="118"/>
      <c r="C12" s="9"/>
      <c r="D12" s="9"/>
      <c r="E12" s="9"/>
      <c r="F12" s="9"/>
      <c r="G12" s="7"/>
    </row>
    <row r="13" spans="1:7" ht="15.75" x14ac:dyDescent="0.25">
      <c r="A13" s="7"/>
      <c r="B13" s="118">
        <v>4</v>
      </c>
      <c r="C13" s="17" t="s">
        <v>23</v>
      </c>
      <c r="D13" s="9"/>
      <c r="E13" s="9"/>
      <c r="F13" s="9"/>
      <c r="G13" s="7"/>
    </row>
    <row r="14" spans="1:7" ht="15.75" x14ac:dyDescent="0.25">
      <c r="A14" s="7"/>
      <c r="B14" s="118">
        <v>5</v>
      </c>
      <c r="C14" s="18" t="s">
        <v>22</v>
      </c>
      <c r="D14" s="9"/>
      <c r="E14" s="9"/>
      <c r="F14" s="9"/>
      <c r="G14" s="7"/>
    </row>
    <row r="15" spans="1:7" x14ac:dyDescent="0.25">
      <c r="A15" s="7"/>
      <c r="B15" s="7"/>
      <c r="C15" s="8"/>
      <c r="D15" s="7"/>
      <c r="E15" s="7"/>
      <c r="F15" s="7"/>
      <c r="G15" s="7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topLeftCell="A2" workbookViewId="0">
      <selection activeCell="H27" sqref="H27"/>
    </sheetView>
  </sheetViews>
  <sheetFormatPr defaultRowHeight="15" x14ac:dyDescent="0.25"/>
  <cols>
    <col min="3" max="3" width="51.42578125" bestFit="1" customWidth="1"/>
    <col min="4" max="4" width="18.85546875" bestFit="1" customWidth="1"/>
    <col min="5" max="5" width="19.28515625" bestFit="1" customWidth="1"/>
    <col min="8" max="8" width="15.140625" customWidth="1"/>
  </cols>
  <sheetData>
    <row r="2" spans="1:8" ht="15.75" x14ac:dyDescent="0.25">
      <c r="A2" s="7"/>
      <c r="B2" s="9"/>
      <c r="C2" s="9"/>
      <c r="D2" s="10" t="s">
        <v>24</v>
      </c>
      <c r="E2" s="10" t="s">
        <v>25</v>
      </c>
      <c r="F2" s="7"/>
    </row>
    <row r="3" spans="1:8" ht="15.75" x14ac:dyDescent="0.25">
      <c r="A3" s="7"/>
      <c r="B3" s="9"/>
      <c r="C3" s="9"/>
      <c r="D3" s="10" t="s">
        <v>16</v>
      </c>
      <c r="E3" s="10" t="s">
        <v>16</v>
      </c>
      <c r="F3" s="7"/>
    </row>
    <row r="4" spans="1:8" ht="15.75" x14ac:dyDescent="0.25">
      <c r="A4" s="7"/>
      <c r="B4" s="117" t="s">
        <v>70</v>
      </c>
      <c r="C4" s="19" t="s">
        <v>11</v>
      </c>
      <c r="D4" s="11" t="s">
        <v>17</v>
      </c>
      <c r="E4" s="11" t="s">
        <v>17</v>
      </c>
      <c r="F4" s="7"/>
    </row>
    <row r="5" spans="1:8" ht="15.75" x14ac:dyDescent="0.25">
      <c r="A5" s="7"/>
      <c r="B5" s="16" t="s">
        <v>112</v>
      </c>
      <c r="C5" s="16" t="s">
        <v>113</v>
      </c>
      <c r="D5" s="16" t="s">
        <v>114</v>
      </c>
      <c r="E5" s="16" t="s">
        <v>115</v>
      </c>
      <c r="F5" s="7"/>
    </row>
    <row r="6" spans="1:8" ht="15.75" x14ac:dyDescent="0.25">
      <c r="A6" s="7"/>
      <c r="B6" s="9"/>
      <c r="C6" s="9"/>
      <c r="D6" s="9"/>
      <c r="E6" s="9"/>
      <c r="F6" s="7"/>
    </row>
    <row r="7" spans="1:8" ht="15.75" x14ac:dyDescent="0.25">
      <c r="A7" s="7"/>
      <c r="B7" s="116">
        <v>1</v>
      </c>
      <c r="C7" s="9" t="s">
        <v>105</v>
      </c>
      <c r="D7" s="12">
        <f>Support!B12</f>
        <v>748718494.79050052</v>
      </c>
      <c r="E7" s="12">
        <f>Support!B31</f>
        <v>749515559.15793705</v>
      </c>
      <c r="F7" s="7"/>
    </row>
    <row r="8" spans="1:8" ht="15.75" x14ac:dyDescent="0.25">
      <c r="A8" s="7"/>
      <c r="B8" s="9"/>
      <c r="C8" s="9"/>
      <c r="D8" s="9"/>
      <c r="E8" s="9"/>
      <c r="F8" s="7"/>
    </row>
    <row r="9" spans="1:8" ht="15.75" x14ac:dyDescent="0.25">
      <c r="A9" s="7"/>
      <c r="B9" s="9" t="s">
        <v>33</v>
      </c>
      <c r="C9" s="9" t="s">
        <v>2</v>
      </c>
      <c r="D9" s="20">
        <v>1</v>
      </c>
      <c r="E9" s="20">
        <f>E13/E17</f>
        <v>1.0168402571848718</v>
      </c>
      <c r="F9" s="7"/>
    </row>
    <row r="10" spans="1:8" ht="15.75" x14ac:dyDescent="0.25">
      <c r="A10" s="7"/>
      <c r="B10" s="9"/>
      <c r="C10" s="9"/>
      <c r="D10" s="9"/>
      <c r="E10" s="9"/>
      <c r="F10" s="7"/>
    </row>
    <row r="11" spans="1:8" ht="15.75" x14ac:dyDescent="0.25">
      <c r="A11" s="7"/>
      <c r="B11" s="9" t="s">
        <v>29</v>
      </c>
      <c r="C11" s="9" t="s">
        <v>26</v>
      </c>
      <c r="D11" s="12">
        <f>+D7*D9</f>
        <v>748718494.79050052</v>
      </c>
      <c r="E11" s="12">
        <f>+E7*E9</f>
        <v>762137593.93821967</v>
      </c>
      <c r="F11" s="7"/>
      <c r="H11" s="3"/>
    </row>
    <row r="12" spans="1:8" ht="15.75" x14ac:dyDescent="0.25">
      <c r="A12" s="7"/>
      <c r="B12" s="9"/>
      <c r="C12" s="9"/>
      <c r="D12" s="9"/>
      <c r="E12" s="9"/>
      <c r="F12" s="7"/>
      <c r="H12" s="3"/>
    </row>
    <row r="13" spans="1:8" ht="15.75" x14ac:dyDescent="0.25">
      <c r="A13" s="7"/>
      <c r="B13" s="116">
        <v>4</v>
      </c>
      <c r="C13" s="9" t="s">
        <v>119</v>
      </c>
      <c r="D13" s="113">
        <f>+Support!B6</f>
        <v>19685486546.09016</v>
      </c>
      <c r="E13" s="113">
        <f>+Support!B6</f>
        <v>19685486546.09016</v>
      </c>
      <c r="F13" s="7"/>
    </row>
    <row r="14" spans="1:8" ht="15.75" x14ac:dyDescent="0.25">
      <c r="A14" s="7"/>
      <c r="B14" s="9"/>
      <c r="C14" s="9"/>
      <c r="D14" s="12"/>
      <c r="E14" s="12"/>
      <c r="F14" s="7"/>
    </row>
    <row r="15" spans="1:8" ht="15.75" x14ac:dyDescent="0.25">
      <c r="A15" s="7"/>
      <c r="B15" s="9" t="s">
        <v>32</v>
      </c>
      <c r="C15" s="9" t="s">
        <v>122</v>
      </c>
      <c r="D15" s="122">
        <f>+D11/D13</f>
        <v>3.8034035533615375E-2</v>
      </c>
      <c r="E15" s="122">
        <f>+ROUND(E11/E13,7)</f>
        <v>3.8715699999999999E-2</v>
      </c>
      <c r="F15" s="7"/>
    </row>
    <row r="16" spans="1:8" ht="15.75" x14ac:dyDescent="0.25">
      <c r="A16" s="7"/>
      <c r="B16" s="9"/>
      <c r="C16" s="9"/>
      <c r="D16" s="12"/>
      <c r="E16" s="12"/>
      <c r="F16" s="7"/>
    </row>
    <row r="17" spans="1:6" ht="15.75" x14ac:dyDescent="0.25">
      <c r="A17" s="7"/>
      <c r="B17" s="116">
        <v>6</v>
      </c>
      <c r="C17" s="9" t="s">
        <v>120</v>
      </c>
      <c r="D17" s="113">
        <f>+Support!B8</f>
        <v>19359468123.921001</v>
      </c>
      <c r="E17" s="113">
        <f>+Support!B8</f>
        <v>19359468123.921001</v>
      </c>
      <c r="F17" s="7"/>
    </row>
    <row r="18" spans="1:6" ht="15.75" x14ac:dyDescent="0.25">
      <c r="A18" s="7"/>
      <c r="B18" s="9"/>
      <c r="C18" s="9"/>
      <c r="D18" s="12"/>
      <c r="E18" s="12"/>
      <c r="F18" s="7"/>
    </row>
    <row r="19" spans="1:6" ht="15.75" x14ac:dyDescent="0.25">
      <c r="A19" s="7"/>
      <c r="B19" s="9" t="s">
        <v>30</v>
      </c>
      <c r="C19" s="9" t="s">
        <v>27</v>
      </c>
      <c r="D19" s="115">
        <f>+D15*D17</f>
        <v>736318698.53710556</v>
      </c>
      <c r="E19" s="115">
        <f>+E15*E17+199</f>
        <v>749515559.04528832</v>
      </c>
      <c r="F19" s="7"/>
    </row>
    <row r="20" spans="1:6" ht="15.75" x14ac:dyDescent="0.25">
      <c r="A20" s="7"/>
      <c r="B20" s="9"/>
      <c r="C20" s="9"/>
      <c r="D20" s="114"/>
      <c r="E20" s="114"/>
      <c r="F20" s="7"/>
    </row>
    <row r="21" spans="1:6" ht="15.75" x14ac:dyDescent="0.25">
      <c r="A21" s="7"/>
      <c r="B21" s="9" t="s">
        <v>31</v>
      </c>
      <c r="C21" s="9" t="s">
        <v>28</v>
      </c>
      <c r="D21" s="115">
        <f>+D19-D7</f>
        <v>-12399796.253394961</v>
      </c>
      <c r="E21" s="115">
        <f>+E19-E7</f>
        <v>-0.11264872550964355</v>
      </c>
      <c r="F21" s="7"/>
    </row>
    <row r="25" spans="1:6" x14ac:dyDescent="0.25">
      <c r="A25" s="7"/>
      <c r="B25" s="7" t="s">
        <v>121</v>
      </c>
      <c r="C25" s="7"/>
      <c r="D25" s="7"/>
      <c r="E25" s="7"/>
      <c r="F25" s="7"/>
    </row>
    <row r="26" spans="1:6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 t="s">
        <v>117</v>
      </c>
      <c r="C27" s="7"/>
      <c r="D27" s="7"/>
      <c r="E27" s="122">
        <f>ROUND('[2]SEF-16 2020 PCORC A-1'!$C$46/1000,7)</f>
        <v>3.8715699999999999E-2</v>
      </c>
      <c r="F27" s="7"/>
    </row>
    <row r="28" spans="1:6" ht="15.75" x14ac:dyDescent="0.25">
      <c r="A28" s="7"/>
      <c r="B28" s="7" t="s">
        <v>1</v>
      </c>
      <c r="C28" s="7"/>
      <c r="D28" s="7"/>
      <c r="E28" s="113">
        <f>D17</f>
        <v>19359468123.921001</v>
      </c>
      <c r="F28" s="7"/>
    </row>
    <row r="29" spans="1:6" x14ac:dyDescent="0.25">
      <c r="A29" s="7"/>
      <c r="B29" s="7"/>
      <c r="C29" s="7"/>
      <c r="D29" s="7"/>
      <c r="E29" s="7"/>
      <c r="F29" s="7"/>
    </row>
    <row r="30" spans="1:6" ht="15.75" x14ac:dyDescent="0.25">
      <c r="A30" s="7"/>
      <c r="B30" s="7" t="s">
        <v>118</v>
      </c>
      <c r="C30" s="7"/>
      <c r="D30" s="7"/>
      <c r="E30" s="12">
        <f>E27*E28+199</f>
        <v>749515559.04528832</v>
      </c>
      <c r="F30" s="7"/>
    </row>
    <row r="31" spans="1:6" x14ac:dyDescent="0.25">
      <c r="A31" s="7"/>
      <c r="B31" s="7"/>
      <c r="C31" s="7"/>
      <c r="D31" s="7"/>
      <c r="E31" s="7"/>
      <c r="F31" s="7"/>
    </row>
    <row r="32" spans="1:6" x14ac:dyDescent="0.25">
      <c r="A32" s="7"/>
      <c r="B32" s="7" t="s">
        <v>127</v>
      </c>
      <c r="C32" s="7"/>
      <c r="D32" s="7"/>
      <c r="E32" s="121">
        <f>E30-E7</f>
        <v>-0.11264872550964355</v>
      </c>
      <c r="F32" s="7"/>
    </row>
    <row r="33" spans="1:6" x14ac:dyDescent="0.25">
      <c r="A33" s="7"/>
      <c r="B33" s="7"/>
      <c r="C33" s="7"/>
      <c r="D33" s="7"/>
      <c r="E33" s="123"/>
      <c r="F33" s="7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1"/>
  <sheetViews>
    <sheetView workbookViewId="0">
      <selection activeCell="B31" sqref="B31"/>
    </sheetView>
  </sheetViews>
  <sheetFormatPr defaultRowHeight="15" outlineLevelRow="1" x14ac:dyDescent="0.25"/>
  <cols>
    <col min="1" max="1" width="57.42578125" bestFit="1" customWidth="1"/>
    <col min="2" max="2" width="16.28515625" bestFit="1" customWidth="1"/>
    <col min="3" max="3" width="15.28515625" bestFit="1" customWidth="1"/>
    <col min="4" max="4" width="12.5703125" bestFit="1" customWidth="1"/>
  </cols>
  <sheetData>
    <row r="3" spans="1:3" x14ac:dyDescent="0.25">
      <c r="B3" s="120" t="s">
        <v>116</v>
      </c>
    </row>
    <row r="4" spans="1:3" x14ac:dyDescent="0.25">
      <c r="A4" s="2" t="s">
        <v>11</v>
      </c>
      <c r="B4" s="2" t="s">
        <v>5</v>
      </c>
      <c r="C4" s="2" t="s">
        <v>6</v>
      </c>
    </row>
    <row r="6" spans="1:3" x14ac:dyDescent="0.25">
      <c r="A6" t="s">
        <v>0</v>
      </c>
      <c r="B6" s="1">
        <f>'[3]Exh BDJ-4 p1 (Prod Factor)'!$G$10</f>
        <v>19685486546.09016</v>
      </c>
      <c r="C6" s="1">
        <f>'190529 Prod Fctr'!C39</f>
        <v>20535748503.355934</v>
      </c>
    </row>
    <row r="8" spans="1:3" x14ac:dyDescent="0.25">
      <c r="A8" t="s">
        <v>1</v>
      </c>
      <c r="B8" s="1">
        <f>'[3]Exh BDJ-4 p1 (Prod Factor)'!$E$10</f>
        <v>19359468123.921001</v>
      </c>
      <c r="C8" s="1">
        <f>'190529 Prod Fctr'!G39</f>
        <v>21485116000</v>
      </c>
    </row>
    <row r="10" spans="1:3" x14ac:dyDescent="0.25">
      <c r="A10" t="s">
        <v>2</v>
      </c>
      <c r="B10">
        <f>ROUND(B6/B8,6)</f>
        <v>1.01684</v>
      </c>
      <c r="C10">
        <f>ROUND(C6/C8,6)</f>
        <v>0.95581300000000002</v>
      </c>
    </row>
    <row r="12" spans="1:3" x14ac:dyDescent="0.25">
      <c r="A12" t="s">
        <v>3</v>
      </c>
      <c r="B12" s="3">
        <f>B24</f>
        <v>748718494.79050052</v>
      </c>
      <c r="C12" s="3">
        <f>C24</f>
        <v>745841945.19008827</v>
      </c>
    </row>
    <row r="14" spans="1:3" x14ac:dyDescent="0.25">
      <c r="A14" t="s">
        <v>4</v>
      </c>
      <c r="B14" s="3">
        <f>'[2]SEF-15 Adjustments'!$S$27-'[2]SEF-15 Adjustments'!$S$22+'[2]SEF-15 Adjustments'!$S$32</f>
        <v>761326914.24277246</v>
      </c>
      <c r="C14" s="3">
        <f>'190529 PC Bridge'!J21-'190529 PC Bridge'!J16+'190529 PC Bridge'!J27</f>
        <v>712885264.83531368</v>
      </c>
    </row>
    <row r="20" spans="1:5" x14ac:dyDescent="0.25">
      <c r="A20" t="s">
        <v>7</v>
      </c>
      <c r="B20" s="3">
        <f>'[2]SEF-15 Adjustments'!$Q$27</f>
        <v>756559056.57050049</v>
      </c>
      <c r="C20" s="3">
        <f>'190529 PC Bridge'!I21</f>
        <v>749580317.57008827</v>
      </c>
    </row>
    <row r="21" spans="1:5" x14ac:dyDescent="0.25">
      <c r="A21" t="s">
        <v>8</v>
      </c>
      <c r="B21" s="4">
        <f>-'[2]SEF-15 Adjustments'!$Q$22</f>
        <v>-11934985.780000003</v>
      </c>
      <c r="C21" s="4">
        <f>-'190529 PC Bridge'!I16</f>
        <v>-7832796.3799999999</v>
      </c>
    </row>
    <row r="22" spans="1:5" x14ac:dyDescent="0.25">
      <c r="A22" t="s">
        <v>9</v>
      </c>
      <c r="B22" s="4">
        <f>'[2]SEF-15 Adjustments'!$Q$32</f>
        <v>4094424</v>
      </c>
      <c r="C22" s="4">
        <f>'190529 PC Bridge'!I27</f>
        <v>4094424</v>
      </c>
    </row>
    <row r="23" spans="1:5" x14ac:dyDescent="0.25">
      <c r="B23" s="5"/>
      <c r="C23" s="5"/>
    </row>
    <row r="24" spans="1:5" ht="15.75" thickBot="1" x14ac:dyDescent="0.3">
      <c r="A24" t="s">
        <v>10</v>
      </c>
      <c r="B24" s="6">
        <f>SUM(B20:B23)</f>
        <v>748718494.79050052</v>
      </c>
      <c r="C24" s="6">
        <f>SUM(C20:C23)</f>
        <v>745841945.19008827</v>
      </c>
    </row>
    <row r="25" spans="1:5" ht="15.75" thickTop="1" x14ac:dyDescent="0.25"/>
    <row r="26" spans="1:5" x14ac:dyDescent="0.25">
      <c r="A26" t="s">
        <v>124</v>
      </c>
      <c r="B26" s="3">
        <f>D30</f>
        <v>797064.36743651994</v>
      </c>
      <c r="C26" s="124"/>
      <c r="D26" s="124">
        <f>'[2]SEF-16 2020 PCORC A-1'!$G$23</f>
        <v>810486.93138415087</v>
      </c>
      <c r="E26" t="s">
        <v>125</v>
      </c>
    </row>
    <row r="27" spans="1:5" hidden="1" outlineLevel="1" x14ac:dyDescent="0.25">
      <c r="A27" t="s">
        <v>12</v>
      </c>
    </row>
    <row r="28" spans="1:5" hidden="1" outlineLevel="1" x14ac:dyDescent="0.25">
      <c r="A28" t="s">
        <v>13</v>
      </c>
      <c r="B28" s="1">
        <f>-[1]ProdFctr!$M$35</f>
        <v>679392876</v>
      </c>
      <c r="C28" t="s">
        <v>15</v>
      </c>
    </row>
    <row r="29" spans="1:5" hidden="1" outlineLevel="1" x14ac:dyDescent="0.25">
      <c r="A29" t="s">
        <v>14</v>
      </c>
      <c r="B29" s="1">
        <f>[1]ProdFctr!$L$41</f>
        <v>723147000</v>
      </c>
      <c r="C29" t="s">
        <v>15</v>
      </c>
    </row>
    <row r="30" spans="1:5" collapsed="1" x14ac:dyDescent="0.25">
      <c r="D30" s="124">
        <f>D26/B10</f>
        <v>797064.36743651994</v>
      </c>
      <c r="E30" t="s">
        <v>123</v>
      </c>
    </row>
    <row r="31" spans="1:5" x14ac:dyDescent="0.25">
      <c r="A31" t="s">
        <v>126</v>
      </c>
      <c r="B31" s="3">
        <f>SUM(B24:B26)</f>
        <v>749515559.15793705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3"/>
  <sheetViews>
    <sheetView workbookViewId="0">
      <selection activeCell="D1" sqref="D1"/>
    </sheetView>
  </sheetViews>
  <sheetFormatPr defaultColWidth="9.140625" defaultRowHeight="15" x14ac:dyDescent="0.25"/>
  <cols>
    <col min="1" max="1" width="4.5703125" style="43" customWidth="1"/>
    <col min="2" max="2" width="6.7109375" style="44" bestFit="1" customWidth="1"/>
    <col min="3" max="3" width="3.7109375" style="44" bestFit="1" customWidth="1"/>
    <col min="4" max="4" width="56.28515625" style="43" bestFit="1" customWidth="1"/>
    <col min="5" max="5" width="14.140625" style="43" bestFit="1" customWidth="1"/>
    <col min="6" max="6" width="15.5703125" style="43" bestFit="1" customWidth="1"/>
    <col min="7" max="8" width="13.7109375" style="43" customWidth="1"/>
    <col min="9" max="9" width="11.85546875" style="43" bestFit="1" customWidth="1"/>
    <col min="10" max="10" width="13.140625" style="43" bestFit="1" customWidth="1"/>
    <col min="11" max="11" width="14.140625" style="43" bestFit="1" customWidth="1"/>
    <col min="12" max="12" width="13.140625" style="43" bestFit="1" customWidth="1"/>
    <col min="13" max="13" width="10.7109375" style="45" bestFit="1" customWidth="1"/>
    <col min="14" max="14" width="16.7109375" style="45" bestFit="1" customWidth="1"/>
    <col min="15" max="15" width="13.140625" style="43" bestFit="1" customWidth="1"/>
    <col min="16" max="16" width="11.140625" style="43" bestFit="1" customWidth="1"/>
    <col min="17" max="17" width="13.140625" style="43" bestFit="1" customWidth="1"/>
    <col min="18" max="16384" width="9.140625" style="43"/>
  </cols>
  <sheetData>
    <row r="1" spans="1:74" ht="15.75" thickBot="1" x14ac:dyDescent="0.3">
      <c r="A1" s="110"/>
      <c r="B1" s="111"/>
      <c r="C1" s="111"/>
      <c r="D1" s="110" t="s">
        <v>110</v>
      </c>
      <c r="E1" s="110"/>
      <c r="F1" s="110"/>
      <c r="G1" s="110"/>
      <c r="H1" s="110"/>
      <c r="I1" s="110"/>
      <c r="J1" s="110"/>
    </row>
    <row r="2" spans="1:74" ht="19.5" thickBot="1" x14ac:dyDescent="0.35">
      <c r="A2" s="46" t="s">
        <v>34</v>
      </c>
      <c r="I2" s="47" t="s">
        <v>59</v>
      </c>
      <c r="J2" s="48"/>
      <c r="L2" s="49"/>
      <c r="O2" s="49"/>
      <c r="P2" s="49"/>
    </row>
    <row r="3" spans="1:74" ht="18.75" x14ac:dyDescent="0.3">
      <c r="A3" s="46" t="s">
        <v>60</v>
      </c>
      <c r="L3" s="49"/>
      <c r="O3" s="49"/>
      <c r="P3" s="49"/>
    </row>
    <row r="4" spans="1:74" ht="19.5" thickBot="1" x14ac:dyDescent="0.35">
      <c r="A4" s="46" t="s">
        <v>61</v>
      </c>
      <c r="I4" s="50" t="s">
        <v>17</v>
      </c>
      <c r="J4" s="50" t="s">
        <v>62</v>
      </c>
      <c r="L4" s="49"/>
      <c r="O4" s="49"/>
      <c r="P4" s="49"/>
    </row>
    <row r="5" spans="1:74" ht="18.75" x14ac:dyDescent="0.3">
      <c r="A5" s="46" t="s">
        <v>63</v>
      </c>
      <c r="I5" s="51" t="s">
        <v>64</v>
      </c>
      <c r="J5" s="51" t="s">
        <v>64</v>
      </c>
      <c r="L5" s="49"/>
      <c r="O5" s="45"/>
      <c r="P5" s="45"/>
      <c r="Q5" s="45"/>
      <c r="R5" s="45"/>
      <c r="S5" s="45"/>
      <c r="T5" s="45"/>
      <c r="U5" s="45"/>
    </row>
    <row r="6" spans="1:74" ht="15.75" thickBot="1" x14ac:dyDescent="0.3">
      <c r="I6" s="52">
        <v>0</v>
      </c>
      <c r="J6" s="52">
        <f>1-I6</f>
        <v>1</v>
      </c>
      <c r="L6" s="45"/>
      <c r="O6" s="45"/>
      <c r="P6" s="45"/>
      <c r="Q6" s="45"/>
      <c r="R6" s="45"/>
      <c r="S6" s="45"/>
      <c r="T6" s="45"/>
      <c r="U6" s="45"/>
    </row>
    <row r="7" spans="1:74" x14ac:dyDescent="0.25">
      <c r="I7" s="51" t="s">
        <v>65</v>
      </c>
      <c r="J7" s="51" t="s">
        <v>65</v>
      </c>
      <c r="L7" s="45"/>
      <c r="O7" s="45"/>
      <c r="P7" s="45"/>
      <c r="Q7" s="45"/>
      <c r="R7" s="45"/>
      <c r="S7" s="45"/>
      <c r="T7" s="45"/>
      <c r="U7" s="45"/>
    </row>
    <row r="8" spans="1:74" ht="15.75" thickBot="1" x14ac:dyDescent="0.3">
      <c r="I8" s="53">
        <f>1-J8</f>
        <v>4.4187217636807996E-2</v>
      </c>
      <c r="J8" s="54">
        <v>0.955812782363192</v>
      </c>
      <c r="L8" s="45"/>
      <c r="O8" s="45"/>
      <c r="P8" s="45"/>
      <c r="Q8" s="45"/>
      <c r="R8" s="45"/>
      <c r="S8" s="45"/>
      <c r="T8" s="45"/>
      <c r="U8" s="45"/>
    </row>
    <row r="9" spans="1:74" x14ac:dyDescent="0.25">
      <c r="E9" s="44" t="s">
        <v>66</v>
      </c>
      <c r="F9" s="44" t="s">
        <v>67</v>
      </c>
      <c r="G9" s="44" t="s">
        <v>68</v>
      </c>
      <c r="H9" s="44" t="s">
        <v>68</v>
      </c>
      <c r="I9" s="44" t="s">
        <v>69</v>
      </c>
      <c r="K9" s="45"/>
      <c r="L9" s="45"/>
      <c r="O9" s="45"/>
      <c r="P9" s="45"/>
      <c r="Q9" s="45"/>
      <c r="R9" s="45"/>
      <c r="S9" s="45"/>
      <c r="T9" s="45"/>
      <c r="U9" s="45"/>
    </row>
    <row r="10" spans="1:74" x14ac:dyDescent="0.25">
      <c r="A10" s="43" t="s">
        <v>70</v>
      </c>
      <c r="B10" s="44" t="s">
        <v>71</v>
      </c>
      <c r="C10" s="44" t="s">
        <v>72</v>
      </c>
      <c r="D10" s="43" t="s">
        <v>11</v>
      </c>
      <c r="E10" s="44" t="s">
        <v>73</v>
      </c>
      <c r="F10" s="44" t="s">
        <v>74</v>
      </c>
      <c r="G10" s="44" t="s">
        <v>75</v>
      </c>
      <c r="H10" s="44" t="s">
        <v>76</v>
      </c>
      <c r="I10" s="44" t="s">
        <v>77</v>
      </c>
      <c r="K10" s="45"/>
      <c r="L10" s="45"/>
      <c r="O10" s="45"/>
      <c r="P10" s="45"/>
      <c r="Q10" s="45"/>
      <c r="R10" s="45"/>
      <c r="S10" s="45"/>
      <c r="T10" s="45"/>
      <c r="U10" s="45"/>
    </row>
    <row r="11" spans="1:74" x14ac:dyDescent="0.25">
      <c r="A11" s="44">
        <v>1</v>
      </c>
      <c r="E11" s="55"/>
      <c r="F11" s="55"/>
      <c r="G11" s="55"/>
      <c r="H11" s="55"/>
      <c r="I11" s="55"/>
      <c r="J11" s="55"/>
      <c r="K11" s="45"/>
      <c r="L11" s="45"/>
      <c r="O11" s="45"/>
      <c r="P11" s="45"/>
      <c r="Q11" s="45"/>
      <c r="R11" s="45"/>
      <c r="S11" s="45"/>
      <c r="T11" s="45"/>
      <c r="U11" s="4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</row>
    <row r="12" spans="1:74" x14ac:dyDescent="0.25">
      <c r="A12" s="44">
        <f>+A11+1</f>
        <v>2</v>
      </c>
      <c r="D12" s="56" t="s">
        <v>78</v>
      </c>
      <c r="E12" s="55"/>
      <c r="F12" s="55"/>
      <c r="G12" s="55"/>
      <c r="H12" s="55"/>
      <c r="I12" s="55"/>
      <c r="J12" s="55"/>
      <c r="K12" s="45"/>
      <c r="L12" s="45"/>
      <c r="O12" s="45"/>
      <c r="P12" s="45"/>
      <c r="Q12" s="45"/>
      <c r="R12" s="45"/>
      <c r="S12" s="45"/>
      <c r="T12" s="45"/>
      <c r="U12" s="4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</row>
    <row r="13" spans="1:74" x14ac:dyDescent="0.25">
      <c r="A13" s="44">
        <f t="shared" ref="A13:A28" si="0">+A12+1</f>
        <v>3</v>
      </c>
      <c r="B13" s="57">
        <v>501</v>
      </c>
      <c r="C13" s="57" t="s">
        <v>79</v>
      </c>
      <c r="D13" s="43" t="s">
        <v>80</v>
      </c>
      <c r="E13" s="55">
        <v>79334191.840000004</v>
      </c>
      <c r="F13" s="55">
        <v>38804034.734400757</v>
      </c>
      <c r="G13" s="55"/>
      <c r="H13" s="55"/>
      <c r="I13" s="55">
        <f t="shared" ref="I13:I20" si="1">SUM(F13:H13)</f>
        <v>38804034.734400757</v>
      </c>
      <c r="J13" s="55">
        <f t="shared" ref="J13:J20" si="2">IF(C13="v",I13*$J$8,I13*$J$6)</f>
        <v>37089392.406405531</v>
      </c>
      <c r="K13" s="45"/>
      <c r="L13" s="45"/>
      <c r="O13" s="45"/>
      <c r="P13" s="45"/>
      <c r="Q13" s="45"/>
      <c r="R13" s="45"/>
      <c r="S13" s="45"/>
      <c r="T13" s="45"/>
      <c r="U13" s="4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</row>
    <row r="14" spans="1:74" x14ac:dyDescent="0.25">
      <c r="A14" s="44">
        <f>+A13+1</f>
        <v>4</v>
      </c>
      <c r="B14" s="57">
        <v>547</v>
      </c>
      <c r="C14" s="57" t="s">
        <v>79</v>
      </c>
      <c r="D14" s="43" t="s">
        <v>81</v>
      </c>
      <c r="E14" s="55">
        <v>125903300.81000002</v>
      </c>
      <c r="F14" s="55">
        <v>132793717.47831185</v>
      </c>
      <c r="G14" s="55"/>
      <c r="H14" s="55"/>
      <c r="I14" s="55">
        <f t="shared" si="1"/>
        <v>132793717.47831185</v>
      </c>
      <c r="J14" s="55">
        <f t="shared" si="2"/>
        <v>126925932.5832969</v>
      </c>
      <c r="K14" s="45"/>
      <c r="L14" s="45"/>
      <c r="O14" s="45"/>
      <c r="P14" s="45"/>
      <c r="Q14" s="45"/>
      <c r="R14" s="45"/>
      <c r="S14" s="45"/>
      <c r="T14" s="45"/>
      <c r="U14" s="4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</row>
    <row r="15" spans="1:74" x14ac:dyDescent="0.25">
      <c r="A15" s="44">
        <f t="shared" si="0"/>
        <v>5</v>
      </c>
      <c r="B15" s="57">
        <v>555</v>
      </c>
      <c r="C15" s="57" t="s">
        <v>79</v>
      </c>
      <c r="D15" s="43" t="s">
        <v>82</v>
      </c>
      <c r="E15" s="55">
        <v>588866958.71446157</v>
      </c>
      <c r="F15" s="55">
        <v>490304182.99852419</v>
      </c>
      <c r="G15" s="55"/>
      <c r="H15" s="55"/>
      <c r="I15" s="55">
        <f t="shared" si="1"/>
        <v>490304182.99852419</v>
      </c>
      <c r="J15" s="55">
        <f t="shared" si="2"/>
        <v>468639005.35613108</v>
      </c>
      <c r="K15" s="45"/>
      <c r="L15" s="45"/>
      <c r="O15" s="45"/>
      <c r="P15" s="45"/>
      <c r="Q15" s="45"/>
      <c r="R15" s="45"/>
      <c r="S15" s="45"/>
      <c r="T15" s="45"/>
      <c r="U15" s="4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</row>
    <row r="16" spans="1:74" x14ac:dyDescent="0.25">
      <c r="A16" s="44">
        <f t="shared" si="0"/>
        <v>6</v>
      </c>
      <c r="B16" s="57">
        <v>557</v>
      </c>
      <c r="C16" s="57" t="s">
        <v>83</v>
      </c>
      <c r="D16" s="43" t="s">
        <v>84</v>
      </c>
      <c r="E16" s="55">
        <v>11072849.4899999</v>
      </c>
      <c r="F16" s="58">
        <v>9989396.959999999</v>
      </c>
      <c r="G16" s="55">
        <v>-1833483.02</v>
      </c>
      <c r="H16" s="55">
        <v>-323117.56</v>
      </c>
      <c r="I16" s="55">
        <f t="shared" si="1"/>
        <v>7832796.3799999999</v>
      </c>
      <c r="J16" s="55">
        <f t="shared" si="2"/>
        <v>7832796.3799999999</v>
      </c>
      <c r="K16" s="45"/>
      <c r="L16" s="45"/>
      <c r="O16" s="45"/>
      <c r="P16" s="45"/>
      <c r="Q16" s="45"/>
      <c r="R16" s="45"/>
      <c r="S16" s="45"/>
      <c r="T16" s="45"/>
      <c r="U16" s="4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</row>
    <row r="17" spans="1:74" x14ac:dyDescent="0.25">
      <c r="A17" s="44">
        <f t="shared" si="0"/>
        <v>7</v>
      </c>
      <c r="B17" s="57">
        <v>557</v>
      </c>
      <c r="C17" s="57" t="s">
        <v>79</v>
      </c>
      <c r="D17" s="43" t="s">
        <v>85</v>
      </c>
      <c r="E17" s="55">
        <v>446665.22</v>
      </c>
      <c r="F17" s="55">
        <f>+E17</f>
        <v>446665.22</v>
      </c>
      <c r="G17" s="55"/>
      <c r="H17" s="55"/>
      <c r="I17" s="55">
        <f t="shared" si="1"/>
        <v>446665.22</v>
      </c>
      <c r="J17" s="55">
        <f t="shared" si="2"/>
        <v>426928.32671306725</v>
      </c>
      <c r="K17" s="45"/>
      <c r="L17" s="45"/>
      <c r="O17" s="45"/>
      <c r="P17" s="45"/>
      <c r="Q17" s="45"/>
      <c r="R17" s="45"/>
      <c r="S17" s="45"/>
      <c r="T17" s="45"/>
      <c r="U17" s="4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</row>
    <row r="18" spans="1:74" x14ac:dyDescent="0.25">
      <c r="A18" s="44">
        <f t="shared" si="0"/>
        <v>8</v>
      </c>
      <c r="B18" s="57">
        <v>565</v>
      </c>
      <c r="C18" s="57" t="s">
        <v>79</v>
      </c>
      <c r="D18" s="43" t="s">
        <v>86</v>
      </c>
      <c r="E18" s="55">
        <v>115807777.5999999</v>
      </c>
      <c r="F18" s="55">
        <v>117686637.85096911</v>
      </c>
      <c r="G18" s="55"/>
      <c r="H18" s="55"/>
      <c r="I18" s="55">
        <f t="shared" si="1"/>
        <v>117686637.85096911</v>
      </c>
      <c r="J18" s="55">
        <f t="shared" si="2"/>
        <v>112486392.77130413</v>
      </c>
      <c r="K18" s="45"/>
      <c r="L18" s="45"/>
      <c r="O18" s="45"/>
      <c r="P18" s="45"/>
      <c r="Q18" s="45"/>
      <c r="R18" s="45"/>
      <c r="S18" s="45"/>
      <c r="T18" s="45"/>
      <c r="U18" s="4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</row>
    <row r="19" spans="1:74" x14ac:dyDescent="0.25">
      <c r="A19" s="44">
        <f t="shared" si="0"/>
        <v>9</v>
      </c>
      <c r="B19" s="57">
        <v>447</v>
      </c>
      <c r="C19" s="57" t="s">
        <v>79</v>
      </c>
      <c r="D19" s="43" t="s">
        <v>87</v>
      </c>
      <c r="E19" s="55">
        <v>-155333122.24000001</v>
      </c>
      <c r="F19" s="55">
        <v>-9461726.5947000012</v>
      </c>
      <c r="G19" s="55"/>
      <c r="H19" s="55"/>
      <c r="I19" s="55">
        <f t="shared" si="1"/>
        <v>-9461726.5947000012</v>
      </c>
      <c r="J19" s="55">
        <f t="shared" si="2"/>
        <v>-9043639.2224400174</v>
      </c>
      <c r="K19" s="45"/>
      <c r="L19" s="45"/>
      <c r="O19" s="45"/>
      <c r="P19" s="45"/>
      <c r="Q19" s="45"/>
      <c r="R19" s="45"/>
      <c r="S19" s="45"/>
      <c r="T19" s="45"/>
      <c r="U19" s="4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</row>
    <row r="20" spans="1:74" x14ac:dyDescent="0.25">
      <c r="A20" s="44">
        <f t="shared" si="0"/>
        <v>10</v>
      </c>
      <c r="B20" s="57">
        <v>456</v>
      </c>
      <c r="C20" s="57" t="s">
        <v>79</v>
      </c>
      <c r="D20" s="43" t="s">
        <v>88</v>
      </c>
      <c r="E20" s="55">
        <v>-69470811.980000019</v>
      </c>
      <c r="F20" s="55">
        <v>-28825990.497417644</v>
      </c>
      <c r="G20" s="55"/>
      <c r="H20" s="55"/>
      <c r="I20" s="55">
        <f t="shared" si="1"/>
        <v>-28825990.497417644</v>
      </c>
      <c r="J20" s="55">
        <f t="shared" si="2"/>
        <v>-27552250.181711692</v>
      </c>
      <c r="K20" s="45"/>
      <c r="L20" s="45"/>
      <c r="O20" s="45"/>
      <c r="P20" s="45"/>
      <c r="Q20" s="45"/>
      <c r="R20" s="45"/>
      <c r="S20" s="45"/>
      <c r="T20" s="45"/>
      <c r="U20" s="4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</row>
    <row r="21" spans="1:74" x14ac:dyDescent="0.25">
      <c r="A21" s="44">
        <f t="shared" si="0"/>
        <v>11</v>
      </c>
      <c r="B21" s="57"/>
      <c r="C21" s="57"/>
      <c r="D21" s="59" t="s">
        <v>89</v>
      </c>
      <c r="E21" s="60">
        <f t="shared" ref="E21:J21" si="3">SUM(E13:E20)</f>
        <v>696627809.45446146</v>
      </c>
      <c r="F21" s="60">
        <f t="shared" si="3"/>
        <v>751736918.15008831</v>
      </c>
      <c r="G21" s="60">
        <f t="shared" si="3"/>
        <v>-1833483.02</v>
      </c>
      <c r="H21" s="60">
        <f t="shared" si="3"/>
        <v>-323117.56</v>
      </c>
      <c r="I21" s="60">
        <f t="shared" si="3"/>
        <v>749580317.57008827</v>
      </c>
      <c r="J21" s="60">
        <f t="shared" si="3"/>
        <v>716804558.41969907</v>
      </c>
      <c r="K21" s="45"/>
      <c r="L21" s="45"/>
      <c r="O21" s="45"/>
      <c r="P21" s="45"/>
      <c r="Q21" s="45"/>
      <c r="R21" s="45"/>
      <c r="S21" s="45"/>
      <c r="T21" s="45"/>
      <c r="U21" s="4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</row>
    <row r="22" spans="1:74" x14ac:dyDescent="0.25">
      <c r="A22" s="44">
        <f t="shared" si="0"/>
        <v>12</v>
      </c>
      <c r="B22" s="57"/>
      <c r="C22" s="57"/>
      <c r="D22" s="61" t="s">
        <v>90</v>
      </c>
      <c r="E22" s="55">
        <v>0</v>
      </c>
      <c r="F22" s="55">
        <v>0</v>
      </c>
      <c r="G22" s="55"/>
      <c r="H22" s="55"/>
      <c r="I22" s="55">
        <f>+F21+G21+H21-I21</f>
        <v>0</v>
      </c>
      <c r="J22" s="55"/>
      <c r="K22" s="45"/>
      <c r="L22" s="45"/>
      <c r="O22" s="45"/>
      <c r="P22" s="45"/>
      <c r="Q22" s="45"/>
      <c r="R22" s="45"/>
      <c r="S22" s="45"/>
      <c r="T22" s="45"/>
      <c r="U22" s="4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</row>
    <row r="23" spans="1:74" x14ac:dyDescent="0.25">
      <c r="A23" s="44">
        <f t="shared" si="0"/>
        <v>13</v>
      </c>
      <c r="B23" s="57"/>
      <c r="C23" s="57"/>
      <c r="D23" s="56" t="s">
        <v>91</v>
      </c>
      <c r="E23" s="55"/>
      <c r="F23" s="55"/>
      <c r="G23" s="55"/>
      <c r="H23" s="55"/>
      <c r="I23" s="55"/>
      <c r="J23" s="55"/>
      <c r="K23" s="45"/>
      <c r="L23" s="45"/>
      <c r="O23" s="45"/>
      <c r="P23" s="45"/>
      <c r="Q23" s="45"/>
      <c r="R23" s="45"/>
      <c r="S23" s="45"/>
      <c r="T23" s="45"/>
      <c r="U23" s="4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</row>
    <row r="24" spans="1:74" x14ac:dyDescent="0.25">
      <c r="A24" s="44">
        <f t="shared" si="0"/>
        <v>14</v>
      </c>
      <c r="B24" s="57" t="s">
        <v>92</v>
      </c>
      <c r="C24" s="57" t="s">
        <v>83</v>
      </c>
      <c r="D24" s="62" t="s">
        <v>93</v>
      </c>
      <c r="E24" s="55">
        <v>127167992.89</v>
      </c>
      <c r="F24" s="55">
        <v>115311437.13724567</v>
      </c>
      <c r="G24" s="55">
        <v>-6141737.9100000001</v>
      </c>
      <c r="H24" s="55">
        <v>-1619460.36</v>
      </c>
      <c r="I24" s="55">
        <f>SUM(F24:H24)</f>
        <v>107550238.86724567</v>
      </c>
      <c r="J24" s="55">
        <f>IF(C24="v",I24*$J$8,I24*$J$6)</f>
        <v>107550238.86724567</v>
      </c>
      <c r="K24" s="45"/>
      <c r="L24" s="45"/>
      <c r="O24" s="45"/>
      <c r="P24" s="45"/>
      <c r="Q24" s="45"/>
      <c r="R24" s="45"/>
      <c r="S24" s="45"/>
      <c r="T24" s="45"/>
      <c r="U24" s="4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</row>
    <row r="25" spans="1:74" x14ac:dyDescent="0.25">
      <c r="A25" s="44">
        <f t="shared" si="0"/>
        <v>15</v>
      </c>
      <c r="B25" s="57" t="s">
        <v>92</v>
      </c>
      <c r="C25" s="57" t="s">
        <v>83</v>
      </c>
      <c r="D25" s="59" t="s">
        <v>94</v>
      </c>
      <c r="E25" s="55">
        <v>876514.03</v>
      </c>
      <c r="F25" s="55">
        <f>+E25</f>
        <v>876514.03</v>
      </c>
      <c r="G25" s="55"/>
      <c r="H25" s="55"/>
      <c r="I25" s="55">
        <f>SUM(F25:H25)</f>
        <v>876514.03</v>
      </c>
      <c r="J25" s="55">
        <f>IF(C25="v",I25*$J$8,I25*$J$6)</f>
        <v>876514.03</v>
      </c>
      <c r="K25" s="45"/>
      <c r="L25" s="45"/>
      <c r="O25" s="45"/>
      <c r="P25" s="45"/>
      <c r="Q25" s="45"/>
      <c r="R25" s="45"/>
      <c r="S25" s="45"/>
      <c r="T25" s="45"/>
      <c r="U25" s="4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</row>
    <row r="26" spans="1:74" x14ac:dyDescent="0.25">
      <c r="A26" s="44">
        <f t="shared" si="0"/>
        <v>16</v>
      </c>
      <c r="B26" s="57" t="s">
        <v>95</v>
      </c>
      <c r="C26" s="57" t="s">
        <v>83</v>
      </c>
      <c r="D26" s="59" t="s">
        <v>96</v>
      </c>
      <c r="E26" s="55">
        <v>-7201724.9500000002</v>
      </c>
      <c r="F26" s="55">
        <v>-8666881.7085096519</v>
      </c>
      <c r="G26" s="55"/>
      <c r="H26" s="55"/>
      <c r="I26" s="55">
        <f>SUM(F26:H26)</f>
        <v>-8666881.7085096519</v>
      </c>
      <c r="J26" s="55">
        <f>IF(C26="v",I26*$J$8,I26*$J$6)</f>
        <v>-8666881.7085096519</v>
      </c>
      <c r="K26" s="45"/>
      <c r="L26" s="45"/>
      <c r="O26" s="45"/>
      <c r="P26" s="45"/>
      <c r="Q26" s="45"/>
      <c r="R26" s="45"/>
      <c r="S26" s="45"/>
      <c r="T26" s="45"/>
      <c r="U26" s="4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</row>
    <row r="27" spans="1:74" x14ac:dyDescent="0.25">
      <c r="A27" s="44">
        <f t="shared" si="0"/>
        <v>17</v>
      </c>
      <c r="B27" s="57" t="s">
        <v>97</v>
      </c>
      <c r="C27" s="57" t="s">
        <v>79</v>
      </c>
      <c r="D27" s="59" t="s">
        <v>98</v>
      </c>
      <c r="E27" s="55"/>
      <c r="F27" s="55">
        <v>4094424</v>
      </c>
      <c r="G27" s="55"/>
      <c r="H27" s="55"/>
      <c r="I27" s="55">
        <f>SUM(F27:H27)</f>
        <v>4094424</v>
      </c>
      <c r="J27" s="55">
        <f>IF(C27="v",I27*$J$8,I27*$J$6)</f>
        <v>3913502.79561463</v>
      </c>
      <c r="K27" s="45"/>
      <c r="L27" s="45"/>
      <c r="O27" s="45"/>
      <c r="P27" s="45"/>
      <c r="Q27" s="45"/>
      <c r="R27" s="45"/>
      <c r="S27" s="45"/>
      <c r="T27" s="45"/>
      <c r="U27" s="4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</row>
    <row r="28" spans="1:74" ht="15.75" thickBot="1" x14ac:dyDescent="0.3">
      <c r="A28" s="44">
        <f t="shared" si="0"/>
        <v>18</v>
      </c>
      <c r="B28" s="57"/>
      <c r="C28" s="57"/>
      <c r="D28" s="59" t="s">
        <v>99</v>
      </c>
      <c r="E28" s="63">
        <f t="shared" ref="E28:J28" si="4">SUM(E21:E27)</f>
        <v>817470591.42446136</v>
      </c>
      <c r="F28" s="63">
        <f t="shared" si="4"/>
        <v>863352411.60882425</v>
      </c>
      <c r="G28" s="63">
        <f t="shared" si="4"/>
        <v>-7975220.9299999997</v>
      </c>
      <c r="H28" s="63">
        <f t="shared" si="4"/>
        <v>-1942577.9200000002</v>
      </c>
      <c r="I28" s="63">
        <f t="shared" si="4"/>
        <v>853434612.75882423</v>
      </c>
      <c r="J28" s="63">
        <f t="shared" si="4"/>
        <v>820477932.40404963</v>
      </c>
      <c r="K28" s="45"/>
      <c r="L28" s="45"/>
      <c r="O28" s="45"/>
      <c r="P28" s="45"/>
      <c r="Q28" s="45"/>
      <c r="R28" s="45"/>
      <c r="S28" s="45"/>
      <c r="T28" s="45"/>
      <c r="U28" s="4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</row>
    <row r="29" spans="1:74" ht="15.75" thickTop="1" x14ac:dyDescent="0.2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</row>
    <row r="30" spans="1:74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9"/>
      <c r="O30" s="49"/>
      <c r="P30" s="49"/>
      <c r="Q30" s="49"/>
      <c r="R30" s="49"/>
      <c r="S30" s="49"/>
      <c r="T30" s="49"/>
      <c r="U30" s="49"/>
      <c r="V30" s="49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</row>
    <row r="31" spans="1:74" ht="18.75" x14ac:dyDescent="0.3">
      <c r="A31" s="64" t="s">
        <v>100</v>
      </c>
      <c r="B31" s="65"/>
      <c r="C31" s="65"/>
      <c r="D31" s="65"/>
      <c r="E31" s="65"/>
      <c r="F31" s="65"/>
      <c r="G31" s="65"/>
      <c r="H31" s="65"/>
      <c r="I31" s="66"/>
      <c r="J31" s="66"/>
      <c r="K31" s="65"/>
      <c r="L31" s="67"/>
      <c r="M31" s="66"/>
      <c r="N31" s="66"/>
      <c r="O31" s="67"/>
      <c r="P31" s="67"/>
      <c r="Q31" s="65"/>
      <c r="R31" s="65"/>
      <c r="S31" s="65"/>
      <c r="T31" s="65"/>
      <c r="U31" s="68"/>
      <c r="V31" s="49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</row>
    <row r="32" spans="1:74" ht="18.75" x14ac:dyDescent="0.3">
      <c r="A32" s="69"/>
      <c r="B32" s="70"/>
      <c r="C32" s="70"/>
      <c r="D32" s="68"/>
      <c r="E32" s="68"/>
      <c r="F32" s="68"/>
      <c r="G32" s="68"/>
      <c r="H32" s="68"/>
      <c r="I32" s="68"/>
      <c r="J32" s="71" t="s">
        <v>62</v>
      </c>
      <c r="K32" s="68"/>
      <c r="L32" s="72"/>
      <c r="M32" s="73"/>
      <c r="N32" s="71" t="s">
        <v>62</v>
      </c>
      <c r="O32" s="72"/>
      <c r="P32" s="72"/>
      <c r="Q32" s="68"/>
      <c r="R32" s="68"/>
      <c r="S32" s="68"/>
      <c r="T32" s="68"/>
      <c r="U32" s="68"/>
      <c r="V32" s="49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</row>
    <row r="33" spans="1:74" ht="19.5" thickBot="1" x14ac:dyDescent="0.35">
      <c r="A33" s="69"/>
      <c r="B33" s="70"/>
      <c r="C33" s="70"/>
      <c r="D33" s="68"/>
      <c r="E33" s="68"/>
      <c r="F33" s="68"/>
      <c r="G33" s="68"/>
      <c r="H33" s="68"/>
      <c r="I33" s="74" t="s">
        <v>17</v>
      </c>
      <c r="J33" s="75" t="s">
        <v>101</v>
      </c>
      <c r="K33" s="68"/>
      <c r="L33" s="72"/>
      <c r="M33" s="73"/>
      <c r="N33" s="75" t="s">
        <v>102</v>
      </c>
      <c r="O33" s="72"/>
      <c r="P33" s="72"/>
      <c r="Q33" s="68"/>
      <c r="R33" s="68"/>
      <c r="S33" s="68"/>
      <c r="T33" s="68"/>
      <c r="U33" s="68"/>
      <c r="V33" s="49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</row>
    <row r="34" spans="1:74" ht="18.75" x14ac:dyDescent="0.3">
      <c r="A34" s="69"/>
      <c r="B34" s="70"/>
      <c r="C34" s="70"/>
      <c r="D34" s="68"/>
      <c r="E34" s="68"/>
      <c r="F34" s="68"/>
      <c r="G34" s="68"/>
      <c r="H34" s="68"/>
      <c r="I34" s="76" t="s">
        <v>64</v>
      </c>
      <c r="J34" s="77" t="s">
        <v>64</v>
      </c>
      <c r="K34" s="68"/>
      <c r="L34" s="72"/>
      <c r="M34" s="73"/>
      <c r="N34" s="77" t="s">
        <v>64</v>
      </c>
      <c r="O34" s="78"/>
      <c r="P34" s="73"/>
      <c r="Q34" s="73"/>
      <c r="R34" s="68"/>
      <c r="S34" s="68"/>
      <c r="T34" s="68"/>
      <c r="U34" s="68"/>
      <c r="V34" s="49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</row>
    <row r="35" spans="1:74" ht="15.75" thickBot="1" x14ac:dyDescent="0.3">
      <c r="A35" s="68"/>
      <c r="B35" s="70"/>
      <c r="C35" s="70"/>
      <c r="D35" s="68"/>
      <c r="E35" s="68"/>
      <c r="F35" s="68"/>
      <c r="G35" s="68"/>
      <c r="H35" s="68"/>
      <c r="I35" s="79">
        <v>0</v>
      </c>
      <c r="J35" s="80">
        <f>1-I35</f>
        <v>1</v>
      </c>
      <c r="K35" s="68"/>
      <c r="L35" s="73"/>
      <c r="M35" s="73"/>
      <c r="N35" s="80">
        <f>1-M35</f>
        <v>1</v>
      </c>
      <c r="O35" s="81"/>
      <c r="P35" s="73"/>
      <c r="Q35" s="73"/>
      <c r="R35" s="68"/>
      <c r="S35" s="68"/>
      <c r="T35" s="68"/>
      <c r="U35" s="68"/>
      <c r="V35" s="49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</row>
    <row r="36" spans="1:74" x14ac:dyDescent="0.25">
      <c r="A36" s="68"/>
      <c r="B36" s="70"/>
      <c r="C36" s="70"/>
      <c r="D36" s="68"/>
      <c r="E36" s="68"/>
      <c r="F36" s="68"/>
      <c r="G36" s="68"/>
      <c r="H36" s="68"/>
      <c r="I36" s="76" t="s">
        <v>65</v>
      </c>
      <c r="J36" s="77" t="s">
        <v>65</v>
      </c>
      <c r="K36" s="68"/>
      <c r="L36" s="73"/>
      <c r="M36" s="73"/>
      <c r="N36" s="77" t="s">
        <v>65</v>
      </c>
      <c r="O36" s="82"/>
      <c r="P36" s="73"/>
      <c r="Q36" s="73"/>
      <c r="R36" s="68"/>
      <c r="S36" s="68"/>
      <c r="T36" s="68"/>
      <c r="U36" s="68"/>
      <c r="V36" s="49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</row>
    <row r="37" spans="1:74" ht="15.75" thickBot="1" x14ac:dyDescent="0.3">
      <c r="A37" s="68"/>
      <c r="B37" s="70"/>
      <c r="C37" s="70"/>
      <c r="D37" s="68"/>
      <c r="E37" s="68"/>
      <c r="F37" s="68"/>
      <c r="G37" s="68"/>
      <c r="H37" s="68"/>
      <c r="I37" s="83">
        <f>1-J37</f>
        <v>4.5697161037118628E-2</v>
      </c>
      <c r="J37" s="84">
        <v>0.95430283896288137</v>
      </c>
      <c r="K37" s="68"/>
      <c r="L37" s="73"/>
      <c r="M37" s="73"/>
      <c r="N37" s="84">
        <f>+J8</f>
        <v>0.955812782363192</v>
      </c>
      <c r="O37" s="85"/>
      <c r="P37" s="73"/>
      <c r="Q37" s="73"/>
      <c r="R37" s="68"/>
      <c r="S37" s="68"/>
      <c r="T37" s="68"/>
      <c r="U37" s="68"/>
      <c r="V37" s="49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</row>
    <row r="38" spans="1:74" x14ac:dyDescent="0.25">
      <c r="A38" s="68"/>
      <c r="B38" s="70"/>
      <c r="C38" s="70"/>
      <c r="D38" s="68"/>
      <c r="E38" s="70" t="s">
        <v>66</v>
      </c>
      <c r="F38" s="70" t="s">
        <v>67</v>
      </c>
      <c r="G38" s="70" t="s">
        <v>68</v>
      </c>
      <c r="H38" s="70" t="s">
        <v>68</v>
      </c>
      <c r="I38" s="70" t="s">
        <v>69</v>
      </c>
      <c r="J38" s="86" t="s">
        <v>103</v>
      </c>
      <c r="K38" s="70" t="s">
        <v>104</v>
      </c>
      <c r="L38" s="72"/>
      <c r="M38" s="73"/>
      <c r="N38" s="86" t="s">
        <v>103</v>
      </c>
      <c r="O38" s="87"/>
      <c r="P38" s="73"/>
      <c r="Q38" s="73"/>
      <c r="R38" s="68"/>
      <c r="S38" s="68"/>
      <c r="T38" s="68"/>
      <c r="U38" s="68"/>
      <c r="V38" s="49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</row>
    <row r="39" spans="1:74" x14ac:dyDescent="0.25">
      <c r="A39" s="68" t="s">
        <v>70</v>
      </c>
      <c r="B39" s="70" t="s">
        <v>71</v>
      </c>
      <c r="C39" s="70" t="s">
        <v>72</v>
      </c>
      <c r="D39" s="68" t="s">
        <v>11</v>
      </c>
      <c r="E39" s="70" t="s">
        <v>73</v>
      </c>
      <c r="F39" s="70" t="s">
        <v>74</v>
      </c>
      <c r="G39" s="70" t="s">
        <v>75</v>
      </c>
      <c r="H39" s="70" t="s">
        <v>76</v>
      </c>
      <c r="I39" s="70" t="s">
        <v>77</v>
      </c>
      <c r="J39" s="86" t="s">
        <v>105</v>
      </c>
      <c r="K39" s="70" t="s">
        <v>106</v>
      </c>
      <c r="L39" s="72"/>
      <c r="M39" s="73"/>
      <c r="N39" s="86" t="s">
        <v>105</v>
      </c>
      <c r="O39" s="88"/>
      <c r="P39" s="73"/>
      <c r="Q39" s="73"/>
      <c r="R39" s="68"/>
      <c r="S39" s="68"/>
      <c r="T39" s="68"/>
      <c r="U39" s="68"/>
      <c r="V39" s="49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</row>
    <row r="40" spans="1:74" x14ac:dyDescent="0.25">
      <c r="A40" s="70">
        <v>1</v>
      </c>
      <c r="B40" s="70"/>
      <c r="C40" s="70"/>
      <c r="D40" s="68"/>
      <c r="E40" s="89"/>
      <c r="F40" s="89"/>
      <c r="G40" s="89"/>
      <c r="H40" s="89"/>
      <c r="I40" s="89"/>
      <c r="J40" s="90"/>
      <c r="K40" s="89"/>
      <c r="L40" s="72"/>
      <c r="M40" s="73"/>
      <c r="N40" s="90"/>
      <c r="O40" s="72"/>
      <c r="P40" s="73"/>
      <c r="Q40" s="73"/>
      <c r="R40" s="89"/>
      <c r="S40" s="89"/>
      <c r="T40" s="89"/>
      <c r="U40" s="89"/>
      <c r="V40" s="49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</row>
    <row r="41" spans="1:74" x14ac:dyDescent="0.25">
      <c r="A41" s="70">
        <f>+A40+1</f>
        <v>2</v>
      </c>
      <c r="B41" s="70"/>
      <c r="C41" s="70"/>
      <c r="D41" s="91" t="s">
        <v>78</v>
      </c>
      <c r="E41" s="89"/>
      <c r="F41" s="89"/>
      <c r="G41" s="89"/>
      <c r="H41" s="89"/>
      <c r="I41" s="89"/>
      <c r="J41" s="90"/>
      <c r="K41" s="92"/>
      <c r="L41" s="89"/>
      <c r="M41" s="73"/>
      <c r="N41" s="90"/>
      <c r="O41" s="89"/>
      <c r="P41" s="89"/>
      <c r="Q41" s="89"/>
      <c r="R41" s="89"/>
      <c r="S41" s="89"/>
      <c r="T41" s="89"/>
      <c r="U41" s="89"/>
      <c r="V41" s="49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</row>
    <row r="42" spans="1:74" x14ac:dyDescent="0.25">
      <c r="A42" s="70">
        <f t="shared" ref="A42:A57" si="5">+A41+1</f>
        <v>3</v>
      </c>
      <c r="B42" s="93">
        <v>501</v>
      </c>
      <c r="C42" s="93" t="s">
        <v>79</v>
      </c>
      <c r="D42" s="68" t="s">
        <v>80</v>
      </c>
      <c r="E42" s="89">
        <v>79334191.840000004</v>
      </c>
      <c r="F42" s="89">
        <v>38804034.734400757</v>
      </c>
      <c r="G42" s="89"/>
      <c r="H42" s="89"/>
      <c r="I42" s="89">
        <f t="shared" ref="I42:I49" si="6">SUM(F42:H42)</f>
        <v>38804034.734400757</v>
      </c>
      <c r="J42" s="90">
        <f>IF(C42="v",I42*$J$37,I42*$J$6)</f>
        <v>37030800.5102529</v>
      </c>
      <c r="K42" s="92"/>
      <c r="L42" s="89">
        <f>SUM(J42:K42)</f>
        <v>37030800.5102529</v>
      </c>
      <c r="M42" s="73"/>
      <c r="N42" s="90">
        <f>IF(C42="v",I42*$N$37,I42*$J$6)</f>
        <v>37089392.406405531</v>
      </c>
      <c r="O42" s="89"/>
      <c r="P42" s="89"/>
      <c r="Q42" s="89"/>
      <c r="R42" s="89"/>
      <c r="S42" s="89"/>
      <c r="T42" s="89"/>
      <c r="U42" s="89"/>
      <c r="V42" s="49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</row>
    <row r="43" spans="1:74" x14ac:dyDescent="0.25">
      <c r="A43" s="70">
        <f>+A42+1</f>
        <v>4</v>
      </c>
      <c r="B43" s="93">
        <v>547</v>
      </c>
      <c r="C43" s="93" t="s">
        <v>79</v>
      </c>
      <c r="D43" s="68" t="s">
        <v>81</v>
      </c>
      <c r="E43" s="89">
        <v>125903300.81000002</v>
      </c>
      <c r="F43" s="89">
        <v>132793717.47831185</v>
      </c>
      <c r="G43" s="89"/>
      <c r="H43" s="89"/>
      <c r="I43" s="89">
        <f t="shared" si="6"/>
        <v>132793717.47831185</v>
      </c>
      <c r="J43" s="90">
        <f t="shared" ref="J43:J49" si="7">IF(C43="v",I43*$J$37,I43*$J$6)</f>
        <v>126725421.58598781</v>
      </c>
      <c r="K43" s="92"/>
      <c r="L43" s="89">
        <f t="shared" ref="L43:L49" si="8">SUM(J43:K43)</f>
        <v>126725421.58598781</v>
      </c>
      <c r="M43" s="73"/>
      <c r="N43" s="90">
        <f t="shared" ref="N43:N49" si="9">IF(C43="v",I43*$N$37,I43*$J$6)</f>
        <v>126925932.5832969</v>
      </c>
      <c r="O43" s="89"/>
      <c r="P43" s="89"/>
      <c r="Q43" s="89"/>
      <c r="R43" s="89"/>
      <c r="S43" s="89"/>
      <c r="T43" s="89"/>
      <c r="U43" s="89"/>
      <c r="V43" s="49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</row>
    <row r="44" spans="1:74" x14ac:dyDescent="0.25">
      <c r="A44" s="70">
        <f t="shared" si="5"/>
        <v>5</v>
      </c>
      <c r="B44" s="93">
        <v>555</v>
      </c>
      <c r="C44" s="93" t="s">
        <v>79</v>
      </c>
      <c r="D44" s="68" t="s">
        <v>82</v>
      </c>
      <c r="E44" s="89">
        <v>588866958.71446157</v>
      </c>
      <c r="F44" s="89">
        <v>509606182.99852419</v>
      </c>
      <c r="G44" s="89"/>
      <c r="H44" s="89"/>
      <c r="I44" s="89">
        <f t="shared" si="6"/>
        <v>509606182.99852419</v>
      </c>
      <c r="J44" s="90">
        <f t="shared" si="7"/>
        <v>486318627.18852931</v>
      </c>
      <c r="K44" s="89">
        <v>-18419953.397661537</v>
      </c>
      <c r="L44" s="89">
        <f t="shared" si="8"/>
        <v>467898673.79086781</v>
      </c>
      <c r="M44" s="73"/>
      <c r="N44" s="90">
        <f t="shared" si="9"/>
        <v>487088103.68130541</v>
      </c>
      <c r="O44" s="89"/>
      <c r="P44" s="89"/>
      <c r="Q44" s="89"/>
      <c r="R44" s="89"/>
      <c r="S44" s="89"/>
      <c r="T44" s="89"/>
      <c r="U44" s="89"/>
      <c r="V44" s="49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</row>
    <row r="45" spans="1:74" x14ac:dyDescent="0.25">
      <c r="A45" s="70">
        <f t="shared" si="5"/>
        <v>6</v>
      </c>
      <c r="B45" s="93">
        <v>557</v>
      </c>
      <c r="C45" s="93" t="s">
        <v>83</v>
      </c>
      <c r="D45" s="68" t="s">
        <v>84</v>
      </c>
      <c r="E45" s="89">
        <v>11072849.4899999</v>
      </c>
      <c r="F45" s="94">
        <v>9989396.959999999</v>
      </c>
      <c r="G45" s="89">
        <v>-1833483.02</v>
      </c>
      <c r="H45" s="89">
        <v>-323117.56</v>
      </c>
      <c r="I45" s="89">
        <f t="shared" si="6"/>
        <v>7832796.3799999999</v>
      </c>
      <c r="J45" s="90">
        <f t="shared" si="7"/>
        <v>7832796.3799999999</v>
      </c>
      <c r="K45" s="92"/>
      <c r="L45" s="89">
        <f t="shared" si="8"/>
        <v>7832796.3799999999</v>
      </c>
      <c r="M45" s="73"/>
      <c r="N45" s="90">
        <f t="shared" si="9"/>
        <v>7832796.3799999999</v>
      </c>
      <c r="O45" s="89"/>
      <c r="P45" s="89"/>
      <c r="Q45" s="89"/>
      <c r="R45" s="89"/>
      <c r="S45" s="89"/>
      <c r="T45" s="89"/>
      <c r="U45" s="89"/>
      <c r="V45" s="49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</row>
    <row r="46" spans="1:74" x14ac:dyDescent="0.25">
      <c r="A46" s="70">
        <f t="shared" si="5"/>
        <v>7</v>
      </c>
      <c r="B46" s="93">
        <v>557</v>
      </c>
      <c r="C46" s="93" t="s">
        <v>79</v>
      </c>
      <c r="D46" s="68" t="s">
        <v>85</v>
      </c>
      <c r="E46" s="89">
        <v>446665.22</v>
      </c>
      <c r="F46" s="89">
        <v>446665.22</v>
      </c>
      <c r="G46" s="89"/>
      <c r="H46" s="89"/>
      <c r="I46" s="89">
        <f t="shared" si="6"/>
        <v>446665.22</v>
      </c>
      <c r="J46" s="90">
        <f t="shared" si="7"/>
        <v>426253.88751197996</v>
      </c>
      <c r="K46" s="92"/>
      <c r="L46" s="89">
        <f t="shared" si="8"/>
        <v>426253.88751197996</v>
      </c>
      <c r="M46" s="73"/>
      <c r="N46" s="90">
        <f t="shared" si="9"/>
        <v>426928.32671306725</v>
      </c>
      <c r="O46" s="89"/>
      <c r="P46" s="89"/>
      <c r="Q46" s="89"/>
      <c r="R46" s="89"/>
      <c r="S46" s="89"/>
      <c r="T46" s="89"/>
      <c r="U46" s="89"/>
      <c r="V46" s="49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</row>
    <row r="47" spans="1:74" x14ac:dyDescent="0.25">
      <c r="A47" s="70">
        <f t="shared" si="5"/>
        <v>8</v>
      </c>
      <c r="B47" s="93">
        <v>565</v>
      </c>
      <c r="C47" s="93" t="s">
        <v>79</v>
      </c>
      <c r="D47" s="68" t="s">
        <v>86</v>
      </c>
      <c r="E47" s="89">
        <v>115807777.5999999</v>
      </c>
      <c r="F47" s="89">
        <v>117686637.85096911</v>
      </c>
      <c r="G47" s="89"/>
      <c r="H47" s="89"/>
      <c r="I47" s="89">
        <f t="shared" si="6"/>
        <v>117686637.85096911</v>
      </c>
      <c r="J47" s="90">
        <f t="shared" si="7"/>
        <v>112308692.60917631</v>
      </c>
      <c r="K47" s="92"/>
      <c r="L47" s="89">
        <f t="shared" si="8"/>
        <v>112308692.60917631</v>
      </c>
      <c r="M47" s="73"/>
      <c r="N47" s="90">
        <f t="shared" si="9"/>
        <v>112486392.77130413</v>
      </c>
      <c r="O47" s="89"/>
      <c r="P47" s="89"/>
      <c r="Q47" s="89"/>
      <c r="R47" s="89"/>
      <c r="S47" s="89"/>
      <c r="T47" s="89"/>
      <c r="U47" s="89"/>
      <c r="V47" s="49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</row>
    <row r="48" spans="1:74" x14ac:dyDescent="0.25">
      <c r="A48" s="70">
        <f t="shared" si="5"/>
        <v>9</v>
      </c>
      <c r="B48" s="93">
        <v>447</v>
      </c>
      <c r="C48" s="93" t="s">
        <v>79</v>
      </c>
      <c r="D48" s="68" t="s">
        <v>87</v>
      </c>
      <c r="E48" s="89">
        <v>-155333122.24000001</v>
      </c>
      <c r="F48" s="89">
        <v>-9461726.5947000012</v>
      </c>
      <c r="G48" s="89"/>
      <c r="H48" s="89"/>
      <c r="I48" s="89">
        <f t="shared" si="6"/>
        <v>-9461726.5947000012</v>
      </c>
      <c r="J48" s="90">
        <f t="shared" si="7"/>
        <v>-9029352.5508128069</v>
      </c>
      <c r="K48" s="92"/>
      <c r="L48" s="89">
        <f t="shared" si="8"/>
        <v>-9029352.5508128069</v>
      </c>
      <c r="M48" s="73"/>
      <c r="N48" s="90">
        <f t="shared" si="9"/>
        <v>-9043639.2224400174</v>
      </c>
      <c r="O48" s="89"/>
      <c r="P48" s="89"/>
      <c r="Q48" s="89"/>
      <c r="R48" s="89"/>
      <c r="S48" s="89"/>
      <c r="T48" s="89"/>
      <c r="U48" s="89"/>
      <c r="V48" s="49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</row>
    <row r="49" spans="1:74" x14ac:dyDescent="0.25">
      <c r="A49" s="70">
        <f t="shared" si="5"/>
        <v>10</v>
      </c>
      <c r="B49" s="93">
        <v>456</v>
      </c>
      <c r="C49" s="93" t="s">
        <v>79</v>
      </c>
      <c r="D49" s="68" t="s">
        <v>88</v>
      </c>
      <c r="E49" s="89">
        <v>-69470811.980000019</v>
      </c>
      <c r="F49" s="89">
        <v>-28825990.497417644</v>
      </c>
      <c r="G49" s="89"/>
      <c r="H49" s="89"/>
      <c r="I49" s="89">
        <f t="shared" si="6"/>
        <v>-28825990.497417644</v>
      </c>
      <c r="J49" s="90">
        <f t="shared" si="7"/>
        <v>-27508724.567602698</v>
      </c>
      <c r="K49" s="92"/>
      <c r="L49" s="89">
        <f t="shared" si="8"/>
        <v>-27508724.567602698</v>
      </c>
      <c r="M49" s="73"/>
      <c r="N49" s="90">
        <f t="shared" si="9"/>
        <v>-27552250.181711692</v>
      </c>
      <c r="O49" s="73"/>
      <c r="P49" s="89"/>
      <c r="Q49" s="89"/>
      <c r="R49" s="89"/>
      <c r="S49" s="89"/>
      <c r="T49" s="89"/>
      <c r="U49" s="89"/>
      <c r="V49" s="49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</row>
    <row r="50" spans="1:74" x14ac:dyDescent="0.25">
      <c r="A50" s="70">
        <f t="shared" si="5"/>
        <v>11</v>
      </c>
      <c r="B50" s="93"/>
      <c r="C50" s="93"/>
      <c r="D50" s="95" t="s">
        <v>89</v>
      </c>
      <c r="E50" s="96">
        <f t="shared" ref="E50:L50" si="10">SUM(E42:E49)</f>
        <v>696627809.45446146</v>
      </c>
      <c r="F50" s="96">
        <f t="shared" si="10"/>
        <v>771038918.15008831</v>
      </c>
      <c r="G50" s="96">
        <f t="shared" si="10"/>
        <v>-1833483.02</v>
      </c>
      <c r="H50" s="96">
        <f t="shared" si="10"/>
        <v>-323117.56</v>
      </c>
      <c r="I50" s="96">
        <f t="shared" si="10"/>
        <v>768882317.57008827</v>
      </c>
      <c r="J50" s="97">
        <f t="shared" si="10"/>
        <v>734104515.04304266</v>
      </c>
      <c r="K50" s="96">
        <f t="shared" si="10"/>
        <v>-18419953.397661537</v>
      </c>
      <c r="L50" s="96">
        <f t="shared" si="10"/>
        <v>715684561.64538121</v>
      </c>
      <c r="M50" s="73"/>
      <c r="N50" s="97">
        <f t="shared" ref="N50" si="11">SUM(N42:N49)</f>
        <v>735253656.7448734</v>
      </c>
      <c r="O50" s="73"/>
      <c r="P50" s="89"/>
      <c r="Q50" s="89"/>
      <c r="R50" s="89"/>
      <c r="S50" s="89"/>
      <c r="T50" s="89"/>
      <c r="U50" s="89"/>
      <c r="V50" s="49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</row>
    <row r="51" spans="1:74" x14ac:dyDescent="0.25">
      <c r="A51" s="70">
        <f t="shared" si="5"/>
        <v>12</v>
      </c>
      <c r="B51" s="93"/>
      <c r="C51" s="93"/>
      <c r="D51" s="98" t="s">
        <v>90</v>
      </c>
      <c r="E51" s="89">
        <v>-696627809.45446146</v>
      </c>
      <c r="F51" s="89">
        <v>-771038918.15008831</v>
      </c>
      <c r="G51" s="89"/>
      <c r="H51" s="89"/>
      <c r="I51" s="89">
        <f>+F50+G50+H50-I50</f>
        <v>0</v>
      </c>
      <c r="J51" s="90"/>
      <c r="K51" s="92"/>
      <c r="L51" s="89"/>
      <c r="M51" s="89">
        <v>735253656.7448734</v>
      </c>
      <c r="N51" s="90"/>
      <c r="O51" s="73"/>
      <c r="P51" s="73"/>
      <c r="Q51" s="73"/>
      <c r="R51" s="73"/>
      <c r="S51" s="73"/>
      <c r="T51" s="73"/>
      <c r="U51" s="73"/>
      <c r="V51" s="49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</row>
    <row r="52" spans="1:74" x14ac:dyDescent="0.25">
      <c r="A52" s="70">
        <f t="shared" si="5"/>
        <v>13</v>
      </c>
      <c r="B52" s="93"/>
      <c r="C52" s="93"/>
      <c r="D52" s="91" t="s">
        <v>91</v>
      </c>
      <c r="E52" s="89"/>
      <c r="F52" s="89"/>
      <c r="G52" s="89"/>
      <c r="H52" s="89"/>
      <c r="I52" s="89"/>
      <c r="J52" s="90"/>
      <c r="K52" s="92"/>
      <c r="L52" s="89"/>
      <c r="M52" s="89">
        <v>3913502.79561463</v>
      </c>
      <c r="N52" s="90"/>
      <c r="O52" s="73"/>
      <c r="P52" s="73"/>
      <c r="Q52" s="73"/>
      <c r="R52" s="73"/>
      <c r="S52" s="73"/>
      <c r="T52" s="73"/>
      <c r="U52" s="73"/>
      <c r="V52" s="49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</row>
    <row r="53" spans="1:74" x14ac:dyDescent="0.25">
      <c r="A53" s="70">
        <f t="shared" si="5"/>
        <v>14</v>
      </c>
      <c r="B53" s="93" t="s">
        <v>92</v>
      </c>
      <c r="C53" s="93" t="s">
        <v>83</v>
      </c>
      <c r="D53" s="99" t="s">
        <v>93</v>
      </c>
      <c r="E53" s="89">
        <v>127167992.89</v>
      </c>
      <c r="F53" s="89">
        <v>116323830.74835677</v>
      </c>
      <c r="G53" s="89">
        <v>-6141737.9100000001</v>
      </c>
      <c r="H53" s="89">
        <v>-1619460.36</v>
      </c>
      <c r="I53" s="89">
        <f>SUM(F53:H53)</f>
        <v>108562632.47835678</v>
      </c>
      <c r="J53" s="90">
        <f t="shared" ref="J53:J56" si="12">IF(C53="v",I53*$J$37,I53*$J$6)</f>
        <v>108562632.47835678</v>
      </c>
      <c r="K53" s="89">
        <v>-1012393.6111111111</v>
      </c>
      <c r="L53" s="89">
        <f>SUM(J53:K53)</f>
        <v>107550238.86724567</v>
      </c>
      <c r="M53" s="100">
        <f>SUM(M51:M52)</f>
        <v>739167159.540488</v>
      </c>
      <c r="N53" s="90">
        <f t="shared" ref="N53:N56" si="13">IF(C53="v",I53*$N$37,I53*$J$6)</f>
        <v>108562632.47835678</v>
      </c>
      <c r="O53" s="73"/>
      <c r="P53" s="73"/>
      <c r="Q53" s="73"/>
      <c r="R53" s="73"/>
      <c r="S53" s="73"/>
      <c r="T53" s="73"/>
      <c r="U53" s="73"/>
      <c r="V53" s="49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</row>
    <row r="54" spans="1:74" x14ac:dyDescent="0.25">
      <c r="A54" s="70">
        <f t="shared" si="5"/>
        <v>15</v>
      </c>
      <c r="B54" s="93" t="s">
        <v>92</v>
      </c>
      <c r="C54" s="93" t="s">
        <v>83</v>
      </c>
      <c r="D54" s="95" t="s">
        <v>94</v>
      </c>
      <c r="E54" s="89">
        <v>876514.03</v>
      </c>
      <c r="F54" s="89">
        <v>876514.03</v>
      </c>
      <c r="G54" s="89"/>
      <c r="H54" s="89"/>
      <c r="I54" s="89">
        <f>SUM(F54:H54)</f>
        <v>876514.03</v>
      </c>
      <c r="J54" s="90">
        <f t="shared" si="12"/>
        <v>876514.03</v>
      </c>
      <c r="K54" s="92"/>
      <c r="L54" s="89">
        <f t="shared" ref="L54:L56" si="14">SUM(J54:K54)</f>
        <v>876514.03</v>
      </c>
      <c r="M54" s="101">
        <f>1579/0.79+1</f>
        <v>1999.7341772151897</v>
      </c>
      <c r="N54" s="90">
        <f t="shared" si="13"/>
        <v>876514.03</v>
      </c>
      <c r="O54" s="73"/>
      <c r="P54" s="73"/>
      <c r="Q54" s="73"/>
      <c r="R54" s="73"/>
      <c r="S54" s="73"/>
      <c r="T54" s="73"/>
      <c r="U54" s="73"/>
      <c r="V54" s="49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</row>
    <row r="55" spans="1:74" x14ac:dyDescent="0.25">
      <c r="A55" s="70">
        <f t="shared" si="5"/>
        <v>16</v>
      </c>
      <c r="B55" s="93" t="s">
        <v>95</v>
      </c>
      <c r="C55" s="93" t="s">
        <v>83</v>
      </c>
      <c r="D55" s="95" t="s">
        <v>96</v>
      </c>
      <c r="E55" s="89">
        <v>-7201724.9500000002</v>
      </c>
      <c r="F55" s="89">
        <v>-8666881.7085096519</v>
      </c>
      <c r="G55" s="89"/>
      <c r="H55" s="89"/>
      <c r="I55" s="89">
        <f>SUM(F55:H55)</f>
        <v>-8666881.7085096519</v>
      </c>
      <c r="J55" s="90">
        <f t="shared" si="12"/>
        <v>-8666881.7085096519</v>
      </c>
      <c r="K55" s="92"/>
      <c r="L55" s="89">
        <f t="shared" si="14"/>
        <v>-8666881.7085096519</v>
      </c>
      <c r="M55" s="102">
        <f>J50+J56-M53+M54</f>
        <v>-1153324.3161503242</v>
      </c>
      <c r="N55" s="90">
        <f t="shared" si="13"/>
        <v>-8666881.7085096519</v>
      </c>
      <c r="O55" s="73"/>
      <c r="P55" s="73"/>
      <c r="Q55" s="73"/>
      <c r="R55" s="73"/>
      <c r="S55" s="73"/>
      <c r="T55" s="73"/>
      <c r="U55" s="73"/>
      <c r="V55" s="49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</row>
    <row r="56" spans="1:74" x14ac:dyDescent="0.25">
      <c r="A56" s="70">
        <f t="shared" si="5"/>
        <v>17</v>
      </c>
      <c r="B56" s="93" t="s">
        <v>97</v>
      </c>
      <c r="C56" s="93" t="s">
        <v>79</v>
      </c>
      <c r="D56" s="95" t="s">
        <v>98</v>
      </c>
      <c r="E56" s="89"/>
      <c r="F56" s="89">
        <v>4094424</v>
      </c>
      <c r="G56" s="89"/>
      <c r="H56" s="89"/>
      <c r="I56" s="89">
        <f>SUM(F56:H56)</f>
        <v>4094424</v>
      </c>
      <c r="J56" s="90">
        <f t="shared" si="12"/>
        <v>3907320.4471177566</v>
      </c>
      <c r="K56" s="92"/>
      <c r="L56" s="89">
        <f t="shared" si="14"/>
        <v>3907320.4471177566</v>
      </c>
      <c r="M56" s="73"/>
      <c r="N56" s="90">
        <f t="shared" si="13"/>
        <v>3913502.79561463</v>
      </c>
      <c r="O56" s="73"/>
      <c r="P56" s="73"/>
      <c r="Q56" s="73"/>
      <c r="R56" s="73"/>
      <c r="S56" s="73"/>
      <c r="T56" s="73"/>
      <c r="U56" s="73"/>
      <c r="V56" s="49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</row>
    <row r="57" spans="1:74" ht="15.75" thickBot="1" x14ac:dyDescent="0.3">
      <c r="A57" s="70">
        <f t="shared" si="5"/>
        <v>18</v>
      </c>
      <c r="B57" s="93"/>
      <c r="C57" s="93"/>
      <c r="D57" s="95" t="s">
        <v>99</v>
      </c>
      <c r="E57" s="103">
        <f t="shared" ref="E57:L57" si="15">SUM(E50:E56)</f>
        <v>120842781.97</v>
      </c>
      <c r="F57" s="103">
        <f t="shared" si="15"/>
        <v>112627887.06984712</v>
      </c>
      <c r="G57" s="103">
        <f t="shared" si="15"/>
        <v>-7975220.9299999997</v>
      </c>
      <c r="H57" s="103">
        <f t="shared" si="15"/>
        <v>-1942577.9200000002</v>
      </c>
      <c r="I57" s="103">
        <f t="shared" si="15"/>
        <v>873749006.36993527</v>
      </c>
      <c r="J57" s="104">
        <f t="shared" si="15"/>
        <v>838784100.29000759</v>
      </c>
      <c r="K57" s="103">
        <f t="shared" si="15"/>
        <v>-19432347.008772649</v>
      </c>
      <c r="L57" s="103">
        <f t="shared" si="15"/>
        <v>819351753.28123498</v>
      </c>
      <c r="M57" s="73"/>
      <c r="N57" s="104">
        <f t="shared" ref="N57" si="16">SUM(N50:N56)</f>
        <v>839939424.34033501</v>
      </c>
      <c r="O57" s="73"/>
      <c r="P57" s="89"/>
      <c r="Q57" s="89"/>
      <c r="R57" s="89"/>
      <c r="S57" s="89"/>
      <c r="T57" s="89"/>
      <c r="U57" s="89"/>
      <c r="V57" s="49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</row>
    <row r="58" spans="1:74" ht="15.75" thickTop="1" x14ac:dyDescent="0.25">
      <c r="A58" s="49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9"/>
      <c r="N58" s="105">
        <f>+N57-J57</f>
        <v>1155324.0503274202</v>
      </c>
      <c r="O58" s="49"/>
      <c r="P58" s="49"/>
      <c r="Q58" s="49"/>
      <c r="R58" s="49"/>
      <c r="S58" s="49"/>
      <c r="T58" s="49"/>
      <c r="U58" s="49"/>
      <c r="V58" s="49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</row>
    <row r="59" spans="1:74" x14ac:dyDescent="0.25">
      <c r="A59" s="49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9"/>
      <c r="N59" s="106"/>
      <c r="O59" s="107"/>
      <c r="P59" s="49"/>
      <c r="Q59" s="49"/>
      <c r="R59" s="49"/>
      <c r="S59" s="49"/>
      <c r="T59" s="49"/>
      <c r="U59" s="49"/>
      <c r="V59" s="49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</row>
    <row r="60" spans="1:74" x14ac:dyDescent="0.25">
      <c r="A60" s="49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9"/>
      <c r="N60" s="106">
        <f>+N58*0.79</f>
        <v>912705.99975866207</v>
      </c>
      <c r="O60" s="108" t="s">
        <v>107</v>
      </c>
      <c r="P60" s="49"/>
      <c r="Q60" s="49"/>
      <c r="R60" s="49"/>
      <c r="S60" s="49"/>
      <c r="T60" s="49"/>
      <c r="U60" s="49"/>
      <c r="V60" s="49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</row>
    <row r="61" spans="1:74" x14ac:dyDescent="0.25">
      <c r="A61" s="49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9"/>
      <c r="N61" s="106">
        <f>-M54*0.79</f>
        <v>-1579.79</v>
      </c>
      <c r="O61" s="108" t="s">
        <v>108</v>
      </c>
      <c r="P61" s="49"/>
      <c r="Q61" s="49"/>
      <c r="R61" s="49"/>
      <c r="S61" s="49"/>
      <c r="T61" s="49"/>
      <c r="U61" s="49"/>
      <c r="V61" s="49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</row>
    <row r="62" spans="1:74" ht="15.75" thickBot="1" x14ac:dyDescent="0.3">
      <c r="A62" s="49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9"/>
      <c r="N62" s="109">
        <f>SUM(N60:N61)</f>
        <v>911126.20975866204</v>
      </c>
      <c r="O62" s="108" t="s">
        <v>109</v>
      </c>
      <c r="P62" s="49"/>
      <c r="Q62" s="49"/>
      <c r="R62" s="49"/>
      <c r="S62" s="49"/>
      <c r="T62" s="49"/>
      <c r="U62" s="49"/>
      <c r="V62" s="49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</row>
    <row r="63" spans="1:74" ht="15.75" thickTop="1" x14ac:dyDescent="0.25">
      <c r="A63" s="49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9"/>
      <c r="N63" s="106"/>
      <c r="O63" s="107"/>
      <c r="P63" s="49"/>
      <c r="Q63" s="49"/>
      <c r="R63" s="49"/>
      <c r="S63" s="49"/>
      <c r="T63" s="49"/>
      <c r="U63" s="49"/>
      <c r="V63" s="49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</row>
    <row r="64" spans="1:74" x14ac:dyDescent="0.25">
      <c r="A64" s="49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9"/>
      <c r="N64" s="106"/>
      <c r="O64" s="107"/>
      <c r="P64" s="49"/>
      <c r="Q64" s="49"/>
      <c r="R64" s="49"/>
      <c r="S64" s="49"/>
      <c r="T64" s="49"/>
      <c r="U64" s="49"/>
      <c r="V64" s="49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</row>
    <row r="65" spans="1:22" x14ac:dyDescent="0.25">
      <c r="A65" s="49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9"/>
      <c r="N65" s="106"/>
      <c r="O65" s="107"/>
      <c r="P65" s="49"/>
      <c r="Q65" s="49"/>
      <c r="R65" s="49"/>
      <c r="S65" s="49"/>
      <c r="T65" s="49"/>
      <c r="U65" s="49"/>
      <c r="V65" s="49"/>
    </row>
    <row r="66" spans="1:22" x14ac:dyDescent="0.25">
      <c r="A66" s="49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9"/>
      <c r="N66" s="106"/>
      <c r="O66" s="107"/>
      <c r="P66" s="49"/>
      <c r="Q66" s="49"/>
      <c r="R66" s="49"/>
      <c r="S66" s="49"/>
      <c r="T66" s="49"/>
      <c r="U66" s="49"/>
      <c r="V66" s="49"/>
    </row>
    <row r="67" spans="1:22" x14ac:dyDescent="0.25">
      <c r="A67" s="49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9"/>
      <c r="N67" s="106"/>
      <c r="O67" s="107"/>
      <c r="P67" s="49"/>
      <c r="Q67" s="49"/>
      <c r="R67" s="49"/>
      <c r="S67" s="49"/>
      <c r="T67" s="49"/>
      <c r="U67" s="49"/>
      <c r="V67" s="49"/>
    </row>
    <row r="68" spans="1:22" x14ac:dyDescent="0.25">
      <c r="A68" s="49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9"/>
      <c r="N68" s="106"/>
      <c r="O68" s="107"/>
      <c r="P68" s="49"/>
      <c r="Q68" s="49"/>
      <c r="R68" s="49"/>
      <c r="S68" s="49"/>
      <c r="T68" s="49"/>
      <c r="U68" s="49"/>
      <c r="V68" s="49"/>
    </row>
    <row r="69" spans="1:22" x14ac:dyDescent="0.25">
      <c r="A69" s="49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9"/>
      <c r="N69" s="106"/>
      <c r="O69" s="107"/>
      <c r="P69" s="49"/>
      <c r="Q69" s="49"/>
      <c r="R69" s="49"/>
      <c r="S69" s="49"/>
      <c r="T69" s="49"/>
      <c r="U69" s="49"/>
      <c r="V69" s="49"/>
    </row>
    <row r="70" spans="1:22" x14ac:dyDescent="0.25">
      <c r="A70" s="49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9"/>
      <c r="N70" s="106"/>
      <c r="O70" s="107"/>
      <c r="P70" s="49"/>
      <c r="Q70" s="49"/>
      <c r="R70" s="49"/>
      <c r="S70" s="49"/>
      <c r="T70" s="49"/>
      <c r="U70" s="49"/>
      <c r="V70" s="49"/>
    </row>
    <row r="71" spans="1:22" x14ac:dyDescent="0.25">
      <c r="A71" s="49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9"/>
      <c r="N71" s="106"/>
      <c r="O71" s="107"/>
      <c r="P71" s="49"/>
      <c r="Q71" s="49"/>
      <c r="R71" s="49"/>
      <c r="S71" s="49"/>
      <c r="T71" s="49"/>
      <c r="U71" s="49"/>
      <c r="V71" s="49"/>
    </row>
    <row r="72" spans="1:22" x14ac:dyDescent="0.25">
      <c r="A72" s="49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9"/>
      <c r="N72" s="106"/>
      <c r="O72" s="107"/>
      <c r="P72" s="49"/>
      <c r="Q72" s="49"/>
      <c r="R72" s="49"/>
      <c r="S72" s="49"/>
      <c r="T72" s="49"/>
      <c r="U72" s="49"/>
      <c r="V72" s="49"/>
    </row>
    <row r="73" spans="1:22" x14ac:dyDescent="0.25">
      <c r="A73" s="49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9"/>
      <c r="N73" s="106"/>
      <c r="O73" s="107"/>
      <c r="P73" s="49"/>
      <c r="Q73" s="49"/>
      <c r="R73" s="49"/>
      <c r="S73" s="49"/>
      <c r="T73" s="49"/>
      <c r="U73" s="49"/>
      <c r="V73" s="49"/>
    </row>
    <row r="74" spans="1:22" x14ac:dyDescent="0.25">
      <c r="A74" s="49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9"/>
      <c r="N74" s="106"/>
      <c r="O74" s="107"/>
      <c r="P74" s="49"/>
      <c r="Q74" s="49"/>
      <c r="R74" s="49"/>
      <c r="S74" s="49"/>
      <c r="T74" s="49"/>
      <c r="U74" s="49"/>
      <c r="V74" s="49"/>
    </row>
    <row r="75" spans="1:22" x14ac:dyDescent="0.25">
      <c r="A75" s="49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9"/>
      <c r="N75" s="106"/>
      <c r="O75" s="107"/>
      <c r="P75" s="49"/>
      <c r="Q75" s="49"/>
      <c r="R75" s="49"/>
      <c r="S75" s="49"/>
      <c r="T75" s="49"/>
      <c r="U75" s="49"/>
      <c r="V75" s="49"/>
    </row>
    <row r="76" spans="1:22" x14ac:dyDescent="0.25">
      <c r="A76" s="49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9"/>
      <c r="O76" s="49"/>
      <c r="P76" s="49"/>
      <c r="Q76" s="49"/>
      <c r="R76" s="49"/>
      <c r="S76" s="49"/>
      <c r="T76" s="49"/>
      <c r="U76" s="49"/>
      <c r="V76" s="49"/>
    </row>
    <row r="77" spans="1:22" x14ac:dyDescent="0.25">
      <c r="A77" s="49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9"/>
      <c r="O77" s="49"/>
      <c r="P77" s="49"/>
      <c r="Q77" s="49"/>
      <c r="R77" s="49"/>
      <c r="S77" s="49"/>
      <c r="T77" s="49"/>
      <c r="U77" s="49"/>
      <c r="V77" s="49"/>
    </row>
    <row r="78" spans="1:22" x14ac:dyDescent="0.25">
      <c r="A78" s="49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9"/>
      <c r="O78" s="49"/>
      <c r="P78" s="49"/>
      <c r="Q78" s="49"/>
      <c r="R78" s="49"/>
      <c r="S78" s="49"/>
      <c r="T78" s="49"/>
      <c r="U78" s="49"/>
      <c r="V78" s="49"/>
    </row>
    <row r="79" spans="1:22" x14ac:dyDescent="0.25">
      <c r="A79" s="49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9"/>
      <c r="O79" s="49"/>
      <c r="P79" s="49"/>
      <c r="Q79" s="49"/>
      <c r="R79" s="49"/>
      <c r="S79" s="49"/>
      <c r="T79" s="49"/>
      <c r="U79" s="49"/>
      <c r="V79" s="49"/>
    </row>
    <row r="80" spans="1:22" x14ac:dyDescent="0.25">
      <c r="A80" s="49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9"/>
      <c r="O80" s="49"/>
      <c r="P80" s="49"/>
      <c r="Q80" s="49"/>
      <c r="R80" s="49"/>
      <c r="S80" s="49"/>
      <c r="T80" s="49"/>
      <c r="U80" s="49"/>
      <c r="V80" s="49"/>
    </row>
    <row r="81" spans="1:22" x14ac:dyDescent="0.25">
      <c r="A81" s="49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9"/>
      <c r="O81" s="49"/>
      <c r="P81" s="49"/>
      <c r="Q81" s="49"/>
      <c r="R81" s="49"/>
      <c r="S81" s="49"/>
      <c r="T81" s="49"/>
      <c r="U81" s="49"/>
      <c r="V81" s="49"/>
    </row>
    <row r="82" spans="1:22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</row>
    <row r="83" spans="1:22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9" workbookViewId="0">
      <selection activeCell="B44" sqref="B44"/>
    </sheetView>
  </sheetViews>
  <sheetFormatPr defaultColWidth="8.85546875" defaultRowHeight="15" x14ac:dyDescent="0.25"/>
  <cols>
    <col min="1" max="1" width="7.85546875" style="21" bestFit="1" customWidth="1"/>
    <col min="2" max="2" width="50.5703125" style="21" bestFit="1" customWidth="1"/>
    <col min="3" max="4" width="15.28515625" style="21" bestFit="1" customWidth="1"/>
    <col min="5" max="5" width="11" style="21" bestFit="1" customWidth="1"/>
    <col min="6" max="6" width="3.42578125" style="21" customWidth="1"/>
    <col min="7" max="7" width="15.28515625" style="21" bestFit="1" customWidth="1"/>
    <col min="8" max="16384" width="8.85546875" style="21"/>
  </cols>
  <sheetData>
    <row r="1" spans="1:7" x14ac:dyDescent="0.25">
      <c r="A1" s="119" t="s">
        <v>34</v>
      </c>
      <c r="B1" s="119"/>
      <c r="C1" s="119"/>
      <c r="D1" s="119"/>
      <c r="E1" s="119"/>
      <c r="F1" s="119"/>
      <c r="G1" s="119"/>
    </row>
    <row r="2" spans="1:7" x14ac:dyDescent="0.25">
      <c r="A2" s="119" t="s">
        <v>35</v>
      </c>
      <c r="B2" s="119"/>
      <c r="C2" s="119"/>
      <c r="D2" s="119"/>
      <c r="E2" s="119"/>
      <c r="F2" s="119"/>
      <c r="G2" s="119"/>
    </row>
    <row r="3" spans="1:7" x14ac:dyDescent="0.25">
      <c r="A3" s="119" t="s">
        <v>56</v>
      </c>
      <c r="B3" s="119"/>
      <c r="C3" s="119"/>
      <c r="D3" s="119"/>
      <c r="E3" s="119"/>
      <c r="F3" s="119"/>
      <c r="G3" s="119"/>
    </row>
    <row r="4" spans="1:7" x14ac:dyDescent="0.25">
      <c r="A4" s="119" t="s">
        <v>57</v>
      </c>
      <c r="B4" s="119"/>
      <c r="C4" s="119"/>
      <c r="D4" s="119"/>
      <c r="E4" s="119"/>
      <c r="F4" s="119"/>
      <c r="G4" s="119"/>
    </row>
    <row r="5" spans="1:7" x14ac:dyDescent="0.25">
      <c r="A5" s="119" t="s">
        <v>58</v>
      </c>
      <c r="B5" s="119"/>
      <c r="C5" s="119"/>
      <c r="D5" s="119"/>
      <c r="E5" s="119"/>
      <c r="F5" s="119"/>
      <c r="G5" s="119"/>
    </row>
    <row r="6" spans="1:7" x14ac:dyDescent="0.25">
      <c r="A6" s="22"/>
      <c r="B6" s="23"/>
      <c r="C6" s="23"/>
      <c r="D6" s="23"/>
      <c r="E6" s="23"/>
    </row>
    <row r="7" spans="1:7" ht="39" x14ac:dyDescent="0.25">
      <c r="A7" s="24" t="s">
        <v>36</v>
      </c>
      <c r="B7" s="24" t="s">
        <v>37</v>
      </c>
      <c r="C7" s="25" t="s">
        <v>38</v>
      </c>
      <c r="D7" s="26" t="s">
        <v>39</v>
      </c>
      <c r="E7" s="26" t="s">
        <v>40</v>
      </c>
      <c r="G7" s="25" t="s">
        <v>41</v>
      </c>
    </row>
    <row r="8" spans="1:7" x14ac:dyDescent="0.25">
      <c r="A8" s="27">
        <v>1</v>
      </c>
      <c r="B8" s="28" t="s">
        <v>42</v>
      </c>
      <c r="C8" s="29">
        <v>10658082710.53709</v>
      </c>
      <c r="D8" s="29">
        <v>1109622484.391351</v>
      </c>
      <c r="E8" s="29">
        <v>0.10411089072280562</v>
      </c>
      <c r="G8" s="29">
        <v>10674853000</v>
      </c>
    </row>
    <row r="9" spans="1:7" x14ac:dyDescent="0.25">
      <c r="A9" s="27">
        <f>+A8+1</f>
        <v>2</v>
      </c>
      <c r="B9" s="30" t="s">
        <v>43</v>
      </c>
      <c r="C9" s="29">
        <v>2442683</v>
      </c>
      <c r="D9" s="29">
        <v>196567</v>
      </c>
      <c r="E9" s="29">
        <v>8.0471759945928312E-2</v>
      </c>
      <c r="G9" s="29">
        <v>2309000</v>
      </c>
    </row>
    <row r="10" spans="1:7" x14ac:dyDescent="0.25">
      <c r="A10" s="27">
        <f t="shared" ref="A10:A40" si="0">+A9+1</f>
        <v>3</v>
      </c>
      <c r="B10" s="28" t="s">
        <v>44</v>
      </c>
      <c r="C10" s="29">
        <v>10660525393.53709</v>
      </c>
      <c r="D10" s="29">
        <v>1109819051.391351</v>
      </c>
      <c r="E10" s="29">
        <v>0.10410547420713197</v>
      </c>
      <c r="G10" s="29">
        <v>10677162000</v>
      </c>
    </row>
    <row r="11" spans="1:7" x14ac:dyDescent="0.25">
      <c r="A11" s="27">
        <f t="shared" si="0"/>
        <v>4</v>
      </c>
      <c r="B11" s="30"/>
      <c r="C11" s="29">
        <v>0</v>
      </c>
      <c r="D11" s="29">
        <v>0</v>
      </c>
      <c r="E11" s="29">
        <v>0</v>
      </c>
      <c r="G11" s="29">
        <v>0</v>
      </c>
    </row>
    <row r="12" spans="1:7" x14ac:dyDescent="0.25">
      <c r="A12" s="27">
        <f t="shared" si="0"/>
        <v>5</v>
      </c>
      <c r="B12" s="30" t="s">
        <v>45</v>
      </c>
      <c r="C12" s="29">
        <v>2700716840.8001165</v>
      </c>
      <c r="D12" s="29">
        <v>263446486</v>
      </c>
      <c r="E12" s="29">
        <v>9.7546874229862301E-2</v>
      </c>
      <c r="G12" s="29">
        <v>3133296000</v>
      </c>
    </row>
    <row r="13" spans="1:7" x14ac:dyDescent="0.25">
      <c r="A13" s="27">
        <f t="shared" si="0"/>
        <v>6</v>
      </c>
      <c r="B13" s="28" t="s">
        <v>46</v>
      </c>
      <c r="C13" s="29">
        <v>2985606873.3074255</v>
      </c>
      <c r="D13" s="29">
        <v>269105749</v>
      </c>
      <c r="E13" s="29">
        <v>9.0134354728989272E-2</v>
      </c>
      <c r="G13" s="29">
        <v>3323114000</v>
      </c>
    </row>
    <row r="14" spans="1:7" x14ac:dyDescent="0.25">
      <c r="A14" s="27">
        <f t="shared" si="0"/>
        <v>7</v>
      </c>
      <c r="B14" s="30" t="s">
        <v>47</v>
      </c>
      <c r="C14" s="29">
        <v>1939505273.1896486</v>
      </c>
      <c r="D14" s="29">
        <v>160178135</v>
      </c>
      <c r="E14" s="29">
        <v>8.25871098234119E-2</v>
      </c>
      <c r="G14" s="29">
        <v>1963416000</v>
      </c>
    </row>
    <row r="15" spans="1:7" x14ac:dyDescent="0.25">
      <c r="A15" s="27">
        <f t="shared" si="0"/>
        <v>8</v>
      </c>
      <c r="B15" s="30">
        <v>29</v>
      </c>
      <c r="C15" s="29">
        <v>16475530.158172358</v>
      </c>
      <c r="D15" s="29">
        <v>1290544</v>
      </c>
      <c r="E15" s="29">
        <v>7.8330954306793668E-2</v>
      </c>
      <c r="G15" s="29">
        <v>16780000</v>
      </c>
    </row>
    <row r="16" spans="1:7" x14ac:dyDescent="0.25">
      <c r="A16" s="27">
        <f t="shared" si="0"/>
        <v>9</v>
      </c>
      <c r="B16" s="28" t="s">
        <v>48</v>
      </c>
      <c r="C16" s="29">
        <v>7642304517.4553633</v>
      </c>
      <c r="D16" s="29">
        <v>694020914</v>
      </c>
      <c r="E16" s="29">
        <v>9.0813041068283182E-2</v>
      </c>
      <c r="G16" s="29">
        <v>8436606000</v>
      </c>
    </row>
    <row r="17" spans="1:7" x14ac:dyDescent="0.25">
      <c r="A17" s="27">
        <f t="shared" si="0"/>
        <v>10</v>
      </c>
      <c r="B17" s="30"/>
      <c r="C17" s="29">
        <v>0</v>
      </c>
      <c r="D17" s="29">
        <v>0</v>
      </c>
      <c r="E17" s="29">
        <v>0</v>
      </c>
      <c r="G17" s="29">
        <v>0</v>
      </c>
    </row>
    <row r="18" spans="1:7" x14ac:dyDescent="0.25">
      <c r="A18" s="27">
        <f t="shared" si="0"/>
        <v>11</v>
      </c>
      <c r="B18" s="30" t="s">
        <v>49</v>
      </c>
      <c r="C18" s="29">
        <v>1407595348.170306</v>
      </c>
      <c r="D18" s="29">
        <v>113234148</v>
      </c>
      <c r="E18" s="29">
        <v>8.0445099614168181E-2</v>
      </c>
      <c r="G18" s="29">
        <v>1483066000</v>
      </c>
    </row>
    <row r="19" spans="1:7" x14ac:dyDescent="0.25">
      <c r="A19" s="27">
        <f t="shared" si="0"/>
        <v>12</v>
      </c>
      <c r="B19" s="30">
        <v>35</v>
      </c>
      <c r="C19" s="29">
        <v>4443660</v>
      </c>
      <c r="D19" s="29">
        <v>268014</v>
      </c>
      <c r="E19" s="29">
        <v>6.0313795384885432E-2</v>
      </c>
      <c r="G19" s="29">
        <v>5243000</v>
      </c>
    </row>
    <row r="20" spans="1:7" x14ac:dyDescent="0.25">
      <c r="A20" s="27">
        <f t="shared" si="0"/>
        <v>13</v>
      </c>
      <c r="B20" s="30">
        <v>43</v>
      </c>
      <c r="C20" s="29">
        <v>123102088.01083639</v>
      </c>
      <c r="D20" s="29">
        <v>10721508</v>
      </c>
      <c r="E20" s="29">
        <v>8.7094444726690673E-2</v>
      </c>
      <c r="G20" s="29">
        <v>128750000</v>
      </c>
    </row>
    <row r="21" spans="1:7" x14ac:dyDescent="0.25">
      <c r="A21" s="27">
        <f t="shared" si="0"/>
        <v>14</v>
      </c>
      <c r="B21" s="30" t="s">
        <v>50</v>
      </c>
      <c r="C21" s="29">
        <v>1535141096.1811423</v>
      </c>
      <c r="D21" s="29">
        <v>124223670</v>
      </c>
      <c r="E21" s="29">
        <v>8.0920034196870952E-2</v>
      </c>
      <c r="G21" s="29">
        <v>1617059000</v>
      </c>
    </row>
    <row r="22" spans="1:7" x14ac:dyDescent="0.25">
      <c r="A22" s="27">
        <f t="shared" si="0"/>
        <v>15</v>
      </c>
      <c r="B22" s="30"/>
      <c r="C22" s="29">
        <v>0</v>
      </c>
      <c r="D22" s="29">
        <v>0</v>
      </c>
      <c r="E22" s="29">
        <v>0</v>
      </c>
      <c r="G22" s="29">
        <v>0</v>
      </c>
    </row>
    <row r="23" spans="1:7" x14ac:dyDescent="0.25">
      <c r="A23" s="27">
        <f t="shared" si="0"/>
        <v>16</v>
      </c>
      <c r="B23" s="30">
        <v>40</v>
      </c>
      <c r="C23" s="29">
        <v>1.9999999818392098</v>
      </c>
      <c r="D23" s="29">
        <v>0</v>
      </c>
      <c r="E23" s="29">
        <v>0</v>
      </c>
      <c r="G23" s="29">
        <v>0</v>
      </c>
    </row>
    <row r="24" spans="1:7" x14ac:dyDescent="0.25">
      <c r="A24" s="27">
        <f t="shared" si="0"/>
        <v>17</v>
      </c>
      <c r="B24" s="30"/>
      <c r="C24" s="29">
        <v>0</v>
      </c>
      <c r="D24" s="29">
        <v>0</v>
      </c>
      <c r="E24" s="29">
        <v>0</v>
      </c>
      <c r="G24" s="29">
        <v>0</v>
      </c>
    </row>
    <row r="25" spans="1:7" x14ac:dyDescent="0.25">
      <c r="A25" s="27">
        <f t="shared" si="0"/>
        <v>18</v>
      </c>
      <c r="B25" s="30">
        <v>46</v>
      </c>
      <c r="C25" s="29">
        <v>78351492</v>
      </c>
      <c r="D25" s="29">
        <v>5190433</v>
      </c>
      <c r="E25" s="29">
        <v>6.6245490258181688E-2</v>
      </c>
      <c r="G25" s="29">
        <v>72585000</v>
      </c>
    </row>
    <row r="26" spans="1:7" x14ac:dyDescent="0.25">
      <c r="A26" s="27">
        <f t="shared" si="0"/>
        <v>19</v>
      </c>
      <c r="B26" s="30">
        <v>49</v>
      </c>
      <c r="C26" s="29">
        <v>542259321.40199995</v>
      </c>
      <c r="D26" s="29">
        <v>34937811</v>
      </c>
      <c r="E26" s="29">
        <v>6.4430079154137967E-2</v>
      </c>
      <c r="G26" s="29">
        <v>603824000</v>
      </c>
    </row>
    <row r="27" spans="1:7" x14ac:dyDescent="0.25">
      <c r="A27" s="27">
        <f t="shared" si="0"/>
        <v>20</v>
      </c>
      <c r="B27" s="30" t="s">
        <v>51</v>
      </c>
      <c r="C27" s="29">
        <v>620610813.40199995</v>
      </c>
      <c r="D27" s="29">
        <v>40128244</v>
      </c>
      <c r="E27" s="29">
        <v>6.4659272983061886E-2</v>
      </c>
      <c r="G27" s="29">
        <v>676409000</v>
      </c>
    </row>
    <row r="28" spans="1:7" x14ac:dyDescent="0.25">
      <c r="A28" s="27">
        <f t="shared" si="0"/>
        <v>21</v>
      </c>
      <c r="B28" s="30"/>
      <c r="C28" s="29">
        <v>0</v>
      </c>
      <c r="D28" s="29">
        <v>0</v>
      </c>
      <c r="E28" s="29">
        <v>0</v>
      </c>
      <c r="G28" s="29">
        <v>0</v>
      </c>
    </row>
    <row r="29" spans="1:7" x14ac:dyDescent="0.25">
      <c r="A29" s="27">
        <f t="shared" si="0"/>
        <v>22</v>
      </c>
      <c r="B29" s="30" t="s">
        <v>52</v>
      </c>
      <c r="C29" s="29">
        <v>69969105.295999989</v>
      </c>
      <c r="D29" s="29">
        <v>16457494</v>
      </c>
      <c r="E29" s="29">
        <v>0.23521086814498465</v>
      </c>
      <c r="G29" s="29">
        <v>70841000</v>
      </c>
    </row>
    <row r="30" spans="1:7" x14ac:dyDescent="0.25">
      <c r="A30" s="27">
        <f t="shared" si="0"/>
        <v>23</v>
      </c>
      <c r="B30" s="30"/>
      <c r="C30" s="29">
        <v>0</v>
      </c>
      <c r="D30" s="29">
        <v>0</v>
      </c>
      <c r="E30" s="29">
        <v>0</v>
      </c>
      <c r="G30" s="29">
        <v>0</v>
      </c>
    </row>
    <row r="31" spans="1:7" x14ac:dyDescent="0.25">
      <c r="A31" s="27">
        <f t="shared" si="0"/>
        <v>24</v>
      </c>
      <c r="B31" s="28" t="s">
        <v>53</v>
      </c>
      <c r="C31" s="29">
        <v>2364714770.1700001</v>
      </c>
      <c r="D31" s="29">
        <v>15607906</v>
      </c>
      <c r="E31" s="29">
        <v>6.6003334511578081E-3</v>
      </c>
      <c r="G31" s="29">
        <v>2458393000</v>
      </c>
    </row>
    <row r="32" spans="1:7" x14ac:dyDescent="0.25">
      <c r="A32" s="27">
        <f t="shared" si="0"/>
        <v>25</v>
      </c>
      <c r="B32" s="30"/>
      <c r="C32" s="29">
        <v>0</v>
      </c>
      <c r="D32" s="29">
        <v>0</v>
      </c>
      <c r="E32" s="29">
        <v>0</v>
      </c>
      <c r="G32" s="29">
        <v>0</v>
      </c>
    </row>
    <row r="33" spans="1:9" x14ac:dyDescent="0.25">
      <c r="A33" s="27">
        <f t="shared" si="0"/>
        <v>26</v>
      </c>
      <c r="B33" s="30" t="s">
        <v>10</v>
      </c>
      <c r="C33" s="29">
        <v>22893265698.041595</v>
      </c>
      <c r="D33" s="29">
        <v>2000257279.391351</v>
      </c>
      <c r="E33" s="29">
        <v>8.7373173656149147E-2</v>
      </c>
      <c r="G33" s="29">
        <v>23936470000</v>
      </c>
    </row>
    <row r="34" spans="1:9" x14ac:dyDescent="0.25">
      <c r="A34" s="27">
        <f t="shared" si="0"/>
        <v>27</v>
      </c>
      <c r="B34" s="30"/>
      <c r="C34" s="29">
        <v>0</v>
      </c>
      <c r="D34" s="29">
        <v>0</v>
      </c>
      <c r="E34" s="29">
        <v>0</v>
      </c>
      <c r="G34" s="29">
        <v>0</v>
      </c>
    </row>
    <row r="35" spans="1:9" x14ac:dyDescent="0.25">
      <c r="A35" s="27">
        <f t="shared" si="0"/>
        <v>28</v>
      </c>
      <c r="B35" s="30">
        <v>5</v>
      </c>
      <c r="C35" s="29">
        <v>7197575.484338278</v>
      </c>
      <c r="D35" s="29">
        <v>328327</v>
      </c>
      <c r="E35" s="29">
        <v>4.5616332988022194E-2</v>
      </c>
      <c r="G35" s="29">
        <v>7039000</v>
      </c>
    </row>
    <row r="36" spans="1:9" x14ac:dyDescent="0.25">
      <c r="A36" s="27">
        <f t="shared" si="0"/>
        <v>29</v>
      </c>
      <c r="B36" s="30"/>
      <c r="C36" s="29">
        <v>0</v>
      </c>
      <c r="D36" s="29">
        <v>0</v>
      </c>
      <c r="E36" s="29">
        <v>0</v>
      </c>
      <c r="G36" s="29">
        <v>0</v>
      </c>
    </row>
    <row r="37" spans="1:9" x14ac:dyDescent="0.25">
      <c r="A37" s="27">
        <f t="shared" si="0"/>
        <v>30</v>
      </c>
      <c r="B37" s="30" t="s">
        <v>10</v>
      </c>
      <c r="C37" s="29">
        <v>22900463273.525932</v>
      </c>
      <c r="D37" s="29">
        <v>2000585606.391351</v>
      </c>
      <c r="E37" s="29">
        <v>8.7360049554286834E-2</v>
      </c>
      <c r="G37" s="29">
        <v>23943509000</v>
      </c>
    </row>
    <row r="38" spans="1:9" ht="15.75" thickBot="1" x14ac:dyDescent="0.3">
      <c r="A38" s="27">
        <f t="shared" si="0"/>
        <v>31</v>
      </c>
      <c r="G38" s="31"/>
    </row>
    <row r="39" spans="1:9" ht="15.75" thickBot="1" x14ac:dyDescent="0.3">
      <c r="A39" s="32">
        <f t="shared" si="0"/>
        <v>32</v>
      </c>
      <c r="B39" s="33" t="s">
        <v>54</v>
      </c>
      <c r="C39" s="34">
        <f>+C37-C31</f>
        <v>20535748503.355934</v>
      </c>
      <c r="D39" s="35"/>
      <c r="E39" s="36"/>
      <c r="F39" s="36"/>
      <c r="G39" s="37">
        <f>+G37-G31</f>
        <v>21485116000</v>
      </c>
    </row>
    <row r="40" spans="1:9" ht="15.75" thickBot="1" x14ac:dyDescent="0.3">
      <c r="A40" s="38">
        <f t="shared" si="0"/>
        <v>33</v>
      </c>
      <c r="B40" s="39" t="s">
        <v>2</v>
      </c>
      <c r="C40" s="39"/>
      <c r="D40" s="40"/>
      <c r="E40" s="40"/>
      <c r="F40" s="40"/>
      <c r="G40" s="41">
        <f>+C39/G39</f>
        <v>0.955812782363192</v>
      </c>
    </row>
    <row r="41" spans="1:9" x14ac:dyDescent="0.25">
      <c r="A41" s="23"/>
      <c r="C41" s="42" t="s">
        <v>55</v>
      </c>
      <c r="D41" s="42"/>
      <c r="E41" s="42"/>
      <c r="F41" s="42"/>
      <c r="G41" s="42"/>
    </row>
    <row r="43" spans="1:9" x14ac:dyDescent="0.25">
      <c r="A43" s="110" t="s">
        <v>111</v>
      </c>
      <c r="B43" s="110"/>
      <c r="C43" s="110"/>
      <c r="D43" s="110"/>
      <c r="E43" s="110"/>
      <c r="F43" s="110"/>
      <c r="G43" s="110"/>
      <c r="H43" s="112"/>
      <c r="I43" s="112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9A8764-0D39-4678-9816-58461820DC8C}"/>
</file>

<file path=customXml/itemProps2.xml><?xml version="1.0" encoding="utf-8"?>
<ds:datastoreItem xmlns:ds="http://schemas.openxmlformats.org/officeDocument/2006/customXml" ds:itemID="{3932C692-6B7B-402B-B02A-D87570C19D39}"/>
</file>

<file path=customXml/itemProps3.xml><?xml version="1.0" encoding="utf-8"?>
<ds:datastoreItem xmlns:ds="http://schemas.openxmlformats.org/officeDocument/2006/customXml" ds:itemID="{0364B80F-7D43-4275-B306-CFCFB40D8703}"/>
</file>

<file path=customXml/itemProps4.xml><?xml version="1.0" encoding="utf-8"?>
<ds:datastoreItem xmlns:ds="http://schemas.openxmlformats.org/officeDocument/2006/customXml" ds:itemID="{B59C2289-6A3B-4393-BBD6-B6A0B83B3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SEF-8 Table 1</vt:lpstr>
      <vt:lpstr>SEF-8 Table 2</vt:lpstr>
      <vt:lpstr>Support</vt:lpstr>
      <vt:lpstr>190529 PC Bridge</vt:lpstr>
      <vt:lpstr>190529 Prod Fctr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dcterms:created xsi:type="dcterms:W3CDTF">2020-11-17T02:09:33Z</dcterms:created>
  <dcterms:modified xsi:type="dcterms:W3CDTF">2021-03-05T04:13:49Z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