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er\!alea\projects\WATG\archive\PacifiCorp\Pac PCAMs\Pac 2023 PCAM\affadavit\workpapers\"/>
    </mc:Choice>
  </mc:AlternateContent>
  <xr:revisionPtr revIDLastSave="0" documentId="13_ncr:1_{90A966E5-A1EC-4FB5-B0D2-E0845BF59812}" xr6:coauthVersionLast="47" xr6:coauthVersionMax="47" xr10:uidLastSave="{00000000-0000-0000-0000-000000000000}"/>
  <bookViews>
    <workbookView xWindow="57480" yWindow="-1320" windowWidth="29040" windowHeight="15720" activeTab="1" xr2:uid="{9793C0FB-035A-48AF-959D-5FEA26CD1983}"/>
  </bookViews>
  <sheets>
    <sheet name="PCAM $ per MWh" sheetId="6" r:id="rId1"/>
    <sheet name="IRPs" sheetId="8" r:id="rId2"/>
    <sheet name="inflation data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6" l="1"/>
  <c r="J15" i="6"/>
  <c r="L14" i="6"/>
  <c r="K17" i="6"/>
  <c r="X17" i="7"/>
  <c r="X18" i="7"/>
  <c r="F6" i="8" s="1"/>
  <c r="F11" i="8" s="1"/>
  <c r="X19" i="7"/>
  <c r="X20" i="7"/>
  <c r="X21" i="7"/>
  <c r="X22" i="7"/>
  <c r="X23" i="7"/>
  <c r="X24" i="7"/>
  <c r="X16" i="7"/>
  <c r="G6" i="8"/>
  <c r="G7" i="8"/>
  <c r="G10" i="8"/>
  <c r="F7" i="8"/>
  <c r="F8" i="8"/>
  <c r="F9" i="8"/>
  <c r="F10" i="8"/>
  <c r="G9" i="8" l="1"/>
  <c r="G8" i="8"/>
  <c r="G11" i="8" s="1"/>
  <c r="J7" i="6"/>
  <c r="I7" i="6"/>
  <c r="S23" i="7"/>
  <c r="S22" i="7"/>
  <c r="S21" i="7"/>
  <c r="S20" i="7"/>
  <c r="S19" i="7"/>
  <c r="S18" i="7"/>
  <c r="S17" i="7"/>
  <c r="R17" i="7"/>
  <c r="R18" i="7" s="1"/>
  <c r="R19" i="7" s="1"/>
  <c r="R20" i="7" s="1"/>
  <c r="R21" i="7" s="1"/>
  <c r="R22" i="7" s="1"/>
  <c r="S16" i="7"/>
  <c r="K6" i="6" l="1"/>
  <c r="K13" i="6" s="1"/>
  <c r="L13" i="6" s="1"/>
  <c r="C21" i="6" l="1"/>
  <c r="D6" i="6" s="1"/>
  <c r="F6" i="6" l="1"/>
  <c r="K5" i="6" l="1"/>
  <c r="K12" i="6" l="1"/>
  <c r="L12" i="6" s="1"/>
  <c r="K3" i="6"/>
  <c r="K10" i="6" s="1"/>
  <c r="L10" i="6" s="1"/>
  <c r="K4" i="6"/>
  <c r="K11" i="6" s="1"/>
  <c r="L11" i="6" s="1"/>
  <c r="E13" i="6" l="1"/>
  <c r="E6" i="6" s="1"/>
  <c r="G6" i="6" s="1"/>
  <c r="C6" i="6"/>
  <c r="B6" i="6" s="1"/>
  <c r="C5" i="6" l="1"/>
  <c r="F5" i="6"/>
  <c r="E5" i="6"/>
  <c r="D5" i="6"/>
  <c r="F4" i="6"/>
  <c r="E4" i="6"/>
  <c r="D4" i="6"/>
  <c r="C4" i="6"/>
  <c r="F3" i="6"/>
  <c r="E3" i="6"/>
  <c r="G5" i="6" l="1"/>
  <c r="G4" i="6"/>
  <c r="G3" i="6"/>
  <c r="G7" i="6" l="1"/>
</calcChain>
</file>

<file path=xl/sharedStrings.xml><?xml version="1.0" encoding="utf-8"?>
<sst xmlns="http://schemas.openxmlformats.org/spreadsheetml/2006/main" count="85" uniqueCount="80">
  <si>
    <t>220441-PPL-PCAM-WP3-6-15-22.xlsx</t>
  </si>
  <si>
    <t>230482-PAC-PCAM-WP3-6-15-23.xlsx</t>
  </si>
  <si>
    <t>Deferral Year</t>
  </si>
  <si>
    <t>UE-220441, Exh. JP-1T, p. 6</t>
  </si>
  <si>
    <t>UE-230482, Exh. JP-1T, p.6.</t>
  </si>
  <si>
    <t>UE-240461, Exh. JP-1CT, p. 5</t>
  </si>
  <si>
    <t>Actual</t>
  </si>
  <si>
    <t>Base</t>
  </si>
  <si>
    <t>Nominal</t>
  </si>
  <si>
    <t>Wash Sales MWh</t>
  </si>
  <si>
    <t>Total PCAM Differential</t>
  </si>
  <si>
    <t>WA Deferal After Sharing</t>
  </si>
  <si>
    <t>PacifiCorp Share</t>
  </si>
  <si>
    <t>2023*</t>
  </si>
  <si>
    <t>2024**</t>
  </si>
  <si>
    <t>*2023</t>
  </si>
  <si>
    <t>Base should be $35.57 for 2023, JP-1T shows 11.86</t>
  </si>
  <si>
    <t>**2024</t>
  </si>
  <si>
    <t>First six months of 2024</t>
  </si>
  <si>
    <t>Cumulative PCAM Differential</t>
  </si>
  <si>
    <t>Net Short MWh</t>
  </si>
  <si>
    <t>UE-210447-PAC-PCAM-Q2-Attach-1-9-13-2024</t>
  </si>
  <si>
    <t>240461-PAC-PCAM-WP3-6-14-24.xlsx</t>
  </si>
  <si>
    <t>Sales</t>
  </si>
  <si>
    <t>Total</t>
  </si>
  <si>
    <t>210447-PAC-Q2-2024-Actual-Monthly-WIJAM-NPC-9-13-24 (C).xlsx, tab "Actual Factors"</t>
  </si>
  <si>
    <t>210447-PAC-PCAM-Q2-Attach-1-9-13-24.xlsx, line no. 8</t>
  </si>
  <si>
    <t>210447-PAC-Q2-2024-Actual-Monthly-WIJAM-NPC-9-13-24 (C).xlsx, tab "Net Position Balancing"</t>
  </si>
  <si>
    <t>From Bureau of Labor Statistics</t>
  </si>
  <si>
    <t>Consumer Price Index for All Urban Consumers (CPI-U)</t>
  </si>
  <si>
    <t>Original Data Value</t>
  </si>
  <si>
    <t>Series Id:</t>
  </si>
  <si>
    <t>CUUR0000SA0</t>
  </si>
  <si>
    <t>Not Seasonally Adjusted</t>
  </si>
  <si>
    <t>Series Title:</t>
  </si>
  <si>
    <t>All items in U.S. city average, all urban consumers, not seasonally adjusted</t>
  </si>
  <si>
    <t>Area:</t>
  </si>
  <si>
    <t>U.S. city average</t>
  </si>
  <si>
    <t>Item:</t>
  </si>
  <si>
    <t>All items</t>
  </si>
  <si>
    <t>Base Period:</t>
  </si>
  <si>
    <t>1982-84=100</t>
  </si>
  <si>
    <t>Years:</t>
  </si>
  <si>
    <t>2014 to 2024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</si>
  <si>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</si>
  <si>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</si>
  <si>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</si>
  <si>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</si>
  <si>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</si>
  <si>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</si>
  <si>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</si>
  <si>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</si>
  <si>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</si>
  <si>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</si>
  <si>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</si>
  <si>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</si>
  <si>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</si>
  <si>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HALF1</t>
  </si>
  <si>
    <t>HALF2</t>
  </si>
  <si>
    <t>inflation from year end to beginning 2024</t>
  </si>
  <si>
    <t>Average Cost Net Short ($/MWh) (nominal)</t>
  </si>
  <si>
    <t>2018$</t>
  </si>
  <si>
    <t>3.6 MW Wind turbine 37.1% CF WA, 2020</t>
  </si>
  <si>
    <t>3.6 MW Wind turbine 37.1% CF OR, 2020</t>
  </si>
  <si>
    <t xml:space="preserve">3.6 MW Wind turbine 37.1% CF ID, 2020 </t>
  </si>
  <si>
    <t>3.6 MW Wind turbine 29.5% CF UT, 2020</t>
  </si>
  <si>
    <t xml:space="preserve">3.6 MW Wind turbine 43.6% CF WY, 2020 </t>
  </si>
  <si>
    <t>No PTC</t>
  </si>
  <si>
    <t>100% PTC</t>
  </si>
  <si>
    <t>average</t>
  </si>
  <si>
    <t>IRP</t>
  </si>
  <si>
    <t>2019, p. 141</t>
  </si>
  <si>
    <t>mid-year to 2023 mid year</t>
  </si>
  <si>
    <t>2023$</t>
  </si>
  <si>
    <t>STP Cost (nominal $) because Net Short</t>
  </si>
  <si>
    <t>cost ($2023)</t>
  </si>
  <si>
    <t>wtd average cost ($2023)</t>
  </si>
  <si>
    <t>year</t>
  </si>
  <si>
    <t>Customer savings 2021-2024.5</t>
  </si>
  <si>
    <t>Customer savings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</si>
</sst>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##0;[Red]\(&quot;$&quot;###0\)"/>
    <numFmt numFmtId="166" formatCode="0.0"/>
    <numFmt numFmtId="167" formatCode="_(* #,##0_);[Red]_(* \(#,##0\);_(* &quot;-&quot;_);_(@_)"/>
    <numFmt numFmtId="168" formatCode="m/d/yyyy;@"/>
    <numFmt numFmtId="169" formatCode="General_)"/>
    <numFmt numFmtId="170" formatCode="###,000"/>
    <numFmt numFmtId="171" formatCode="#0"/>
    <numFmt numFmtId="172" formatCode="#0.000"/>
  </numFmts>
  <fonts count="3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indexed="8"/>
      <name val="Aptos Narrow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rgb="FF010202"/>
      <name val="Arial"/>
      <family val="2"/>
    </font>
    <font>
      <b/>
      <sz val="11"/>
      <color theme="1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5" fillId="0" borderId="0" applyFont="0" applyFill="0" applyBorder="0" applyProtection="0">
      <alignment horizontal="right"/>
    </xf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66" fontId="6" fillId="0" borderId="0" applyNumberFormat="0" applyFill="0" applyBorder="0" applyAlignment="0" applyProtection="0"/>
    <xf numFmtId="0" fontId="7" fillId="0" borderId="1" applyNumberFormat="0" applyBorder="0" applyAlignment="0"/>
    <xf numFmtId="12" fontId="4" fillId="2" borderId="2">
      <alignment horizontal="left"/>
    </xf>
    <xf numFmtId="37" fontId="7" fillId="3" borderId="0" applyNumberFormat="0" applyBorder="0" applyAlignment="0" applyProtection="0"/>
    <xf numFmtId="37" fontId="7" fillId="0" borderId="0"/>
    <xf numFmtId="3" fontId="8" fillId="4" borderId="3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168" fontId="11" fillId="0" borderId="0"/>
    <xf numFmtId="0" fontId="10" fillId="0" borderId="0"/>
    <xf numFmtId="0" fontId="2" fillId="0" borderId="0"/>
    <xf numFmtId="0" fontId="1" fillId="0" borderId="0"/>
    <xf numFmtId="0" fontId="12" fillId="0" borderId="0"/>
    <xf numFmtId="0" fontId="2" fillId="0" borderId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6" borderId="0" applyNumberFormat="0" applyBorder="0" applyAlignment="0" applyProtection="0"/>
    <xf numFmtId="0" fontId="14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 applyFont="0" applyFill="0" applyBorder="0" applyAlignment="0" applyProtection="0">
      <alignment horizontal="left"/>
    </xf>
    <xf numFmtId="0" fontId="16" fillId="0" borderId="0" applyNumberFormat="0" applyFill="0" applyBorder="0" applyAlignment="0" applyProtection="0">
      <alignment vertical="top"/>
      <protection locked="0"/>
    </xf>
    <xf numFmtId="164" fontId="17" fillId="0" borderId="0" applyFont="0" applyAlignment="0" applyProtection="0"/>
    <xf numFmtId="0" fontId="9" fillId="0" borderId="0"/>
    <xf numFmtId="0" fontId="9" fillId="0" borderId="0"/>
    <xf numFmtId="0" fontId="1" fillId="0" borderId="0"/>
    <xf numFmtId="0" fontId="18" fillId="0" borderId="0" applyNumberFormat="0" applyFill="0" applyBorder="0" applyAlignment="0" applyProtection="0"/>
    <xf numFmtId="169" fontId="1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1" fillId="0" borderId="0" applyNumberFormat="0" applyFill="0" applyBorder="0" applyAlignment="0">
      <protection locked="0"/>
    </xf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3" fillId="0" borderId="0"/>
    <xf numFmtId="43" fontId="1" fillId="0" borderId="0" applyFont="0" applyFill="0" applyBorder="0" applyAlignment="0" applyProtection="0"/>
    <xf numFmtId="0" fontId="22" fillId="19" borderId="4" applyNumberFormat="0" applyAlignment="0" applyProtection="0">
      <alignment horizontal="left" vertical="center" indent="1"/>
    </xf>
    <xf numFmtId="170" fontId="23" fillId="0" borderId="5" applyNumberFormat="0" applyProtection="0">
      <alignment horizontal="right" vertical="center"/>
    </xf>
    <xf numFmtId="170" fontId="22" fillId="0" borderId="6" applyNumberFormat="0" applyProtection="0">
      <alignment horizontal="right" vertical="center"/>
    </xf>
    <xf numFmtId="0" fontId="24" fillId="20" borderId="6" applyNumberFormat="0" applyAlignment="0" applyProtection="0">
      <alignment horizontal="left" vertical="center" indent="1"/>
    </xf>
    <xf numFmtId="0" fontId="24" fillId="21" borderId="6" applyNumberFormat="0" applyAlignment="0" applyProtection="0">
      <alignment horizontal="left" vertical="center" indent="1"/>
    </xf>
    <xf numFmtId="170" fontId="23" fillId="22" borderId="5" applyNumberFormat="0" applyBorder="0" applyProtection="0">
      <alignment horizontal="right" vertical="center"/>
    </xf>
    <xf numFmtId="0" fontId="24" fillId="20" borderId="6" applyNumberFormat="0" applyAlignment="0" applyProtection="0">
      <alignment horizontal="left" vertical="center" indent="1"/>
    </xf>
    <xf numFmtId="170" fontId="22" fillId="21" borderId="6" applyNumberFormat="0" applyProtection="0">
      <alignment horizontal="right" vertical="center"/>
    </xf>
    <xf numFmtId="170" fontId="22" fillId="22" borderId="6" applyNumberFormat="0" applyBorder="0" applyProtection="0">
      <alignment horizontal="right" vertical="center"/>
    </xf>
    <xf numFmtId="170" fontId="25" fillId="23" borderId="7" applyNumberFormat="0" applyBorder="0" applyAlignment="0" applyProtection="0">
      <alignment horizontal="right" vertical="center" indent="1"/>
    </xf>
    <xf numFmtId="170" fontId="26" fillId="24" borderId="7" applyNumberFormat="0" applyBorder="0" applyAlignment="0" applyProtection="0">
      <alignment horizontal="right" vertical="center" indent="1"/>
    </xf>
    <xf numFmtId="170" fontId="26" fillId="25" borderId="7" applyNumberFormat="0" applyBorder="0" applyAlignment="0" applyProtection="0">
      <alignment horizontal="right" vertical="center" indent="1"/>
    </xf>
    <xf numFmtId="170" fontId="27" fillId="26" borderId="7" applyNumberFormat="0" applyBorder="0" applyAlignment="0" applyProtection="0">
      <alignment horizontal="right" vertical="center" indent="1"/>
    </xf>
    <xf numFmtId="170" fontId="27" fillId="27" borderId="7" applyNumberFormat="0" applyBorder="0" applyAlignment="0" applyProtection="0">
      <alignment horizontal="right" vertical="center" indent="1"/>
    </xf>
    <xf numFmtId="170" fontId="27" fillId="28" borderId="7" applyNumberFormat="0" applyBorder="0" applyAlignment="0" applyProtection="0">
      <alignment horizontal="right" vertical="center" indent="1"/>
    </xf>
    <xf numFmtId="170" fontId="28" fillId="29" borderId="7" applyNumberFormat="0" applyBorder="0" applyAlignment="0" applyProtection="0">
      <alignment horizontal="right" vertical="center" indent="1"/>
    </xf>
    <xf numFmtId="170" fontId="28" fillId="30" borderId="7" applyNumberFormat="0" applyBorder="0" applyAlignment="0" applyProtection="0">
      <alignment horizontal="right" vertical="center" indent="1"/>
    </xf>
    <xf numFmtId="170" fontId="28" fillId="31" borderId="7" applyNumberFormat="0" applyBorder="0" applyAlignment="0" applyProtection="0">
      <alignment horizontal="right" vertical="center" indent="1"/>
    </xf>
    <xf numFmtId="0" fontId="29" fillId="0" borderId="4" applyNumberFormat="0" applyFont="0" applyFill="0" applyAlignment="0" applyProtection="0"/>
    <xf numFmtId="170" fontId="23" fillId="32" borderId="4" applyNumberFormat="0" applyAlignment="0" applyProtection="0">
      <alignment horizontal="left" vertical="center" indent="1"/>
    </xf>
    <xf numFmtId="0" fontId="22" fillId="19" borderId="6" applyNumberFormat="0" applyAlignment="0" applyProtection="0">
      <alignment horizontal="left" vertical="center" indent="1"/>
    </xf>
    <xf numFmtId="0" fontId="24" fillId="33" borderId="4" applyNumberFormat="0" applyAlignment="0" applyProtection="0">
      <alignment horizontal="left" vertical="center" indent="1"/>
    </xf>
    <xf numFmtId="0" fontId="24" fillId="34" borderId="4" applyNumberFormat="0" applyAlignment="0" applyProtection="0">
      <alignment horizontal="left" vertical="center" indent="1"/>
    </xf>
    <xf numFmtId="0" fontId="24" fillId="35" borderId="4" applyNumberFormat="0" applyAlignment="0" applyProtection="0">
      <alignment horizontal="left" vertical="center" indent="1"/>
    </xf>
    <xf numFmtId="0" fontId="24" fillId="22" borderId="4" applyNumberFormat="0" applyAlignment="0" applyProtection="0">
      <alignment horizontal="left" vertical="center" indent="1"/>
    </xf>
    <xf numFmtId="0" fontId="24" fillId="21" borderId="6" applyNumberFormat="0" applyAlignment="0" applyProtection="0">
      <alignment horizontal="left" vertical="center" indent="1"/>
    </xf>
    <xf numFmtId="0" fontId="30" fillId="0" borderId="8" applyNumberFormat="0" applyFill="0" applyBorder="0" applyAlignment="0" applyProtection="0"/>
    <xf numFmtId="0" fontId="31" fillId="0" borderId="8" applyBorder="0" applyAlignment="0" applyProtection="0"/>
    <xf numFmtId="0" fontId="30" fillId="20" borderId="6" applyNumberFormat="0" applyAlignment="0" applyProtection="0">
      <alignment horizontal="left" vertical="center" indent="1"/>
    </xf>
    <xf numFmtId="0" fontId="30" fillId="20" borderId="6" applyNumberFormat="0" applyAlignment="0" applyProtection="0">
      <alignment horizontal="left" vertical="center" indent="1"/>
    </xf>
    <xf numFmtId="0" fontId="30" fillId="21" borderId="6" applyNumberFormat="0" applyAlignment="0" applyProtection="0">
      <alignment horizontal="left" vertical="center" indent="1"/>
    </xf>
    <xf numFmtId="170" fontId="32" fillId="21" borderId="6" applyNumberFormat="0" applyProtection="0">
      <alignment horizontal="right" vertical="center"/>
    </xf>
    <xf numFmtId="170" fontId="33" fillId="22" borderId="5" applyNumberFormat="0" applyBorder="0" applyProtection="0">
      <alignment horizontal="right" vertical="center"/>
    </xf>
    <xf numFmtId="170" fontId="32" fillId="22" borderId="6" applyNumberFormat="0" applyBorder="0" applyProtection="0">
      <alignment horizontal="right" vertical="center"/>
    </xf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12" fillId="0" borderId="0"/>
    <xf numFmtId="167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4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0" borderId="0"/>
  </cellStyleXfs>
  <cellXfs count="38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0" applyNumberFormat="1"/>
    <xf numFmtId="0" fontId="0" fillId="0" borderId="9" xfId="0" applyBorder="1" applyAlignment="1">
      <alignment horizontal="center"/>
    </xf>
    <xf numFmtId="2" fontId="0" fillId="0" borderId="9" xfId="0" applyNumberFormat="1" applyBorder="1"/>
    <xf numFmtId="164" fontId="0" fillId="0" borderId="9" xfId="0" applyNumberFormat="1" applyBorder="1"/>
    <xf numFmtId="164" fontId="0" fillId="0" borderId="9" xfId="1" applyNumberFormat="1" applyFont="1" applyBorder="1"/>
    <xf numFmtId="0" fontId="0" fillId="0" borderId="9" xfId="0" applyBorder="1"/>
    <xf numFmtId="0" fontId="0" fillId="0" borderId="0" xfId="0" applyAlignment="1">
      <alignment horizontal="left"/>
    </xf>
    <xf numFmtId="41" fontId="2" fillId="0" borderId="0" xfId="1" applyNumberFormat="1" applyFont="1" applyFill="1"/>
    <xf numFmtId="41" fontId="0" fillId="36" borderId="0" xfId="151" applyNumberFormat="1" applyFont="1" applyFill="1" applyBorder="1"/>
    <xf numFmtId="17" fontId="0" fillId="36" borderId="0" xfId="148" quotePrefix="1" applyNumberFormat="1" applyFont="1" applyFill="1" applyAlignment="1">
      <alignment horizontal="center"/>
    </xf>
    <xf numFmtId="41" fontId="0" fillId="0" borderId="0" xfId="0" applyNumberFormat="1"/>
    <xf numFmtId="41" fontId="2" fillId="0" borderId="0" xfId="1" applyNumberFormat="1" applyFont="1" applyFill="1" applyBorder="1"/>
    <xf numFmtId="0" fontId="36" fillId="0" borderId="0" xfId="0" applyFont="1" applyAlignment="1">
      <alignment horizontal="left" vertical="top" wrapText="1"/>
    </xf>
    <xf numFmtId="171" fontId="9" fillId="0" borderId="0" xfId="152" applyNumberFormat="1" applyFont="1" applyAlignment="1">
      <alignment horizontal="right"/>
    </xf>
    <xf numFmtId="0" fontId="36" fillId="0" borderId="10" xfId="0" applyFont="1" applyBorder="1" applyAlignment="1">
      <alignment horizontal="center" wrapText="1"/>
    </xf>
    <xf numFmtId="0" fontId="36" fillId="0" borderId="0" xfId="0" applyFont="1" applyAlignment="1">
      <alignment horizontal="left"/>
    </xf>
    <xf numFmtId="172" fontId="9" fillId="0" borderId="0" xfId="0" applyNumberFormat="1" applyFont="1" applyAlignment="1">
      <alignment horizontal="right"/>
    </xf>
    <xf numFmtId="171" fontId="9" fillId="0" borderId="0" xfId="0" applyNumberFormat="1" applyFont="1" applyAlignment="1">
      <alignment horizontal="right"/>
    </xf>
    <xf numFmtId="171" fontId="0" fillId="0" borderId="0" xfId="0" applyNumberFormat="1"/>
    <xf numFmtId="0" fontId="37" fillId="0" borderId="0" xfId="0" applyFont="1" applyAlignment="1">
      <alignment horizontal="left" vertical="top" wrapText="1"/>
    </xf>
    <xf numFmtId="2" fontId="37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/>
    <xf numFmtId="0" fontId="9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 vertical="top" wrapText="1"/>
    </xf>
    <xf numFmtId="0" fontId="0" fillId="0" borderId="0" xfId="0" applyBorder="1" applyAlignment="1">
      <alignment horizontal="center"/>
    </xf>
    <xf numFmtId="164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43" fontId="0" fillId="0" borderId="9" xfId="0" applyNumberFormat="1" applyBorder="1"/>
  </cellXfs>
  <cellStyles count="153">
    <cellStyle name="Accent1 - 20%" xfId="33" xr:uid="{AD1E7D7E-4DD0-4BF8-BA1A-14159A07FDB4}"/>
    <cellStyle name="Accent1 - 40%" xfId="34" xr:uid="{DAAAF4A1-620B-41B5-8DDB-1B33CBFF43FE}"/>
    <cellStyle name="Accent1 - 60%" xfId="35" xr:uid="{FE47ADD5-3EA2-49B6-BAB8-F47D734CBA29}"/>
    <cellStyle name="Accent2 - 20%" xfId="36" xr:uid="{F7CDB763-D28B-4A0C-B225-B15A88CA4BC6}"/>
    <cellStyle name="Accent2 - 40%" xfId="37" xr:uid="{BEF52E6C-EE6F-487F-9CA8-F4F665DF95F7}"/>
    <cellStyle name="Accent2 - 60%" xfId="38" xr:uid="{FFEA0DC4-A0E0-4306-91ED-7D48AE8352D3}"/>
    <cellStyle name="Accent3 - 20%" xfId="39" xr:uid="{5F125120-12FC-4D02-8EDA-2AE62954D57C}"/>
    <cellStyle name="Accent3 - 40%" xfId="40" xr:uid="{19CCB4DB-D0CE-469C-8DA0-1DAEFBC07FFC}"/>
    <cellStyle name="Accent3 - 60%" xfId="41" xr:uid="{34BC1261-B07B-4A86-AA79-B6E7CCE9A13C}"/>
    <cellStyle name="Accent4 - 20%" xfId="42" xr:uid="{5B2B2653-AD3D-48BF-9182-39FEFADE5C8A}"/>
    <cellStyle name="Accent4 - 40%" xfId="43" xr:uid="{17866926-06A5-4690-A045-B2B92ABEC6A1}"/>
    <cellStyle name="Accent4 - 60%" xfId="44" xr:uid="{0E89396C-ADE9-40E4-B61A-053B74E94BBC}"/>
    <cellStyle name="Accent5 - 20%" xfId="45" xr:uid="{406ADB62-9022-4B69-9254-32CC634E87A0}"/>
    <cellStyle name="Accent5 - 40%" xfId="46" xr:uid="{BDD2C733-29DF-4A2B-8C0F-6C4B3E9132E7}"/>
    <cellStyle name="Accent5 - 60%" xfId="47" xr:uid="{CD8436AE-F2D3-4813-9D1E-A1CEAA9189E3}"/>
    <cellStyle name="Accent6 - 20%" xfId="48" xr:uid="{7F72796B-DB18-43F7-89E2-7FA82F4CBDF0}"/>
    <cellStyle name="Accent6 - 40%" xfId="49" xr:uid="{A51762AE-6A33-4AE0-AE7F-C388FFC0741C}"/>
    <cellStyle name="Accent6 - 60%" xfId="50" xr:uid="{95B80CF3-689C-4D58-B71D-5823E4E51518}"/>
    <cellStyle name="Comma" xfId="1" builtinId="3"/>
    <cellStyle name="Comma 10" xfId="150" xr:uid="{E32F8FE5-B322-4455-B3BE-D93DA4AB5FFC}"/>
    <cellStyle name="Comma 2" xfId="16" xr:uid="{654B3848-EFAC-4DA4-9B06-1F801C73C895}"/>
    <cellStyle name="Comma 2 2" xfId="17" xr:uid="{6F4D84E8-D091-4E1B-8131-C829C4828F51}"/>
    <cellStyle name="Comma 2 2 2" xfId="151" xr:uid="{08E6EA02-877D-46DA-84F0-BDFBD49251D7}"/>
    <cellStyle name="Comma 3" xfId="18" xr:uid="{A67B2D80-4815-4D73-AE5E-EAF0B471BEE2}"/>
    <cellStyle name="Comma 3 2" xfId="51" xr:uid="{2280D7EC-87A7-4E6E-A4F4-89CABA74B757}"/>
    <cellStyle name="Comma 3 3" xfId="102" xr:uid="{09B5D346-0D44-4A6A-BAD2-128CBB87196A}"/>
    <cellStyle name="Comma 3 4" xfId="145" xr:uid="{8AE9CF2A-D981-4FB5-AAAC-C23BAD8D9768}"/>
    <cellStyle name="Comma 4" xfId="19" xr:uid="{57C94899-AFD1-4567-B66E-24793D00534B}"/>
    <cellStyle name="Comma 5" xfId="20" xr:uid="{E6DCEC71-9B36-42F8-8773-0519EE1E4667}"/>
    <cellStyle name="Comma 6" xfId="31" xr:uid="{138E3332-6492-460F-A0F5-0792BB647859}"/>
    <cellStyle name="Comma 6 2" xfId="68" xr:uid="{E28ACE1C-9637-42C8-A834-6D9BA2BF63BD}"/>
    <cellStyle name="Comma 6 2 2" xfId="85" xr:uid="{D19D560C-03D9-457B-86DB-1AFEAD22EEA6}"/>
    <cellStyle name="Comma 6 2 3" xfId="98" xr:uid="{C52CE37E-3243-4498-8B17-E50171AB4A2A}"/>
    <cellStyle name="Comma 6 3" xfId="78" xr:uid="{D6FF1B76-0CDA-4832-939D-4DE7F75BB855}"/>
    <cellStyle name="Comma 6 4" xfId="91" xr:uid="{F2621A47-7367-401C-8752-F87BAB41649D}"/>
    <cellStyle name="Comma 7" xfId="62" xr:uid="{38B8ED97-7792-4226-A8A2-F69F8E93F0B1}"/>
    <cellStyle name="Comma 7 2" xfId="82" xr:uid="{901A2BC5-8720-448D-B405-22989DE0E8E2}"/>
    <cellStyle name="Comma 7 3" xfId="95" xr:uid="{6AB93502-2BCF-4D67-9193-17EE7109A642}"/>
    <cellStyle name="Comma 8" xfId="75" xr:uid="{AF1F5510-67B1-48F5-B215-73B9595709C0}"/>
    <cellStyle name="Comma 9" xfId="88" xr:uid="{EE93387E-7ECD-4B1C-BE41-8E85DCC257FD}"/>
    <cellStyle name="Comma0" xfId="4" xr:uid="{CF1246AD-B2DB-475D-9E7F-2EA465C1E143}"/>
    <cellStyle name="Currency 2" xfId="21" xr:uid="{FA7FB975-2C10-4ACA-BCC2-1CCB29C525B9}"/>
    <cellStyle name="Currency 2 2" xfId="52" xr:uid="{E0F15284-ADE7-4429-9B85-F1B90672706E}"/>
    <cellStyle name="Currency 2 2 2" xfId="147" xr:uid="{39E46E57-DBF3-4C6A-BD9F-443A79EB7FE9}"/>
    <cellStyle name="Currency 3" xfId="30" xr:uid="{4FAABEB1-454F-4914-8D38-4455ADD9D3FB}"/>
    <cellStyle name="Currency 3 2" xfId="67" xr:uid="{47B2A612-0558-4A11-B4BF-488881B9D4CB}"/>
    <cellStyle name="Currency 3 2 2" xfId="84" xr:uid="{77A9F9A8-8FE1-4A50-B6C3-6FD8E3379229}"/>
    <cellStyle name="Currency 3 2 3" xfId="97" xr:uid="{4A868F41-BD0E-4E9A-87BA-F0055F0392C3}"/>
    <cellStyle name="Currency 3 3" xfId="77" xr:uid="{819520D7-6541-404A-A841-0443A8E6F88F}"/>
    <cellStyle name="Currency 3 4" xfId="90" xr:uid="{F877054A-100F-4D21-81A9-6C8739BC957D}"/>
    <cellStyle name="Currency 4" xfId="64" xr:uid="{976BCACE-D67C-4C77-A711-C2EAA1198319}"/>
    <cellStyle name="Currency 5" xfId="3" xr:uid="{A678E153-F211-4124-AC75-833FF0195F8E}"/>
    <cellStyle name="Currency No Comma" xfId="5" xr:uid="{D3B074B6-7302-4BE6-B481-6091310616FB}"/>
    <cellStyle name="Currency0" xfId="6" xr:uid="{4857C9A0-1975-4D8A-B427-7E634D0BC5E1}"/>
    <cellStyle name="Date" xfId="7" xr:uid="{5D8B400B-5B10-4E7E-8651-5C7B9D2B41F7}"/>
    <cellStyle name="Fixed" xfId="8" xr:uid="{22D647D5-B865-4349-B6DD-1AC6881D1DFE}"/>
    <cellStyle name="General" xfId="53" xr:uid="{356BE4DA-E04A-4F74-9D90-3EE8CD7418BE}"/>
    <cellStyle name="Heading 1 2" xfId="71" xr:uid="{D72EAA97-D175-4427-91C4-EA261EDA1057}"/>
    <cellStyle name="Heading 2 2" xfId="72" xr:uid="{65BA1EA8-C5D1-44D2-8068-8199F233C29F}"/>
    <cellStyle name="Hyperlink 2" xfId="54" xr:uid="{D4B641FE-99A9-4188-B7F8-C566FBE476D6}"/>
    <cellStyle name="Input 2" xfId="73" xr:uid="{4BC8B0A9-2138-46FC-811B-02E00E589A6A}"/>
    <cellStyle name="MCP" xfId="9" xr:uid="{7B3F146B-54C2-4288-B476-423E39A65F5A}"/>
    <cellStyle name="nONE" xfId="55" xr:uid="{5298FDF7-49AB-4FA5-9C0E-25AA469E46DE}"/>
    <cellStyle name="noninput" xfId="10" xr:uid="{7C8AFD73-E8AE-4A7C-9381-58C9A6AFB6E4}"/>
    <cellStyle name="Normal" xfId="0" builtinId="0"/>
    <cellStyle name="Normal 10" xfId="146" xr:uid="{D5950E01-0307-4EF9-95E2-35D6E6256D0A}"/>
    <cellStyle name="Normal 10 2 2" xfId="148" xr:uid="{462AF2A5-76DA-40C2-BEC5-00D3504264C3}"/>
    <cellStyle name="Normal 11" xfId="101" xr:uid="{7AC20F17-6E04-4F68-B811-E752DBA7039A}"/>
    <cellStyle name="Normal 12" xfId="137" xr:uid="{2E0C2BB2-4FCE-4FB5-B7AE-2DF9C4968172}"/>
    <cellStyle name="Normal 13" xfId="2" xr:uid="{25CFE9EE-FE1C-4FCA-9CD4-5D08984D8919}"/>
    <cellStyle name="Normal 14" xfId="152" xr:uid="{A6EBC98B-3848-447F-8C8B-439B803D430C}"/>
    <cellStyle name="Normal 2" xfId="22" xr:uid="{F9BDE912-2CD6-4CE2-B2F6-D15F91BE3453}"/>
    <cellStyle name="Normal 2 2" xfId="23" xr:uid="{476391FE-F208-459D-A75F-A91EC12E8380}"/>
    <cellStyle name="Normal 2 3" xfId="56" xr:uid="{F15B0BEB-D12C-476A-81BD-2F594DB1FBFB}"/>
    <cellStyle name="Normal 3" xfId="24" xr:uid="{D32386AE-270B-454E-99FE-031AAE8D6892}"/>
    <cellStyle name="Normal 3 2" xfId="57" xr:uid="{D5F6C476-D32A-4ED8-B78A-81AC81FA8BAE}"/>
    <cellStyle name="Normal 3 3" xfId="138" xr:uid="{20313608-DDAD-4BA2-B988-9E6D6E206432}"/>
    <cellStyle name="Normal 4" xfId="25" xr:uid="{B92B58DD-5B53-4778-A804-91D25ECC100F}"/>
    <cellStyle name="Normal 4 2" xfId="26" xr:uid="{6733A89A-D7B7-44DD-8C56-649EC0CB9E46}"/>
    <cellStyle name="Normal 4 2 2" xfId="66" xr:uid="{F169FBA9-24B5-423D-9591-D738916272BF}"/>
    <cellStyle name="Normal 4 2 2 2" xfId="83" xr:uid="{1DBF305C-FD63-49C1-B5D9-5C24F756DBEA}"/>
    <cellStyle name="Normal 4 2 2 3" xfId="96" xr:uid="{30597732-80FF-4D7A-92C1-6ECEC96F09A6}"/>
    <cellStyle name="Normal 4 2 3" xfId="76" xr:uid="{EEDF42CD-036A-4572-8B95-B30EE193D45C}"/>
    <cellStyle name="Normal 4 2 4" xfId="89" xr:uid="{F313DE60-8CE2-439D-A127-C32D44DC11CD}"/>
    <cellStyle name="Normal 4 3" xfId="139" xr:uid="{6AB9024B-1DF6-4991-B309-C94BAE474E2D}"/>
    <cellStyle name="Normal 5" xfId="27" xr:uid="{778D9AC0-320A-4526-8A21-FAC499FB623A}"/>
    <cellStyle name="Normal 5 2" xfId="140" xr:uid="{C0CFFD7E-43F2-4453-91A6-9780A6D5BED6}"/>
    <cellStyle name="Normal 6" xfId="28" xr:uid="{39391120-103A-41A7-8FF9-221521E6B51C}"/>
    <cellStyle name="Normal 7" xfId="58" xr:uid="{ED455752-B4A5-4FA1-A2BC-D39E74CE2851}"/>
    <cellStyle name="Normal 7 2" xfId="70" xr:uid="{0E7967DA-3227-4FDB-8D4C-55E3B19FC1B6}"/>
    <cellStyle name="Normal 7 2 2" xfId="87" xr:uid="{8F78E5E9-D923-4785-828B-E3B7C26BD196}"/>
    <cellStyle name="Normal 7 2 3" xfId="100" xr:uid="{E69E0D9F-F4A4-4F65-815D-F56E9D7D4519}"/>
    <cellStyle name="Normal 7 3" xfId="80" xr:uid="{35353492-6386-4D40-8934-66B688E44605}"/>
    <cellStyle name="Normal 7 4" xfId="93" xr:uid="{29396DDA-4429-476E-B303-C72A7C39A682}"/>
    <cellStyle name="Normal 7 5" xfId="141" xr:uid="{0F984789-2575-47AC-B4CF-E873E7C33420}"/>
    <cellStyle name="Normal 8" xfId="63" xr:uid="{71D6A655-051F-43F6-8C08-0202988A7BD3}"/>
    <cellStyle name="Normal 8 2" xfId="143" xr:uid="{F361BE4E-E137-4466-A6EC-60F724F3A7B2}"/>
    <cellStyle name="Normal 8 3" xfId="142" xr:uid="{9A4FE32D-AD23-420B-9E4C-D04FC33703FD}"/>
    <cellStyle name="Normal 9" xfId="61" xr:uid="{F5240739-57C7-4622-BCFC-18FFCDDB273D}"/>
    <cellStyle name="Normal 9 2" xfId="81" xr:uid="{3EAA9F73-ABDC-497F-877D-FED8CC322346}"/>
    <cellStyle name="Normal 9 3" xfId="94" xr:uid="{AFFEF35B-2D1A-4A29-BD58-EF29C2557782}"/>
    <cellStyle name="Normal 9 4" xfId="144" xr:uid="{F0579DA0-A93C-46B0-8F0C-607957399CA7}"/>
    <cellStyle name="Password" xfId="11" xr:uid="{AF60C6AF-8A9B-425A-8CEB-865478739477}"/>
    <cellStyle name="Percent 2" xfId="29" xr:uid="{8319B80B-D3C3-4026-B52F-3A570E60AB47}"/>
    <cellStyle name="Percent 2 2 2" xfId="149" xr:uid="{3F92A1F7-37D7-4B31-8DB7-46307E4A2EE7}"/>
    <cellStyle name="Percent 3" xfId="32" xr:uid="{C2E0D864-8BBD-4AEC-9CA2-F28C171AC2F0}"/>
    <cellStyle name="Percent 3 2" xfId="69" xr:uid="{E7BA80EC-FE95-4ABA-920F-0D8DAE1E2B8A}"/>
    <cellStyle name="Percent 3 2 2" xfId="86" xr:uid="{3A8023BC-D465-4CB3-B053-5CBDA18F7DB2}"/>
    <cellStyle name="Percent 3 2 3" xfId="99" xr:uid="{96ECA79C-7A81-4613-B93F-03796479DF0E}"/>
    <cellStyle name="Percent 3 3" xfId="79" xr:uid="{BFBDCBB2-FBAE-4694-A7BA-4E97512DA918}"/>
    <cellStyle name="Percent 3 4" xfId="92" xr:uid="{0D5C416B-1B9F-417E-BCAE-210B063B9158}"/>
    <cellStyle name="Percent 4" xfId="65" xr:uid="{3B53306C-2257-4D69-9C9C-8F3ED32258B7}"/>
    <cellStyle name="Percent 5" xfId="15" xr:uid="{66EAA7B6-2F9D-4CCE-BE35-87523006899C}"/>
    <cellStyle name="SAPBorder" xfId="121" xr:uid="{30593DCF-0F3A-4015-92F8-F2810CC13B36}"/>
    <cellStyle name="SAPDataCell" xfId="104" xr:uid="{5F6057E1-5ECC-4491-A7FA-99F13FBFF6C2}"/>
    <cellStyle name="SAPDataTotalCell" xfId="105" xr:uid="{D8D031FF-C2FB-4F44-AF3D-8D41177414C3}"/>
    <cellStyle name="SAPDimensionCell" xfId="103" xr:uid="{BDD6F165-6988-451D-B192-432AAADBA390}"/>
    <cellStyle name="SAPEditableDataCell" xfId="106" xr:uid="{78BAD7B4-C986-4424-9B15-707563F9AAAB}"/>
    <cellStyle name="SAPEditableDataTotalCell" xfId="109" xr:uid="{4AA5033F-A577-41C6-AA9B-B28EBA838258}"/>
    <cellStyle name="SAPEmphasized" xfId="129" xr:uid="{FD4C9C93-C318-4E2E-A0D6-060ADC7BAA55}"/>
    <cellStyle name="SAPEmphasizedEditableDataCell" xfId="131" xr:uid="{1B67BF58-31EB-43A9-BC04-1C4973749EA2}"/>
    <cellStyle name="SAPEmphasizedEditableDataTotalCell" xfId="132" xr:uid="{5F279A95-5906-435E-9708-D9B518ED20E7}"/>
    <cellStyle name="SAPEmphasizedLockedDataCell" xfId="135" xr:uid="{6EC22BF4-E7CC-42BB-B078-DB271E530C28}"/>
    <cellStyle name="SAPEmphasizedLockedDataTotalCell" xfId="136" xr:uid="{ACE4DB62-433F-4789-BF71-60147C832210}"/>
    <cellStyle name="SAPEmphasizedReadonlyDataCell" xfId="133" xr:uid="{ED77733B-226C-4D2A-BC0F-979C09EEC249}"/>
    <cellStyle name="SAPEmphasizedReadonlyDataTotalCell" xfId="134" xr:uid="{FEA73259-D4F5-45FB-A221-FEA0874F86D0}"/>
    <cellStyle name="SAPEmphasizedTotal" xfId="130" xr:uid="{E940BACC-061F-48CD-8FDE-EEA8AF8D73A4}"/>
    <cellStyle name="SAPExceptionLevel1" xfId="112" xr:uid="{97D15729-4705-49F3-8212-203F04DC8AD9}"/>
    <cellStyle name="SAPExceptionLevel2" xfId="113" xr:uid="{B3A0C8FD-F0D1-44C4-A4B5-5075E92C6995}"/>
    <cellStyle name="SAPExceptionLevel3" xfId="114" xr:uid="{67F7F0FD-A051-443D-8148-E22E84FEFC05}"/>
    <cellStyle name="SAPExceptionLevel4" xfId="115" xr:uid="{0ED26492-DB6C-4C8C-B298-F4AEDFBFE88C}"/>
    <cellStyle name="SAPExceptionLevel5" xfId="116" xr:uid="{27189B4F-8539-49DE-AB78-E04D098EDA1C}"/>
    <cellStyle name="SAPExceptionLevel6" xfId="117" xr:uid="{6B98D2A2-B7CB-4BAB-9F46-3A74805190E3}"/>
    <cellStyle name="SAPExceptionLevel7" xfId="118" xr:uid="{5A6BA55A-5730-4498-A246-495CE248BB97}"/>
    <cellStyle name="SAPExceptionLevel8" xfId="119" xr:uid="{CF9C7AE3-F556-48C2-BD24-A00BE8592179}"/>
    <cellStyle name="SAPExceptionLevel9" xfId="120" xr:uid="{3A4BB4E9-9E67-407A-A7EE-43F7185CEB24}"/>
    <cellStyle name="SAPHierarchyCell0" xfId="124" xr:uid="{2C4AA351-0CB2-4A9D-BFA6-1E2EDFCE184E}"/>
    <cellStyle name="SAPHierarchyCell1" xfId="125" xr:uid="{48F15091-5D1D-4196-AE45-568344BAB663}"/>
    <cellStyle name="SAPHierarchyCell2" xfId="126" xr:uid="{F9C058C5-1284-4741-97A2-0AF1B212B49F}"/>
    <cellStyle name="SAPHierarchyCell3" xfId="127" xr:uid="{C04F54D0-F949-4FBB-8894-660A530B3D1C}"/>
    <cellStyle name="SAPHierarchyCell4" xfId="128" xr:uid="{5D21FBD8-4B88-4A00-8DEF-1377A7A7060D}"/>
    <cellStyle name="SAPLockedDataCell" xfId="108" xr:uid="{19F292E5-A5CF-41C3-880A-41D47C869AA1}"/>
    <cellStyle name="SAPLockedDataTotalCell" xfId="111" xr:uid="{169FBFD2-E3BB-4045-85D2-3A21D2F0A92C}"/>
    <cellStyle name="SAPMemberCell" xfId="122" xr:uid="{718E1F9C-0ADD-42BD-B84E-639EF853DEA3}"/>
    <cellStyle name="SAPMemberTotalCell" xfId="123" xr:uid="{9256D12C-FADC-4F27-AECC-6BD8F8285F82}"/>
    <cellStyle name="SAPReadonlyDataCell" xfId="107" xr:uid="{A80157DF-5881-4366-BAA3-A1388FC27168}"/>
    <cellStyle name="SAPReadonlyDataTotalCell" xfId="110" xr:uid="{6A51DEEE-980E-40A6-BC5B-71137EF59520}"/>
    <cellStyle name="Sheet Title" xfId="59" xr:uid="{94508316-2654-45E7-A6C4-BE3919A9A63A}"/>
    <cellStyle name="Total 2" xfId="74" xr:uid="{C645479F-DB66-4A4F-B584-B3BDB51550CC}"/>
    <cellStyle name="TRANSMISSION RELIABILITY PORTION OF PROJECT" xfId="60" xr:uid="{6FF60918-1431-41B4-832B-7300F13158CE}"/>
    <cellStyle name="Unprot" xfId="12" xr:uid="{B0D56046-B075-4E36-991D-972E5048A70C}"/>
    <cellStyle name="Unprot$" xfId="13" xr:uid="{C733B4BE-B4D6-4FF3-A8C3-473F42A9A3AB}"/>
    <cellStyle name="Unprotect" xfId="14" xr:uid="{15B85697-726D-4416-8E3B-055D7AC34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8DA19-9EC4-40CC-8210-1FEB11D89E74}">
  <dimension ref="A1:L21"/>
  <sheetViews>
    <sheetView workbookViewId="0">
      <selection activeCell="J16" sqref="J16"/>
    </sheetView>
  </sheetViews>
  <sheetFormatPr defaultRowHeight="14.4"/>
  <cols>
    <col min="1" max="1" width="11.88671875" bestFit="1" customWidth="1"/>
    <col min="2" max="2" width="14.88671875" bestFit="1" customWidth="1"/>
    <col min="3" max="3" width="10.21875" bestFit="1" customWidth="1"/>
    <col min="4" max="4" width="16.33203125" bestFit="1" customWidth="1"/>
    <col min="5" max="5" width="20.77734375" bestFit="1" customWidth="1"/>
    <col min="6" max="6" width="21.88671875" bestFit="1" customWidth="1"/>
    <col min="7" max="7" width="21.88671875" customWidth="1"/>
    <col min="8" max="8" width="44.33203125" customWidth="1"/>
    <col min="9" max="9" width="35.21875" bestFit="1" customWidth="1"/>
    <col min="10" max="10" width="16.5546875" customWidth="1"/>
    <col min="11" max="11" width="18.77734375" customWidth="1"/>
    <col min="12" max="12" width="14.88671875" bestFit="1" customWidth="1"/>
  </cols>
  <sheetData>
    <row r="1" spans="1:12">
      <c r="B1" s="27" t="s">
        <v>8</v>
      </c>
      <c r="C1" s="27"/>
      <c r="D1" s="4"/>
      <c r="E1" s="4"/>
      <c r="F1" s="4"/>
      <c r="G1" s="4"/>
      <c r="I1" s="28" t="s">
        <v>74</v>
      </c>
      <c r="J1" s="28" t="s">
        <v>20</v>
      </c>
      <c r="K1" s="28" t="s">
        <v>60</v>
      </c>
    </row>
    <row r="2" spans="1:12" ht="27" customHeight="1">
      <c r="A2" t="s">
        <v>2</v>
      </c>
      <c r="B2" t="s">
        <v>6</v>
      </c>
      <c r="C2" t="s">
        <v>7</v>
      </c>
      <c r="D2" t="s">
        <v>9</v>
      </c>
      <c r="E2" t="s">
        <v>10</v>
      </c>
      <c r="F2" t="s">
        <v>11</v>
      </c>
      <c r="G2" t="s">
        <v>12</v>
      </c>
      <c r="I2" s="28"/>
      <c r="J2" s="28"/>
      <c r="K2" s="28"/>
    </row>
    <row r="3" spans="1:12">
      <c r="A3" s="4">
        <v>2021</v>
      </c>
      <c r="B3">
        <v>39.24</v>
      </c>
      <c r="C3">
        <v>29.28</v>
      </c>
      <c r="D3" s="1">
        <v>4198961</v>
      </c>
      <c r="E3" s="1">
        <f>-(41805222)</f>
        <v>-41805222</v>
      </c>
      <c r="F3" s="1">
        <f>-31624700</f>
        <v>-31624700</v>
      </c>
      <c r="G3" s="1">
        <f t="shared" ref="G3:G6" si="0">E3-F3</f>
        <v>-10180522</v>
      </c>
      <c r="H3" t="s">
        <v>3</v>
      </c>
      <c r="I3" s="2">
        <v>50601642</v>
      </c>
      <c r="J3" s="13">
        <v>736778.94154956168</v>
      </c>
      <c r="K3" s="3">
        <f>I3/J3</f>
        <v>68.679544360452013</v>
      </c>
      <c r="L3" t="s">
        <v>0</v>
      </c>
    </row>
    <row r="4" spans="1:12">
      <c r="A4" s="4">
        <v>2022</v>
      </c>
      <c r="B4">
        <v>50.81</v>
      </c>
      <c r="C4">
        <f>33.48</f>
        <v>33.479999999999997</v>
      </c>
      <c r="D4" s="1">
        <f>4181079</f>
        <v>4181079</v>
      </c>
      <c r="E4" s="1">
        <f>-72671801</f>
        <v>-72671801</v>
      </c>
      <c r="F4" s="1">
        <f>-59404621</f>
        <v>-59404621</v>
      </c>
      <c r="G4" s="1">
        <f t="shared" si="0"/>
        <v>-13267180</v>
      </c>
      <c r="H4" t="s">
        <v>4</v>
      </c>
      <c r="I4" s="2">
        <v>64898432</v>
      </c>
      <c r="J4" s="2">
        <v>659810</v>
      </c>
      <c r="K4" s="3">
        <f>I4/J4</f>
        <v>98.35927312408117</v>
      </c>
      <c r="L4" t="s">
        <v>1</v>
      </c>
    </row>
    <row r="5" spans="1:12">
      <c r="A5" s="4" t="s">
        <v>13</v>
      </c>
      <c r="B5" s="3">
        <v>58.3</v>
      </c>
      <c r="C5" s="3">
        <f>35.57</f>
        <v>35.57</v>
      </c>
      <c r="D5" s="1">
        <f>3850048</f>
        <v>3850048</v>
      </c>
      <c r="E5" s="1">
        <f>-87484705</f>
        <v>-87484705</v>
      </c>
      <c r="F5" s="1">
        <f>-72736234</f>
        <v>-72736234</v>
      </c>
      <c r="G5" s="1">
        <f t="shared" si="0"/>
        <v>-14748471</v>
      </c>
      <c r="H5" t="s">
        <v>5</v>
      </c>
      <c r="I5" s="13">
        <v>55858612.407238804</v>
      </c>
      <c r="J5" s="13">
        <v>531787.68487499608</v>
      </c>
      <c r="K5" s="3">
        <f>I5/J5</f>
        <v>105.03931173278134</v>
      </c>
      <c r="L5" t="s">
        <v>22</v>
      </c>
    </row>
    <row r="6" spans="1:12">
      <c r="A6" s="7" t="s">
        <v>14</v>
      </c>
      <c r="B6" s="8">
        <f>C6+E13/(D6/2)</f>
        <v>73.606028114328581</v>
      </c>
      <c r="C6" s="8">
        <f>35.57</f>
        <v>35.57</v>
      </c>
      <c r="D6" s="9">
        <f>C21</f>
        <v>2160257.4735990004</v>
      </c>
      <c r="E6" s="9">
        <f>-E13</f>
        <v>-41083807</v>
      </c>
      <c r="F6" s="10">
        <f>-30975426</f>
        <v>-30975426</v>
      </c>
      <c r="G6" s="10">
        <f t="shared" si="0"/>
        <v>-10108381</v>
      </c>
      <c r="H6" s="11" t="s">
        <v>21</v>
      </c>
      <c r="I6" s="17">
        <v>41499281.579091363</v>
      </c>
      <c r="J6" s="17">
        <v>350950.43042241456</v>
      </c>
      <c r="K6" s="3">
        <f>I6/J6</f>
        <v>118.24827092857977</v>
      </c>
      <c r="L6" t="s">
        <v>27</v>
      </c>
    </row>
    <row r="7" spans="1:12">
      <c r="G7" s="2">
        <f>SUM(G3:G6)</f>
        <v>-48304554</v>
      </c>
      <c r="I7" s="2">
        <f>SUM(I3:I6)</f>
        <v>212857967.98633018</v>
      </c>
      <c r="J7" s="2">
        <f>SUM(J3:J6)</f>
        <v>2279327.0568469726</v>
      </c>
    </row>
    <row r="8" spans="1:12">
      <c r="G8" s="2"/>
      <c r="I8" s="2"/>
      <c r="J8" s="2"/>
    </row>
    <row r="9" spans="1:12">
      <c r="G9" s="2"/>
      <c r="I9" s="2"/>
      <c r="J9" s="35" t="s">
        <v>77</v>
      </c>
      <c r="K9" s="36" t="s">
        <v>73</v>
      </c>
      <c r="L9" s="36" t="s">
        <v>75</v>
      </c>
    </row>
    <row r="10" spans="1:12">
      <c r="A10" t="s">
        <v>15</v>
      </c>
      <c r="B10" s="1" t="s">
        <v>16</v>
      </c>
      <c r="J10" s="4">
        <v>2021</v>
      </c>
      <c r="K10" s="3">
        <f>K3*'inflation data'!X21</f>
        <v>77.125710721810961</v>
      </c>
      <c r="L10" s="6">
        <f>K10*J3</f>
        <v>56824599.511873558</v>
      </c>
    </row>
    <row r="11" spans="1:12">
      <c r="A11" s="12" t="s">
        <v>17</v>
      </c>
      <c r="B11" s="6" t="s">
        <v>18</v>
      </c>
      <c r="J11" s="4">
        <v>2022</v>
      </c>
      <c r="K11" s="3">
        <f>K4*'inflation data'!X22</f>
        <v>101.27973468286793</v>
      </c>
      <c r="L11" s="6">
        <f>K11*J4</f>
        <v>66825381.741103083</v>
      </c>
    </row>
    <row r="12" spans="1:12">
      <c r="B12" s="5"/>
      <c r="J12" s="4" t="s">
        <v>13</v>
      </c>
      <c r="K12" s="3">
        <f>K5*'inflation data'!X23</f>
        <v>105.03931173278134</v>
      </c>
      <c r="L12" s="6">
        <f>K12*J5</f>
        <v>55858612.407238804</v>
      </c>
    </row>
    <row r="13" spans="1:12">
      <c r="B13" s="6" t="s">
        <v>19</v>
      </c>
      <c r="E13" s="2">
        <f>41083807</f>
        <v>41083807</v>
      </c>
      <c r="F13" t="s">
        <v>26</v>
      </c>
      <c r="J13" s="34" t="s">
        <v>14</v>
      </c>
      <c r="K13" s="3">
        <f>K6*'inflation data'!X24</f>
        <v>114.83603626879299</v>
      </c>
      <c r="L13" s="37">
        <f>K13*J6</f>
        <v>40301756.35653691</v>
      </c>
    </row>
    <row r="14" spans="1:12">
      <c r="B14" s="6" t="s">
        <v>23</v>
      </c>
      <c r="L14" s="6">
        <f>SUM(L10:L13)</f>
        <v>219810350.01675236</v>
      </c>
    </row>
    <row r="15" spans="1:12">
      <c r="B15" s="15">
        <v>45292</v>
      </c>
      <c r="C15" s="14">
        <v>479491.05178700038</v>
      </c>
      <c r="E15" t="s">
        <v>25</v>
      </c>
      <c r="I15" t="s">
        <v>78</v>
      </c>
      <c r="J15" s="2">
        <f>J7*(K17-IRPs!G11)</f>
        <v>144218997.93285879</v>
      </c>
    </row>
    <row r="16" spans="1:12">
      <c r="B16" s="15">
        <v>45323</v>
      </c>
      <c r="C16" s="14">
        <v>373135.48400200013</v>
      </c>
      <c r="I16" t="s">
        <v>79</v>
      </c>
      <c r="J16" s="2">
        <f>J5*(K12-IRPs!G11)</f>
        <v>38222464.053491041</v>
      </c>
    </row>
    <row r="17" spans="2:12">
      <c r="B17" s="15">
        <v>45352</v>
      </c>
      <c r="C17" s="14">
        <v>343621.68369500031</v>
      </c>
      <c r="K17" s="6">
        <f>SUM(L10:L13)/SUM(J3:J6)</f>
        <v>96.436511538111304</v>
      </c>
      <c r="L17" t="s">
        <v>76</v>
      </c>
    </row>
    <row r="18" spans="2:12">
      <c r="B18" s="15">
        <v>45383</v>
      </c>
      <c r="C18" s="14">
        <v>307165.20146699989</v>
      </c>
    </row>
    <row r="19" spans="2:12">
      <c r="B19" s="15">
        <v>45413</v>
      </c>
      <c r="C19" s="14">
        <v>318355.32543899969</v>
      </c>
    </row>
    <row r="20" spans="2:12">
      <c r="B20" s="15">
        <v>45444</v>
      </c>
      <c r="C20" s="14">
        <v>338488.72720900009</v>
      </c>
    </row>
    <row r="21" spans="2:12">
      <c r="B21" t="s">
        <v>24</v>
      </c>
      <c r="C21" s="16">
        <f>SUM(C15:C20)</f>
        <v>2160257.4735990004</v>
      </c>
    </row>
  </sheetData>
  <sortState xmlns:xlrd2="http://schemas.microsoft.com/office/spreadsheetml/2017/richdata2" ref="A3:H5">
    <sortCondition ref="A3:A5"/>
  </sortState>
  <mergeCells count="4">
    <mergeCell ref="B1:C1"/>
    <mergeCell ref="I1:I2"/>
    <mergeCell ref="J1:J2"/>
    <mergeCell ref="K1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32331-4169-4BD2-8655-8698091AD00B}">
  <dimension ref="B4:G11"/>
  <sheetViews>
    <sheetView tabSelected="1" workbookViewId="0">
      <selection activeCell="F11" sqref="F11:G11"/>
    </sheetView>
  </sheetViews>
  <sheetFormatPr defaultRowHeight="14.4"/>
  <cols>
    <col min="3" max="3" width="39.88671875" customWidth="1"/>
    <col min="6" max="7" width="9.5546875" bestFit="1" customWidth="1"/>
  </cols>
  <sheetData>
    <row r="4" spans="2:7">
      <c r="D4" t="s">
        <v>61</v>
      </c>
      <c r="F4" t="s">
        <v>73</v>
      </c>
    </row>
    <row r="5" spans="2:7">
      <c r="B5" t="s">
        <v>70</v>
      </c>
      <c r="D5" t="s">
        <v>67</v>
      </c>
      <c r="E5" t="s">
        <v>68</v>
      </c>
      <c r="F5" t="s">
        <v>67</v>
      </c>
      <c r="G5" t="s">
        <v>68</v>
      </c>
    </row>
    <row r="6" spans="2:7">
      <c r="B6" t="s">
        <v>71</v>
      </c>
      <c r="C6" s="25" t="s">
        <v>62</v>
      </c>
      <c r="D6" s="26">
        <v>48.54</v>
      </c>
      <c r="E6" s="26">
        <v>32.979999999999997</v>
      </c>
      <c r="F6" s="3">
        <f>'inflation data'!$X$18*D6</f>
        <v>58.772370460615335</v>
      </c>
      <c r="G6" s="3">
        <f>'inflation data'!$X$18*E6</f>
        <v>39.932278075630279</v>
      </c>
    </row>
    <row r="7" spans="2:7">
      <c r="C7" s="25" t="s">
        <v>63</v>
      </c>
      <c r="D7" s="26">
        <v>48.1</v>
      </c>
      <c r="E7" s="26">
        <v>32.549999999999997</v>
      </c>
      <c r="F7" s="3">
        <f>'inflation data'!$X$18*D7</f>
        <v>58.239617205512936</v>
      </c>
      <c r="G7" s="3">
        <f>'inflation data'!$X$18*E7</f>
        <v>39.411632849052928</v>
      </c>
    </row>
    <row r="8" spans="2:7">
      <c r="C8" s="25" t="s">
        <v>64</v>
      </c>
      <c r="D8" s="26">
        <v>38.630000000000003</v>
      </c>
      <c r="E8" s="26">
        <v>23.07</v>
      </c>
      <c r="F8" s="3">
        <f>'inflation data'!$X$18*D8</f>
        <v>46.773314192286172</v>
      </c>
      <c r="G8" s="3">
        <f>'inflation data'!$X$18*E8</f>
        <v>27.933221807301109</v>
      </c>
    </row>
    <row r="9" spans="2:7">
      <c r="C9" s="25" t="s">
        <v>65</v>
      </c>
      <c r="D9" s="26">
        <v>46.82</v>
      </c>
      <c r="E9" s="26">
        <v>31.27</v>
      </c>
      <c r="F9" s="3">
        <f>'inflation data'!$X$18*D9</f>
        <v>56.689789554305939</v>
      </c>
      <c r="G9" s="3">
        <f>'inflation data'!$X$18*E9</f>
        <v>37.861805197845932</v>
      </c>
    </row>
    <row r="10" spans="2:7">
      <c r="C10" s="25" t="s">
        <v>66</v>
      </c>
      <c r="D10" s="26">
        <v>32.630000000000003</v>
      </c>
      <c r="E10" s="26">
        <v>17.079999999999998</v>
      </c>
      <c r="F10" s="3">
        <f>'inflation data'!$X$18*D10</f>
        <v>39.508497077253374</v>
      </c>
      <c r="G10" s="3">
        <f>'inflation data'!$X$18*E10</f>
        <v>20.680512720793363</v>
      </c>
    </row>
    <row r="11" spans="2:7">
      <c r="E11" t="s">
        <v>69</v>
      </c>
      <c r="F11" s="3">
        <f>AVERAGE(F6:F10)</f>
        <v>51.996717697994754</v>
      </c>
      <c r="G11" s="3">
        <f>AVERAGE(G6:G10)</f>
        <v>33.16389013012472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7D0D2-3E48-4E13-A990-5E8B898D250B}">
  <dimension ref="A1:X24"/>
  <sheetViews>
    <sheetView topLeftCell="A8" workbookViewId="0">
      <selection activeCell="P36" sqref="P36"/>
    </sheetView>
  </sheetViews>
  <sheetFormatPr defaultRowHeight="14.4"/>
  <cols>
    <col min="17" max="17" width="9.5546875" bestFit="1" customWidth="1"/>
  </cols>
  <sheetData>
    <row r="1" spans="1:24">
      <c r="A1" t="s">
        <v>28</v>
      </c>
    </row>
    <row r="2" spans="1:24" ht="15.6">
      <c r="A2" s="32" t="s">
        <v>29</v>
      </c>
      <c r="B2" s="30"/>
      <c r="C2" s="30"/>
      <c r="D2" s="30"/>
      <c r="E2" s="30"/>
      <c r="F2" s="30"/>
    </row>
    <row r="3" spans="1:24" ht="15.6">
      <c r="A3" s="32" t="s">
        <v>30</v>
      </c>
      <c r="B3" s="30"/>
      <c r="C3" s="30"/>
      <c r="D3" s="30"/>
      <c r="E3" s="30"/>
      <c r="F3" s="30"/>
    </row>
    <row r="4" spans="1:24">
      <c r="A4" s="30"/>
      <c r="B4" s="30"/>
      <c r="C4" s="30"/>
      <c r="D4" s="30"/>
      <c r="E4" s="30"/>
      <c r="F4" s="30"/>
    </row>
    <row r="5" spans="1:24" ht="26.4">
      <c r="A5" s="18" t="s">
        <v>31</v>
      </c>
      <c r="B5" s="29" t="s">
        <v>32</v>
      </c>
      <c r="C5" s="30"/>
      <c r="D5" s="30"/>
      <c r="E5" s="30"/>
      <c r="F5" s="30"/>
      <c r="Q5" s="19"/>
    </row>
    <row r="6" spans="1:24">
      <c r="A6" s="33" t="s">
        <v>33</v>
      </c>
      <c r="B6" s="30"/>
      <c r="C6" s="30"/>
      <c r="D6" s="30"/>
      <c r="E6" s="30"/>
      <c r="F6" s="30"/>
      <c r="Q6" s="19"/>
    </row>
    <row r="7" spans="1:24" ht="26.4">
      <c r="A7" s="18" t="s">
        <v>34</v>
      </c>
      <c r="B7" s="29" t="s">
        <v>35</v>
      </c>
      <c r="C7" s="30"/>
      <c r="D7" s="30"/>
      <c r="E7" s="30"/>
      <c r="F7" s="30"/>
      <c r="Q7" s="19"/>
    </row>
    <row r="8" spans="1:24">
      <c r="A8" s="18" t="s">
        <v>36</v>
      </c>
      <c r="B8" s="29" t="s">
        <v>37</v>
      </c>
      <c r="C8" s="30"/>
      <c r="D8" s="30"/>
      <c r="E8" s="30"/>
      <c r="F8" s="30"/>
      <c r="Q8" s="19"/>
    </row>
    <row r="9" spans="1:24">
      <c r="A9" s="18" t="s">
        <v>38</v>
      </c>
      <c r="B9" s="29" t="s">
        <v>39</v>
      </c>
      <c r="C9" s="30"/>
      <c r="D9" s="30"/>
      <c r="E9" s="30"/>
      <c r="F9" s="30"/>
      <c r="Q9" s="19"/>
    </row>
    <row r="10" spans="1:24" ht="26.4">
      <c r="A10" s="18" t="s">
        <v>40</v>
      </c>
      <c r="B10" s="29" t="s">
        <v>41</v>
      </c>
      <c r="C10" s="30"/>
      <c r="D10" s="30"/>
      <c r="E10" s="30"/>
      <c r="F10" s="30"/>
      <c r="Q10" s="19"/>
    </row>
    <row r="11" spans="1:24">
      <c r="A11" s="18" t="s">
        <v>42</v>
      </c>
      <c r="B11" s="31" t="s">
        <v>43</v>
      </c>
      <c r="C11" s="30"/>
      <c r="D11" s="30"/>
      <c r="E11" s="30"/>
      <c r="F11" s="30"/>
      <c r="Q11" s="19"/>
    </row>
    <row r="13" spans="1:24" ht="15" thickBot="1">
      <c r="A13" s="20" t="s">
        <v>44</v>
      </c>
      <c r="B13" s="20" t="s">
        <v>45</v>
      </c>
      <c r="C13" s="20" t="s">
        <v>46</v>
      </c>
      <c r="D13" s="20" t="s">
        <v>47</v>
      </c>
      <c r="E13" s="20" t="s">
        <v>48</v>
      </c>
      <c r="F13" s="20" t="s">
        <v>49</v>
      </c>
      <c r="G13" s="20" t="s">
        <v>50</v>
      </c>
      <c r="H13" s="20" t="s">
        <v>51</v>
      </c>
      <c r="I13" s="20" t="s">
        <v>52</v>
      </c>
      <c r="J13" s="20" t="s">
        <v>53</v>
      </c>
      <c r="K13" s="20" t="s">
        <v>54</v>
      </c>
      <c r="L13" s="20" t="s">
        <v>55</v>
      </c>
      <c r="M13" s="20" t="s">
        <v>56</v>
      </c>
      <c r="N13" s="20" t="s">
        <v>57</v>
      </c>
      <c r="O13" s="20" t="s">
        <v>58</v>
      </c>
    </row>
    <row r="14" spans="1:24" ht="15" thickTop="1">
      <c r="A14" s="21">
        <v>2014</v>
      </c>
      <c r="B14" s="22">
        <v>233.916</v>
      </c>
      <c r="C14" s="22">
        <v>234.78100000000001</v>
      </c>
      <c r="D14" s="22">
        <v>236.29300000000001</v>
      </c>
      <c r="E14" s="22">
        <v>237.072</v>
      </c>
      <c r="F14" s="22">
        <v>237.9</v>
      </c>
      <c r="G14" s="22">
        <v>238.34299999999999</v>
      </c>
      <c r="H14" s="22">
        <v>238.25</v>
      </c>
      <c r="I14" s="22">
        <v>237.852</v>
      </c>
      <c r="J14" s="22">
        <v>238.03100000000001</v>
      </c>
      <c r="K14" s="22">
        <v>237.43299999999999</v>
      </c>
      <c r="L14" s="22">
        <v>236.15100000000001</v>
      </c>
      <c r="M14" s="22">
        <v>234.81200000000001</v>
      </c>
      <c r="N14" s="22">
        <v>236.38399999999999</v>
      </c>
      <c r="O14" s="22">
        <v>237.08799999999999</v>
      </c>
    </row>
    <row r="15" spans="1:24">
      <c r="A15" s="21">
        <v>2015</v>
      </c>
      <c r="B15" s="22">
        <v>233.70699999999999</v>
      </c>
      <c r="C15" s="22">
        <v>234.72200000000001</v>
      </c>
      <c r="D15" s="22">
        <v>236.119</v>
      </c>
      <c r="E15" s="22">
        <v>236.59899999999999</v>
      </c>
      <c r="F15" s="22">
        <v>237.80500000000001</v>
      </c>
      <c r="G15" s="22">
        <v>238.63800000000001</v>
      </c>
      <c r="H15" s="22">
        <v>238.654</v>
      </c>
      <c r="I15" s="22">
        <v>238.316</v>
      </c>
      <c r="J15" s="22">
        <v>237.94499999999999</v>
      </c>
      <c r="K15" s="22">
        <v>237.83799999999999</v>
      </c>
      <c r="L15" s="22">
        <v>237.33600000000001</v>
      </c>
      <c r="M15" s="22">
        <v>236.52500000000001</v>
      </c>
      <c r="N15" s="22">
        <v>236.26499999999999</v>
      </c>
      <c r="O15" s="22">
        <v>237.76900000000001</v>
      </c>
      <c r="S15" t="s">
        <v>59</v>
      </c>
      <c r="X15" t="s">
        <v>72</v>
      </c>
    </row>
    <row r="16" spans="1:24">
      <c r="A16" s="21">
        <v>2016</v>
      </c>
      <c r="B16" s="22">
        <v>236.916</v>
      </c>
      <c r="C16" s="22">
        <v>237.11099999999999</v>
      </c>
      <c r="D16" s="22">
        <v>238.13200000000001</v>
      </c>
      <c r="E16" s="22">
        <v>239.261</v>
      </c>
      <c r="F16" s="22">
        <v>240.22900000000001</v>
      </c>
      <c r="G16" s="22">
        <v>241.018</v>
      </c>
      <c r="H16" s="22">
        <v>240.62799999999999</v>
      </c>
      <c r="I16" s="22">
        <v>240.84899999999999</v>
      </c>
      <c r="J16" s="22">
        <v>241.428</v>
      </c>
      <c r="K16" s="22">
        <v>241.72900000000001</v>
      </c>
      <c r="L16" s="22">
        <v>241.35300000000001</v>
      </c>
      <c r="M16" s="22">
        <v>241.43199999999999</v>
      </c>
      <c r="N16" s="22">
        <v>238.77799999999999</v>
      </c>
      <c r="O16" s="22">
        <v>241.23699999999999</v>
      </c>
      <c r="R16" s="23">
        <v>2016</v>
      </c>
      <c r="S16">
        <f>B$24/M16</f>
        <v>1.2774487226216906</v>
      </c>
      <c r="X16">
        <f>G$23/G16</f>
        <v>1.2659178982482635</v>
      </c>
    </row>
    <row r="17" spans="1:24">
      <c r="A17" s="21">
        <v>2017</v>
      </c>
      <c r="B17" s="22">
        <v>242.839</v>
      </c>
      <c r="C17" s="22">
        <v>243.60300000000001</v>
      </c>
      <c r="D17" s="22">
        <v>243.80099999999999</v>
      </c>
      <c r="E17" s="22">
        <v>244.524</v>
      </c>
      <c r="F17" s="22">
        <v>244.733</v>
      </c>
      <c r="G17" s="22">
        <v>244.95500000000001</v>
      </c>
      <c r="H17" s="22">
        <v>244.786</v>
      </c>
      <c r="I17" s="22">
        <v>245.51900000000001</v>
      </c>
      <c r="J17" s="22">
        <v>246.81899999999999</v>
      </c>
      <c r="K17" s="22">
        <v>246.66300000000001</v>
      </c>
      <c r="L17" s="22">
        <v>246.66900000000001</v>
      </c>
      <c r="M17" s="22">
        <v>246.524</v>
      </c>
      <c r="N17" s="22">
        <v>244.07599999999999</v>
      </c>
      <c r="O17" s="22">
        <v>246.16300000000001</v>
      </c>
      <c r="R17" s="24">
        <f>R16+1</f>
        <v>2017</v>
      </c>
      <c r="S17">
        <f t="shared" ref="S17:S22" si="0">B$24/M17</f>
        <v>1.2510627768493128</v>
      </c>
      <c r="X17">
        <f t="shared" ref="X17:X24" si="1">G$23/G17</f>
        <v>1.2455716356065398</v>
      </c>
    </row>
    <row r="18" spans="1:24">
      <c r="A18" s="21">
        <v>2018</v>
      </c>
      <c r="B18" s="22">
        <v>247.86699999999999</v>
      </c>
      <c r="C18" s="22">
        <v>248.99100000000001</v>
      </c>
      <c r="D18" s="22">
        <v>249.554</v>
      </c>
      <c r="E18" s="22">
        <v>250.54599999999999</v>
      </c>
      <c r="F18" s="22">
        <v>251.58799999999999</v>
      </c>
      <c r="G18" s="22">
        <v>251.989</v>
      </c>
      <c r="H18" s="22">
        <v>252.006</v>
      </c>
      <c r="I18" s="22">
        <v>252.14599999999999</v>
      </c>
      <c r="J18" s="22">
        <v>252.43899999999999</v>
      </c>
      <c r="K18" s="22">
        <v>252.88499999999999</v>
      </c>
      <c r="L18" s="22">
        <v>252.03800000000001</v>
      </c>
      <c r="M18" s="22">
        <v>251.233</v>
      </c>
      <c r="N18" s="22">
        <v>250.089</v>
      </c>
      <c r="O18" s="22">
        <v>252.125</v>
      </c>
      <c r="R18" s="24">
        <f t="shared" ref="R18:R22" si="2">R17+1</f>
        <v>2018</v>
      </c>
      <c r="S18">
        <f t="shared" si="0"/>
        <v>1.2276134106586316</v>
      </c>
      <c r="X18">
        <f t="shared" si="1"/>
        <v>1.2108028525054664</v>
      </c>
    </row>
    <row r="19" spans="1:24">
      <c r="A19" s="21">
        <v>2019</v>
      </c>
      <c r="B19" s="22">
        <v>251.71199999999999</v>
      </c>
      <c r="C19" s="22">
        <v>252.77600000000001</v>
      </c>
      <c r="D19" s="22">
        <v>254.202</v>
      </c>
      <c r="E19" s="22">
        <v>255.548</v>
      </c>
      <c r="F19" s="22">
        <v>256.09199999999998</v>
      </c>
      <c r="G19" s="22">
        <v>256.14299999999997</v>
      </c>
      <c r="H19" s="22">
        <v>256.57100000000003</v>
      </c>
      <c r="I19" s="22">
        <v>256.55799999999999</v>
      </c>
      <c r="J19" s="22">
        <v>256.75900000000001</v>
      </c>
      <c r="K19" s="22">
        <v>257.346</v>
      </c>
      <c r="L19" s="22">
        <v>257.20800000000003</v>
      </c>
      <c r="M19" s="22">
        <v>256.97399999999999</v>
      </c>
      <c r="N19" s="22">
        <v>254.41200000000001</v>
      </c>
      <c r="O19" s="22">
        <v>256.90300000000002</v>
      </c>
      <c r="R19" s="24">
        <f t="shared" si="2"/>
        <v>2019</v>
      </c>
      <c r="S19">
        <f t="shared" si="0"/>
        <v>1.200187567613844</v>
      </c>
      <c r="X19">
        <f t="shared" si="1"/>
        <v>1.1911666530024245</v>
      </c>
    </row>
    <row r="20" spans="1:24">
      <c r="A20" s="21">
        <v>2020</v>
      </c>
      <c r="B20" s="22">
        <v>257.971</v>
      </c>
      <c r="C20" s="22">
        <v>258.678</v>
      </c>
      <c r="D20" s="22">
        <v>258.11500000000001</v>
      </c>
      <c r="E20" s="22">
        <v>256.38900000000001</v>
      </c>
      <c r="F20" s="22">
        <v>256.39400000000001</v>
      </c>
      <c r="G20" s="22">
        <v>257.79700000000003</v>
      </c>
      <c r="H20" s="22">
        <v>259.101</v>
      </c>
      <c r="I20" s="22">
        <v>259.91800000000001</v>
      </c>
      <c r="J20" s="22">
        <v>260.27999999999997</v>
      </c>
      <c r="K20" s="22">
        <v>260.38799999999998</v>
      </c>
      <c r="L20" s="22">
        <v>260.22899999999998</v>
      </c>
      <c r="M20" s="22">
        <v>260.47399999999999</v>
      </c>
      <c r="N20" s="22">
        <v>257.55700000000002</v>
      </c>
      <c r="O20" s="22">
        <v>260.065</v>
      </c>
      <c r="R20" s="24">
        <f t="shared" si="2"/>
        <v>2020</v>
      </c>
      <c r="S20">
        <f t="shared" si="0"/>
        <v>1.1840605972189162</v>
      </c>
      <c r="X20">
        <f t="shared" si="1"/>
        <v>1.1835242458213244</v>
      </c>
    </row>
    <row r="21" spans="1:24">
      <c r="A21" s="21">
        <v>2021</v>
      </c>
      <c r="B21" s="22">
        <v>261.58199999999999</v>
      </c>
      <c r="C21" s="22">
        <v>263.01400000000001</v>
      </c>
      <c r="D21" s="22">
        <v>264.87700000000001</v>
      </c>
      <c r="E21" s="22">
        <v>267.05399999999997</v>
      </c>
      <c r="F21" s="22">
        <v>269.19499999999999</v>
      </c>
      <c r="G21" s="22">
        <v>271.69600000000003</v>
      </c>
      <c r="H21" s="22">
        <v>273.00299999999999</v>
      </c>
      <c r="I21" s="22">
        <v>273.56700000000001</v>
      </c>
      <c r="J21" s="22">
        <v>274.31</v>
      </c>
      <c r="K21" s="22">
        <v>276.589</v>
      </c>
      <c r="L21" s="22">
        <v>277.94799999999998</v>
      </c>
      <c r="M21" s="22">
        <v>278.80200000000002</v>
      </c>
      <c r="N21" s="22">
        <v>266.23599999999999</v>
      </c>
      <c r="O21" s="22">
        <v>275.70299999999997</v>
      </c>
      <c r="R21" s="24">
        <f t="shared" si="2"/>
        <v>2021</v>
      </c>
      <c r="S21">
        <f t="shared" si="0"/>
        <v>1.106222336999017</v>
      </c>
      <c r="X21">
        <f t="shared" si="1"/>
        <v>1.1229793592839055</v>
      </c>
    </row>
    <row r="22" spans="1:24">
      <c r="A22" s="21">
        <v>2022</v>
      </c>
      <c r="B22" s="22">
        <v>281.14800000000002</v>
      </c>
      <c r="C22" s="22">
        <v>283.71600000000001</v>
      </c>
      <c r="D22" s="22">
        <v>287.50400000000002</v>
      </c>
      <c r="E22" s="22">
        <v>289.10899999999998</v>
      </c>
      <c r="F22" s="22">
        <v>292.29599999999999</v>
      </c>
      <c r="G22" s="22">
        <v>296.31099999999998</v>
      </c>
      <c r="H22" s="22">
        <v>296.27600000000001</v>
      </c>
      <c r="I22" s="22">
        <v>296.17099999999999</v>
      </c>
      <c r="J22" s="22">
        <v>296.80799999999999</v>
      </c>
      <c r="K22" s="22">
        <v>298.012</v>
      </c>
      <c r="L22" s="22">
        <v>297.71100000000001</v>
      </c>
      <c r="M22" s="22">
        <v>296.79700000000003</v>
      </c>
      <c r="N22" s="22">
        <v>288.34699999999998</v>
      </c>
      <c r="O22" s="22">
        <v>296.96300000000002</v>
      </c>
      <c r="R22" s="24">
        <f t="shared" si="2"/>
        <v>2022</v>
      </c>
      <c r="S22">
        <f t="shared" si="0"/>
        <v>1.0391513391307863</v>
      </c>
      <c r="X22">
        <f t="shared" si="1"/>
        <v>1.0296917765455889</v>
      </c>
    </row>
    <row r="23" spans="1:24">
      <c r="A23" s="21">
        <v>2023</v>
      </c>
      <c r="B23" s="22">
        <v>299.17</v>
      </c>
      <c r="C23" s="22">
        <v>300.83999999999997</v>
      </c>
      <c r="D23" s="22">
        <v>301.83600000000001</v>
      </c>
      <c r="E23" s="22">
        <v>303.363</v>
      </c>
      <c r="F23" s="22">
        <v>304.12700000000001</v>
      </c>
      <c r="G23" s="22">
        <v>305.10899999999998</v>
      </c>
      <c r="H23" s="22">
        <v>305.69099999999997</v>
      </c>
      <c r="I23" s="22">
        <v>307.02600000000001</v>
      </c>
      <c r="J23" s="22">
        <v>307.78899999999999</v>
      </c>
      <c r="K23" s="22">
        <v>307.67099999999999</v>
      </c>
      <c r="L23" s="22">
        <v>307.05099999999999</v>
      </c>
      <c r="M23" s="22">
        <v>306.74599999999998</v>
      </c>
      <c r="N23" s="22">
        <v>302.40800000000002</v>
      </c>
      <c r="O23" s="22">
        <v>306.99599999999998</v>
      </c>
      <c r="R23" s="24">
        <v>2023</v>
      </c>
      <c r="S23">
        <f>B$24/M23</f>
        <v>1.0054475037979305</v>
      </c>
      <c r="X23">
        <f t="shared" si="1"/>
        <v>1</v>
      </c>
    </row>
    <row r="24" spans="1:24">
      <c r="A24" s="21">
        <v>2024</v>
      </c>
      <c r="B24" s="22">
        <v>308.41699999999997</v>
      </c>
      <c r="C24" s="22">
        <v>310.32600000000002</v>
      </c>
      <c r="D24">
        <v>312.33199999999999</v>
      </c>
      <c r="E24">
        <v>313.548</v>
      </c>
      <c r="F24">
        <v>314.06900000000002</v>
      </c>
      <c r="G24">
        <v>314.17500000000001</v>
      </c>
      <c r="H24">
        <v>314.54000000000002</v>
      </c>
      <c r="I24">
        <v>314.79599999999999</v>
      </c>
      <c r="J24">
        <v>315.30099999999999</v>
      </c>
      <c r="K24">
        <v>315.66399999999999</v>
      </c>
      <c r="L24">
        <v>315.49299999999999</v>
      </c>
      <c r="R24">
        <v>2024</v>
      </c>
      <c r="X24">
        <f t="shared" si="1"/>
        <v>0.97114347099546416</v>
      </c>
    </row>
  </sheetData>
  <mergeCells count="10">
    <mergeCell ref="B8:F8"/>
    <mergeCell ref="B9:F9"/>
    <mergeCell ref="B10:F10"/>
    <mergeCell ref="B11:F11"/>
    <mergeCell ref="A2:F2"/>
    <mergeCell ref="A3:F3"/>
    <mergeCell ref="A4:F4"/>
    <mergeCell ref="B5:F5"/>
    <mergeCell ref="A6:F6"/>
    <mergeCell ref="B7:F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C399D9C1729304CBEF2C9BEAF2DF7BB" ma:contentTypeVersion="16" ma:contentTypeDescription="" ma:contentTypeScope="" ma:versionID="cb0a16df7b6747c2a58a80c5c468f8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Suspended</CaseStatus>
    <OpenedDate xmlns="dc463f71-b30c-4ab2-9473-d307f9d35888">2024-06-14T07:00:00+00:00</OpenedDate>
    <SignificantOrder xmlns="dc463f71-b30c-4ab2-9473-d307f9d35888">false</SignificantOrder>
    <Date1 xmlns="dc463f71-b30c-4ab2-9473-d307f9d35888">2025-01-24T08:00:00+00:00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240461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BB60E79-CEE0-4EA2-B71B-FA388000BBF3}"/>
</file>

<file path=customXml/itemProps2.xml><?xml version="1.0" encoding="utf-8"?>
<ds:datastoreItem xmlns:ds="http://schemas.openxmlformats.org/officeDocument/2006/customXml" ds:itemID="{05BB97BC-45FB-48F4-A7E9-8DAFBD89B11A}"/>
</file>

<file path=customXml/itemProps3.xml><?xml version="1.0" encoding="utf-8"?>
<ds:datastoreItem xmlns:ds="http://schemas.openxmlformats.org/officeDocument/2006/customXml" ds:itemID="{C414B04C-BAF5-488F-AED3-E5F210EDE1B7}"/>
</file>

<file path=customXml/itemProps4.xml><?xml version="1.0" encoding="utf-8"?>
<ds:datastoreItem xmlns:ds="http://schemas.openxmlformats.org/officeDocument/2006/customXml" ds:itemID="{1A71E8BC-8B9C-40CF-9600-9801D2AB04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PCAM $ per MWh</vt:lpstr>
      <vt:lpstr>IRPs</vt:lpstr>
      <vt:lpstr>inflation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Earle</dc:creator>
  <cp:lastModifiedBy>Robert Earle</cp:lastModifiedBy>
  <dcterms:created xsi:type="dcterms:W3CDTF">2024-03-07T14:42:44Z</dcterms:created>
  <dcterms:modified xsi:type="dcterms:W3CDTF">2025-01-15T15:37:23Z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0x0101006E56B4D1795A2E4DB2F0B01679ED314A004C399D9C1729304CBEF2C9BEAF2DF7BB</vt:lpwstr>
  </property>
  <property fmtid="{D5CDD505-2E9C-101B-9397-08002B2CF9AE}" pid="3" name="_docset_NoMedatataSyncRequired">
    <vt:lpwstr>False</vt:lpwstr>
  </property>
</Properties>
</file>