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1DC1D5E2-2461-426F-9044-95328EDE65B8}" xr6:coauthVersionLast="45" xr6:coauthVersionMax="45" xr10:uidLastSave="{00000000-0000-0000-0000-000000000000}"/>
  <bookViews>
    <workbookView xWindow="-28920" yWindow="-120" windowWidth="29040" windowHeight="15840" xr2:uid="{77FCB2C6-4DFD-4DA1-A5C9-EDD65B337E9F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</externalReferences>
  <definedNames>
    <definedName name="FERCINT13">'[3]FERC Interest Rates'!$A$10:$C$21</definedName>
    <definedName name="FERCINT14">'[3]FERC Interest Rates'!$A$22:$C$33</definedName>
    <definedName name="FERCINT15">'[3]FERC Interest Rates'!$A$34:$C$45</definedName>
    <definedName name="FERCINT16">'[3]FERC Interest Rates'!$A$46:$C$57</definedName>
    <definedName name="FERCINT17">'[3]FERC Interest Rates'!$A$58:$C$69</definedName>
    <definedName name="FERCINT18">'[3]FERC Interest Rates'!$A$70:$C$81</definedName>
    <definedName name="FERCINT19">'[3]FERC Interest Rates'!$A$82:$C$93</definedName>
    <definedName name="FERCINT20">'[3]FERC Interest Rates'!$A$94:$C$105</definedName>
    <definedName name="FERCINT21">'[3]FERC Interest Rates'!$A$106:$C$117</definedName>
    <definedName name="_xlnm.Print_Area" localSheetId="1">'Core Cost Incurred'!$A$1:$Z$51</definedName>
    <definedName name="_xlnm.Print_Area" localSheetId="2">DEFERRALS!$B$1:$H$24</definedName>
    <definedName name="_xlnm.Print_Area" localSheetId="0">'WA Rates'!$B$1:$N$43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G7" i="7"/>
  <c r="D8" i="7"/>
  <c r="G8" i="7" s="1"/>
  <c r="G9" i="7" s="1"/>
  <c r="E8" i="7"/>
  <c r="F8" i="7"/>
  <c r="F9" i="7" s="1"/>
  <c r="E9" i="7"/>
  <c r="E11" i="7" s="1"/>
  <c r="D10" i="7"/>
  <c r="G10" i="7" s="1"/>
  <c r="E10" i="7"/>
  <c r="G12" i="7"/>
  <c r="E13" i="7"/>
  <c r="G13" i="7" s="1"/>
  <c r="E20" i="7" l="1"/>
  <c r="E14" i="7"/>
  <c r="F14" i="7"/>
  <c r="F20" i="7" s="1"/>
  <c r="F11" i="7"/>
  <c r="G11" i="7"/>
  <c r="G14" i="7" s="1"/>
  <c r="D9" i="7"/>
  <c r="D14" i="7" l="1"/>
  <c r="D20" i="7" s="1"/>
  <c r="G20" i="7" s="1"/>
  <c r="D11" i="7"/>
  <c r="V75" i="6" l="1"/>
  <c r="S75" i="6"/>
  <c r="T65" i="6"/>
  <c r="S65" i="6"/>
  <c r="Q65" i="6"/>
  <c r="P65" i="6"/>
  <c r="Q64" i="6"/>
  <c r="P64" i="6"/>
  <c r="T63" i="6"/>
  <c r="T66" i="6" s="1"/>
  <c r="S63" i="6"/>
  <c r="Q63" i="6"/>
  <c r="Q66" i="6" s="1"/>
  <c r="P63" i="6"/>
  <c r="M50" i="6"/>
  <c r="AE45" i="6"/>
  <c r="AC43" i="6"/>
  <c r="AB43" i="6"/>
  <c r="Z43" i="6"/>
  <c r="W43" i="6"/>
  <c r="Q43" i="6"/>
  <c r="AC42" i="6"/>
  <c r="AC44" i="6" s="1"/>
  <c r="AB42" i="6"/>
  <c r="AB44" i="6" s="1"/>
  <c r="Z42" i="6"/>
  <c r="Z44" i="6" s="1"/>
  <c r="W42" i="6"/>
  <c r="W44" i="6" s="1"/>
  <c r="Q47" i="6" s="1"/>
  <c r="Y40" i="6"/>
  <c r="V40" i="6"/>
  <c r="AC38" i="6"/>
  <c r="AC40" i="6" s="1"/>
  <c r="AB38" i="6"/>
  <c r="AB40" i="6" s="1"/>
  <c r="Z38" i="6"/>
  <c r="Z40" i="6" s="1"/>
  <c r="W38" i="6"/>
  <c r="T38" i="6"/>
  <c r="Q38" i="6"/>
  <c r="N37" i="6"/>
  <c r="K37" i="6"/>
  <c r="H37" i="6"/>
  <c r="N36" i="6"/>
  <c r="K36" i="6"/>
  <c r="H36" i="6" s="1"/>
  <c r="N35" i="6"/>
  <c r="K35" i="6"/>
  <c r="H35" i="6"/>
  <c r="N34" i="6"/>
  <c r="K34" i="6"/>
  <c r="H34" i="6" s="1"/>
  <c r="N33" i="6"/>
  <c r="K33" i="6"/>
  <c r="H33" i="6" s="1"/>
  <c r="N32" i="6"/>
  <c r="K32" i="6"/>
  <c r="H32" i="6"/>
  <c r="N31" i="6"/>
  <c r="K31" i="6"/>
  <c r="H31" i="6"/>
  <c r="N30" i="6"/>
  <c r="K30" i="6"/>
  <c r="H30" i="6"/>
  <c r="N29" i="6"/>
  <c r="K29" i="6"/>
  <c r="H29" i="6"/>
  <c r="N28" i="6"/>
  <c r="K28" i="6"/>
  <c r="H28" i="6" s="1"/>
  <c r="N27" i="6"/>
  <c r="K27" i="6"/>
  <c r="H27" i="6"/>
  <c r="N26" i="6"/>
  <c r="K26" i="6"/>
  <c r="H26" i="6" s="1"/>
  <c r="N25" i="6"/>
  <c r="K25" i="6"/>
  <c r="H25" i="6" s="1"/>
  <c r="N24" i="6"/>
  <c r="N38" i="6" s="1"/>
  <c r="K24" i="6"/>
  <c r="K38" i="6" s="1"/>
  <c r="H24" i="6"/>
  <c r="AC22" i="6"/>
  <c r="AB22" i="6"/>
  <c r="Z22" i="6"/>
  <c r="N21" i="6"/>
  <c r="K21" i="6"/>
  <c r="H21" i="6" s="1"/>
  <c r="N20" i="6"/>
  <c r="K20" i="6"/>
  <c r="H20" i="6"/>
  <c r="N19" i="6"/>
  <c r="K19" i="6"/>
  <c r="H19" i="6" s="1"/>
  <c r="N18" i="6"/>
  <c r="K18" i="6"/>
  <c r="H18" i="6" s="1"/>
  <c r="W17" i="6"/>
  <c r="W22" i="6" s="1"/>
  <c r="T17" i="6"/>
  <c r="T22" i="6" s="1"/>
  <c r="Q17" i="6"/>
  <c r="Q22" i="6" s="1"/>
  <c r="N17" i="6"/>
  <c r="N22" i="6" s="1"/>
  <c r="AC15" i="6"/>
  <c r="AB15" i="6"/>
  <c r="Z15" i="6"/>
  <c r="Y15" i="6"/>
  <c r="W15" i="6"/>
  <c r="V15" i="6"/>
  <c r="S15" i="6"/>
  <c r="S40" i="6" s="1"/>
  <c r="N14" i="6"/>
  <c r="M14" i="6"/>
  <c r="K14" i="6"/>
  <c r="J14" i="6"/>
  <c r="H14" i="6"/>
  <c r="G14" i="6"/>
  <c r="N13" i="6"/>
  <c r="H13" i="6" s="1"/>
  <c r="M13" i="6"/>
  <c r="G13" i="6" s="1"/>
  <c r="K13" i="6"/>
  <c r="J13" i="6"/>
  <c r="N12" i="6"/>
  <c r="M12" i="6"/>
  <c r="K12" i="6"/>
  <c r="H12" i="6" s="1"/>
  <c r="J12" i="6"/>
  <c r="G12" i="6" s="1"/>
  <c r="N11" i="6"/>
  <c r="M11" i="6"/>
  <c r="K11" i="6"/>
  <c r="H11" i="6" s="1"/>
  <c r="J11" i="6"/>
  <c r="G11" i="6"/>
  <c r="T10" i="6"/>
  <c r="T42" i="6" s="1"/>
  <c r="S10" i="6"/>
  <c r="Q10" i="6"/>
  <c r="P10" i="6"/>
  <c r="P15" i="6" s="1"/>
  <c r="P40" i="6" s="1"/>
  <c r="N10" i="6"/>
  <c r="M10" i="6"/>
  <c r="K10" i="6"/>
  <c r="H10" i="6" s="1"/>
  <c r="J10" i="6"/>
  <c r="G10" i="6" s="1"/>
  <c r="N9" i="6"/>
  <c r="K9" i="6"/>
  <c r="H9" i="6"/>
  <c r="Q8" i="6"/>
  <c r="Q15" i="6" s="1"/>
  <c r="N8" i="6"/>
  <c r="N42" i="6" s="1"/>
  <c r="M8" i="6"/>
  <c r="M15" i="6" s="1"/>
  <c r="M40" i="6" s="1"/>
  <c r="J8" i="6"/>
  <c r="N7" i="6"/>
  <c r="K7" i="6"/>
  <c r="N6" i="6"/>
  <c r="N43" i="6" s="1"/>
  <c r="K6" i="6"/>
  <c r="V3" i="6"/>
  <c r="V1" i="6"/>
  <c r="I37" i="4"/>
  <c r="H37" i="4"/>
  <c r="K37" i="4" s="1"/>
  <c r="G37" i="4"/>
  <c r="L37" i="4" s="1"/>
  <c r="I36" i="4"/>
  <c r="L36" i="4" s="1"/>
  <c r="H36" i="4"/>
  <c r="K36" i="4" s="1"/>
  <c r="K35" i="4"/>
  <c r="I35" i="4"/>
  <c r="L35" i="4" s="1"/>
  <c r="H35" i="4"/>
  <c r="G35" i="4"/>
  <c r="I33" i="4"/>
  <c r="L33" i="4" s="1"/>
  <c r="H33" i="4"/>
  <c r="K33" i="4" s="1"/>
  <c r="K32" i="4"/>
  <c r="J32" i="4"/>
  <c r="M32" i="4" s="1"/>
  <c r="I32" i="4"/>
  <c r="L32" i="4" s="1"/>
  <c r="H32" i="4"/>
  <c r="L31" i="4"/>
  <c r="H31" i="4"/>
  <c r="K31" i="4" s="1"/>
  <c r="I29" i="4"/>
  <c r="H29" i="4"/>
  <c r="G29" i="4"/>
  <c r="I28" i="4"/>
  <c r="L28" i="4" s="1"/>
  <c r="H28" i="4"/>
  <c r="K28" i="4" s="1"/>
  <c r="I27" i="4"/>
  <c r="H27" i="4"/>
  <c r="G27" i="4"/>
  <c r="L27" i="4" s="1"/>
  <c r="I25" i="4"/>
  <c r="H25" i="4"/>
  <c r="G25" i="4"/>
  <c r="L25" i="4" s="1"/>
  <c r="I24" i="4"/>
  <c r="H24" i="4"/>
  <c r="K24" i="4" s="1"/>
  <c r="G24" i="4"/>
  <c r="L24" i="4" s="1"/>
  <c r="I22" i="4"/>
  <c r="H22" i="4"/>
  <c r="G22" i="4"/>
  <c r="L22" i="4" s="1"/>
  <c r="I21" i="4"/>
  <c r="L21" i="4" s="1"/>
  <c r="H21" i="4"/>
  <c r="K21" i="4" s="1"/>
  <c r="I20" i="4"/>
  <c r="L20" i="4" s="1"/>
  <c r="H20" i="4"/>
  <c r="K20" i="4" s="1"/>
  <c r="G20" i="4"/>
  <c r="I19" i="4"/>
  <c r="H19" i="4"/>
  <c r="G19" i="4"/>
  <c r="L19" i="4" s="1"/>
  <c r="U18" i="4"/>
  <c r="H18" i="4"/>
  <c r="G18" i="4"/>
  <c r="L18" i="4" s="1"/>
  <c r="I16" i="4"/>
  <c r="H16" i="4"/>
  <c r="G16" i="4"/>
  <c r="L16" i="4" s="1"/>
  <c r="U15" i="4"/>
  <c r="R15" i="4"/>
  <c r="L15" i="4"/>
  <c r="I15" i="4"/>
  <c r="H15" i="4"/>
  <c r="K15" i="4" s="1"/>
  <c r="N15" i="4" s="1"/>
  <c r="L14" i="4"/>
  <c r="H14" i="4"/>
  <c r="K14" i="4" s="1"/>
  <c r="G14" i="4"/>
  <c r="J12" i="4"/>
  <c r="I12" i="4"/>
  <c r="H12" i="4"/>
  <c r="K12" i="4" s="1"/>
  <c r="G12" i="4"/>
  <c r="I11" i="4"/>
  <c r="L11" i="4" s="1"/>
  <c r="H11" i="4"/>
  <c r="K11" i="4" s="1"/>
  <c r="J10" i="4"/>
  <c r="J16" i="4" s="1"/>
  <c r="G10" i="4"/>
  <c r="M10" i="4" s="1"/>
  <c r="U9" i="4"/>
  <c r="T9" i="4"/>
  <c r="R9" i="4"/>
  <c r="Q9" i="4"/>
  <c r="M9" i="4"/>
  <c r="L9" i="4"/>
  <c r="K9" i="4"/>
  <c r="I8" i="4"/>
  <c r="J8" i="4" s="1"/>
  <c r="R7" i="4"/>
  <c r="F3" i="4"/>
  <c r="N40" i="6" l="1"/>
  <c r="Q40" i="6"/>
  <c r="T40" i="6"/>
  <c r="AE44" i="6"/>
  <c r="AE46" i="6" s="1"/>
  <c r="T47" i="6"/>
  <c r="W40" i="6"/>
  <c r="H38" i="6"/>
  <c r="N44" i="6"/>
  <c r="Q42" i="6"/>
  <c r="Q44" i="6" s="1"/>
  <c r="Q46" i="6" s="1"/>
  <c r="Q48" i="6" s="1"/>
  <c r="J11" i="4"/>
  <c r="K19" i="4"/>
  <c r="K25" i="4"/>
  <c r="K29" i="4"/>
  <c r="J35" i="4"/>
  <c r="M35" i="4" s="1"/>
  <c r="N35" i="4" s="1"/>
  <c r="H7" i="6"/>
  <c r="T15" i="6"/>
  <c r="K17" i="6"/>
  <c r="T43" i="6"/>
  <c r="T44" i="6" s="1"/>
  <c r="T46" i="6" s="1"/>
  <c r="T48" i="6" s="1"/>
  <c r="K16" i="4"/>
  <c r="N16" i="4" s="1"/>
  <c r="K22" i="4"/>
  <c r="J37" i="4"/>
  <c r="M37" i="4" s="1"/>
  <c r="L12" i="4"/>
  <c r="N12" i="4" s="1"/>
  <c r="K27" i="4"/>
  <c r="J31" i="4"/>
  <c r="M31" i="4" s="1"/>
  <c r="N31" i="4" s="1"/>
  <c r="J33" i="4"/>
  <c r="M33" i="4" s="1"/>
  <c r="N33" i="4" s="1"/>
  <c r="G8" i="6"/>
  <c r="G15" i="6" s="1"/>
  <c r="G40" i="6" s="1"/>
  <c r="J36" i="4"/>
  <c r="M36" i="4" s="1"/>
  <c r="N15" i="6"/>
  <c r="J15" i="6"/>
  <c r="J40" i="6" s="1"/>
  <c r="K18" i="4"/>
  <c r="H6" i="6"/>
  <c r="N11" i="4"/>
  <c r="K8" i="6"/>
  <c r="N36" i="4"/>
  <c r="N32" i="4"/>
  <c r="O32" i="4" s="1"/>
  <c r="N28" i="4"/>
  <c r="M29" i="4"/>
  <c r="N37" i="4"/>
  <c r="K10" i="4"/>
  <c r="K39" i="4" s="1"/>
  <c r="J28" i="4"/>
  <c r="M28" i="4" s="1"/>
  <c r="J29" i="4"/>
  <c r="N9" i="4"/>
  <c r="L10" i="4"/>
  <c r="J18" i="4"/>
  <c r="M18" i="4" s="1"/>
  <c r="N18" i="4" s="1"/>
  <c r="J21" i="4"/>
  <c r="M21" i="4" s="1"/>
  <c r="N21" i="4" s="1"/>
  <c r="J22" i="4"/>
  <c r="M22" i="4" s="1"/>
  <c r="J24" i="4"/>
  <c r="M24" i="4" s="1"/>
  <c r="N24" i="4" s="1"/>
  <c r="J25" i="4"/>
  <c r="M25" i="4" s="1"/>
  <c r="J27" i="4"/>
  <c r="M27" i="4" s="1"/>
  <c r="G39" i="4"/>
  <c r="G41" i="4" s="1"/>
  <c r="J15" i="4"/>
  <c r="J19" i="4"/>
  <c r="M19" i="4" s="1"/>
  <c r="N19" i="4" s="1"/>
  <c r="J20" i="4"/>
  <c r="M20" i="4" s="1"/>
  <c r="N20" i="4" s="1"/>
  <c r="L29" i="4"/>
  <c r="J14" i="4"/>
  <c r="M14" i="4" s="1"/>
  <c r="N14" i="4" s="1"/>
  <c r="K41" i="4" l="1"/>
  <c r="N22" i="4"/>
  <c r="K42" i="6"/>
  <c r="H8" i="6"/>
  <c r="H15" i="6" s="1"/>
  <c r="N29" i="4"/>
  <c r="H17" i="6"/>
  <c r="H22" i="6" s="1"/>
  <c r="H40" i="6" s="1"/>
  <c r="K22" i="6"/>
  <c r="K15" i="6"/>
  <c r="L39" i="4"/>
  <c r="N27" i="4"/>
  <c r="M39" i="4"/>
  <c r="K43" i="6"/>
  <c r="N10" i="4"/>
  <c r="N39" i="4" s="1"/>
  <c r="N25" i="4"/>
  <c r="K44" i="6" l="1"/>
  <c r="M46" i="6" s="1"/>
  <c r="M51" i="6" s="1"/>
  <c r="M41" i="4"/>
  <c r="L41" i="4"/>
  <c r="K40" i="6"/>
  <c r="N41" i="4"/>
  <c r="Q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C31B7290-4FDD-4569-AACB-4ED7067E904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07B918C0-BB89-45CC-8148-BAE88F8D58A2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0549ECC9-18C2-4524-BFE0-8785E2FCA576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ED0FDD26-C9FB-4968-B89F-6029FAF16D39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15F6B0CD-5077-401E-A43D-9A49B267839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3E625B25-10F3-4692-83C2-57CDDF1D411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049EB42D-FBDD-4250-B814-AD5D9B381E94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1F3F69AD-DF67-4DF5-8EEE-8158BEA56CF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DE1941B1-818D-482F-B3A5-29E294926F3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710DD889-670E-4EC6-93C5-D53282E052C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3EC5AAA3-CC60-4CA5-BE8A-5F850A245384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1476B329-0DC2-4FE9-B4FC-AA0B66F47DD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EB0B087C-C347-416A-A8D2-F48D516DC27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A53623D7-2EC6-4D27-9394-53CF50A266A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F61E1CE2-9357-4F32-B5A8-7841C3CFA93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86CBA502-CD16-441C-8D5F-2CB28EB8CE2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0" authorId="0" shapeId="0" xr:uid="{B2AD2ED1-A179-4F97-9195-607E8FCCE00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1" authorId="0" shapeId="0" xr:uid="{BB12B0B8-ED4A-44F6-87C2-484B68F5A30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2" authorId="0" shapeId="0" xr:uid="{7E19B292-78EC-4875-9E01-C1C2D79A032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DFE346FD-6E15-4B2F-A70B-197ABA0490C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5" authorId="0" shapeId="0" xr:uid="{F061D8ED-80A5-420D-8E20-F4A419EA83C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A1B825B6-16D6-4C70-A7C5-BCC78768D8D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28" authorId="0" shapeId="0" xr:uid="{314FDB4E-5E64-46C5-82F6-F289E2AFAB6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29" authorId="0" shapeId="0" xr:uid="{0461BBA9-62F1-4025-ADB1-7EFA438ABF2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0" authorId="0" shapeId="0" xr:uid="{1D611318-D8CF-40A8-B34D-563DA3F92F5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1" authorId="0" shapeId="0" xr:uid="{1244A55E-DE5D-4B5D-8822-80ADDA2982E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2" authorId="0" shapeId="0" xr:uid="{E7941106-1706-4805-A33E-71E7D9E308A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3" authorId="0" shapeId="0" xr:uid="{E761D62C-22DF-4769-B9E9-B22484BFAF5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5" authorId="0" shapeId="0" xr:uid="{BAAF3AC5-1B4B-4AAF-B05D-D1D67BBF822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6" authorId="0" shapeId="0" xr:uid="{17187918-230E-4880-8AAE-7BCF7B6E3ED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37" authorId="0" shapeId="0" xr:uid="{607DFA3D-4476-44D6-AC4C-FF5637CB2D5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N39" authorId="2" shapeId="0" xr:uid="{FCC99BB1-2B84-4F10-99F0-80ED272DEBC2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1" authorId="3" shapeId="0" xr:uid="{9A0F5949-9A01-4D07-8434-4B69746D9657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D37E7E4C-64E6-49A5-8270-25508DEAABDF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BB2AF20F-336E-4F2E-BAEE-5A295C9C89E9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4" authorId="2" shapeId="0" xr:uid="{6C07E777-ED1A-4CF0-8B96-45D01E510CAC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4" authorId="2" shapeId="0" xr:uid="{AB5CE979-03E4-4A6F-99B7-5B04B6375E42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4" authorId="2" shapeId="0" xr:uid="{E27099B9-FA19-4941-9DC1-203B9EE87F9E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4" authorId="2" shapeId="0" xr:uid="{75051F7C-4F66-451B-99F4-F635AF50F5E6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4" authorId="3" shapeId="0" xr:uid="{70228308-0C18-4E02-A120-1194A1C00390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<sst xmlns="http://schemas.openxmlformats.org/spreadsheetml/2006/main" count="433" uniqueCount="197">
  <si>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</si>
  <si>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</si>
  <si>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</si>
  <si>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</si>
  <si>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</si>
  <si>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</si>
  <si>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</si>
  <si>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</si>
  <si>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</si>
  <si>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 xml:space="preserve"> Washington Deferrals</t>
  </si>
  <si>
    <t xml:space="preserve"> Month of</t>
  </si>
  <si>
    <t>Amortization</t>
  </si>
  <si>
    <t>Total</t>
  </si>
  <si>
    <t>Gas Cost Recognized</t>
  </si>
  <si>
    <t>Under the Rates - Effective 11/1/2019</t>
  </si>
  <si>
    <t>Under the Rates - Effective 11/1/2020</t>
  </si>
  <si>
    <t>Total Gas Cost Recognized</t>
  </si>
  <si>
    <t>4</t>
  </si>
  <si>
    <t>Actual Gas Cost Incurred</t>
  </si>
  <si>
    <t>Deferred Gas Cost Journalized</t>
  </si>
  <si>
    <t>47WA.2530.01253 - Gas Loss</t>
  </si>
  <si>
    <t>Gas Storage Mitigation</t>
  </si>
  <si>
    <t>Deferral Amount</t>
  </si>
  <si>
    <t>( ____ )  = credit to gas cost</t>
  </si>
  <si>
    <t>JDE Gas Cost Account Code</t>
  </si>
  <si>
    <t>JDE Deferred Gas Account Code</t>
  </si>
  <si>
    <t>5</t>
  </si>
  <si>
    <t xml:space="preserve"> Assignment of Core Gas Cost To</t>
  </si>
  <si>
    <t>WASHINGTON - New Rates 2020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</si>
  <si>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</si>
  <si>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</si>
  <si>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</si>
  <si>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</si>
  <si>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</si>
  <si>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</si>
  <si>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</si>
  <si>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</si>
  <si>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</si>
  <si>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</si>
  <si>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</si>
  <si>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</si>
  <si>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</si>
  <si>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</si>
  <si>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</si>
  <si>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</si>
  <si>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</si>
  <si>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47WA.4002.4800</t>
  </si>
  <si>
    <t>Firm Res - air con</t>
  </si>
  <si>
    <t>541</t>
  </si>
  <si>
    <t>CNGWA 541</t>
  </si>
  <si>
    <t>Firm Residentials</t>
  </si>
  <si>
    <t>503</t>
  </si>
  <si>
    <t>CNGWA 503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</si>
  <si>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</si>
  <si>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</si>
  <si>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</si>
  <si>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</si>
  <si>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</si>
  <si>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</si>
  <si>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</si>
  <si>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</si>
  <si>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</si>
  <si>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</si>
  <si>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</si>
  <si>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</si>
  <si>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</si>
  <si>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</si>
  <si>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</si>
  <si>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</si>
  <si>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</si>
  <si>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</si>
  <si>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CNGWA 04LV</t>
  </si>
  <si>
    <t>Unbilled</t>
  </si>
  <si>
    <t>CNGWA 11LV</t>
  </si>
  <si>
    <t xml:space="preserve">PM Unbilled </t>
  </si>
  <si>
    <t xml:space="preserve">CM 1501A (Unbilled) </t>
  </si>
  <si>
    <t>1501A</t>
  </si>
  <si>
    <t>47WA.4002.4809</t>
  </si>
  <si>
    <t>Firm Ind'l</t>
  </si>
  <si>
    <t>505</t>
  </si>
  <si>
    <t>CNGWA 505</t>
  </si>
  <si>
    <t>511  04LV</t>
  </si>
  <si>
    <t>Firm Industrial</t>
  </si>
  <si>
    <t>505  05LV</t>
  </si>
  <si>
    <t>4813  570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</si>
  <si>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</si>
  <si>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</si>
  <si>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</si>
  <si>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</si>
  <si>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</si>
  <si>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</si>
  <si>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</si>
  <si>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 xml:space="preserve">CM Unbilled </t>
  </si>
  <si>
    <t>47WA.4009.4813</t>
  </si>
  <si>
    <t>Interr Industrial</t>
  </si>
  <si>
    <t>New Rates</t>
  </si>
  <si>
    <t xml:space="preserve">Total Gas Cost Recognized </t>
  </si>
  <si>
    <t>Old Rates</t>
  </si>
  <si>
    <t>Total WA</t>
  </si>
  <si>
    <t xml:space="preserve"> 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</si>
  <si>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</si>
  <si>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</si>
  <si>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</si>
  <si>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</si>
  <si>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</si>
  <si>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</si>
  <si>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</si>
  <si>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47WA.6011.28040</t>
  </si>
  <si>
    <t>GC RECOGNIZED RS 15410</t>
  </si>
  <si>
    <t>GC RECOGNIZED RS 15030</t>
  </si>
  <si>
    <t>GC RECOGNIZED RS 25040</t>
  </si>
  <si>
    <t>GC RECOGNIZED RS 25110</t>
  </si>
  <si>
    <t>GC RECOGNIZED RS 25120</t>
  </si>
  <si>
    <t>GC RECOGNIZED RS 25410</t>
  </si>
  <si>
    <t>GC RECOGNIZED RS 35050</t>
  </si>
  <si>
    <t>GC RECOGNIZED RS 35110</t>
  </si>
  <si>
    <t>GC RECOGNIZED RS 35120</t>
  </si>
  <si>
    <t>GC RECOGNIZED RS 55700</t>
  </si>
  <si>
    <t>GC RECOGNIZED RS 45700</t>
  </si>
  <si>
    <t>GC RECOGNIZED RS 55770</t>
  </si>
  <si>
    <t>GC RECOGNIZED RS 65700</t>
  </si>
  <si>
    <t>S003000804009990670001</t>
  </si>
  <si>
    <t>GC RECOGNIZED CORE TOTAL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</si>
  <si>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</si>
  <si>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</si>
  <si>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</si>
  <si>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</si>
  <si>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</si>
  <si>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</si>
  <si>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</si>
  <si>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</si>
  <si>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</si>
  <si>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</si>
  <si>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</si>
  <si>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</si>
  <si>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</si>
  <si>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</si>
  <si>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</si>
  <si>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</si>
  <si>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</si>
  <si>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</si>
  <si>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</si>
  <si>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</si>
  <si>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</si>
  <si>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</si>
  <si>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</si>
  <si>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</si>
  <si>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</si>
  <si>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</si>
  <si>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</si>
  <si>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</si>
  <si>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</si>
  <si>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</si>
  <si>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</si>
  <si>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</si>
  <si>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</si>
  <si>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</si>
  <si>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</si>
  <si>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</si>
  <si>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</si>
  <si>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</si>
  <si>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</si>
  <si>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</si>
  <si>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</si>
  <si>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</si>
  <si>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</si>
  <si>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TF Commodity from SGS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</si>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</sst>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1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u/>
      <sz val="10"/>
      <color rgb="FF00B050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0" fillId="0" borderId="0" xfId="0" applyNumberFormat="1"/>
    <xf numFmtId="43" fontId="2" fillId="0" borderId="1" xfId="1" applyFont="1" applyBorder="1"/>
    <xf numFmtId="0" fontId="5" fillId="0" borderId="0" xfId="0" applyFont="1"/>
    <xf numFmtId="0" fontId="6" fillId="0" borderId="0" xfId="0" applyFont="1"/>
    <xf numFmtId="44" fontId="2" fillId="0" borderId="0" xfId="0" applyNumberFormat="1" applyFont="1"/>
    <xf numFmtId="49" fontId="1" fillId="0" borderId="0" xfId="0" applyNumberFormat="1" applyFont="1" applyAlignment="1">
      <alignment horizontal="center"/>
    </xf>
    <xf numFmtId="165" fontId="1" fillId="0" borderId="0" xfId="1" applyNumberFormat="1" applyFont="1"/>
    <xf numFmtId="0" fontId="2" fillId="0" borderId="0" xfId="0" applyFont="1" applyAlignment="1">
      <alignment horizontal="right"/>
    </xf>
    <xf numFmtId="165" fontId="5" fillId="0" borderId="0" xfId="1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4" fontId="2" fillId="0" borderId="0" xfId="2" applyFont="1" applyBorder="1"/>
    <xf numFmtId="0" fontId="0" fillId="0" borderId="0" xfId="0" applyAlignment="1">
      <alignment horizontal="left"/>
    </xf>
    <xf numFmtId="49" fontId="2" fillId="0" borderId="0" xfId="1" applyNumberFormat="1" applyFont="1" applyAlignment="1"/>
    <xf numFmtId="49" fontId="1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2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1" fillId="0" borderId="0" xfId="1" applyNumberFormat="1" applyFont="1"/>
    <xf numFmtId="0" fontId="1" fillId="5" borderId="0" xfId="0" applyFont="1" applyFill="1"/>
    <xf numFmtId="49" fontId="1" fillId="5" borderId="0" xfId="1" applyNumberFormat="1" applyFont="1" applyFill="1" applyBorder="1"/>
    <xf numFmtId="49" fontId="1" fillId="5" borderId="0" xfId="0" applyNumberFormat="1" applyFont="1" applyFill="1"/>
    <xf numFmtId="165" fontId="1" fillId="5" borderId="0" xfId="1" applyNumberFormat="1" applyFont="1" applyFill="1" applyBorder="1" applyAlignment="1">
      <alignment horizontal="center"/>
    </xf>
    <xf numFmtId="166" fontId="1" fillId="5" borderId="0" xfId="2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left" indent="1"/>
    </xf>
    <xf numFmtId="165" fontId="21" fillId="0" borderId="0" xfId="1" applyNumberFormat="1" applyFont="1" applyFill="1"/>
    <xf numFmtId="166" fontId="19" fillId="10" borderId="0" xfId="2" applyNumberFormat="1" applyFont="1" applyFill="1"/>
    <xf numFmtId="44" fontId="1" fillId="0" borderId="0" xfId="2"/>
    <xf numFmtId="44" fontId="1" fillId="0" borderId="12" xfId="2" applyBorder="1"/>
    <xf numFmtId="44" fontId="1" fillId="0" borderId="0" xfId="2" applyFill="1"/>
    <xf numFmtId="44" fontId="15" fillId="0" borderId="0" xfId="0" applyNumberFormat="1" applyFont="1"/>
    <xf numFmtId="44" fontId="1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2" fillId="0" borderId="0" xfId="1" applyNumberFormat="1" applyFont="1" applyFill="1"/>
    <xf numFmtId="166" fontId="19" fillId="3" borderId="0" xfId="2" applyNumberFormat="1" applyFont="1" applyFill="1"/>
    <xf numFmtId="44" fontId="1" fillId="0" borderId="0" xfId="2" applyBorder="1"/>
    <xf numFmtId="44" fontId="1" fillId="0" borderId="0" xfId="2" applyFont="1" applyFill="1"/>
    <xf numFmtId="0" fontId="2" fillId="0" borderId="0" xfId="2" applyNumberFormat="1" applyFont="1"/>
    <xf numFmtId="37" fontId="2" fillId="0" borderId="0" xfId="2" applyNumberFormat="1" applyFont="1" applyAlignment="1">
      <alignment horizontal="left"/>
    </xf>
    <xf numFmtId="165" fontId="23" fillId="0" borderId="6" xfId="1" applyNumberFormat="1" applyFont="1" applyBorder="1"/>
    <xf numFmtId="165" fontId="24" fillId="11" borderId="0" xfId="1" applyNumberFormat="1" applyFont="1" applyFill="1"/>
    <xf numFmtId="166" fontId="19" fillId="12" borderId="0" xfId="2" applyNumberFormat="1" applyFont="1" applyFill="1"/>
    <xf numFmtId="165" fontId="23" fillId="0" borderId="0" xfId="1" applyNumberFormat="1" applyFont="1"/>
    <xf numFmtId="44" fontId="25" fillId="0" borderId="0" xfId="2" applyFont="1" applyFill="1"/>
    <xf numFmtId="49" fontId="1" fillId="0" borderId="0" xfId="1" applyNumberFormat="1" applyFont="1" applyFill="1"/>
    <xf numFmtId="165" fontId="26" fillId="11" borderId="0" xfId="1" applyNumberFormat="1" applyFont="1" applyFill="1"/>
    <xf numFmtId="165" fontId="27" fillId="0" borderId="0" xfId="1" applyNumberFormat="1" applyFont="1" applyFill="1"/>
    <xf numFmtId="166" fontId="28" fillId="12" borderId="0" xfId="2" applyNumberFormat="1" applyFont="1" applyFill="1"/>
    <xf numFmtId="44" fontId="2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left"/>
    </xf>
    <xf numFmtId="44" fontId="0" fillId="0" borderId="0" xfId="0" applyNumberFormat="1" applyAlignment="1">
      <alignment horizontal="left"/>
    </xf>
    <xf numFmtId="165" fontId="29" fillId="11" borderId="0" xfId="1" applyNumberFormat="1" applyFont="1" applyFill="1"/>
    <xf numFmtId="44" fontId="6" fillId="0" borderId="0" xfId="0" applyNumberFormat="1" applyFont="1"/>
    <xf numFmtId="165" fontId="30" fillId="0" borderId="0" xfId="1" applyNumberFormat="1" applyFont="1"/>
    <xf numFmtId="166" fontId="1" fillId="0" borderId="0" xfId="2" applyNumberFormat="1"/>
    <xf numFmtId="166" fontId="1" fillId="0" borderId="0" xfId="2" applyNumberFormat="1" applyFont="1" applyFill="1"/>
    <xf numFmtId="165" fontId="9" fillId="0" borderId="0" xfId="1" applyNumberFormat="1" applyFont="1" applyFill="1"/>
    <xf numFmtId="166" fontId="31" fillId="0" borderId="0" xfId="2" applyNumberFormat="1" applyFont="1"/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/>
    <xf numFmtId="165" fontId="2" fillId="0" borderId="0" xfId="1" applyNumberFormat="1" applyFont="1"/>
    <xf numFmtId="165" fontId="8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8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3" fillId="0" borderId="0" xfId="2" applyFont="1"/>
    <xf numFmtId="44" fontId="4" fillId="0" borderId="0" xfId="2" applyFont="1" applyBorder="1"/>
    <xf numFmtId="49" fontId="2" fillId="0" borderId="0" xfId="0" applyNumberFormat="1" applyFont="1"/>
    <xf numFmtId="165" fontId="8" fillId="11" borderId="0" xfId="1" applyNumberFormat="1" applyFont="1" applyFill="1"/>
    <xf numFmtId="165" fontId="1" fillId="0" borderId="0" xfId="1" applyNumberFormat="1"/>
    <xf numFmtId="44" fontId="30" fillId="0" borderId="0" xfId="2" applyFont="1"/>
    <xf numFmtId="44" fontId="30" fillId="0" borderId="0" xfId="2" applyFont="1" applyAlignment="1">
      <alignment horizontal="left"/>
    </xf>
    <xf numFmtId="44" fontId="21" fillId="0" borderId="0" xfId="2" applyFont="1"/>
    <xf numFmtId="165" fontId="6" fillId="0" borderId="0" xfId="1" applyNumberFormat="1" applyFont="1" applyAlignment="1">
      <alignment horizontal="center"/>
    </xf>
    <xf numFmtId="44" fontId="1" fillId="0" borderId="0" xfId="2" applyFont="1"/>
    <xf numFmtId="165" fontId="3" fillId="0" borderId="0" xfId="1" applyNumberFormat="1" applyFont="1" applyAlignment="1">
      <alignment horizontal="center" vertical="center"/>
    </xf>
    <xf numFmtId="166" fontId="1" fillId="0" borderId="0" xfId="2" applyNumberFormat="1" applyFont="1" applyAlignment="1">
      <alignment horizontal="left"/>
    </xf>
    <xf numFmtId="43" fontId="1" fillId="0" borderId="0" xfId="1" applyFont="1" applyAlignment="1">
      <alignment horizontal="left"/>
    </xf>
    <xf numFmtId="168" fontId="1" fillId="0" borderId="0" xfId="2" applyNumberFormat="1"/>
    <xf numFmtId="44" fontId="30" fillId="0" borderId="0" xfId="2" applyFont="1" applyFill="1"/>
    <xf numFmtId="14" fontId="3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left"/>
    </xf>
    <xf numFmtId="44" fontId="19" fillId="0" borderId="0" xfId="2" applyFont="1" applyFill="1"/>
    <xf numFmtId="43" fontId="1" fillId="0" borderId="0" xfId="1"/>
    <xf numFmtId="165" fontId="30" fillId="0" borderId="0" xfId="1" applyNumberFormat="1" applyFont="1" applyFill="1"/>
    <xf numFmtId="165" fontId="18" fillId="0" borderId="0" xfId="1" applyNumberFormat="1" applyFont="1" applyFill="1"/>
    <xf numFmtId="166" fontId="6" fillId="0" borderId="0" xfId="2" applyNumberFormat="1" applyFont="1" applyAlignment="1">
      <alignment horizontal="left"/>
    </xf>
    <xf numFmtId="0" fontId="1" fillId="0" borderId="0" xfId="3"/>
    <xf numFmtId="49" fontId="6" fillId="0" borderId="0" xfId="1" applyNumberFormat="1" applyFont="1" applyAlignment="1"/>
    <xf numFmtId="49" fontId="5" fillId="0" borderId="0" xfId="1" applyNumberFormat="1" applyFont="1"/>
    <xf numFmtId="49" fontId="3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3" fillId="0" borderId="0" xfId="1" applyFont="1"/>
    <xf numFmtId="165" fontId="34" fillId="0" borderId="0" xfId="1" applyNumberFormat="1" applyFont="1" applyFill="1"/>
    <xf numFmtId="43" fontId="34" fillId="0" borderId="0" xfId="1" applyFont="1" applyFill="1"/>
    <xf numFmtId="164" fontId="21" fillId="0" borderId="0" xfId="1" applyNumberFormat="1" applyFont="1" applyBorder="1" applyAlignment="1">
      <alignment horizontal="center"/>
    </xf>
    <xf numFmtId="164" fontId="35" fillId="0" borderId="0" xfId="1" applyNumberFormat="1" applyFont="1" applyBorder="1" applyAlignment="1">
      <alignment horizontal="left"/>
    </xf>
    <xf numFmtId="165" fontId="36" fillId="0" borderId="0" xfId="1" applyNumberFormat="1" applyFont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49" fontId="8" fillId="0" borderId="0" xfId="1" applyNumberFormat="1" applyFont="1" applyBorder="1"/>
    <xf numFmtId="165" fontId="34" fillId="0" borderId="0" xfId="1" applyNumberFormat="1" applyFont="1"/>
    <xf numFmtId="165" fontId="1" fillId="14" borderId="0" xfId="1" applyNumberFormat="1" applyFont="1" applyFill="1"/>
    <xf numFmtId="165" fontId="37" fillId="0" borderId="0" xfId="1" applyNumberFormat="1" applyFont="1" applyAlignment="1">
      <alignment horizontal="center"/>
    </xf>
    <xf numFmtId="165" fontId="37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8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2" fillId="14" borderId="0" xfId="1" applyNumberFormat="1" applyFont="1" applyFill="1"/>
    <xf numFmtId="165" fontId="8" fillId="0" borderId="1" xfId="1" applyNumberFormat="1" applyFont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34" fillId="0" borderId="0" xfId="1" applyNumberFormat="1" applyFont="1" applyAlignment="1">
      <alignment horizontal="center"/>
    </xf>
    <xf numFmtId="49" fontId="8" fillId="5" borderId="1" xfId="1" applyNumberFormat="1" applyFont="1" applyFill="1" applyBorder="1" applyAlignment="1">
      <alignment horizontal="left"/>
    </xf>
    <xf numFmtId="165" fontId="1" fillId="5" borderId="1" xfId="1" applyNumberFormat="1" applyFont="1" applyFill="1" applyBorder="1"/>
    <xf numFmtId="165" fontId="7" fillId="5" borderId="2" xfId="1" applyNumberFormat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165" fontId="38" fillId="5" borderId="1" xfId="1" applyNumberFormat="1" applyFont="1" applyFill="1" applyBorder="1" applyAlignment="1">
      <alignment horizontal="center"/>
    </xf>
    <xf numFmtId="165" fontId="38" fillId="5" borderId="2" xfId="1" applyNumberFormat="1" applyFont="1" applyFill="1" applyBorder="1" applyAlignment="1">
      <alignment horizontal="center"/>
    </xf>
    <xf numFmtId="43" fontId="38" fillId="5" borderId="2" xfId="1" applyFont="1" applyFill="1" applyBorder="1" applyAlignment="1">
      <alignment horizontal="center"/>
    </xf>
    <xf numFmtId="43" fontId="38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1" fillId="15" borderId="0" xfId="1" applyNumberFormat="1" applyFont="1" applyFill="1" applyAlignment="1">
      <alignment horizontal="right"/>
    </xf>
    <xf numFmtId="0" fontId="1" fillId="15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 indent="3"/>
    </xf>
    <xf numFmtId="44" fontId="1" fillId="16" borderId="0" xfId="2" applyFont="1" applyFill="1"/>
    <xf numFmtId="165" fontId="1" fillId="0" borderId="0" xfId="1" applyNumberFormat="1" applyFont="1" applyFill="1" applyAlignment="1">
      <alignment horizontal="left"/>
    </xf>
    <xf numFmtId="165" fontId="31" fillId="14" borderId="0" xfId="1" applyNumberFormat="1" applyFont="1" applyFill="1"/>
    <xf numFmtId="44" fontId="9" fillId="16" borderId="0" xfId="2" applyFont="1" applyFill="1"/>
    <xf numFmtId="165" fontId="31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0" fontId="8" fillId="16" borderId="0" xfId="2" applyNumberFormat="1" applyFont="1" applyFill="1" applyAlignment="1">
      <alignment horizontal="center"/>
    </xf>
    <xf numFmtId="44" fontId="15" fillId="16" borderId="0" xfId="2" applyFont="1" applyFill="1"/>
    <xf numFmtId="165" fontId="1" fillId="0" borderId="0" xfId="1" applyNumberFormat="1" applyFont="1" applyFill="1"/>
    <xf numFmtId="44" fontId="1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39" fillId="0" borderId="0" xfId="1" applyNumberFormat="1" applyFont="1" applyAlignment="1">
      <alignment horizontal="left"/>
    </xf>
    <xf numFmtId="165" fontId="39" fillId="0" borderId="0" xfId="1" applyNumberFormat="1" applyFont="1" applyAlignment="1">
      <alignment horizontal="left" indent="1"/>
    </xf>
    <xf numFmtId="44" fontId="40" fillId="18" borderId="0" xfId="2" applyFont="1" applyFill="1"/>
    <xf numFmtId="0" fontId="8" fillId="17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 indent="3"/>
    </xf>
    <xf numFmtId="165" fontId="1" fillId="0" borderId="0" xfId="1" applyNumberFormat="1" applyFont="1" applyAlignment="1">
      <alignment horizontal="left" indent="4"/>
    </xf>
    <xf numFmtId="165" fontId="41" fillId="0" borderId="0" xfId="1" applyNumberFormat="1" applyFont="1" applyAlignment="1">
      <alignment horizontal="left" indent="4"/>
    </xf>
    <xf numFmtId="44" fontId="9" fillId="17" borderId="0" xfId="2" applyFont="1" applyFill="1"/>
    <xf numFmtId="165" fontId="42" fillId="0" borderId="0" xfId="1" applyNumberFormat="1" applyFont="1" applyAlignment="1">
      <alignment horizontal="left"/>
    </xf>
    <xf numFmtId="43" fontId="31" fillId="14" borderId="0" xfId="1" applyFont="1" applyFill="1"/>
    <xf numFmtId="49" fontId="1" fillId="2" borderId="0" xfId="1" applyNumberFormat="1" applyFont="1" applyFill="1" applyAlignment="1">
      <alignment horizontal="right"/>
    </xf>
    <xf numFmtId="0" fontId="1" fillId="2" borderId="0" xfId="1" applyNumberFormat="1" applyFont="1" applyFill="1" applyAlignment="1">
      <alignment horizontal="center"/>
    </xf>
    <xf numFmtId="0" fontId="8" fillId="19" borderId="0" xfId="1" applyNumberFormat="1" applyFont="1" applyFill="1" applyAlignment="1">
      <alignment horizontal="center"/>
    </xf>
    <xf numFmtId="165" fontId="2" fillId="19" borderId="0" xfId="1" applyNumberFormat="1" applyFont="1" applyFill="1"/>
    <xf numFmtId="44" fontId="15" fillId="19" borderId="0" xfId="2" applyFont="1" applyFill="1"/>
    <xf numFmtId="165" fontId="43" fillId="0" borderId="0" xfId="1" applyNumberFormat="1" applyFont="1"/>
    <xf numFmtId="165" fontId="31" fillId="14" borderId="0" xfId="1" applyNumberFormat="1" applyFont="1" applyFill="1" applyAlignment="1">
      <alignment horizontal="left" vertical="top"/>
    </xf>
    <xf numFmtId="43" fontId="44" fillId="0" borderId="0" xfId="1" applyFont="1"/>
    <xf numFmtId="165" fontId="41" fillId="0" borderId="0" xfId="1" applyNumberFormat="1" applyFont="1" applyAlignment="1">
      <alignment horizontal="left"/>
    </xf>
    <xf numFmtId="165" fontId="44" fillId="0" borderId="0" xfId="1" applyNumberFormat="1" applyFont="1"/>
    <xf numFmtId="165" fontId="1" fillId="0" borderId="1" xfId="1" applyNumberFormat="1" applyFont="1" applyBorder="1"/>
    <xf numFmtId="44" fontId="1" fillId="17" borderId="1" xfId="2" applyFont="1" applyFill="1" applyBorder="1"/>
    <xf numFmtId="165" fontId="30" fillId="0" borderId="1" xfId="1" applyNumberFormat="1" applyFont="1" applyBorder="1"/>
    <xf numFmtId="44" fontId="30" fillId="17" borderId="0" xfId="2" applyFont="1" applyFill="1"/>
    <xf numFmtId="44" fontId="9" fillId="17" borderId="1" xfId="2" applyFont="1" applyFill="1" applyBorder="1"/>
    <xf numFmtId="49" fontId="1" fillId="15" borderId="0" xfId="1" applyNumberFormat="1" applyFont="1" applyFill="1" applyAlignment="1">
      <alignment horizontal="center"/>
    </xf>
    <xf numFmtId="49" fontId="8" fillId="0" borderId="0" xfId="1" applyNumberFormat="1" applyFont="1" applyAlignment="1">
      <alignment horizontal="center"/>
    </xf>
    <xf numFmtId="43" fontId="2" fillId="0" borderId="2" xfId="1" applyFont="1" applyBorder="1"/>
    <xf numFmtId="165" fontId="1" fillId="0" borderId="6" xfId="1" applyNumberFormat="1" applyFont="1" applyBorder="1"/>
    <xf numFmtId="44" fontId="1" fillId="0" borderId="6" xfId="2" applyFont="1" applyBorder="1"/>
    <xf numFmtId="44" fontId="1" fillId="0" borderId="2" xfId="2" applyFont="1" applyBorder="1"/>
    <xf numFmtId="44" fontId="2" fillId="0" borderId="2" xfId="2" applyFont="1" applyBorder="1"/>
    <xf numFmtId="165" fontId="5" fillId="0" borderId="2" xfId="1" applyNumberFormat="1" applyFont="1" applyBorder="1" applyAlignment="1">
      <alignment horizontal="left"/>
    </xf>
    <xf numFmtId="44" fontId="34" fillId="0" borderId="0" xfId="2" applyFont="1"/>
    <xf numFmtId="43" fontId="1" fillId="0" borderId="6" xfId="1" applyFont="1" applyBorder="1"/>
    <xf numFmtId="165" fontId="31" fillId="0" borderId="6" xfId="1" applyNumberFormat="1" applyFont="1" applyBorder="1"/>
    <xf numFmtId="43" fontId="31" fillId="0" borderId="6" xfId="1" applyFont="1" applyBorder="1"/>
    <xf numFmtId="165" fontId="5" fillId="0" borderId="0" xfId="1" applyNumberFormat="1" applyFont="1" applyFill="1" applyAlignment="1">
      <alignment horizontal="left"/>
    </xf>
    <xf numFmtId="43" fontId="31" fillId="0" borderId="0" xfId="1" applyFont="1"/>
    <xf numFmtId="165" fontId="31" fillId="0" borderId="0" xfId="1" applyNumberFormat="1" applyFont="1" applyAlignment="1">
      <alignment horizontal="left" indent="4"/>
    </xf>
    <xf numFmtId="165" fontId="31" fillId="0" borderId="0" xfId="1" applyNumberFormat="1" applyFont="1" applyAlignment="1">
      <alignment horizontal="left" indent="3"/>
    </xf>
    <xf numFmtId="165" fontId="31" fillId="0" borderId="0" xfId="1" applyNumberFormat="1" applyFont="1" applyAlignment="1"/>
    <xf numFmtId="165" fontId="34" fillId="0" borderId="0" xfId="1" applyNumberFormat="1" applyFont="1" applyAlignment="1">
      <alignment horizontal="left"/>
    </xf>
    <xf numFmtId="165" fontId="43" fillId="0" borderId="0" xfId="1" applyNumberFormat="1" applyFont="1" applyAlignment="1">
      <alignment horizontal="left"/>
    </xf>
    <xf numFmtId="44" fontId="15" fillId="16" borderId="0" xfId="2" applyFont="1" applyFill="1" applyAlignment="1"/>
    <xf numFmtId="44" fontId="5" fillId="0" borderId="0" xfId="2" applyFont="1"/>
    <xf numFmtId="165" fontId="31" fillId="0" borderId="1" xfId="1" applyNumberFormat="1" applyFont="1" applyBorder="1" applyAlignment="1">
      <alignment horizontal="left" indent="3"/>
    </xf>
    <xf numFmtId="44" fontId="1" fillId="16" borderId="1" xfId="2" applyFont="1" applyFill="1" applyBorder="1"/>
    <xf numFmtId="165" fontId="1" fillId="0" borderId="1" xfId="1" applyNumberFormat="1" applyFont="1" applyBorder="1" applyAlignment="1">
      <alignment horizontal="left" indent="3"/>
    </xf>
    <xf numFmtId="44" fontId="9" fillId="16" borderId="1" xfId="2" applyFont="1" applyFill="1" applyBorder="1"/>
    <xf numFmtId="165" fontId="2" fillId="0" borderId="6" xfId="1" applyNumberFormat="1" applyFont="1" applyBorder="1"/>
    <xf numFmtId="165" fontId="1" fillId="0" borderId="2" xfId="1" applyNumberFormat="1" applyFont="1" applyBorder="1"/>
    <xf numFmtId="165" fontId="31" fillId="0" borderId="2" xfId="1" applyNumberFormat="1" applyFont="1" applyBorder="1" applyAlignment="1">
      <alignment horizontal="left" indent="3"/>
    </xf>
    <xf numFmtId="165" fontId="1" fillId="0" borderId="6" xfId="1" applyNumberFormat="1" applyFont="1" applyBorder="1" applyAlignment="1">
      <alignment horizontal="left" indent="3"/>
    </xf>
    <xf numFmtId="44" fontId="2" fillId="0" borderId="6" xfId="2" applyFont="1" applyBorder="1"/>
    <xf numFmtId="165" fontId="31" fillId="0" borderId="6" xfId="1" applyNumberFormat="1" applyFont="1" applyBorder="1" applyAlignment="1">
      <alignment horizontal="left" indent="3"/>
    </xf>
    <xf numFmtId="165" fontId="2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165" fontId="2" fillId="0" borderId="1" xfId="1" applyNumberFormat="1" applyFont="1" applyBorder="1"/>
    <xf numFmtId="44" fontId="1" fillId="0" borderId="1" xfId="2" applyFont="1" applyBorder="1"/>
    <xf numFmtId="165" fontId="31" fillId="0" borderId="1" xfId="1" applyNumberFormat="1" applyFont="1" applyBorder="1" applyAlignment="1"/>
    <xf numFmtId="49" fontId="8" fillId="0" borderId="0" xfId="1" applyNumberFormat="1" applyFont="1"/>
    <xf numFmtId="165" fontId="31" fillId="0" borderId="2" xfId="1" applyNumberFormat="1" applyFont="1" applyBorder="1"/>
    <xf numFmtId="165" fontId="4" fillId="0" borderId="0" xfId="1" applyNumberFormat="1" applyFont="1"/>
    <xf numFmtId="165" fontId="5" fillId="0" borderId="0" xfId="1" applyNumberFormat="1" applyFont="1" applyAlignment="1">
      <alignment horizontal="left" indent="1"/>
    </xf>
    <xf numFmtId="43" fontId="1" fillId="0" borderId="2" xfId="1" applyFont="1" applyBorder="1"/>
    <xf numFmtId="43" fontId="31" fillId="0" borderId="2" xfId="1" applyFont="1" applyBorder="1"/>
    <xf numFmtId="165" fontId="31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1" fillId="0" borderId="0" xfId="1" applyFont="1"/>
    <xf numFmtId="165" fontId="2" fillId="0" borderId="2" xfId="1" applyNumberFormat="1" applyFont="1" applyBorder="1"/>
    <xf numFmtId="165" fontId="2" fillId="0" borderId="0" xfId="1" applyNumberFormat="1" applyFont="1" applyFill="1" applyAlignment="1">
      <alignment horizontal="left"/>
    </xf>
    <xf numFmtId="165" fontId="8" fillId="0" borderId="2" xfId="1" applyNumberFormat="1" applyFont="1" applyBorder="1"/>
    <xf numFmtId="44" fontId="8" fillId="0" borderId="2" xfId="2" applyFont="1" applyBorder="1"/>
    <xf numFmtId="43" fontId="5" fillId="0" borderId="6" xfId="1" applyFont="1" applyBorder="1"/>
    <xf numFmtId="165" fontId="31" fillId="0" borderId="0" xfId="1" applyNumberFormat="1" applyFont="1"/>
    <xf numFmtId="165" fontId="4" fillId="0" borderId="0" xfId="1" applyNumberFormat="1" applyFont="1" applyAlignment="1">
      <alignment horizontal="center"/>
    </xf>
    <xf numFmtId="44" fontId="2" fillId="4" borderId="0" xfId="2" applyFont="1" applyFill="1"/>
    <xf numFmtId="44" fontId="2" fillId="9" borderId="0" xfId="2" applyFont="1" applyFill="1"/>
    <xf numFmtId="44" fontId="2" fillId="17" borderId="0" xfId="2" applyFont="1" applyFill="1"/>
    <xf numFmtId="44" fontId="5" fillId="18" borderId="0" xfId="2" applyFont="1" applyFill="1"/>
    <xf numFmtId="44" fontId="2" fillId="16" borderId="0" xfId="2" applyFont="1" applyFill="1"/>
    <xf numFmtId="44" fontId="5" fillId="16" borderId="0" xfId="2" applyFont="1" applyFill="1"/>
    <xf numFmtId="165" fontId="31" fillId="0" borderId="0" xfId="1" applyNumberFormat="1" applyFont="1" applyFill="1"/>
    <xf numFmtId="44" fontId="34" fillId="0" borderId="2" xfId="2" applyFont="1" applyBorder="1"/>
    <xf numFmtId="44" fontId="34" fillId="0" borderId="0" xfId="2" applyFont="1" applyBorder="1"/>
    <xf numFmtId="0" fontId="2" fillId="0" borderId="0" xfId="1" applyNumberFormat="1" applyFont="1" applyAlignment="1">
      <alignment horizontal="left" indent="2"/>
    </xf>
    <xf numFmtId="43" fontId="8" fillId="0" borderId="2" xfId="1" applyFont="1" applyFill="1" applyBorder="1"/>
    <xf numFmtId="165" fontId="45" fillId="0" borderId="0" xfId="1" applyNumberFormat="1" applyFont="1" applyFill="1"/>
    <xf numFmtId="43" fontId="8" fillId="0" borderId="0" xfId="1" applyFont="1" applyFill="1" applyAlignment="1">
      <alignment horizontal="left"/>
    </xf>
    <xf numFmtId="43" fontId="4" fillId="0" borderId="6" xfId="1" applyFont="1" applyBorder="1"/>
    <xf numFmtId="165" fontId="46" fillId="0" borderId="0" xfId="1" applyNumberFormat="1" applyFont="1" applyAlignment="1">
      <alignment horizontal="left" wrapText="1"/>
    </xf>
    <xf numFmtId="43" fontId="2" fillId="9" borderId="0" xfId="1" applyFont="1" applyFill="1"/>
    <xf numFmtId="165" fontId="45" fillId="0" borderId="0" xfId="1" applyNumberFormat="1" applyFont="1"/>
    <xf numFmtId="43" fontId="8" fillId="0" borderId="0" xfId="1" applyFont="1" applyAlignment="1">
      <alignment horizontal="left"/>
    </xf>
    <xf numFmtId="165" fontId="5" fillId="0" borderId="0" xfId="1" applyNumberFormat="1" applyFont="1" applyBorder="1"/>
    <xf numFmtId="43" fontId="8" fillId="3" borderId="2" xfId="1" applyFont="1" applyFill="1" applyBorder="1" applyAlignment="1">
      <alignment horizontal="left"/>
    </xf>
    <xf numFmtId="165" fontId="34" fillId="0" borderId="0" xfId="1" applyNumberFormat="1" applyFont="1" applyBorder="1"/>
    <xf numFmtId="43" fontId="2" fillId="0" borderId="0" xfId="1" applyFont="1" applyBorder="1" applyAlignment="1">
      <alignment horizontal="left"/>
    </xf>
    <xf numFmtId="43" fontId="4" fillId="0" borderId="0" xfId="1" applyFont="1"/>
    <xf numFmtId="165" fontId="34" fillId="0" borderId="0" xfId="1" applyNumberFormat="1" applyFont="1" applyFill="1" applyBorder="1"/>
    <xf numFmtId="43" fontId="2" fillId="0" borderId="6" xfId="1" applyFont="1" applyFill="1" applyBorder="1" applyAlignment="1">
      <alignment horizontal="left"/>
    </xf>
    <xf numFmtId="49" fontId="2" fillId="14" borderId="0" xfId="0" applyNumberFormat="1" applyFont="1" applyFill="1" applyAlignment="1">
      <alignment horizontal="right"/>
    </xf>
    <xf numFmtId="49" fontId="1" fillId="14" borderId="0" xfId="0" applyNumberFormat="1" applyFont="1" applyFill="1" applyAlignment="1">
      <alignment horizontal="right"/>
    </xf>
    <xf numFmtId="43" fontId="4" fillId="0" borderId="0" xfId="1" applyFont="1" applyBorder="1"/>
    <xf numFmtId="0" fontId="5" fillId="0" borderId="0" xfId="1" applyNumberFormat="1" applyFont="1"/>
    <xf numFmtId="15" fontId="5" fillId="0" borderId="0" xfId="1" applyNumberFormat="1" applyFont="1"/>
    <xf numFmtId="49" fontId="2" fillId="7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2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4" fillId="0" borderId="3" xfId="1" applyNumberFormat="1" applyFont="1" applyBorder="1"/>
    <xf numFmtId="43" fontId="8" fillId="0" borderId="0" xfId="1" applyFont="1"/>
    <xf numFmtId="165" fontId="31" fillId="0" borderId="0" xfId="1" applyNumberFormat="1" applyFont="1" applyAlignment="1">
      <alignment horizontal="right"/>
    </xf>
    <xf numFmtId="43" fontId="8" fillId="0" borderId="0" xfId="1" applyFont="1" applyFill="1"/>
    <xf numFmtId="43" fontId="8" fillId="0" borderId="6" xfId="1" applyFont="1" applyBorder="1" applyAlignment="1">
      <alignment vertical="center"/>
    </xf>
    <xf numFmtId="165" fontId="8" fillId="0" borderId="0" xfId="1" applyNumberFormat="1" applyFont="1" applyBorder="1"/>
    <xf numFmtId="43" fontId="8" fillId="0" borderId="0" xfId="1" applyFont="1" applyBorder="1"/>
    <xf numFmtId="171" fontId="34" fillId="0" borderId="0" xfId="1" applyNumberFormat="1" applyFont="1"/>
    <xf numFmtId="171" fontId="5" fillId="0" borderId="0" xfId="1" applyNumberFormat="1" applyFont="1"/>
    <xf numFmtId="165" fontId="5" fillId="0" borderId="0" xfId="4" applyNumberFormat="1" applyFont="1" applyFill="1"/>
    <xf numFmtId="0" fontId="1" fillId="0" borderId="0" xfId="3" applyAlignment="1">
      <alignment horizontal="center"/>
    </xf>
    <xf numFmtId="44" fontId="1" fillId="0" borderId="0" xfId="3" applyNumberFormat="1"/>
    <xf numFmtId="0" fontId="9" fillId="0" borderId="0" xfId="3" applyFont="1" applyAlignment="1">
      <alignment horizontal="center"/>
    </xf>
    <xf numFmtId="0" fontId="9" fillId="0" borderId="11" xfId="3" applyFont="1" applyBorder="1" applyAlignment="1">
      <alignment horizontal="center"/>
    </xf>
    <xf numFmtId="0" fontId="2" fillId="0" borderId="0" xfId="3" applyFont="1" applyAlignment="1">
      <alignment horizontal="right"/>
    </xf>
    <xf numFmtId="44" fontId="2" fillId="0" borderId="0" xfId="3" applyNumberFormat="1" applyFont="1" applyAlignment="1">
      <alignment horizontal="right"/>
    </xf>
    <xf numFmtId="165" fontId="1" fillId="0" borderId="0" xfId="4" applyNumberFormat="1" applyFont="1" applyFill="1"/>
    <xf numFmtId="44" fontId="2" fillId="0" borderId="0" xfId="3" applyNumberFormat="1" applyFont="1"/>
    <xf numFmtId="44" fontId="2" fillId="0" borderId="4" xfId="3" applyNumberFormat="1" applyFont="1" applyBorder="1"/>
    <xf numFmtId="0" fontId="2" fillId="0" borderId="0" xfId="3" applyFont="1"/>
    <xf numFmtId="49" fontId="7" fillId="0" borderId="4" xfId="3" applyNumberFormat="1" applyFont="1" applyBorder="1" applyAlignment="1">
      <alignment horizontal="center"/>
    </xf>
    <xf numFmtId="49" fontId="7" fillId="0" borderId="0" xfId="3" applyNumberFormat="1" applyFont="1" applyAlignment="1">
      <alignment horizontal="center"/>
    </xf>
    <xf numFmtId="44" fontId="9" fillId="0" borderId="4" xfId="3" applyNumberFormat="1" applyFont="1" applyBorder="1" applyAlignment="1">
      <alignment horizontal="center"/>
    </xf>
    <xf numFmtId="44" fontId="2" fillId="0" borderId="9" xfId="3" applyNumberFormat="1" applyFont="1" applyBorder="1" applyAlignment="1">
      <alignment horizontal="left"/>
    </xf>
    <xf numFmtId="44" fontId="2" fillId="0" borderId="0" xfId="3" applyNumberFormat="1" applyFont="1" applyAlignment="1">
      <alignment horizontal="center"/>
    </xf>
    <xf numFmtId="0" fontId="2" fillId="0" borderId="4" xfId="3" applyFont="1" applyBorder="1"/>
    <xf numFmtId="0" fontId="2" fillId="0" borderId="9" xfId="3" applyFont="1" applyBorder="1"/>
    <xf numFmtId="44" fontId="8" fillId="0" borderId="2" xfId="3" applyNumberFormat="1" applyFont="1" applyBorder="1"/>
    <xf numFmtId="44" fontId="8" fillId="0" borderId="10" xfId="3" applyNumberFormat="1" applyFont="1" applyBorder="1"/>
    <xf numFmtId="0" fontId="4" fillId="0" borderId="2" xfId="3" applyFont="1" applyBorder="1"/>
    <xf numFmtId="0" fontId="2" fillId="0" borderId="2" xfId="3" applyFont="1" applyBorder="1"/>
    <xf numFmtId="44" fontId="2" fillId="0" borderId="4" xfId="5" applyFont="1" applyFill="1" applyBorder="1"/>
    <xf numFmtId="44" fontId="2" fillId="0" borderId="0" xfId="5" applyFont="1" applyFill="1"/>
    <xf numFmtId="0" fontId="2" fillId="0" borderId="1" xfId="3" applyFont="1" applyBorder="1"/>
    <xf numFmtId="44" fontId="2" fillId="0" borderId="0" xfId="3" applyNumberFormat="1" applyFont="1" applyAlignment="1">
      <alignment horizontal="left"/>
    </xf>
    <xf numFmtId="0" fontId="2" fillId="0" borderId="9" xfId="5" applyNumberFormat="1" applyFont="1" applyFill="1" applyBorder="1" applyAlignment="1">
      <alignment horizontal="left"/>
    </xf>
    <xf numFmtId="44" fontId="2" fillId="0" borderId="9" xfId="5" applyFont="1" applyFill="1" applyBorder="1"/>
    <xf numFmtId="44" fontId="2" fillId="0" borderId="0" xfId="5" applyFont="1" applyFill="1" applyBorder="1"/>
    <xf numFmtId="44" fontId="2" fillId="0" borderId="8" xfId="5" applyFont="1" applyFill="1" applyBorder="1"/>
    <xf numFmtId="44" fontId="2" fillId="0" borderId="1" xfId="3" applyNumberFormat="1" applyFont="1" applyBorder="1"/>
    <xf numFmtId="44" fontId="2" fillId="0" borderId="5" xfId="5" applyFont="1" applyFill="1" applyBorder="1"/>
    <xf numFmtId="44" fontId="2" fillId="0" borderId="1" xfId="5" applyFont="1" applyFill="1" applyBorder="1"/>
    <xf numFmtId="44" fontId="2" fillId="0" borderId="7" xfId="3" applyNumberFormat="1" applyFont="1" applyBorder="1" applyAlignment="1">
      <alignment horizontal="center"/>
    </xf>
    <xf numFmtId="44" fontId="2" fillId="0" borderId="4" xfId="3" applyNumberFormat="1" applyFont="1" applyBorder="1" applyAlignment="1">
      <alignment horizontal="center"/>
    </xf>
    <xf numFmtId="44" fontId="2" fillId="0" borderId="5" xfId="3" applyNumberFormat="1" applyFont="1" applyBorder="1" applyAlignment="1">
      <alignment horizontal="center"/>
    </xf>
    <xf numFmtId="44" fontId="2" fillId="0" borderId="1" xfId="3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2" fillId="0" borderId="6" xfId="3" applyFont="1" applyBorder="1"/>
    <xf numFmtId="0" fontId="2" fillId="0" borderId="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8" fillId="0" borderId="1" xfId="3" applyFont="1" applyBorder="1"/>
    <xf numFmtId="0" fontId="7" fillId="0" borderId="0" xfId="3" applyFont="1" applyAlignment="1">
      <alignment horizontal="center"/>
    </xf>
    <xf numFmtId="0" fontId="7" fillId="0" borderId="4" xfId="3" applyFont="1" applyBorder="1" applyAlignment="1">
      <alignment horizontal="center"/>
    </xf>
    <xf numFmtId="0" fontId="4" fillId="0" borderId="0" xfId="3" applyFont="1"/>
    <xf numFmtId="0" fontId="1" fillId="0" borderId="1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1" xfId="3" applyBorder="1" applyAlignment="1">
      <alignment horizontal="center"/>
    </xf>
    <xf numFmtId="164" fontId="6" fillId="0" borderId="0" xfId="3" applyNumberFormat="1" applyFont="1"/>
    <xf numFmtId="164" fontId="6" fillId="0" borderId="0" xfId="3" applyNumberFormat="1" applyFont="1" applyAlignment="1">
      <alignment horizontal="left"/>
    </xf>
    <xf numFmtId="0" fontId="6" fillId="0" borderId="0" xfId="3" applyFont="1"/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right"/>
    </xf>
  </cellXfs>
  <cellStyles count="6">
    <cellStyle name="Comma" xfId="1" builtinId="3"/>
    <cellStyle name="Comma 3" xfId="4" xr:uid="{18258C87-3107-491D-A891-BD19CA15CE24}"/>
    <cellStyle name="Currency" xfId="2" builtinId="4"/>
    <cellStyle name="Currency 3" xfId="5" xr:uid="{F9127F40-0525-4F0A-BB49-F2E42BAB907D}"/>
    <cellStyle name="Normal" xfId="0" builtinId="0"/>
    <cellStyle name="Normal 3" xfId="3" xr:uid="{0DBC4789-3F37-4239-896D-9446881D9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5-2021\PGA%20Allocations%2005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1\Gas%20Supply%20Analysis\4-2021%20Gas%20Supply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5-2021\WA\UG-200807%20CNGC%20Monthly%20PGA%20Rpt%20May%202021,%2006.28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WA Deferrals"/>
      <sheetName val="OR Deferrals"/>
      <sheetName val="WA Rates"/>
      <sheetName val="OR Rates"/>
      <sheetName val="Core Cost Incurred"/>
    </sheetNames>
    <sheetDataSet>
      <sheetData sheetId="0"/>
      <sheetData sheetId="1"/>
      <sheetData sheetId="2"/>
      <sheetData sheetId="3">
        <row r="39">
          <cell r="K39">
            <v>2798281.82</v>
          </cell>
          <cell r="L39">
            <v>1828395.8699999999</v>
          </cell>
          <cell r="M39">
            <v>1900847.0699999996</v>
          </cell>
        </row>
      </sheetData>
      <sheetData sheetId="4"/>
      <sheetData sheetId="5">
        <row r="2">
          <cell r="B2">
            <v>44341</v>
          </cell>
        </row>
        <row r="42">
          <cell r="K42">
            <v>2829094.8900000006</v>
          </cell>
        </row>
        <row r="43">
          <cell r="K43">
            <v>4079007.1500000004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Invoices"/>
      <sheetName val="True-Up"/>
      <sheetName val="Im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8">
          <cell r="N68">
            <v>-6544.3261224000089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DEFERRALS"/>
      <sheetName val="RA 1860.20479"/>
      <sheetName val="RA 1823.47020430"/>
      <sheetName val="RA 1823.47020431"/>
      <sheetName val="RA 1823.47020444"/>
      <sheetName val="RA 1823.47020449"/>
      <sheetName val="RA 1862.20477"/>
      <sheetName val="RA 1860.20460-exp only"/>
      <sheetName val="RA 1823.47020478"/>
      <sheetName val="RA 1862.20480"/>
      <sheetName val="RA 1860.20481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1904-953F-4C94-9426-9787A92A44F6}">
  <dimension ref="B1:AL103"/>
  <sheetViews>
    <sheetView showGridLines="0" tabSelected="1" zoomScaleNormal="100" workbookViewId="0">
      <selection activeCell="AA33" sqref="AA33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1" customWidth="1"/>
    <col min="4" max="4" width="3.5703125" style="19" hidden="1" customWidth="1"/>
    <col min="5" max="5" width="4" style="19" bestFit="1" customWidth="1"/>
    <col min="6" max="6" width="13.7109375" style="19" customWidth="1"/>
    <col min="7" max="7" width="15" style="87" bestFit="1" customWidth="1"/>
    <col min="8" max="8" width="12.5703125" style="88" customWidth="1"/>
    <col min="9" max="9" width="15" style="88" bestFit="1" customWidth="1"/>
    <col min="10" max="10" width="14" style="88" bestFit="1" customWidth="1"/>
    <col min="11" max="12" width="16.140625" style="88" bestFit="1" customWidth="1"/>
    <col min="13" max="13" width="14.5703125" style="88" bestFit="1" customWidth="1"/>
    <col min="14" max="14" width="16.85546875" style="88" bestFit="1" customWidth="1"/>
    <col min="15" max="15" width="8.28515625" style="88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7" bestFit="1" customWidth="1"/>
    <col min="25" max="25" width="14.28515625" style="8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1" ht="14.25" customHeight="1" x14ac:dyDescent="0.2">
      <c r="B1" s="1" t="s">
        <v>27</v>
      </c>
      <c r="C1" s="18"/>
      <c r="E1" s="20" t="s">
        <v>28</v>
      </c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  <c r="Q1" s="22"/>
      <c r="R1" s="22"/>
      <c r="S1" s="22"/>
      <c r="T1" s="22"/>
      <c r="U1" s="22"/>
      <c r="V1" s="22"/>
      <c r="W1" s="22"/>
      <c r="X1" s="23"/>
      <c r="Y1" s="24"/>
      <c r="Z1" s="22"/>
      <c r="AA1" s="22"/>
      <c r="AB1" s="22"/>
      <c r="AC1" s="22"/>
    </row>
    <row r="2" spans="2:31" ht="14.25" customHeight="1" x14ac:dyDescent="0.25">
      <c r="B2" s="1" t="s">
        <v>29</v>
      </c>
      <c r="C2" s="18"/>
      <c r="D2" s="22"/>
      <c r="E2" s="20"/>
      <c r="F2" s="20"/>
      <c r="G2" s="20"/>
      <c r="H2" s="20"/>
      <c r="I2" s="20"/>
      <c r="J2" s="20"/>
      <c r="K2" s="20"/>
      <c r="L2" s="25" t="s">
        <v>30</v>
      </c>
      <c r="M2" s="25"/>
      <c r="N2" s="25"/>
      <c r="O2" s="25"/>
      <c r="P2" s="25"/>
    </row>
    <row r="3" spans="2:31" ht="14.25" customHeight="1" x14ac:dyDescent="0.25">
      <c r="B3" s="26" t="s">
        <v>31</v>
      </c>
      <c r="C3" s="26"/>
      <c r="D3" s="22"/>
      <c r="E3" s="27"/>
      <c r="F3" s="28">
        <f>'Core Cost Incurred'!B2</f>
        <v>44341</v>
      </c>
      <c r="G3" s="28"/>
      <c r="H3" s="28"/>
      <c r="I3" s="28"/>
      <c r="J3" s="28"/>
      <c r="K3" s="28"/>
      <c r="L3" s="29" t="s">
        <v>32</v>
      </c>
      <c r="M3" s="29"/>
      <c r="N3" s="29"/>
      <c r="O3" s="29"/>
      <c r="P3" s="29"/>
    </row>
    <row r="4" spans="2:31" ht="14.25" customHeight="1" x14ac:dyDescent="0.25">
      <c r="B4" s="26" t="s">
        <v>33</v>
      </c>
      <c r="C4" s="26"/>
      <c r="D4" s="22"/>
      <c r="E4" s="27"/>
      <c r="F4" s="28"/>
      <c r="G4" s="28"/>
      <c r="H4" s="28"/>
      <c r="I4" s="28"/>
      <c r="J4" s="28"/>
      <c r="K4" s="28"/>
      <c r="L4" s="30" t="s">
        <v>34</v>
      </c>
      <c r="M4" s="30"/>
      <c r="N4" s="30"/>
      <c r="O4" s="30"/>
      <c r="P4" s="30"/>
    </row>
    <row r="5" spans="2:31" ht="14.25" customHeight="1" x14ac:dyDescent="0.2">
      <c r="D5" s="22"/>
      <c r="E5" s="27"/>
      <c r="F5" s="27"/>
      <c r="G5" s="27"/>
      <c r="H5" s="27"/>
      <c r="I5" s="27"/>
      <c r="J5" s="27"/>
      <c r="K5" s="27"/>
      <c r="L5" s="21"/>
      <c r="M5" s="21"/>
      <c r="N5" s="21"/>
      <c r="O5" s="21"/>
      <c r="P5" s="21"/>
      <c r="Q5" s="22"/>
      <c r="R5" s="22"/>
      <c r="S5" s="22"/>
      <c r="T5" s="22"/>
      <c r="U5" s="22"/>
      <c r="V5" s="22"/>
      <c r="W5" s="22"/>
      <c r="X5" s="23"/>
      <c r="Y5" s="24"/>
      <c r="Z5" s="22"/>
      <c r="AA5" s="22"/>
      <c r="AB5" s="22"/>
      <c r="AC5" s="22"/>
    </row>
    <row r="6" spans="2:31" ht="15.75" x14ac:dyDescent="0.25">
      <c r="B6" s="32"/>
      <c r="C6" s="33"/>
      <c r="D6" s="34"/>
      <c r="E6" s="34"/>
      <c r="F6" s="34"/>
      <c r="G6" s="35" t="s">
        <v>35</v>
      </c>
      <c r="H6" s="36" t="s">
        <v>3</v>
      </c>
      <c r="I6" s="36" t="s">
        <v>6</v>
      </c>
      <c r="J6" s="36" t="s">
        <v>36</v>
      </c>
      <c r="K6" s="36" t="s">
        <v>3</v>
      </c>
      <c r="L6" s="36" t="s">
        <v>6</v>
      </c>
      <c r="M6" s="36"/>
      <c r="N6" s="36" t="s">
        <v>12</v>
      </c>
      <c r="O6" s="37"/>
      <c r="Q6" s="38"/>
      <c r="R6" s="39">
        <v>200294.94</v>
      </c>
      <c r="S6" s="38"/>
      <c r="T6" s="38"/>
      <c r="U6" s="39">
        <v>140046.39000000001</v>
      </c>
      <c r="V6" s="38"/>
      <c r="W6" s="38"/>
      <c r="X6" s="40"/>
      <c r="Y6" s="41"/>
      <c r="Z6" s="38"/>
      <c r="AA6" s="38"/>
      <c r="AB6" s="38"/>
      <c r="AC6" s="38"/>
      <c r="AD6" s="42"/>
    </row>
    <row r="7" spans="2:31" ht="15.75" x14ac:dyDescent="0.25">
      <c r="B7" s="43"/>
      <c r="C7" s="44"/>
      <c r="D7" s="45"/>
      <c r="E7" s="45"/>
      <c r="F7" s="46" t="s">
        <v>37</v>
      </c>
      <c r="G7" s="35" t="s">
        <v>38</v>
      </c>
      <c r="H7" s="36" t="s">
        <v>39</v>
      </c>
      <c r="I7" s="36" t="s">
        <v>39</v>
      </c>
      <c r="J7" s="36" t="s">
        <v>11</v>
      </c>
      <c r="K7" s="36" t="s">
        <v>40</v>
      </c>
      <c r="L7" s="36" t="s">
        <v>40</v>
      </c>
      <c r="M7" s="36" t="s">
        <v>36</v>
      </c>
      <c r="N7" s="36" t="s">
        <v>36</v>
      </c>
      <c r="O7" s="37"/>
      <c r="Q7" s="39">
        <v>11214374</v>
      </c>
      <c r="R7" s="39">
        <f>2345597.06+78799.97+56688.77</f>
        <v>2481085.8000000003</v>
      </c>
      <c r="S7" s="38"/>
      <c r="T7" s="39">
        <v>2845776</v>
      </c>
      <c r="U7" s="39">
        <v>459339.89</v>
      </c>
      <c r="V7" s="38"/>
      <c r="W7" s="38"/>
      <c r="X7" s="40"/>
      <c r="Y7" s="41"/>
      <c r="Z7" s="38"/>
      <c r="AA7" s="38"/>
      <c r="AB7" s="38"/>
      <c r="AC7" s="38"/>
      <c r="AD7" s="47"/>
      <c r="AE7" s="3"/>
    </row>
    <row r="8" spans="2:31" s="54" customFormat="1" x14ac:dyDescent="0.2">
      <c r="B8" s="48"/>
      <c r="C8" s="49"/>
      <c r="D8" s="48" t="s">
        <v>41</v>
      </c>
      <c r="E8" s="50" t="s">
        <v>42</v>
      </c>
      <c r="F8" s="50" t="s">
        <v>42</v>
      </c>
      <c r="G8" s="51" t="s">
        <v>43</v>
      </c>
      <c r="H8" s="52" t="s">
        <v>44</v>
      </c>
      <c r="I8" s="52" t="str">
        <f>+H8</f>
        <v>Nov 1 2020</v>
      </c>
      <c r="J8" s="52" t="str">
        <f>I8</f>
        <v>Nov 1 2020</v>
      </c>
      <c r="K8" s="53" t="s">
        <v>45</v>
      </c>
      <c r="L8" s="53" t="s">
        <v>45</v>
      </c>
      <c r="M8" s="53" t="s">
        <v>11</v>
      </c>
      <c r="N8" s="53" t="s">
        <v>45</v>
      </c>
      <c r="O8" s="37"/>
      <c r="P8"/>
      <c r="V8" s="38"/>
      <c r="X8" s="55"/>
      <c r="Y8" s="56">
        <v>1501</v>
      </c>
      <c r="Z8" s="38"/>
      <c r="AA8" s="38"/>
      <c r="AB8" s="38"/>
      <c r="AC8" s="38"/>
    </row>
    <row r="9" spans="2:31" ht="15.75" hidden="1" x14ac:dyDescent="0.25">
      <c r="B9" s="57" t="s">
        <v>46</v>
      </c>
      <c r="C9" s="31" t="s">
        <v>47</v>
      </c>
      <c r="D9" s="10">
        <v>1</v>
      </c>
      <c r="E9" s="19" t="s">
        <v>48</v>
      </c>
      <c r="F9" s="19" t="s">
        <v>49</v>
      </c>
      <c r="G9" s="58">
        <v>0</v>
      </c>
      <c r="H9" s="59"/>
      <c r="I9" s="59"/>
      <c r="J9" s="59"/>
      <c r="K9" s="60">
        <f>ROUND(H9*G9,2)</f>
        <v>0</v>
      </c>
      <c r="L9" s="60">
        <f>ROUND(G9*I9,2)</f>
        <v>0</v>
      </c>
      <c r="M9" s="61">
        <f>ROUND(G9*J9,2)</f>
        <v>0</v>
      </c>
      <c r="N9" s="60">
        <f>SUM(K9:M9)</f>
        <v>0</v>
      </c>
      <c r="O9" s="62"/>
      <c r="Q9" s="63">
        <f>+-1529533-194708</f>
        <v>-1724241</v>
      </c>
      <c r="R9" s="63">
        <f>+-304369.99-70364.48</f>
        <v>-374734.47</v>
      </c>
      <c r="S9" s="64"/>
      <c r="T9" s="65">
        <f>+-505447-64182</f>
        <v>-569629</v>
      </c>
      <c r="U9" s="65">
        <f>+-100581.61-23194.4</f>
        <v>-123776.01000000001</v>
      </c>
      <c r="V9" s="64"/>
      <c r="Y9" s="66"/>
      <c r="Z9" s="64"/>
      <c r="AA9" s="64"/>
      <c r="AB9" s="64"/>
      <c r="AC9" s="64"/>
    </row>
    <row r="10" spans="2:31" ht="15.75" x14ac:dyDescent="0.25">
      <c r="B10" s="57" t="s">
        <v>46</v>
      </c>
      <c r="C10" s="31" t="s">
        <v>50</v>
      </c>
      <c r="D10" s="10">
        <v>1</v>
      </c>
      <c r="E10" s="19" t="s">
        <v>51</v>
      </c>
      <c r="F10" s="19" t="s">
        <v>52</v>
      </c>
      <c r="G10" s="67">
        <f>+Y10</f>
        <v>6623364</v>
      </c>
      <c r="H10" s="68">
        <v>0.25052999999999997</v>
      </c>
      <c r="I10" s="68">
        <v>0.16711999999999999</v>
      </c>
      <c r="J10" s="68">
        <f>0.07006+0.07276</f>
        <v>0.14282</v>
      </c>
      <c r="K10" s="60">
        <f>ROUND(H10*G10,2)</f>
        <v>1659351.38</v>
      </c>
      <c r="L10" s="60">
        <f>ROUND(G10*I10,2)</f>
        <v>1106896.5900000001</v>
      </c>
      <c r="M10" s="69">
        <f>ROUND(G10*J10,2)</f>
        <v>945948.85</v>
      </c>
      <c r="N10" s="70">
        <f>SUM(K10:M10)</f>
        <v>3712196.82</v>
      </c>
      <c r="O10" s="62"/>
      <c r="Q10" s="65"/>
      <c r="R10" s="65"/>
      <c r="S10" s="65"/>
      <c r="T10" s="65"/>
      <c r="U10" s="65"/>
      <c r="V10" s="64"/>
      <c r="W10" s="71">
        <v>4800</v>
      </c>
      <c r="X10" s="72">
        <v>503</v>
      </c>
      <c r="Y10" s="73">
        <v>6623364</v>
      </c>
      <c r="Z10" s="64"/>
      <c r="AA10" s="64"/>
      <c r="AB10" s="64"/>
      <c r="AC10" s="64"/>
    </row>
    <row r="11" spans="2:31" ht="15.75" x14ac:dyDescent="0.25">
      <c r="B11" s="57" t="s">
        <v>53</v>
      </c>
      <c r="C11" s="31" t="s">
        <v>54</v>
      </c>
      <c r="D11" s="10">
        <v>1</v>
      </c>
      <c r="E11" s="19" t="s">
        <v>51</v>
      </c>
      <c r="F11" s="19" t="s">
        <v>52</v>
      </c>
      <c r="G11" s="74">
        <v>-3671024</v>
      </c>
      <c r="H11" s="75">
        <f>$H$10</f>
        <v>0.25052999999999997</v>
      </c>
      <c r="I11" s="75">
        <f>$I$10</f>
        <v>0.16711999999999999</v>
      </c>
      <c r="J11" s="75">
        <f>+$J$10</f>
        <v>0.14282</v>
      </c>
      <c r="K11" s="60">
        <f>ROUND(H11*G11,2)</f>
        <v>-919701.64</v>
      </c>
      <c r="L11" s="60">
        <f>ROUND(G11*I11,2)</f>
        <v>-613501.53</v>
      </c>
      <c r="M11" s="69"/>
      <c r="N11" s="70">
        <f>SUM(K11:M11)</f>
        <v>-1533203.17</v>
      </c>
      <c r="O11" s="62"/>
      <c r="Q11" s="65"/>
      <c r="R11" s="65"/>
      <c r="S11" s="65"/>
      <c r="T11" s="65"/>
      <c r="U11" s="65"/>
      <c r="V11" s="64"/>
      <c r="W11" s="71">
        <v>4809</v>
      </c>
      <c r="X11" s="72">
        <v>505</v>
      </c>
      <c r="Y11" s="76">
        <v>680086</v>
      </c>
      <c r="Z11" s="64"/>
      <c r="AA11" s="64"/>
      <c r="AB11" s="64"/>
      <c r="AC11" s="64"/>
    </row>
    <row r="12" spans="2:31" ht="15.75" x14ac:dyDescent="0.25">
      <c r="B12" s="57" t="s">
        <v>53</v>
      </c>
      <c r="C12" s="31" t="s">
        <v>55</v>
      </c>
      <c r="D12" s="10">
        <v>1</v>
      </c>
      <c r="E12" s="19" t="s">
        <v>51</v>
      </c>
      <c r="F12" s="19" t="s">
        <v>52</v>
      </c>
      <c r="G12" s="74">
        <f>+Y20</f>
        <v>2344541</v>
      </c>
      <c r="H12" s="75">
        <f>$H$10</f>
        <v>0.25052999999999997</v>
      </c>
      <c r="I12" s="75">
        <f>$I$10</f>
        <v>0.16711999999999999</v>
      </c>
      <c r="J12" s="75">
        <f>+$J$10</f>
        <v>0.14282</v>
      </c>
      <c r="K12" s="60">
        <f>ROUND(H12*G12,2)</f>
        <v>587377.86</v>
      </c>
      <c r="L12" s="60">
        <f>ROUND(G12*I12,2)</f>
        <v>391819.69</v>
      </c>
      <c r="M12" s="69"/>
      <c r="N12" s="70">
        <f>SUM(K12:M12)</f>
        <v>979197.55</v>
      </c>
      <c r="O12" s="62"/>
      <c r="Q12" s="65"/>
      <c r="R12" s="65"/>
      <c r="S12" s="65"/>
      <c r="T12" s="65"/>
      <c r="U12" s="65"/>
      <c r="V12" s="64"/>
      <c r="W12" s="71">
        <v>4809</v>
      </c>
      <c r="X12" s="72">
        <v>511</v>
      </c>
      <c r="Y12" s="76">
        <v>286219</v>
      </c>
      <c r="AA12" s="64"/>
      <c r="AB12" s="64"/>
      <c r="AC12" s="64"/>
    </row>
    <row r="13" spans="2:31" ht="15" customHeight="1" x14ac:dyDescent="0.25">
      <c r="B13" s="57"/>
      <c r="D13" s="10"/>
      <c r="G13" s="58"/>
      <c r="H13" s="75"/>
      <c r="I13" s="75"/>
      <c r="J13" s="75"/>
      <c r="K13" s="60"/>
      <c r="L13" s="60"/>
      <c r="M13" s="69"/>
      <c r="N13" s="70"/>
      <c r="O13" s="62"/>
      <c r="Q13" s="64"/>
      <c r="R13" s="64"/>
      <c r="S13" s="64"/>
      <c r="T13" s="64"/>
      <c r="U13" s="64"/>
      <c r="V13" s="64"/>
      <c r="W13" s="71">
        <v>4810</v>
      </c>
      <c r="X13" s="72" t="s">
        <v>56</v>
      </c>
      <c r="Y13" s="76">
        <v>2200</v>
      </c>
      <c r="Z13" s="64"/>
      <c r="AA13" s="64"/>
      <c r="AB13" s="64"/>
      <c r="AC13" s="64"/>
    </row>
    <row r="14" spans="2:31" ht="15.75" x14ac:dyDescent="0.25">
      <c r="B14" s="57" t="s">
        <v>57</v>
      </c>
      <c r="C14" s="31" t="s">
        <v>58</v>
      </c>
      <c r="D14" s="10">
        <v>2</v>
      </c>
      <c r="E14" s="19" t="s">
        <v>59</v>
      </c>
      <c r="F14" s="19" t="s">
        <v>60</v>
      </c>
      <c r="G14" s="67">
        <f>+Y15</f>
        <v>4930955</v>
      </c>
      <c r="H14" s="75">
        <f t="shared" ref="H14:H16" si="0">$H$10</f>
        <v>0.25052999999999997</v>
      </c>
      <c r="I14" s="68">
        <v>0.16461000000000001</v>
      </c>
      <c r="J14" s="75">
        <f t="shared" ref="J14:J16" si="1">+$J$10</f>
        <v>0.14282</v>
      </c>
      <c r="K14" s="60">
        <f>ROUND(H14*G14,2)</f>
        <v>1235352.1599999999</v>
      </c>
      <c r="L14" s="60">
        <f>ROUND(G14*I14,2)</f>
        <v>811684.5</v>
      </c>
      <c r="M14" s="69">
        <f>ROUND(G14*J14,2)</f>
        <v>704238.99</v>
      </c>
      <c r="N14" s="70">
        <f>SUM(K14:M14)</f>
        <v>2751275.65</v>
      </c>
      <c r="O14" s="77">
        <v>-0.02</v>
      </c>
      <c r="Q14" s="64" t="s">
        <v>61</v>
      </c>
      <c r="R14" s="64"/>
      <c r="S14" s="64"/>
      <c r="T14" s="64"/>
      <c r="U14" s="64"/>
      <c r="V14" s="64"/>
      <c r="W14" s="71">
        <v>4810</v>
      </c>
      <c r="X14" s="72" t="s">
        <v>62</v>
      </c>
      <c r="Y14" s="76">
        <v>35726</v>
      </c>
      <c r="Z14" s="64"/>
      <c r="AB14" s="64"/>
      <c r="AC14" s="64"/>
    </row>
    <row r="15" spans="2:31" ht="15.75" x14ac:dyDescent="0.25">
      <c r="B15" s="57" t="s">
        <v>63</v>
      </c>
      <c r="C15" s="31" t="s">
        <v>64</v>
      </c>
      <c r="D15" s="10">
        <v>2</v>
      </c>
      <c r="E15" s="19" t="s">
        <v>59</v>
      </c>
      <c r="F15" s="19" t="s">
        <v>60</v>
      </c>
      <c r="G15" s="74">
        <v>-2779511</v>
      </c>
      <c r="H15" s="75">
        <f t="shared" si="0"/>
        <v>0.25052999999999997</v>
      </c>
      <c r="I15" s="75">
        <f>+$I$14</f>
        <v>0.16461000000000001</v>
      </c>
      <c r="J15" s="75">
        <f t="shared" si="1"/>
        <v>0.14282</v>
      </c>
      <c r="K15" s="60">
        <f>ROUND(H15*G15,2)</f>
        <v>-696350.89</v>
      </c>
      <c r="L15" s="60">
        <f>ROUND(G15*I15,2)</f>
        <v>-457535.31</v>
      </c>
      <c r="M15" s="69"/>
      <c r="N15" s="70">
        <f>SUM(K15:M15)</f>
        <v>-1153886.2</v>
      </c>
      <c r="O15" s="77"/>
      <c r="Q15" s="64" t="s">
        <v>65</v>
      </c>
      <c r="R15" s="64">
        <f>101807.82+3135667.8</f>
        <v>3237475.6199999996</v>
      </c>
      <c r="S15" s="64"/>
      <c r="T15" s="64"/>
      <c r="U15" s="65">
        <f>242253.38+412186.68</f>
        <v>654440.06000000006</v>
      </c>
      <c r="V15" s="64"/>
      <c r="W15" s="71">
        <v>4810</v>
      </c>
      <c r="X15" s="72">
        <v>504</v>
      </c>
      <c r="Y15" s="76">
        <v>4930955</v>
      </c>
      <c r="Z15" s="64"/>
      <c r="AB15" s="64"/>
      <c r="AC15" s="64"/>
    </row>
    <row r="16" spans="2:31" ht="15.75" x14ac:dyDescent="0.25">
      <c r="B16" s="57" t="s">
        <v>63</v>
      </c>
      <c r="C16" s="31" t="s">
        <v>66</v>
      </c>
      <c r="D16" s="10">
        <v>2</v>
      </c>
      <c r="E16" s="19" t="s">
        <v>59</v>
      </c>
      <c r="F16" s="19" t="s">
        <v>60</v>
      </c>
      <c r="G16" s="74">
        <f>+Y21</f>
        <v>1966052</v>
      </c>
      <c r="H16" s="75">
        <f t="shared" si="0"/>
        <v>0.25052999999999997</v>
      </c>
      <c r="I16" s="75">
        <f>+$I$14</f>
        <v>0.16461000000000001</v>
      </c>
      <c r="J16" s="75">
        <f t="shared" si="1"/>
        <v>0.14282</v>
      </c>
      <c r="K16" s="60">
        <f>ROUND(H16*G16,2)</f>
        <v>492555.01</v>
      </c>
      <c r="L16" s="60">
        <f>ROUND(G16*I16,2)</f>
        <v>323631.82</v>
      </c>
      <c r="M16" s="69"/>
      <c r="N16" s="70">
        <f>SUM(K16:M16)</f>
        <v>816186.83000000007</v>
      </c>
      <c r="O16" s="62"/>
      <c r="Q16" s="64" t="s">
        <v>65</v>
      </c>
      <c r="R16" s="64">
        <v>55387.57</v>
      </c>
      <c r="S16" s="64"/>
      <c r="T16" s="64"/>
      <c r="U16" s="65">
        <v>7182.43</v>
      </c>
      <c r="V16" s="64"/>
      <c r="W16" s="71">
        <v>4810</v>
      </c>
      <c r="X16" s="72">
        <v>511</v>
      </c>
      <c r="Y16" s="76">
        <v>618462</v>
      </c>
      <c r="Z16" s="64"/>
      <c r="AA16" s="64"/>
      <c r="AB16" s="64"/>
      <c r="AC16" s="64"/>
    </row>
    <row r="17" spans="2:29" ht="15" customHeight="1" x14ac:dyDescent="0.25">
      <c r="B17" s="57"/>
      <c r="D17" s="10"/>
      <c r="G17" s="58"/>
      <c r="H17" s="75"/>
      <c r="I17" s="75"/>
      <c r="J17" s="75"/>
      <c r="K17" s="60"/>
      <c r="L17" s="60"/>
      <c r="M17" s="69"/>
      <c r="N17" s="70"/>
      <c r="O17" s="62"/>
      <c r="Q17" s="5"/>
      <c r="R17" s="5"/>
      <c r="S17" s="5"/>
      <c r="T17" s="5"/>
      <c r="U17" s="65"/>
      <c r="V17" s="5"/>
      <c r="W17" s="71">
        <v>4811</v>
      </c>
      <c r="X17" s="72" t="s">
        <v>67</v>
      </c>
      <c r="Y17" s="76">
        <v>0</v>
      </c>
      <c r="Z17" s="64"/>
      <c r="AA17" s="5"/>
      <c r="AB17" s="5"/>
      <c r="AC17" s="5"/>
    </row>
    <row r="18" spans="2:29" ht="15.75" x14ac:dyDescent="0.25">
      <c r="B18" s="57" t="s">
        <v>57</v>
      </c>
      <c r="C18" s="31" t="s">
        <v>68</v>
      </c>
      <c r="D18" s="10">
        <v>2</v>
      </c>
      <c r="E18" s="19" t="s">
        <v>69</v>
      </c>
      <c r="F18" s="19" t="s">
        <v>70</v>
      </c>
      <c r="G18" s="67">
        <f>+Y16</f>
        <v>618462</v>
      </c>
      <c r="H18" s="75">
        <f t="shared" ref="H18:H22" si="2">$H$10</f>
        <v>0.25052999999999997</v>
      </c>
      <c r="I18" s="68">
        <v>0.15223</v>
      </c>
      <c r="J18" s="75">
        <f t="shared" ref="J18:J22" si="3">+$J$10</f>
        <v>0.14282</v>
      </c>
      <c r="K18" s="60">
        <f t="shared" ref="K18:K22" si="4">ROUND(H18*G18,2)</f>
        <v>154943.28</v>
      </c>
      <c r="L18" s="60">
        <f t="shared" ref="L18:L22" si="5">ROUND(G18*I18,2)</f>
        <v>94148.47</v>
      </c>
      <c r="M18" s="69">
        <f t="shared" ref="M18:M22" si="6">ROUND(G18*J18,2)</f>
        <v>88328.74</v>
      </c>
      <c r="N18" s="70">
        <f t="shared" ref="N18:N22" si="7">SUM(K18:M18)</f>
        <v>337420.49</v>
      </c>
      <c r="O18" s="77">
        <v>2.0699999999999998</v>
      </c>
      <c r="Q18" s="64" t="s">
        <v>61</v>
      </c>
      <c r="R18" s="64">
        <v>625208.07999999996</v>
      </c>
      <c r="S18" s="64"/>
      <c r="T18" s="64"/>
      <c r="U18" s="65">
        <f>44136.69+5300</f>
        <v>49436.69</v>
      </c>
      <c r="V18" s="64"/>
      <c r="W18" s="71">
        <v>4813</v>
      </c>
      <c r="X18" s="72">
        <v>570</v>
      </c>
      <c r="Y18" s="76">
        <v>180576</v>
      </c>
      <c r="AA18" s="64"/>
      <c r="AB18" s="64"/>
      <c r="AC18" s="64"/>
    </row>
    <row r="19" spans="2:29" ht="15.75" x14ac:dyDescent="0.25">
      <c r="B19" s="57" t="s">
        <v>57</v>
      </c>
      <c r="C19" s="31" t="s">
        <v>68</v>
      </c>
      <c r="D19" s="10">
        <v>2</v>
      </c>
      <c r="E19" s="19" t="s">
        <v>69</v>
      </c>
      <c r="F19" s="19" t="s">
        <v>71</v>
      </c>
      <c r="G19" s="67">
        <f>+Y13</f>
        <v>2200</v>
      </c>
      <c r="H19" s="75">
        <f t="shared" si="2"/>
        <v>0.25052999999999997</v>
      </c>
      <c r="I19" s="75">
        <f>+$I$18</f>
        <v>0.15223</v>
      </c>
      <c r="J19" s="75">
        <f t="shared" si="3"/>
        <v>0.14282</v>
      </c>
      <c r="K19" s="60">
        <f t="shared" si="4"/>
        <v>551.16999999999996</v>
      </c>
      <c r="L19" s="60">
        <f t="shared" si="5"/>
        <v>334.91</v>
      </c>
      <c r="M19" s="69">
        <f t="shared" si="6"/>
        <v>314.2</v>
      </c>
      <c r="N19" s="70">
        <f t="shared" si="7"/>
        <v>1200.28</v>
      </c>
      <c r="O19" s="77"/>
      <c r="Q19" s="64" t="s">
        <v>61</v>
      </c>
      <c r="R19" s="64"/>
      <c r="S19" s="64"/>
      <c r="T19" s="64"/>
      <c r="U19" s="64"/>
      <c r="V19" s="64"/>
      <c r="W19" s="71"/>
      <c r="X19" s="72"/>
      <c r="Y19" s="56" t="s">
        <v>72</v>
      </c>
      <c r="Z19" s="64"/>
      <c r="AA19" s="64"/>
      <c r="AB19" s="64"/>
      <c r="AC19" s="64"/>
    </row>
    <row r="20" spans="2:29" ht="15.75" x14ac:dyDescent="0.25">
      <c r="B20" s="57" t="s">
        <v>57</v>
      </c>
      <c r="C20" s="78" t="s">
        <v>68</v>
      </c>
      <c r="D20" s="10">
        <v>2</v>
      </c>
      <c r="E20" s="19" t="s">
        <v>69</v>
      </c>
      <c r="F20" s="19" t="s">
        <v>73</v>
      </c>
      <c r="G20" s="67">
        <f>+Y14</f>
        <v>35726</v>
      </c>
      <c r="H20" s="75">
        <f t="shared" si="2"/>
        <v>0.25052999999999997</v>
      </c>
      <c r="I20" s="75">
        <f>+I18</f>
        <v>0.15223</v>
      </c>
      <c r="J20" s="75">
        <f t="shared" si="3"/>
        <v>0.14282</v>
      </c>
      <c r="K20" s="60">
        <f t="shared" si="4"/>
        <v>8950.43</v>
      </c>
      <c r="L20" s="60">
        <f t="shared" si="5"/>
        <v>5438.57</v>
      </c>
      <c r="M20" s="69">
        <f t="shared" si="6"/>
        <v>5102.3900000000003</v>
      </c>
      <c r="N20" s="70">
        <f t="shared" si="7"/>
        <v>19491.39</v>
      </c>
      <c r="O20" s="77"/>
      <c r="Q20" s="64"/>
      <c r="R20" s="64"/>
      <c r="S20" s="64"/>
      <c r="T20" s="64"/>
      <c r="U20" s="64"/>
      <c r="V20" s="64"/>
      <c r="W20" s="71"/>
      <c r="X20" s="72"/>
      <c r="Y20" s="74">
        <v>2344541</v>
      </c>
      <c r="Z20" s="64"/>
      <c r="AB20" s="64"/>
      <c r="AC20" s="64"/>
    </row>
    <row r="21" spans="2:29" ht="15.75" x14ac:dyDescent="0.25">
      <c r="B21" s="57" t="s">
        <v>63</v>
      </c>
      <c r="C21" s="31" t="s">
        <v>74</v>
      </c>
      <c r="D21" s="10">
        <v>2</v>
      </c>
      <c r="E21" s="19" t="s">
        <v>69</v>
      </c>
      <c r="F21" s="19" t="s">
        <v>71</v>
      </c>
      <c r="G21" s="79">
        <v>-37926</v>
      </c>
      <c r="H21" s="75">
        <f t="shared" si="2"/>
        <v>0.25052999999999997</v>
      </c>
      <c r="I21" s="75">
        <f>+I18</f>
        <v>0.15223</v>
      </c>
      <c r="J21" s="75">
        <f t="shared" si="3"/>
        <v>0.14282</v>
      </c>
      <c r="K21" s="60">
        <f t="shared" si="4"/>
        <v>-9501.6</v>
      </c>
      <c r="L21" s="60">
        <f t="shared" si="5"/>
        <v>-5773.47</v>
      </c>
      <c r="M21" s="69">
        <f t="shared" si="6"/>
        <v>-5416.59</v>
      </c>
      <c r="N21" s="70">
        <f t="shared" si="7"/>
        <v>-20691.66</v>
      </c>
      <c r="O21" s="77"/>
      <c r="Q21" s="5"/>
      <c r="R21" s="5">
        <v>57899.56</v>
      </c>
      <c r="S21" s="5"/>
      <c r="T21" s="5"/>
      <c r="U21" s="65">
        <v>8091.98</v>
      </c>
      <c r="V21" s="64"/>
      <c r="W21" s="71"/>
      <c r="X21" s="72"/>
      <c r="Y21" s="74">
        <v>1966052</v>
      </c>
      <c r="Z21" s="5"/>
      <c r="AA21" s="5"/>
      <c r="AB21" s="5"/>
      <c r="AC21" s="5"/>
    </row>
    <row r="22" spans="2:29" ht="15.75" x14ac:dyDescent="0.25">
      <c r="B22" s="57" t="s">
        <v>63</v>
      </c>
      <c r="C22" s="31" t="s">
        <v>75</v>
      </c>
      <c r="D22" s="10">
        <v>2</v>
      </c>
      <c r="E22" s="19" t="s">
        <v>69</v>
      </c>
      <c r="F22" s="19" t="s">
        <v>71</v>
      </c>
      <c r="G22" s="79">
        <f>+Y24</f>
        <v>26515</v>
      </c>
      <c r="H22" s="75">
        <f t="shared" si="2"/>
        <v>0.25052999999999997</v>
      </c>
      <c r="I22" s="75">
        <f>+I18</f>
        <v>0.15223</v>
      </c>
      <c r="J22" s="75">
        <f t="shared" si="3"/>
        <v>0.14282</v>
      </c>
      <c r="K22" s="60">
        <f t="shared" si="4"/>
        <v>6642.8</v>
      </c>
      <c r="L22" s="60">
        <f t="shared" si="5"/>
        <v>4036.38</v>
      </c>
      <c r="M22" s="69">
        <f t="shared" si="6"/>
        <v>3786.87</v>
      </c>
      <c r="N22" s="70">
        <f t="shared" si="7"/>
        <v>14466.05</v>
      </c>
      <c r="O22" s="62"/>
      <c r="Q22" s="5"/>
      <c r="R22" s="5">
        <v>61282.61</v>
      </c>
      <c r="S22" s="5"/>
      <c r="T22" s="5"/>
      <c r="U22" s="65">
        <v>6665.73</v>
      </c>
      <c r="V22" s="64"/>
      <c r="W22" s="71"/>
      <c r="X22" s="72"/>
      <c r="AA22" s="5"/>
      <c r="AB22" s="5"/>
      <c r="AC22" s="5"/>
    </row>
    <row r="23" spans="2:29" x14ac:dyDescent="0.2">
      <c r="B23" s="57"/>
      <c r="D23" s="10"/>
      <c r="G23" s="80"/>
      <c r="H23" s="81"/>
      <c r="I23" s="75"/>
      <c r="J23" s="75"/>
      <c r="K23" s="60"/>
      <c r="L23" s="60"/>
      <c r="M23" s="69"/>
      <c r="N23" s="70"/>
      <c r="O23" s="62"/>
      <c r="Q23" s="5"/>
      <c r="R23" s="5"/>
      <c r="S23" s="5"/>
      <c r="T23" s="5"/>
      <c r="U23" s="65"/>
      <c r="V23" s="64"/>
      <c r="W23" s="9"/>
      <c r="X23" s="82"/>
      <c r="Y23" s="56" t="s">
        <v>76</v>
      </c>
      <c r="AA23" s="5"/>
      <c r="AB23" s="5"/>
      <c r="AC23" s="5"/>
    </row>
    <row r="24" spans="2:29" ht="15.75" x14ac:dyDescent="0.25">
      <c r="B24" s="57" t="s">
        <v>77</v>
      </c>
      <c r="C24" s="31" t="s">
        <v>78</v>
      </c>
      <c r="D24" s="10">
        <v>3</v>
      </c>
      <c r="E24" s="19" t="s">
        <v>79</v>
      </c>
      <c r="F24" s="19" t="s">
        <v>80</v>
      </c>
      <c r="G24" s="67">
        <f>+Y11</f>
        <v>680086</v>
      </c>
      <c r="H24" s="75">
        <f t="shared" ref="H24:H25" si="8">$H$10</f>
        <v>0.25052999999999997</v>
      </c>
      <c r="I24" s="75">
        <f>$I$18</f>
        <v>0.15223</v>
      </c>
      <c r="J24" s="75">
        <f t="shared" ref="J24:J25" si="9">+$J$10</f>
        <v>0.14282</v>
      </c>
      <c r="K24" s="60">
        <f>ROUND(H24*G24,2)</f>
        <v>170381.95</v>
      </c>
      <c r="L24" s="60">
        <f>ROUND(G24*I24,2)</f>
        <v>103529.49</v>
      </c>
      <c r="M24" s="69">
        <f>ROUND(G24*J24,2)</f>
        <v>97129.88</v>
      </c>
      <c r="N24" s="70">
        <f>SUM(K24:M24)</f>
        <v>371041.32</v>
      </c>
      <c r="O24" s="62">
        <v>-0.01</v>
      </c>
      <c r="Q24" s="64" t="s">
        <v>61</v>
      </c>
      <c r="R24" s="64">
        <v>49965.85</v>
      </c>
      <c r="S24" s="64"/>
      <c r="T24" s="64"/>
      <c r="U24" s="65">
        <v>5434.8</v>
      </c>
      <c r="V24" s="64"/>
      <c r="W24" s="12" t="s">
        <v>81</v>
      </c>
      <c r="X24" s="12"/>
      <c r="Y24" s="79">
        <v>26515</v>
      </c>
      <c r="Z24" s="64"/>
      <c r="AA24" s="64"/>
      <c r="AB24" s="64"/>
      <c r="AC24" s="64"/>
    </row>
    <row r="25" spans="2:29" ht="15.75" x14ac:dyDescent="0.25">
      <c r="B25" s="57" t="s">
        <v>77</v>
      </c>
      <c r="C25" s="31" t="s">
        <v>82</v>
      </c>
      <c r="D25" s="10">
        <v>3</v>
      </c>
      <c r="E25" s="19" t="s">
        <v>69</v>
      </c>
      <c r="F25" s="19" t="s">
        <v>70</v>
      </c>
      <c r="G25" s="67">
        <f>+'WA Rates'!Y12</f>
        <v>286219</v>
      </c>
      <c r="H25" s="75">
        <f t="shared" si="8"/>
        <v>0.25052999999999997</v>
      </c>
      <c r="I25" s="75">
        <f>$I$18</f>
        <v>0.15223</v>
      </c>
      <c r="J25" s="75">
        <f t="shared" si="9"/>
        <v>0.14282</v>
      </c>
      <c r="K25" s="60">
        <f>ROUND(H25*G25,2)</f>
        <v>71706.45</v>
      </c>
      <c r="L25" s="60">
        <f>ROUND(G25*I25,2)</f>
        <v>43571.12</v>
      </c>
      <c r="M25" s="69">
        <f>ROUND(G25*J25,2)</f>
        <v>40877.800000000003</v>
      </c>
      <c r="N25" s="70">
        <f>SUM(K25:M25)</f>
        <v>156155.37</v>
      </c>
      <c r="O25" s="62"/>
      <c r="Q25" s="64" t="s">
        <v>61</v>
      </c>
      <c r="R25" s="64"/>
      <c r="S25" s="64"/>
      <c r="T25" s="64"/>
      <c r="U25" s="65"/>
      <c r="V25" s="64"/>
      <c r="W25" s="12" t="s">
        <v>83</v>
      </c>
      <c r="X25" s="12"/>
      <c r="Y25" s="79">
        <v>0</v>
      </c>
      <c r="Z25" s="64"/>
      <c r="AA25" s="64"/>
      <c r="AB25" s="64"/>
      <c r="AC25" s="64"/>
    </row>
    <row r="26" spans="2:29" ht="12.2" customHeight="1" x14ac:dyDescent="0.25">
      <c r="B26" s="57"/>
      <c r="D26" s="10"/>
      <c r="G26" s="58"/>
      <c r="H26" s="75"/>
      <c r="I26" s="75"/>
      <c r="J26" s="75"/>
      <c r="K26" s="60"/>
      <c r="L26" s="60"/>
      <c r="M26" s="69"/>
      <c r="N26" s="70"/>
      <c r="O26" s="62"/>
      <c r="Q26" s="5"/>
      <c r="R26" s="5">
        <v>17029.240000000002</v>
      </c>
      <c r="S26" s="5"/>
      <c r="T26" s="5"/>
      <c r="U26" s="65">
        <v>1729.72</v>
      </c>
      <c r="V26" s="5"/>
      <c r="W26" s="12" t="s">
        <v>84</v>
      </c>
      <c r="X26" s="12"/>
      <c r="Y26" s="79">
        <v>143789</v>
      </c>
      <c r="Z26" s="5"/>
      <c r="AA26" s="5"/>
      <c r="AB26" s="5"/>
      <c r="AC26" s="5"/>
    </row>
    <row r="27" spans="2:29" x14ac:dyDescent="0.2">
      <c r="B27" s="57" t="s">
        <v>85</v>
      </c>
      <c r="C27" s="31" t="s">
        <v>86</v>
      </c>
      <c r="D27" s="10">
        <v>3</v>
      </c>
      <c r="E27" s="19" t="s">
        <v>79</v>
      </c>
      <c r="F27" s="19" t="s">
        <v>87</v>
      </c>
      <c r="G27" s="58">
        <f>+Y17</f>
        <v>0</v>
      </c>
      <c r="H27" s="75">
        <f t="shared" ref="H27:H29" si="10">$H$10</f>
        <v>0.25052999999999997</v>
      </c>
      <c r="I27" s="75">
        <f>$I$18</f>
        <v>0.15223</v>
      </c>
      <c r="J27" s="75">
        <f t="shared" ref="J27:J29" si="11">+$J$10</f>
        <v>0.14282</v>
      </c>
      <c r="K27" s="60">
        <f t="shared" ref="K27:K29" si="12">ROUND(H27*G27,2)</f>
        <v>0</v>
      </c>
      <c r="L27" s="60">
        <f t="shared" ref="L27:L29" si="13">ROUND(G27*I27,2)</f>
        <v>0</v>
      </c>
      <c r="M27" s="69">
        <f t="shared" ref="M27:M29" si="14">ROUND(G27*J27,2)</f>
        <v>0</v>
      </c>
      <c r="N27" s="70">
        <f t="shared" ref="N27:N29" si="15">SUM(K27:M27)</f>
        <v>0</v>
      </c>
      <c r="O27" s="62"/>
      <c r="Q27" s="64" t="s">
        <v>61</v>
      </c>
      <c r="R27" s="64"/>
      <c r="S27" s="64"/>
      <c r="T27" s="64"/>
      <c r="U27" s="65"/>
      <c r="V27" s="64"/>
      <c r="W27" s="64"/>
      <c r="X27" s="83"/>
      <c r="Z27" s="64"/>
      <c r="AA27" s="64"/>
      <c r="AB27" s="64"/>
      <c r="AC27" s="64"/>
    </row>
    <row r="28" spans="2:29" ht="15.75" x14ac:dyDescent="0.25">
      <c r="B28" s="57" t="s">
        <v>88</v>
      </c>
      <c r="C28" s="31" t="s">
        <v>74</v>
      </c>
      <c r="D28" s="10">
        <v>3</v>
      </c>
      <c r="E28" s="19" t="s">
        <v>79</v>
      </c>
      <c r="F28" s="19" t="s">
        <v>87</v>
      </c>
      <c r="G28" s="79">
        <v>0</v>
      </c>
      <c r="H28" s="75">
        <f t="shared" si="10"/>
        <v>0.25052999999999997</v>
      </c>
      <c r="I28" s="75">
        <f>$I$18</f>
        <v>0.15223</v>
      </c>
      <c r="J28" s="75">
        <f t="shared" si="11"/>
        <v>0.14282</v>
      </c>
      <c r="K28" s="60">
        <f t="shared" si="12"/>
        <v>0</v>
      </c>
      <c r="L28" s="60">
        <f t="shared" si="13"/>
        <v>0</v>
      </c>
      <c r="M28" s="69">
        <f t="shared" si="14"/>
        <v>0</v>
      </c>
      <c r="N28" s="70">
        <f t="shared" si="15"/>
        <v>0</v>
      </c>
      <c r="O28" s="62"/>
      <c r="Q28" s="5"/>
      <c r="R28" s="5">
        <v>128505.68</v>
      </c>
      <c r="S28" s="5"/>
      <c r="T28" s="5"/>
      <c r="U28" s="65">
        <v>17959.87</v>
      </c>
      <c r="V28" s="5"/>
      <c r="W28" s="5"/>
      <c r="X28" s="84"/>
      <c r="Z28" s="5"/>
      <c r="AA28" s="5"/>
      <c r="AB28" s="5"/>
      <c r="AC28" s="5"/>
    </row>
    <row r="29" spans="2:29" x14ac:dyDescent="0.2">
      <c r="B29" s="57" t="s">
        <v>88</v>
      </c>
      <c r="C29" s="31" t="s">
        <v>75</v>
      </c>
      <c r="D29" s="10">
        <v>3</v>
      </c>
      <c r="E29" s="19" t="s">
        <v>79</v>
      </c>
      <c r="F29" s="19" t="s">
        <v>87</v>
      </c>
      <c r="G29" s="85">
        <f>+Y25</f>
        <v>0</v>
      </c>
      <c r="H29" s="75">
        <f t="shared" si="10"/>
        <v>0.25052999999999997</v>
      </c>
      <c r="I29" s="75">
        <f>$I$18</f>
        <v>0.15223</v>
      </c>
      <c r="J29" s="75">
        <f t="shared" si="11"/>
        <v>0.14282</v>
      </c>
      <c r="K29" s="60">
        <f t="shared" si="12"/>
        <v>0</v>
      </c>
      <c r="L29" s="60">
        <f t="shared" si="13"/>
        <v>0</v>
      </c>
      <c r="M29" s="69">
        <f t="shared" si="14"/>
        <v>0</v>
      </c>
      <c r="N29" s="70">
        <f t="shared" si="15"/>
        <v>0</v>
      </c>
      <c r="O29" s="60"/>
      <c r="Q29" s="5"/>
      <c r="R29" s="5">
        <v>97.86</v>
      </c>
      <c r="S29" s="5"/>
      <c r="T29" s="5"/>
      <c r="U29" s="65">
        <v>10.64</v>
      </c>
      <c r="V29" s="5"/>
      <c r="W29" s="5"/>
      <c r="X29" s="84"/>
      <c r="Y29" s="86"/>
      <c r="Z29" s="5"/>
      <c r="AA29" s="5"/>
      <c r="AB29" s="5"/>
      <c r="AC29" s="5"/>
    </row>
    <row r="30" spans="2:29" ht="12.2" customHeight="1" x14ac:dyDescent="0.2">
      <c r="B30" s="57"/>
      <c r="D30" s="10"/>
      <c r="G30" s="58">
        <v>0</v>
      </c>
      <c r="H30" s="75"/>
      <c r="I30" s="75"/>
      <c r="J30" s="75"/>
      <c r="K30" s="60"/>
      <c r="L30" s="60"/>
      <c r="M30" s="69"/>
      <c r="N30" s="70"/>
      <c r="O30" s="60"/>
      <c r="Q30" s="5"/>
      <c r="R30" s="5"/>
      <c r="S30" s="5"/>
      <c r="T30" s="5"/>
      <c r="U30" s="65"/>
      <c r="V30" s="5"/>
      <c r="W30" s="5"/>
      <c r="X30" s="84"/>
      <c r="Y30" s="86"/>
      <c r="Z30" s="5"/>
      <c r="AA30" s="5"/>
      <c r="AB30" s="5"/>
      <c r="AC30" s="5"/>
    </row>
    <row r="31" spans="2:29" x14ac:dyDescent="0.2">
      <c r="B31" s="57" t="s">
        <v>85</v>
      </c>
      <c r="C31" s="31" t="s">
        <v>89</v>
      </c>
      <c r="D31" s="10" t="s">
        <v>17</v>
      </c>
      <c r="E31" s="19" t="s">
        <v>90</v>
      </c>
      <c r="F31" s="19" t="s">
        <v>91</v>
      </c>
      <c r="H31" s="75">
        <f t="shared" ref="H31:H33" si="16">$H$10</f>
        <v>0.25052999999999997</v>
      </c>
      <c r="I31" s="68">
        <v>0.13988999999999999</v>
      </c>
      <c r="J31" s="75">
        <f t="shared" ref="J31:J33" si="17">+$J$10</f>
        <v>0.14282</v>
      </c>
      <c r="K31" s="60">
        <f>ROUND(H31*G30,2)</f>
        <v>0</v>
      </c>
      <c r="L31" s="60">
        <f>ROUND(G30*I31,2)</f>
        <v>0</v>
      </c>
      <c r="M31" s="69">
        <f>ROUND(G30*J31,2)</f>
        <v>0</v>
      </c>
      <c r="N31" s="70">
        <f>SUM(K31:M31)</f>
        <v>0</v>
      </c>
      <c r="Q31" s="5"/>
      <c r="R31" s="5"/>
      <c r="S31" s="5"/>
      <c r="T31" s="5"/>
      <c r="U31" s="65"/>
      <c r="V31" s="5"/>
      <c r="W31" s="5"/>
      <c r="X31" s="84"/>
      <c r="Y31" s="86"/>
      <c r="Z31" s="5"/>
      <c r="AA31" s="5"/>
      <c r="AB31" s="5"/>
      <c r="AC31" s="5"/>
    </row>
    <row r="32" spans="2:29" x14ac:dyDescent="0.2">
      <c r="B32" s="57" t="s">
        <v>88</v>
      </c>
      <c r="C32" s="31" t="s">
        <v>74</v>
      </c>
      <c r="D32" s="10">
        <v>4</v>
      </c>
      <c r="E32" s="19" t="s">
        <v>90</v>
      </c>
      <c r="F32" s="19" t="s">
        <v>91</v>
      </c>
      <c r="G32" s="85">
        <v>0</v>
      </c>
      <c r="H32" s="75">
        <f t="shared" si="16"/>
        <v>0.25052999999999997</v>
      </c>
      <c r="I32" s="75">
        <f>$I$31</f>
        <v>0.13988999999999999</v>
      </c>
      <c r="J32" s="75">
        <f t="shared" si="17"/>
        <v>0.14282</v>
      </c>
      <c r="K32" s="60">
        <f>ROUND(H32*G32,2)</f>
        <v>0</v>
      </c>
      <c r="L32" s="60">
        <f>ROUND(G32*I32,2)</f>
        <v>0</v>
      </c>
      <c r="M32" s="69">
        <f>ROUND(G32*J32,2)</f>
        <v>0</v>
      </c>
      <c r="N32" s="70">
        <f>SUM(K32:M32)</f>
        <v>0</v>
      </c>
      <c r="O32" s="60">
        <f>-N32-80.06</f>
        <v>-80.06</v>
      </c>
      <c r="Q32" s="5"/>
      <c r="R32" s="5">
        <v>18307.25</v>
      </c>
      <c r="S32" s="5"/>
      <c r="T32" s="5"/>
      <c r="U32" s="65">
        <v>1859.59</v>
      </c>
      <c r="V32" s="5"/>
      <c r="W32" s="5"/>
      <c r="X32" s="84"/>
      <c r="Y32" s="86"/>
      <c r="Z32" s="5"/>
      <c r="AA32" s="5"/>
      <c r="AB32" s="5"/>
      <c r="AC32" s="5"/>
    </row>
    <row r="33" spans="2:38" x14ac:dyDescent="0.2">
      <c r="B33" s="57" t="s">
        <v>88</v>
      </c>
      <c r="C33" s="31" t="s">
        <v>92</v>
      </c>
      <c r="D33" s="10">
        <v>4</v>
      </c>
      <c r="E33" s="19" t="s">
        <v>90</v>
      </c>
      <c r="F33" s="19" t="s">
        <v>91</v>
      </c>
      <c r="G33" s="85">
        <v>0</v>
      </c>
      <c r="H33" s="75">
        <f t="shared" si="16"/>
        <v>0.25052999999999997</v>
      </c>
      <c r="I33" s="75">
        <f>$I$31</f>
        <v>0.13988999999999999</v>
      </c>
      <c r="J33" s="75">
        <f t="shared" si="17"/>
        <v>0.14282</v>
      </c>
      <c r="K33" s="60">
        <f>ROUND(H33*G33,2)</f>
        <v>0</v>
      </c>
      <c r="L33" s="60">
        <f>ROUND(G33*I33,2)</f>
        <v>0</v>
      </c>
      <c r="M33" s="69">
        <f>ROUND(G33*J33,2)</f>
        <v>0</v>
      </c>
      <c r="N33" s="70">
        <f>SUM(K33:M33)</f>
        <v>0</v>
      </c>
      <c r="O33" s="60"/>
      <c r="Q33" s="5"/>
      <c r="R33" s="5"/>
      <c r="S33" s="5"/>
      <c r="T33" s="5"/>
      <c r="U33" s="65"/>
      <c r="V33" s="5"/>
      <c r="W33" s="5"/>
      <c r="X33" s="84"/>
      <c r="Y33" s="86"/>
      <c r="Z33" s="5"/>
      <c r="AA33" s="5"/>
      <c r="AB33" s="5"/>
      <c r="AC33" s="5"/>
    </row>
    <row r="34" spans="2:38" ht="12.2" customHeight="1" x14ac:dyDescent="0.2">
      <c r="B34" s="57"/>
      <c r="D34" s="10"/>
      <c r="G34" s="58"/>
      <c r="H34" s="75"/>
      <c r="I34" s="75"/>
      <c r="J34" s="75"/>
      <c r="M34" s="69"/>
      <c r="N34" s="89"/>
      <c r="Q34" s="5"/>
      <c r="R34" s="5"/>
      <c r="S34" s="5"/>
      <c r="T34" s="5"/>
      <c r="U34" s="5"/>
      <c r="V34" s="5"/>
      <c r="W34" s="5"/>
      <c r="X34" s="84"/>
      <c r="Y34" s="86"/>
      <c r="Z34" s="5"/>
      <c r="AA34" s="5"/>
      <c r="AB34" s="5"/>
      <c r="AC34" s="5"/>
    </row>
    <row r="35" spans="2:38" ht="15.75" x14ac:dyDescent="0.25">
      <c r="B35" s="57" t="s">
        <v>93</v>
      </c>
      <c r="C35" s="31" t="s">
        <v>94</v>
      </c>
      <c r="D35" s="10" t="s">
        <v>26</v>
      </c>
      <c r="E35" s="19" t="s">
        <v>90</v>
      </c>
      <c r="F35" s="19" t="s">
        <v>91</v>
      </c>
      <c r="G35" s="67">
        <f>+Y18</f>
        <v>180576</v>
      </c>
      <c r="H35" s="75">
        <f t="shared" ref="H35:H37" si="18">$H$10</f>
        <v>0.25052999999999997</v>
      </c>
      <c r="I35" s="75">
        <f t="shared" ref="I35:I37" si="19">$I$31</f>
        <v>0.13988999999999999</v>
      </c>
      <c r="J35" s="75">
        <f t="shared" ref="J35:J37" si="20">+$J$10</f>
        <v>0.14282</v>
      </c>
      <c r="K35" s="60">
        <f t="shared" ref="K35:K37" si="21">ROUND(H35*G35,2)</f>
        <v>45239.71</v>
      </c>
      <c r="L35" s="60">
        <f t="shared" ref="L35:L37" si="22">ROUND(G35*I35,2)</f>
        <v>25260.78</v>
      </c>
      <c r="M35" s="69">
        <f t="shared" ref="M35:M37" si="23">ROUND(G35*J35,2)</f>
        <v>25789.86</v>
      </c>
      <c r="N35" s="70">
        <f>SUM(K35:M35)</f>
        <v>96290.349999999991</v>
      </c>
      <c r="O35" s="60">
        <v>0.01</v>
      </c>
      <c r="Q35" s="5"/>
      <c r="R35" s="5"/>
      <c r="S35" s="5"/>
      <c r="T35" s="5"/>
      <c r="U35" s="5"/>
      <c r="V35" s="5"/>
      <c r="W35" s="5"/>
      <c r="X35" s="84"/>
      <c r="Y35" s="86"/>
      <c r="Z35" s="5"/>
      <c r="AA35" s="5"/>
      <c r="AB35" s="5"/>
      <c r="AC35" s="5"/>
    </row>
    <row r="36" spans="2:38" ht="15.75" x14ac:dyDescent="0.25">
      <c r="B36" s="57" t="s">
        <v>93</v>
      </c>
      <c r="C36" s="31" t="s">
        <v>74</v>
      </c>
      <c r="D36" s="10">
        <v>5</v>
      </c>
      <c r="E36" s="19" t="s">
        <v>90</v>
      </c>
      <c r="F36" s="19" t="s">
        <v>91</v>
      </c>
      <c r="G36" s="79">
        <v>-180576</v>
      </c>
      <c r="H36" s="75">
        <f t="shared" si="18"/>
        <v>0.25052999999999997</v>
      </c>
      <c r="I36" s="75">
        <f t="shared" si="19"/>
        <v>0.13988999999999999</v>
      </c>
      <c r="J36" s="75">
        <f t="shared" si="20"/>
        <v>0.14282</v>
      </c>
      <c r="K36" s="60">
        <f t="shared" si="21"/>
        <v>-45239.71</v>
      </c>
      <c r="L36" s="60">
        <f t="shared" si="22"/>
        <v>-25260.78</v>
      </c>
      <c r="M36" s="69">
        <f t="shared" si="23"/>
        <v>-25789.86</v>
      </c>
      <c r="N36" s="70">
        <f t="shared" ref="N36:N37" si="24">SUM(K36:M36)</f>
        <v>-96290.349999999991</v>
      </c>
      <c r="O36" s="60"/>
      <c r="Q36" s="5"/>
      <c r="R36" s="5"/>
      <c r="S36" s="5"/>
      <c r="T36" s="5"/>
      <c r="U36" s="5"/>
      <c r="V36" s="5"/>
      <c r="W36" s="5"/>
      <c r="X36" s="84"/>
      <c r="Y36" s="86"/>
      <c r="Z36" s="5"/>
      <c r="AA36" s="5"/>
      <c r="AB36" s="5"/>
      <c r="AC36" s="5"/>
    </row>
    <row r="37" spans="2:38" ht="15.75" x14ac:dyDescent="0.25">
      <c r="B37" s="57" t="s">
        <v>93</v>
      </c>
      <c r="C37" s="31" t="s">
        <v>75</v>
      </c>
      <c r="D37" s="10">
        <v>5</v>
      </c>
      <c r="E37" s="19" t="s">
        <v>90</v>
      </c>
      <c r="F37" s="19" t="s">
        <v>91</v>
      </c>
      <c r="G37" s="79">
        <f>+Y26</f>
        <v>143789</v>
      </c>
      <c r="H37" s="75">
        <f t="shared" si="18"/>
        <v>0.25052999999999997</v>
      </c>
      <c r="I37" s="75">
        <f t="shared" si="19"/>
        <v>0.13988999999999999</v>
      </c>
      <c r="J37" s="75">
        <f t="shared" si="20"/>
        <v>0.14282</v>
      </c>
      <c r="K37" s="60">
        <f t="shared" si="21"/>
        <v>36023.46</v>
      </c>
      <c r="L37" s="60">
        <f t="shared" si="22"/>
        <v>20114.64</v>
      </c>
      <c r="M37" s="69">
        <f t="shared" si="23"/>
        <v>20535.939999999999</v>
      </c>
      <c r="N37" s="70">
        <f t="shared" si="24"/>
        <v>76674.039999999994</v>
      </c>
      <c r="O37" s="60"/>
      <c r="Q37" s="5"/>
      <c r="R37" s="5"/>
      <c r="S37" s="5"/>
      <c r="T37" s="5"/>
      <c r="U37" s="5"/>
      <c r="V37" s="5"/>
      <c r="W37" s="5"/>
      <c r="X37" s="84"/>
      <c r="Y37" s="86"/>
      <c r="Z37" s="5"/>
      <c r="AA37" s="5"/>
      <c r="AB37" s="5"/>
      <c r="AC37" s="5"/>
    </row>
    <row r="38" spans="2:38" ht="12.2" customHeight="1" x14ac:dyDescent="0.2">
      <c r="B38" s="57"/>
      <c r="D38" s="10"/>
      <c r="G38" s="90"/>
      <c r="J38" s="91"/>
      <c r="K38" s="60"/>
      <c r="L38" s="60"/>
      <c r="M38" s="69"/>
      <c r="N38" s="60"/>
      <c r="O38" s="60"/>
    </row>
    <row r="39" spans="2:38" ht="15.75" x14ac:dyDescent="0.25">
      <c r="B39" s="92"/>
      <c r="D39" s="93"/>
      <c r="E39" s="94"/>
      <c r="F39" s="19" t="s">
        <v>95</v>
      </c>
      <c r="G39" s="95">
        <f>SUM(G9:G38)</f>
        <v>11169448</v>
      </c>
      <c r="H39" s="96" t="s">
        <v>96</v>
      </c>
      <c r="K39" s="97">
        <f>SUM(K9:K38)</f>
        <v>2798281.82</v>
      </c>
      <c r="L39" s="98">
        <f>SUM(L9:L38)</f>
        <v>1828395.8699999999</v>
      </c>
      <c r="M39" s="99">
        <f>SUM(M9:M38)</f>
        <v>1900847.0699999996</v>
      </c>
      <c r="N39" s="100">
        <f>SUM(N9:N38)</f>
        <v>6527524.7599999998</v>
      </c>
      <c r="O39" s="101">
        <v>0.03</v>
      </c>
      <c r="Q39" s="100"/>
      <c r="R39" s="100"/>
      <c r="S39" s="100"/>
      <c r="T39" s="100"/>
      <c r="U39" s="100"/>
      <c r="V39" s="100"/>
      <c r="W39" s="100"/>
      <c r="X39" s="102"/>
      <c r="Y39" s="103"/>
      <c r="Z39" s="100"/>
      <c r="AA39" s="100"/>
      <c r="AB39" s="100"/>
      <c r="AC39" s="100"/>
    </row>
    <row r="40" spans="2:38" ht="15.75" x14ac:dyDescent="0.25">
      <c r="C40" s="4"/>
      <c r="D40" s="93"/>
      <c r="F40" s="19" t="s">
        <v>97</v>
      </c>
      <c r="G40" s="95"/>
      <c r="K40" s="100"/>
      <c r="L40" s="100"/>
      <c r="M40" s="104"/>
      <c r="N40" s="100"/>
      <c r="O40" s="100"/>
      <c r="Q40" s="100">
        <f>-N39</f>
        <v>-6527524.7599999998</v>
      </c>
      <c r="R40" s="100"/>
      <c r="S40" s="100"/>
      <c r="T40" s="100"/>
      <c r="U40" s="100"/>
      <c r="V40" s="100"/>
      <c r="W40" s="100"/>
      <c r="X40" s="102"/>
      <c r="Y40" s="103"/>
      <c r="Z40" s="100"/>
      <c r="AA40" s="100"/>
      <c r="AB40" s="100"/>
      <c r="AC40" s="100"/>
    </row>
    <row r="41" spans="2:38" ht="15.75" x14ac:dyDescent="0.25">
      <c r="F41" s="105" t="s">
        <v>98</v>
      </c>
      <c r="G41" s="106">
        <f>+G39+G40</f>
        <v>11169448</v>
      </c>
      <c r="H41" s="107"/>
      <c r="I41" s="107"/>
      <c r="K41" s="100">
        <f>SUM(K39:K40)</f>
        <v>2798281.82</v>
      </c>
      <c r="L41" s="100">
        <f>SUM(L39:L40)</f>
        <v>1828395.8699999999</v>
      </c>
      <c r="M41" s="100">
        <f>SUM(M39:M40)</f>
        <v>1900847.0699999996</v>
      </c>
      <c r="N41" s="100">
        <f>SUM(N39:N40)</f>
        <v>6527524.7599999998</v>
      </c>
      <c r="O41" s="100"/>
      <c r="P41" s="60"/>
      <c r="Q41" s="108"/>
      <c r="R41" s="108"/>
      <c r="S41" s="108"/>
      <c r="T41" s="108"/>
      <c r="U41" s="108"/>
      <c r="V41" s="108"/>
      <c r="W41" s="108"/>
      <c r="X41" s="109"/>
      <c r="Y41" s="110"/>
      <c r="Z41" s="108"/>
      <c r="AA41" s="108"/>
      <c r="AB41" s="108"/>
      <c r="AC41" s="108"/>
    </row>
    <row r="42" spans="2:38" ht="21.75" customHeight="1" x14ac:dyDescent="0.2">
      <c r="G42" s="111"/>
      <c r="K42" s="100"/>
      <c r="L42" s="112"/>
      <c r="M42" s="100"/>
      <c r="N42" s="100"/>
      <c r="O42" s="100"/>
    </row>
    <row r="43" spans="2:38" ht="21.75" customHeight="1" x14ac:dyDescent="0.2">
      <c r="G43" s="113"/>
      <c r="H43" s="107"/>
      <c r="L43" s="102"/>
      <c r="M43" s="60"/>
      <c r="N43" s="60"/>
      <c r="O43" s="60"/>
    </row>
    <row r="44" spans="2:38" x14ac:dyDescent="0.2">
      <c r="H44" s="107"/>
      <c r="L44" s="114"/>
      <c r="N44" s="112"/>
      <c r="O44" s="112"/>
    </row>
    <row r="45" spans="2:38" x14ac:dyDescent="0.2">
      <c r="F45" s="19" t="s">
        <v>99</v>
      </c>
      <c r="L45" s="115"/>
      <c r="N45" s="116"/>
      <c r="O45" s="116"/>
    </row>
    <row r="46" spans="2:38" x14ac:dyDescent="0.2">
      <c r="L46" s="115"/>
      <c r="M46" s="117"/>
      <c r="AD46" s="118"/>
      <c r="AE46" s="3" t="s">
        <v>100</v>
      </c>
      <c r="AF46" s="3" t="s">
        <v>101</v>
      </c>
      <c r="AG46" s="3" t="s">
        <v>102</v>
      </c>
      <c r="AH46" s="119" t="s">
        <v>0</v>
      </c>
      <c r="AI46" s="3" t="s">
        <v>103</v>
      </c>
      <c r="AJ46" s="3" t="s">
        <v>104</v>
      </c>
      <c r="AK46" s="3" t="s">
        <v>105</v>
      </c>
      <c r="AL46" s="3" t="s">
        <v>106</v>
      </c>
    </row>
    <row r="47" spans="2:38" x14ac:dyDescent="0.2">
      <c r="L47" s="115"/>
      <c r="M47" s="117"/>
      <c r="N47" s="112"/>
      <c r="O47" s="112"/>
      <c r="AD47" s="38"/>
      <c r="AE47" t="s">
        <v>107</v>
      </c>
      <c r="AH47" s="38">
        <v>0</v>
      </c>
      <c r="AL47" t="s">
        <v>108</v>
      </c>
    </row>
    <row r="48" spans="2:38" x14ac:dyDescent="0.2">
      <c r="L48" s="115"/>
      <c r="M48" s="117"/>
      <c r="N48" s="60"/>
      <c r="O48" s="60"/>
      <c r="AD48" s="38"/>
      <c r="AE48" t="s">
        <v>107</v>
      </c>
      <c r="AH48" s="38">
        <v>0</v>
      </c>
      <c r="AL48" t="s">
        <v>109</v>
      </c>
    </row>
    <row r="49" spans="2:38" x14ac:dyDescent="0.2">
      <c r="L49" s="115"/>
      <c r="M49" s="117"/>
      <c r="N49" s="60"/>
      <c r="O49" s="60"/>
      <c r="AD49" s="38"/>
      <c r="AE49" t="s">
        <v>107</v>
      </c>
      <c r="AH49" s="38">
        <v>0</v>
      </c>
      <c r="AL49" t="s">
        <v>109</v>
      </c>
    </row>
    <row r="50" spans="2:38" x14ac:dyDescent="0.2">
      <c r="L50" s="115"/>
      <c r="M50" s="60"/>
      <c r="N50" s="117"/>
      <c r="O50" s="117"/>
      <c r="AD50" s="38"/>
      <c r="AE50" t="s">
        <v>107</v>
      </c>
      <c r="AH50" s="38">
        <v>0</v>
      </c>
      <c r="AL50" t="s">
        <v>109</v>
      </c>
    </row>
    <row r="51" spans="2:38" x14ac:dyDescent="0.2">
      <c r="L51" s="120"/>
      <c r="N51" s="121"/>
      <c r="O51" s="121"/>
      <c r="AD51" s="38"/>
      <c r="AH51" s="38"/>
    </row>
    <row r="52" spans="2:38" x14ac:dyDescent="0.2">
      <c r="L52" s="114"/>
      <c r="N52" s="122"/>
      <c r="O52" s="122"/>
      <c r="AD52" s="38"/>
      <c r="AE52" t="s">
        <v>107</v>
      </c>
      <c r="AH52" s="38">
        <v>0</v>
      </c>
      <c r="AL52" t="s">
        <v>110</v>
      </c>
    </row>
    <row r="53" spans="2:38" x14ac:dyDescent="0.2">
      <c r="AD53" s="38"/>
      <c r="AE53" t="s">
        <v>107</v>
      </c>
      <c r="AH53" s="38">
        <v>0</v>
      </c>
      <c r="AL53" t="s">
        <v>110</v>
      </c>
    </row>
    <row r="54" spans="2:38" x14ac:dyDescent="0.2">
      <c r="AD54" s="38"/>
      <c r="AE54" t="s">
        <v>107</v>
      </c>
      <c r="AH54" s="38">
        <v>0</v>
      </c>
      <c r="AL54" t="s">
        <v>110</v>
      </c>
    </row>
    <row r="55" spans="2:38" x14ac:dyDescent="0.2">
      <c r="AD55" s="38"/>
      <c r="AH55" s="38"/>
    </row>
    <row r="56" spans="2:38" x14ac:dyDescent="0.2">
      <c r="AD56" s="38"/>
      <c r="AE56" t="s">
        <v>107</v>
      </c>
      <c r="AH56" s="38">
        <v>0</v>
      </c>
      <c r="AL56" t="s">
        <v>111</v>
      </c>
    </row>
    <row r="57" spans="2:38" x14ac:dyDescent="0.2">
      <c r="AD57" s="123"/>
      <c r="AE57" t="s">
        <v>107</v>
      </c>
      <c r="AH57" s="38">
        <v>0</v>
      </c>
      <c r="AL57" t="s">
        <v>112</v>
      </c>
    </row>
    <row r="58" spans="2:38" x14ac:dyDescent="0.2">
      <c r="AD58" s="123"/>
      <c r="AE58" t="s">
        <v>107</v>
      </c>
      <c r="AH58" s="38">
        <v>0</v>
      </c>
      <c r="AL58" t="s">
        <v>113</v>
      </c>
    </row>
    <row r="59" spans="2:38" x14ac:dyDescent="0.2">
      <c r="AD59" s="38"/>
      <c r="AE59" t="s">
        <v>107</v>
      </c>
      <c r="AH59" s="38">
        <v>0</v>
      </c>
      <c r="AL59" t="s">
        <v>111</v>
      </c>
    </row>
    <row r="60" spans="2:38" x14ac:dyDescent="0.2">
      <c r="AD60" s="38"/>
      <c r="AH60" s="38"/>
    </row>
    <row r="61" spans="2:38" x14ac:dyDescent="0.2">
      <c r="AD61" s="124"/>
      <c r="AE61" t="s">
        <v>107</v>
      </c>
      <c r="AH61" s="38">
        <v>0</v>
      </c>
      <c r="AL61" t="s">
        <v>111</v>
      </c>
    </row>
    <row r="62" spans="2:38" x14ac:dyDescent="0.2">
      <c r="AD62" s="124"/>
      <c r="AE62" t="s">
        <v>107</v>
      </c>
      <c r="AH62" s="38">
        <v>0</v>
      </c>
      <c r="AL62" t="s">
        <v>111</v>
      </c>
    </row>
    <row r="63" spans="2:38" x14ac:dyDescent="0.2">
      <c r="AD63" s="124"/>
      <c r="AH63" s="38"/>
    </row>
    <row r="64" spans="2:38" s="88" customFormat="1" x14ac:dyDescent="0.2">
      <c r="B64" s="4"/>
      <c r="C64" s="31"/>
      <c r="D64" s="19"/>
      <c r="E64" s="19"/>
      <c r="F64" s="19"/>
      <c r="G64" s="87"/>
      <c r="P64"/>
      <c r="Q64"/>
      <c r="R64"/>
      <c r="S64"/>
      <c r="T64"/>
      <c r="U64"/>
      <c r="V64"/>
      <c r="W64"/>
      <c r="X64" s="17"/>
      <c r="Y64" s="8"/>
      <c r="Z64"/>
      <c r="AA64"/>
      <c r="AB64"/>
      <c r="AC64"/>
      <c r="AD64" s="123"/>
      <c r="AE64" t="s">
        <v>107</v>
      </c>
      <c r="AF64"/>
      <c r="AG64"/>
      <c r="AH64" s="38">
        <v>0</v>
      </c>
      <c r="AI64"/>
      <c r="AJ64"/>
      <c r="AK64"/>
      <c r="AL64" t="s">
        <v>114</v>
      </c>
    </row>
    <row r="65" spans="30:38" ht="12.75" x14ac:dyDescent="0.2">
      <c r="AD65" s="123"/>
      <c r="AE65" t="s">
        <v>107</v>
      </c>
      <c r="AH65" s="38">
        <v>0</v>
      </c>
      <c r="AL65" t="s">
        <v>115</v>
      </c>
    </row>
    <row r="66" spans="30:38" ht="12.75" x14ac:dyDescent="0.2">
      <c r="AD66" s="38"/>
      <c r="AE66" t="s">
        <v>107</v>
      </c>
      <c r="AH66" s="38">
        <v>0</v>
      </c>
      <c r="AL66" t="s">
        <v>116</v>
      </c>
    </row>
    <row r="67" spans="30:38" ht="12.75" x14ac:dyDescent="0.2">
      <c r="AD67" s="38"/>
      <c r="AH67" s="38"/>
    </row>
    <row r="68" spans="30:38" ht="12.75" x14ac:dyDescent="0.2">
      <c r="AD68" s="123"/>
      <c r="AE68" t="s">
        <v>107</v>
      </c>
      <c r="AH68" s="38">
        <v>0</v>
      </c>
      <c r="AL68" t="s">
        <v>114</v>
      </c>
    </row>
    <row r="69" spans="30:38" ht="12.75" x14ac:dyDescent="0.2">
      <c r="AD69" s="124"/>
      <c r="AE69" t="s">
        <v>107</v>
      </c>
      <c r="AH69" s="38">
        <v>0</v>
      </c>
      <c r="AL69" t="s">
        <v>114</v>
      </c>
    </row>
    <row r="70" spans="30:38" ht="12.75" x14ac:dyDescent="0.2">
      <c r="AD70" s="124"/>
      <c r="AE70" t="s">
        <v>107</v>
      </c>
      <c r="AH70" s="38">
        <v>0</v>
      </c>
      <c r="AL70" t="s">
        <v>114</v>
      </c>
    </row>
    <row r="71" spans="30:38" ht="12.75" x14ac:dyDescent="0.2">
      <c r="AD71" s="123"/>
      <c r="AH71" s="38"/>
    </row>
    <row r="72" spans="30:38" ht="12.75" x14ac:dyDescent="0.2">
      <c r="AD72" s="38"/>
      <c r="AE72" t="s">
        <v>107</v>
      </c>
      <c r="AH72" s="38">
        <v>0</v>
      </c>
      <c r="AL72" t="s">
        <v>117</v>
      </c>
    </row>
    <row r="73" spans="30:38" ht="12.75" x14ac:dyDescent="0.2">
      <c r="AD73" s="124"/>
      <c r="AE73" t="s">
        <v>107</v>
      </c>
      <c r="AH73" s="38">
        <v>0</v>
      </c>
      <c r="AL73" t="s">
        <v>118</v>
      </c>
    </row>
    <row r="74" spans="30:38" ht="12.75" x14ac:dyDescent="0.2">
      <c r="AD74" s="124"/>
      <c r="AE74" t="s">
        <v>107</v>
      </c>
      <c r="AH74" s="38">
        <v>0</v>
      </c>
      <c r="AL74" t="s">
        <v>118</v>
      </c>
    </row>
    <row r="75" spans="30:38" ht="12.75" x14ac:dyDescent="0.2">
      <c r="AD75" s="38"/>
      <c r="AH75" s="38"/>
    </row>
    <row r="76" spans="30:38" ht="12.75" x14ac:dyDescent="0.2">
      <c r="AD76" s="38"/>
      <c r="AE76" t="s">
        <v>107</v>
      </c>
      <c r="AH76" s="38">
        <v>0</v>
      </c>
      <c r="AL76" t="s">
        <v>118</v>
      </c>
    </row>
    <row r="77" spans="30:38" ht="12.75" x14ac:dyDescent="0.2">
      <c r="AD77" s="124"/>
      <c r="AE77" t="s">
        <v>107</v>
      </c>
      <c r="AH77" s="38">
        <v>0</v>
      </c>
      <c r="AL77" t="s">
        <v>117</v>
      </c>
    </row>
    <row r="78" spans="30:38" ht="12.75" x14ac:dyDescent="0.2">
      <c r="AD78" s="124"/>
      <c r="AE78" t="s">
        <v>107</v>
      </c>
      <c r="AH78" s="38">
        <v>0</v>
      </c>
      <c r="AL78" t="s">
        <v>117</v>
      </c>
    </row>
    <row r="79" spans="30:38" ht="12.75" x14ac:dyDescent="0.2">
      <c r="AD79" s="38"/>
      <c r="AE79" t="s">
        <v>107</v>
      </c>
      <c r="AH79" s="38">
        <v>0</v>
      </c>
      <c r="AL79" t="s">
        <v>119</v>
      </c>
    </row>
    <row r="80" spans="30:38" ht="12.75" x14ac:dyDescent="0.2">
      <c r="AD80" s="124"/>
      <c r="AE80" t="s">
        <v>107</v>
      </c>
      <c r="AH80" s="38">
        <v>0</v>
      </c>
      <c r="AL80" t="s">
        <v>117</v>
      </c>
    </row>
    <row r="81" spans="30:38" ht="12.75" x14ac:dyDescent="0.2">
      <c r="AD81" s="124"/>
      <c r="AE81" t="s">
        <v>107</v>
      </c>
      <c r="AH81" s="38">
        <v>0</v>
      </c>
      <c r="AL81" t="s">
        <v>117</v>
      </c>
    </row>
    <row r="82" spans="30:38" ht="12.75" x14ac:dyDescent="0.2">
      <c r="AD82" s="124"/>
      <c r="AH82" s="38"/>
    </row>
    <row r="83" spans="30:38" ht="12.75" x14ac:dyDescent="0.2">
      <c r="AD83" s="38"/>
      <c r="AE83" t="s">
        <v>107</v>
      </c>
      <c r="AH83" s="38">
        <v>0</v>
      </c>
      <c r="AL83" t="s">
        <v>120</v>
      </c>
    </row>
    <row r="84" spans="30:38" ht="12.75" x14ac:dyDescent="0.2">
      <c r="AD84" s="38"/>
      <c r="AH84" s="38"/>
    </row>
    <row r="85" spans="30:38" ht="12.75" x14ac:dyDescent="0.2">
      <c r="AD85" s="38"/>
      <c r="AH85" s="38"/>
    </row>
    <row r="86" spans="30:38" ht="12.75" x14ac:dyDescent="0.2">
      <c r="AD86" s="4" t="s">
        <v>121</v>
      </c>
      <c r="AE86" t="s">
        <v>107</v>
      </c>
      <c r="AH86" s="38">
        <v>0</v>
      </c>
      <c r="AL86" t="s">
        <v>122</v>
      </c>
    </row>
    <row r="99" spans="2:29" x14ac:dyDescent="0.2">
      <c r="B99" s="11"/>
      <c r="D99" s="93"/>
    </row>
    <row r="100" spans="2:29" x14ac:dyDescent="0.2">
      <c r="B100" s="11"/>
      <c r="D100" s="93"/>
      <c r="Q100" s="114"/>
      <c r="R100" s="114"/>
      <c r="S100" s="114"/>
      <c r="T100" s="114"/>
      <c r="U100" s="114"/>
      <c r="V100" s="114"/>
      <c r="W100" s="114"/>
      <c r="X100" s="114"/>
      <c r="Y100" s="125"/>
      <c r="Z100" s="114"/>
      <c r="AA100" s="114"/>
      <c r="AB100" s="114"/>
      <c r="AC100" s="114"/>
    </row>
    <row r="101" spans="2:29" x14ac:dyDescent="0.2">
      <c r="Q101" s="114"/>
      <c r="R101" s="114"/>
      <c r="S101" s="114"/>
      <c r="T101" s="114"/>
      <c r="U101" s="114"/>
      <c r="V101" s="114"/>
      <c r="W101" s="114"/>
      <c r="X101" s="114"/>
      <c r="Y101" s="125"/>
      <c r="Z101" s="114"/>
      <c r="AA101" s="114"/>
      <c r="AB101" s="114"/>
      <c r="AC101" s="114"/>
    </row>
    <row r="102" spans="2:29" x14ac:dyDescent="0.2">
      <c r="D102" s="93"/>
    </row>
    <row r="103" spans="2:29" x14ac:dyDescent="0.2">
      <c r="D103" s="93"/>
    </row>
  </sheetData>
  <mergeCells count="9">
    <mergeCell ref="L5:P5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EA61D-162C-4AA9-98AF-4C0B19EE707D}">
  <dimension ref="B1:AG75"/>
  <sheetViews>
    <sheetView showGridLines="0" tabSelected="1" zoomScale="70" zoomScaleNormal="70" zoomScaleSheetLayoutView="100" workbookViewId="0">
      <selection activeCell="AA33" sqref="AA33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28" customWidth="1"/>
    <col min="3" max="3" width="5.5703125" style="128" customWidth="1"/>
    <col min="4" max="4" width="6.42578125" style="128" customWidth="1"/>
    <col min="5" max="5" width="8.85546875" style="244" customWidth="1"/>
    <col min="6" max="6" width="29.42578125" style="13" customWidth="1"/>
    <col min="7" max="7" width="12.140625" style="13" bestFit="1" customWidth="1"/>
    <col min="8" max="8" width="15.5703125" style="130" bestFit="1" customWidth="1"/>
    <col min="9" max="9" width="2.7109375" style="13" customWidth="1"/>
    <col min="10" max="10" width="13.42578125" style="13" bestFit="1" customWidth="1"/>
    <col min="11" max="11" width="19" style="130" customWidth="1"/>
    <col min="12" max="12" width="2.7109375" style="13" customWidth="1"/>
    <col min="13" max="13" width="16.85546875" style="13" bestFit="1" customWidth="1"/>
    <col min="14" max="14" width="16.5703125" style="130" bestFit="1" customWidth="1"/>
    <col min="15" max="15" width="3" style="13" customWidth="1"/>
    <col min="16" max="16" width="13.5703125" style="141" bestFit="1" customWidth="1"/>
    <col min="17" max="17" width="17.42578125" style="141" customWidth="1"/>
    <col min="18" max="18" width="3.7109375" style="141" customWidth="1"/>
    <col min="19" max="19" width="13.5703125" style="141" bestFit="1" customWidth="1"/>
    <col min="20" max="20" width="16.85546875" style="141" customWidth="1"/>
    <col min="21" max="21" width="3.5703125" style="13" customWidth="1"/>
    <col min="22" max="22" width="9.5703125" style="13" bestFit="1" customWidth="1"/>
    <col min="23" max="23" width="16" style="13" bestFit="1" customWidth="1"/>
    <col min="24" max="24" width="1.7109375" style="13" hidden="1" customWidth="1"/>
    <col min="25" max="25" width="10.85546875" style="13" bestFit="1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4.4257812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27" t="s">
        <v>123</v>
      </c>
      <c r="D1" s="129"/>
      <c r="E1" s="129"/>
      <c r="F1" s="129"/>
      <c r="I1" s="131"/>
      <c r="K1" s="132"/>
      <c r="O1" s="131"/>
      <c r="P1" s="133"/>
      <c r="Q1" s="134"/>
      <c r="R1" s="133"/>
      <c r="S1" s="133"/>
      <c r="T1" s="133"/>
      <c r="U1" s="131"/>
      <c r="V1" s="135">
        <f>B2-31</f>
        <v>44310</v>
      </c>
      <c r="W1" s="135"/>
      <c r="X1" s="135"/>
      <c r="Y1" s="135"/>
      <c r="Z1" s="135"/>
    </row>
    <row r="2" spans="2:33" ht="15" customHeight="1" x14ac:dyDescent="0.25">
      <c r="B2" s="136">
        <v>44341</v>
      </c>
      <c r="C2" s="136"/>
      <c r="D2" s="136"/>
      <c r="E2" s="136"/>
      <c r="I2" s="131"/>
      <c r="J2" s="137" t="s">
        <v>124</v>
      </c>
      <c r="K2" s="137"/>
      <c r="L2" s="137"/>
      <c r="M2" s="137"/>
      <c r="N2" s="137"/>
      <c r="O2" s="131"/>
      <c r="P2" s="138" t="s">
        <v>125</v>
      </c>
      <c r="Q2" s="138"/>
      <c r="R2" s="138"/>
      <c r="S2" s="138"/>
      <c r="T2" s="138"/>
      <c r="U2" s="131"/>
      <c r="V2" s="139" t="s">
        <v>126</v>
      </c>
      <c r="W2" s="139"/>
      <c r="X2" s="139"/>
      <c r="Y2" s="139"/>
      <c r="Z2" s="139"/>
    </row>
    <row r="3" spans="2:33" ht="15.75" x14ac:dyDescent="0.25">
      <c r="E3" s="140"/>
      <c r="F3" s="13" t="s">
        <v>99</v>
      </c>
      <c r="I3" s="131"/>
      <c r="K3" s="132"/>
      <c r="O3" s="131"/>
      <c r="U3" s="142"/>
      <c r="V3" s="135">
        <f>B2</f>
        <v>44341</v>
      </c>
      <c r="W3" s="135"/>
      <c r="X3" s="135"/>
      <c r="Y3" s="135"/>
      <c r="Z3" s="135"/>
      <c r="AB3" s="143" t="s">
        <v>127</v>
      </c>
      <c r="AC3" s="143"/>
      <c r="AD3" s="144"/>
    </row>
    <row r="4" spans="2:33" ht="16.5" customHeight="1" x14ac:dyDescent="0.25">
      <c r="B4" s="145"/>
      <c r="C4" s="145"/>
      <c r="D4" s="145"/>
      <c r="E4" s="146"/>
      <c r="F4" s="147"/>
      <c r="G4" s="148" t="s">
        <v>12</v>
      </c>
      <c r="H4" s="148"/>
      <c r="I4" s="131"/>
      <c r="J4" s="149" t="s">
        <v>128</v>
      </c>
      <c r="K4" s="149"/>
      <c r="L4" s="150"/>
      <c r="M4" s="149" t="s">
        <v>129</v>
      </c>
      <c r="N4" s="149"/>
      <c r="O4" s="151"/>
      <c r="P4" s="152" t="s">
        <v>128</v>
      </c>
      <c r="Q4" s="152"/>
      <c r="R4" s="153"/>
      <c r="S4" s="152" t="s">
        <v>129</v>
      </c>
      <c r="T4" s="152"/>
      <c r="U4" s="151"/>
      <c r="V4" s="149" t="s">
        <v>128</v>
      </c>
      <c r="W4" s="149"/>
      <c r="X4" s="150"/>
      <c r="Y4" s="149" t="s">
        <v>129</v>
      </c>
      <c r="Z4" s="149"/>
      <c r="AB4" s="154" t="s">
        <v>2</v>
      </c>
      <c r="AC4" s="154" t="s">
        <v>8</v>
      </c>
      <c r="AD4" s="154"/>
    </row>
    <row r="5" spans="2:33" s="11" customFormat="1" ht="17.25" customHeight="1" x14ac:dyDescent="0.25">
      <c r="B5" s="155" t="s">
        <v>130</v>
      </c>
      <c r="C5" s="155"/>
      <c r="D5" s="155"/>
      <c r="E5" s="155"/>
      <c r="F5" s="156"/>
      <c r="G5" s="157" t="s">
        <v>38</v>
      </c>
      <c r="H5" s="158" t="s">
        <v>131</v>
      </c>
      <c r="I5" s="151"/>
      <c r="J5" s="159" t="s">
        <v>38</v>
      </c>
      <c r="K5" s="160" t="s">
        <v>131</v>
      </c>
      <c r="L5" s="161"/>
      <c r="M5" s="159" t="s">
        <v>38</v>
      </c>
      <c r="N5" s="160" t="s">
        <v>131</v>
      </c>
      <c r="O5" s="151"/>
      <c r="P5" s="162" t="s">
        <v>38</v>
      </c>
      <c r="Q5" s="163" t="s">
        <v>131</v>
      </c>
      <c r="R5" s="161"/>
      <c r="S5" s="161" t="s">
        <v>38</v>
      </c>
      <c r="T5" s="164" t="s">
        <v>131</v>
      </c>
      <c r="U5" s="151"/>
      <c r="V5" s="159" t="s">
        <v>132</v>
      </c>
      <c r="W5" s="164" t="s">
        <v>131</v>
      </c>
      <c r="X5" s="161"/>
      <c r="Y5" s="161" t="s">
        <v>132</v>
      </c>
      <c r="Z5" s="164" t="s">
        <v>131</v>
      </c>
      <c r="AB5" s="165" t="s">
        <v>131</v>
      </c>
      <c r="AC5" s="165" t="s">
        <v>131</v>
      </c>
      <c r="AD5" s="165"/>
    </row>
    <row r="6" spans="2:33" ht="14.25" customHeight="1" x14ac:dyDescent="0.25">
      <c r="B6" s="166" t="s">
        <v>133</v>
      </c>
      <c r="C6" s="167">
        <v>6011</v>
      </c>
      <c r="D6" s="167">
        <v>28040</v>
      </c>
      <c r="E6" s="168">
        <v>671010</v>
      </c>
      <c r="F6" s="95" t="s">
        <v>134</v>
      </c>
      <c r="G6" s="169" t="s">
        <v>135</v>
      </c>
      <c r="H6" s="112">
        <f>K6+N6</f>
        <v>0</v>
      </c>
      <c r="I6" s="131"/>
      <c r="J6" s="170"/>
      <c r="K6" s="171">
        <f>+Q6+W6</f>
        <v>0</v>
      </c>
      <c r="L6" s="172" t="s">
        <v>136</v>
      </c>
      <c r="M6" s="170"/>
      <c r="N6" s="171">
        <f>+T6+Z6</f>
        <v>0</v>
      </c>
      <c r="O6" s="173" t="s">
        <v>136</v>
      </c>
      <c r="P6" s="170"/>
      <c r="Q6" s="174"/>
      <c r="R6" s="11"/>
      <c r="S6" s="170"/>
      <c r="T6" s="174"/>
      <c r="U6" s="131"/>
      <c r="V6" s="175"/>
      <c r="W6" s="174"/>
      <c r="Y6" s="176"/>
      <c r="Z6" s="174"/>
      <c r="AE6" s="177">
        <v>671010</v>
      </c>
    </row>
    <row r="7" spans="2:33" ht="14.25" customHeight="1" x14ac:dyDescent="0.25">
      <c r="B7" s="166" t="s">
        <v>133</v>
      </c>
      <c r="C7" s="167">
        <v>6011</v>
      </c>
      <c r="D7" s="167">
        <v>28040</v>
      </c>
      <c r="E7" s="168">
        <v>671030</v>
      </c>
      <c r="F7" s="95" t="s">
        <v>137</v>
      </c>
      <c r="G7" s="169" t="s">
        <v>135</v>
      </c>
      <c r="H7" s="112">
        <f t="shared" ref="H7:H13" si="0">+K7+N7</f>
        <v>406635.3</v>
      </c>
      <c r="I7" s="131"/>
      <c r="J7" s="170"/>
      <c r="K7" s="171">
        <f>+Q7+W7</f>
        <v>266036.75</v>
      </c>
      <c r="L7" s="172" t="s">
        <v>136</v>
      </c>
      <c r="M7" s="170"/>
      <c r="N7" s="171">
        <f>+T7+Z7</f>
        <v>140598.54999999999</v>
      </c>
      <c r="O7" s="173" t="s">
        <v>136</v>
      </c>
      <c r="P7" s="170"/>
      <c r="Q7" s="178">
        <v>267680.62</v>
      </c>
      <c r="R7" s="11"/>
      <c r="S7" s="170"/>
      <c r="T7" s="178">
        <v>151140.12</v>
      </c>
      <c r="U7" s="131"/>
      <c r="V7" s="175"/>
      <c r="W7" s="178">
        <v>-1643.87</v>
      </c>
      <c r="Y7" s="176"/>
      <c r="Z7" s="178">
        <v>-10541.57</v>
      </c>
      <c r="AE7" s="177">
        <v>671030</v>
      </c>
    </row>
    <row r="8" spans="2:33" ht="14.25" customHeight="1" x14ac:dyDescent="0.25">
      <c r="B8" s="166" t="s">
        <v>133</v>
      </c>
      <c r="C8" s="167">
        <v>6011</v>
      </c>
      <c r="D8" s="167">
        <v>28040</v>
      </c>
      <c r="E8" s="168">
        <v>671050</v>
      </c>
      <c r="F8" s="95" t="s">
        <v>138</v>
      </c>
      <c r="G8" s="11">
        <f t="shared" ref="G8:G14" si="1">+J8+M8</f>
        <v>23021020</v>
      </c>
      <c r="H8" s="112">
        <f t="shared" si="0"/>
        <v>6062776.75</v>
      </c>
      <c r="I8" s="131"/>
      <c r="J8" s="179">
        <f>+P8+V8</f>
        <v>19072794</v>
      </c>
      <c r="K8" s="180">
        <f>+Q8+W8</f>
        <v>5055105.32</v>
      </c>
      <c r="L8" s="172" t="s">
        <v>139</v>
      </c>
      <c r="M8" s="11">
        <f>+S8+Y8</f>
        <v>3948226</v>
      </c>
      <c r="N8" s="180">
        <f>+T8+Z8</f>
        <v>1007671.43</v>
      </c>
      <c r="O8" s="173" t="s">
        <v>139</v>
      </c>
      <c r="P8" s="181">
        <v>19073159</v>
      </c>
      <c r="Q8" s="182">
        <f>5000192.37+55000</f>
        <v>5055192.37</v>
      </c>
      <c r="R8" s="11"/>
      <c r="S8" s="181">
        <v>3947861</v>
      </c>
      <c r="T8" s="182">
        <v>1007584.38</v>
      </c>
      <c r="U8" s="131"/>
      <c r="V8" s="183">
        <v>-365</v>
      </c>
      <c r="W8" s="182">
        <v>-87.05</v>
      </c>
      <c r="X8" s="141"/>
      <c r="Y8" s="184">
        <v>365</v>
      </c>
      <c r="Z8" s="182">
        <v>87.05</v>
      </c>
      <c r="AB8" s="185">
        <v>0</v>
      </c>
      <c r="AC8" s="185">
        <v>0</v>
      </c>
      <c r="AE8" s="186">
        <v>671050</v>
      </c>
    </row>
    <row r="9" spans="2:33" ht="14.25" customHeight="1" x14ac:dyDescent="0.25">
      <c r="B9" s="166" t="s">
        <v>133</v>
      </c>
      <c r="C9" s="167">
        <v>6011</v>
      </c>
      <c r="D9" s="167">
        <v>28040</v>
      </c>
      <c r="E9" s="168">
        <v>671051</v>
      </c>
      <c r="F9" s="95" t="s">
        <v>140</v>
      </c>
      <c r="G9" s="169" t="s">
        <v>135</v>
      </c>
      <c r="H9" s="112">
        <f t="shared" si="0"/>
        <v>-19685</v>
      </c>
      <c r="I9" s="131"/>
      <c r="J9" s="187"/>
      <c r="K9" s="180">
        <f t="shared" ref="J9:K14" si="2">+Q9+W9</f>
        <v>-14722.02</v>
      </c>
      <c r="L9" s="172" t="s">
        <v>139</v>
      </c>
      <c r="M9" s="188"/>
      <c r="N9" s="180">
        <f>+T9+Z9</f>
        <v>-4962.9799999999996</v>
      </c>
      <c r="O9" s="173" t="s">
        <v>139</v>
      </c>
      <c r="P9" s="170"/>
      <c r="Q9" s="182">
        <v>-14722.02</v>
      </c>
      <c r="R9" s="11"/>
      <c r="S9" s="170"/>
      <c r="T9" s="182">
        <v>-4962.9799999999996</v>
      </c>
      <c r="U9" s="131"/>
      <c r="V9" s="189"/>
      <c r="W9" s="190"/>
      <c r="X9" s="176"/>
      <c r="Y9" s="191"/>
      <c r="Z9" s="190"/>
      <c r="AE9" s="186">
        <v>671051</v>
      </c>
    </row>
    <row r="10" spans="2:33" ht="14.25" customHeight="1" x14ac:dyDescent="0.25">
      <c r="B10" s="166" t="s">
        <v>133</v>
      </c>
      <c r="C10" s="167">
        <v>6011</v>
      </c>
      <c r="D10" s="167">
        <v>28040</v>
      </c>
      <c r="E10" s="168">
        <v>671070</v>
      </c>
      <c r="F10" s="95" t="s">
        <v>141</v>
      </c>
      <c r="G10" s="11">
        <f t="shared" si="1"/>
        <v>2101460</v>
      </c>
      <c r="H10" s="112">
        <f>+K10+N10</f>
        <v>496585.85000000009</v>
      </c>
      <c r="I10" s="131"/>
      <c r="J10" s="179">
        <f t="shared" si="2"/>
        <v>1533165</v>
      </c>
      <c r="K10" s="180">
        <f t="shared" si="2"/>
        <v>362185.97000000009</v>
      </c>
      <c r="L10" s="172" t="s">
        <v>139</v>
      </c>
      <c r="M10" s="11">
        <f>+S10+Y10</f>
        <v>568295</v>
      </c>
      <c r="N10" s="180">
        <f>+T10+Z10</f>
        <v>134399.88</v>
      </c>
      <c r="O10" s="192" t="s">
        <v>139</v>
      </c>
      <c r="P10" s="181">
        <f>1316254+216911</f>
        <v>1533165</v>
      </c>
      <c r="Q10" s="182">
        <f>308656.28+53719.21-165.6-23.92</f>
        <v>362185.97000000009</v>
      </c>
      <c r="R10" s="11"/>
      <c r="S10" s="181">
        <f>481896+86399</f>
        <v>568295</v>
      </c>
      <c r="T10" s="182">
        <f>113002.68+21397.2</f>
        <v>134399.88</v>
      </c>
      <c r="U10" s="131"/>
      <c r="V10" s="189"/>
      <c r="W10" s="190"/>
      <c r="X10" s="176">
        <v>0</v>
      </c>
      <c r="Y10" s="191"/>
      <c r="Z10" s="190"/>
      <c r="AE10" s="186">
        <v>671070</v>
      </c>
    </row>
    <row r="11" spans="2:33" ht="14.25" customHeight="1" x14ac:dyDescent="0.25">
      <c r="B11" s="193" t="s">
        <v>133</v>
      </c>
      <c r="C11" s="194">
        <v>6011</v>
      </c>
      <c r="D11" s="194">
        <v>28081</v>
      </c>
      <c r="E11" s="195">
        <v>671050</v>
      </c>
      <c r="F11" s="196" t="s">
        <v>142</v>
      </c>
      <c r="G11" s="11">
        <f t="shared" si="1"/>
        <v>0</v>
      </c>
      <c r="H11" s="112">
        <f t="shared" si="0"/>
        <v>0</v>
      </c>
      <c r="I11" s="131"/>
      <c r="J11" s="179">
        <f t="shared" si="2"/>
        <v>0</v>
      </c>
      <c r="K11" s="180">
        <f t="shared" si="2"/>
        <v>0</v>
      </c>
      <c r="L11" s="172" t="s">
        <v>139</v>
      </c>
      <c r="M11" s="11">
        <f t="shared" ref="M11:N14" si="3">+S11+Y11</f>
        <v>0</v>
      </c>
      <c r="N11" s="180">
        <f t="shared" si="3"/>
        <v>0</v>
      </c>
      <c r="O11" s="173" t="s">
        <v>139</v>
      </c>
      <c r="P11" s="181">
        <v>0</v>
      </c>
      <c r="Q11" s="197">
        <v>0</v>
      </c>
      <c r="R11" s="198">
        <v>-1</v>
      </c>
      <c r="S11" s="181">
        <v>0</v>
      </c>
      <c r="T11" s="197">
        <v>0</v>
      </c>
      <c r="U11" s="199">
        <v>-4</v>
      </c>
      <c r="V11" s="189"/>
      <c r="W11" s="190"/>
      <c r="X11" s="176"/>
      <c r="Y11" s="191"/>
      <c r="Z11" s="190"/>
      <c r="AE11" s="195">
        <v>671050</v>
      </c>
      <c r="AF11" s="141"/>
    </row>
    <row r="12" spans="2:33" ht="14.25" customHeight="1" x14ac:dyDescent="0.25">
      <c r="B12" s="193" t="s">
        <v>133</v>
      </c>
      <c r="C12" s="194">
        <v>6011</v>
      </c>
      <c r="D12" s="194">
        <v>28082</v>
      </c>
      <c r="E12" s="195">
        <v>671050</v>
      </c>
      <c r="F12" s="196" t="s">
        <v>143</v>
      </c>
      <c r="G12" s="11">
        <f t="shared" si="1"/>
        <v>-9263300</v>
      </c>
      <c r="H12" s="112">
        <f t="shared" si="0"/>
        <v>-2621613.7200000002</v>
      </c>
      <c r="I12" s="131"/>
      <c r="J12" s="179">
        <f t="shared" si="2"/>
        <v>-9263300</v>
      </c>
      <c r="K12" s="180">
        <f t="shared" si="2"/>
        <v>-2621613.7200000002</v>
      </c>
      <c r="L12" s="172" t="s">
        <v>139</v>
      </c>
      <c r="M12" s="87">
        <f t="shared" si="3"/>
        <v>0</v>
      </c>
      <c r="N12" s="180">
        <f t="shared" si="3"/>
        <v>0</v>
      </c>
      <c r="O12" s="173" t="s">
        <v>139</v>
      </c>
      <c r="P12" s="181">
        <v>-9263300</v>
      </c>
      <c r="Q12" s="197">
        <v>-2621613.7200000002</v>
      </c>
      <c r="R12" s="198">
        <v>-2</v>
      </c>
      <c r="S12" s="200"/>
      <c r="T12" s="197"/>
      <c r="U12" s="199"/>
      <c r="V12" s="201"/>
      <c r="W12" s="190"/>
      <c r="X12" s="176"/>
      <c r="Y12" s="191"/>
      <c r="Z12" s="190"/>
      <c r="AE12" s="195">
        <v>671050</v>
      </c>
      <c r="AF12" s="141"/>
      <c r="AG12" s="181"/>
    </row>
    <row r="13" spans="2:33" ht="14.25" customHeight="1" x14ac:dyDescent="0.25">
      <c r="B13" s="193" t="s">
        <v>133</v>
      </c>
      <c r="C13" s="194">
        <v>6011</v>
      </c>
      <c r="D13" s="194">
        <v>28120</v>
      </c>
      <c r="E13" s="195">
        <v>671070</v>
      </c>
      <c r="F13" s="196" t="s">
        <v>144</v>
      </c>
      <c r="G13" s="11">
        <f t="shared" si="1"/>
        <v>-28526</v>
      </c>
      <c r="H13" s="112">
        <f t="shared" si="0"/>
        <v>-6859.9599999999991</v>
      </c>
      <c r="I13" s="131"/>
      <c r="J13" s="179">
        <f>+P13+V13</f>
        <v>-22200</v>
      </c>
      <c r="K13" s="180">
        <f>+Q13+W13</f>
        <v>-5561.9</v>
      </c>
      <c r="L13" s="172" t="s">
        <v>139</v>
      </c>
      <c r="M13" s="11">
        <f t="shared" si="3"/>
        <v>-6326</v>
      </c>
      <c r="N13" s="180">
        <f t="shared" si="3"/>
        <v>-1298.06</v>
      </c>
      <c r="O13" s="173" t="s">
        <v>139</v>
      </c>
      <c r="P13" s="181">
        <v>-22200</v>
      </c>
      <c r="Q13" s="197">
        <v>-5561.9</v>
      </c>
      <c r="R13" s="198">
        <v>-3</v>
      </c>
      <c r="S13" s="202">
        <v>-6326</v>
      </c>
      <c r="T13" s="197">
        <v>-1298.06</v>
      </c>
      <c r="U13" s="199">
        <v>-5</v>
      </c>
      <c r="V13" s="189"/>
      <c r="W13" s="190"/>
      <c r="X13" s="176"/>
      <c r="Y13" s="191"/>
      <c r="Z13" s="190"/>
      <c r="AE13" s="195">
        <v>671070</v>
      </c>
    </row>
    <row r="14" spans="2:33" ht="14.25" customHeight="1" x14ac:dyDescent="0.25">
      <c r="B14" s="166" t="s">
        <v>133</v>
      </c>
      <c r="C14" s="167">
        <v>6011</v>
      </c>
      <c r="D14" s="167">
        <v>28040</v>
      </c>
      <c r="E14" s="168">
        <v>671100</v>
      </c>
      <c r="F14" s="95" t="s">
        <v>145</v>
      </c>
      <c r="G14" s="11">
        <f t="shared" si="1"/>
        <v>0</v>
      </c>
      <c r="H14" s="112">
        <f>+K14+N14</f>
        <v>0</v>
      </c>
      <c r="I14" s="131"/>
      <c r="J14" s="179">
        <f>+P14+V14</f>
        <v>0</v>
      </c>
      <c r="K14" s="180">
        <f t="shared" si="2"/>
        <v>0</v>
      </c>
      <c r="L14" s="172" t="s">
        <v>139</v>
      </c>
      <c r="M14" s="203">
        <f t="shared" si="3"/>
        <v>0</v>
      </c>
      <c r="N14" s="204">
        <f t="shared" si="3"/>
        <v>0</v>
      </c>
      <c r="O14" s="173" t="s">
        <v>139</v>
      </c>
      <c r="P14" s="205"/>
      <c r="Q14" s="206"/>
      <c r="R14" s="11"/>
      <c r="S14" s="205"/>
      <c r="T14" s="190"/>
      <c r="U14" s="131"/>
      <c r="V14" s="189"/>
      <c r="W14" s="190"/>
      <c r="X14" s="176"/>
      <c r="Y14" s="191"/>
      <c r="Z14" s="207"/>
      <c r="AE14" s="186">
        <v>671100</v>
      </c>
    </row>
    <row r="15" spans="2:33" ht="14.25" customHeight="1" x14ac:dyDescent="0.25">
      <c r="B15" s="166"/>
      <c r="C15" s="208"/>
      <c r="D15" s="208"/>
      <c r="E15" s="209"/>
      <c r="F15" s="210" t="s">
        <v>146</v>
      </c>
      <c r="G15" s="211">
        <f>SUM(G6:G14)</f>
        <v>15830654</v>
      </c>
      <c r="H15" s="212">
        <f>SUM(H6:H14)</f>
        <v>4317839.22</v>
      </c>
      <c r="I15" s="131"/>
      <c r="J15" s="211">
        <f>SUM(J6:J14)</f>
        <v>11320459</v>
      </c>
      <c r="K15" s="212">
        <f>SUM(K6:K14)</f>
        <v>3041430.4000000004</v>
      </c>
      <c r="L15" s="172"/>
      <c r="M15" s="11">
        <f>SUM(M6:M14)</f>
        <v>4510195</v>
      </c>
      <c r="N15" s="213">
        <f>SUM(N6:N14)</f>
        <v>1276408.8199999998</v>
      </c>
      <c r="O15" s="173"/>
      <c r="P15" s="11">
        <f>SUM(P6:P14)</f>
        <v>11320824</v>
      </c>
      <c r="Q15" s="214">
        <f>SUM(Q6:Q14)</f>
        <v>3043161.3200000003</v>
      </c>
      <c r="R15" s="11"/>
      <c r="S15" s="11">
        <f>SUM(S6:S14)</f>
        <v>4509830</v>
      </c>
      <c r="T15" s="214">
        <f>SUM(T6:T14)</f>
        <v>1286863.3399999999</v>
      </c>
      <c r="U15" s="131"/>
      <c r="V15" s="215">
        <f>+SUM(V6:V14)</f>
        <v>-365</v>
      </c>
      <c r="W15" s="214">
        <f>SUM(W6:W14)</f>
        <v>-1730.9199999999998</v>
      </c>
      <c r="X15" s="176"/>
      <c r="Y15" s="215">
        <f>SUM(Y6:Y14)</f>
        <v>365</v>
      </c>
      <c r="Z15" s="214">
        <f>SUM(Z6:Z14)</f>
        <v>-10454.52</v>
      </c>
      <c r="AB15" s="216">
        <f>SUM(AB6:AB14)</f>
        <v>0</v>
      </c>
      <c r="AC15" s="216">
        <f>SUM(AC6:AC14)</f>
        <v>0</v>
      </c>
      <c r="AD15" s="216"/>
      <c r="AE15" s="209"/>
    </row>
    <row r="16" spans="2:33" ht="14.25" customHeight="1" x14ac:dyDescent="0.25">
      <c r="B16" s="166"/>
      <c r="C16" s="208"/>
      <c r="D16" s="208"/>
      <c r="E16" s="209"/>
      <c r="F16" s="95"/>
      <c r="G16" s="211"/>
      <c r="H16" s="217"/>
      <c r="I16" s="131"/>
      <c r="J16" s="218"/>
      <c r="K16" s="219"/>
      <c r="L16" s="220"/>
      <c r="M16" s="218"/>
      <c r="N16" s="221"/>
      <c r="O16" s="173"/>
      <c r="P16" s="211"/>
      <c r="Q16" s="112"/>
      <c r="R16" s="11"/>
      <c r="S16" s="211"/>
      <c r="T16" s="112"/>
      <c r="U16" s="131"/>
      <c r="V16" s="222"/>
      <c r="W16" s="112"/>
      <c r="X16" s="176"/>
      <c r="Y16" s="176"/>
      <c r="Z16" s="112"/>
      <c r="AE16" s="209"/>
    </row>
    <row r="17" spans="2:33" ht="14.25" customHeight="1" x14ac:dyDescent="0.25">
      <c r="B17" s="166" t="s">
        <v>133</v>
      </c>
      <c r="C17" s="167">
        <v>6011</v>
      </c>
      <c r="D17" s="167">
        <v>28040</v>
      </c>
      <c r="E17" s="168">
        <v>672010</v>
      </c>
      <c r="F17" s="95" t="s">
        <v>147</v>
      </c>
      <c r="G17" s="169"/>
      <c r="H17" s="112">
        <f>K17+N17</f>
        <v>3999669.2800000003</v>
      </c>
      <c r="I17" s="131"/>
      <c r="J17" s="223"/>
      <c r="K17" s="171">
        <f>+Q17+W17</f>
        <v>3244749.0100000002</v>
      </c>
      <c r="L17" s="172" t="s">
        <v>136</v>
      </c>
      <c r="M17" s="170"/>
      <c r="N17" s="171">
        <f>+T17+Z17</f>
        <v>754920.27</v>
      </c>
      <c r="O17" s="173" t="s">
        <v>136</v>
      </c>
      <c r="P17" s="170"/>
      <c r="Q17" s="178">
        <f>3181683.63+70589.99</f>
        <v>3252273.62</v>
      </c>
      <c r="R17" s="11"/>
      <c r="S17" s="13"/>
      <c r="T17" s="178">
        <f>540741.55+206997.46</f>
        <v>747739.01</v>
      </c>
      <c r="U17" s="131"/>
      <c r="V17" s="224"/>
      <c r="W17" s="178">
        <f>-7524.62+0.01</f>
        <v>-7524.61</v>
      </c>
      <c r="X17" s="225"/>
      <c r="Y17" s="226"/>
      <c r="Z17" s="227">
        <v>7181.26</v>
      </c>
      <c r="AE17" s="177">
        <v>672010</v>
      </c>
    </row>
    <row r="18" spans="2:33" ht="14.25" customHeight="1" x14ac:dyDescent="0.25">
      <c r="B18" s="166" t="s">
        <v>133</v>
      </c>
      <c r="C18" s="167">
        <v>6011</v>
      </c>
      <c r="D18" s="167">
        <v>28040</v>
      </c>
      <c r="E18" s="168">
        <v>672020</v>
      </c>
      <c r="F18" s="95" t="s">
        <v>148</v>
      </c>
      <c r="G18" s="169"/>
      <c r="H18" s="112">
        <f>K18+N18</f>
        <v>70416.100000000006</v>
      </c>
      <c r="I18" s="131"/>
      <c r="J18" s="223"/>
      <c r="K18" s="180">
        <f>+Q18+W18</f>
        <v>53701.24</v>
      </c>
      <c r="L18" s="172" t="s">
        <v>139</v>
      </c>
      <c r="M18" s="170"/>
      <c r="N18" s="180">
        <f>+T18+Z18</f>
        <v>16714.86</v>
      </c>
      <c r="O18" s="173" t="s">
        <v>139</v>
      </c>
      <c r="P18" s="170"/>
      <c r="Q18" s="182">
        <v>57593.59</v>
      </c>
      <c r="R18" s="11"/>
      <c r="S18" s="13"/>
      <c r="T18" s="182">
        <v>7181.41</v>
      </c>
      <c r="U18" s="131"/>
      <c r="V18" s="224"/>
      <c r="W18" s="182">
        <v>-3892.35</v>
      </c>
      <c r="X18" s="225"/>
      <c r="Y18" s="226"/>
      <c r="Z18" s="182">
        <v>9533.4500000000007</v>
      </c>
      <c r="AE18" s="186">
        <v>672020</v>
      </c>
      <c r="AF18" s="228"/>
    </row>
    <row r="19" spans="2:33" ht="14.25" customHeight="1" x14ac:dyDescent="0.25">
      <c r="B19" s="166" t="s">
        <v>133</v>
      </c>
      <c r="C19" s="167">
        <v>6011</v>
      </c>
      <c r="D19" s="167">
        <v>28040</v>
      </c>
      <c r="E19" s="168">
        <v>672030</v>
      </c>
      <c r="F19" s="95" t="s">
        <v>149</v>
      </c>
      <c r="G19" s="169"/>
      <c r="H19" s="112">
        <f>K19+N19</f>
        <v>0</v>
      </c>
      <c r="I19" s="131"/>
      <c r="J19" s="223"/>
      <c r="K19" s="171">
        <f>+Q19+W19</f>
        <v>0</v>
      </c>
      <c r="L19" s="172" t="s">
        <v>136</v>
      </c>
      <c r="N19" s="171">
        <f>+T19+Z19</f>
        <v>0</v>
      </c>
      <c r="O19" s="173" t="s">
        <v>136</v>
      </c>
      <c r="P19" s="170"/>
      <c r="Q19" s="174"/>
      <c r="R19" s="11"/>
      <c r="S19" s="170"/>
      <c r="T19" s="174"/>
      <c r="U19" s="131"/>
      <c r="V19" s="224"/>
      <c r="W19" s="178"/>
      <c r="X19" s="225"/>
      <c r="Y19" s="226"/>
      <c r="Z19" s="178"/>
      <c r="AE19" s="177">
        <v>672030</v>
      </c>
      <c r="AF19" s="228"/>
    </row>
    <row r="20" spans="2:33" ht="14.25" customHeight="1" x14ac:dyDescent="0.25">
      <c r="B20" s="166" t="s">
        <v>133</v>
      </c>
      <c r="C20" s="167">
        <v>6011</v>
      </c>
      <c r="D20" s="167">
        <v>28040</v>
      </c>
      <c r="E20" s="168">
        <v>672040</v>
      </c>
      <c r="F20" s="95" t="s">
        <v>150</v>
      </c>
      <c r="G20" s="169"/>
      <c r="H20" s="112">
        <f>K20+N20</f>
        <v>0</v>
      </c>
      <c r="I20" s="131"/>
      <c r="J20" s="223"/>
      <c r="K20" s="171">
        <f>+Q20+W20</f>
        <v>0</v>
      </c>
      <c r="L20" s="172" t="s">
        <v>136</v>
      </c>
      <c r="M20" s="170"/>
      <c r="N20" s="171">
        <f>+T20+Z20</f>
        <v>0</v>
      </c>
      <c r="O20" s="173" t="s">
        <v>136</v>
      </c>
      <c r="P20" s="170"/>
      <c r="Q20" s="174"/>
      <c r="R20" s="11"/>
      <c r="S20" s="170"/>
      <c r="T20" s="174"/>
      <c r="U20" s="131"/>
      <c r="V20" s="224"/>
      <c r="W20" s="174"/>
      <c r="X20" s="176"/>
      <c r="Y20" s="175"/>
      <c r="Z20" s="174"/>
      <c r="AE20" s="177">
        <v>672040</v>
      </c>
      <c r="AF20" s="228"/>
      <c r="AG20" s="228"/>
    </row>
    <row r="21" spans="2:33" ht="14.25" customHeight="1" x14ac:dyDescent="0.25">
      <c r="B21" s="166" t="s">
        <v>133</v>
      </c>
      <c r="C21" s="167">
        <v>6011</v>
      </c>
      <c r="D21" s="167">
        <v>28040</v>
      </c>
      <c r="E21" s="168">
        <v>672050</v>
      </c>
      <c r="F21" s="95" t="s">
        <v>151</v>
      </c>
      <c r="G21" s="169"/>
      <c r="H21" s="112">
        <f>K21+N21</f>
        <v>0</v>
      </c>
      <c r="I21" s="131"/>
      <c r="J21" s="229"/>
      <c r="K21" s="171">
        <f>+Q21+W21</f>
        <v>0</v>
      </c>
      <c r="L21" s="172" t="s">
        <v>136</v>
      </c>
      <c r="M21" s="170"/>
      <c r="N21" s="230">
        <f>+T21+Z21</f>
        <v>0</v>
      </c>
      <c r="O21" s="173" t="s">
        <v>136</v>
      </c>
      <c r="P21" s="170"/>
      <c r="Q21" s="174"/>
      <c r="R21" s="169"/>
      <c r="S21" s="231"/>
      <c r="T21" s="232"/>
      <c r="U21" s="131"/>
      <c r="V21" s="224"/>
      <c r="W21" s="174"/>
      <c r="X21" s="176"/>
      <c r="Y21" s="175"/>
      <c r="Z21" s="174"/>
      <c r="AE21" s="177">
        <v>672050</v>
      </c>
      <c r="AF21" s="228"/>
      <c r="AG21" s="228"/>
    </row>
    <row r="22" spans="2:33" ht="14.25" customHeight="1" x14ac:dyDescent="0.25">
      <c r="B22" s="166"/>
      <c r="C22" s="208"/>
      <c r="D22" s="208"/>
      <c r="E22" s="209"/>
      <c r="F22" s="233" t="s">
        <v>152</v>
      </c>
      <c r="G22" s="234"/>
      <c r="H22" s="213">
        <f>SUM(H17:H21)</f>
        <v>4070085.3800000004</v>
      </c>
      <c r="I22" s="131"/>
      <c r="J22" s="235"/>
      <c r="K22" s="213">
        <f>SUM(K17:K21)</f>
        <v>3298450.2500000005</v>
      </c>
      <c r="L22" s="172"/>
      <c r="M22" s="236"/>
      <c r="N22" s="213">
        <f>SUM(N17:N21)</f>
        <v>771635.13</v>
      </c>
      <c r="O22" s="173"/>
      <c r="P22" s="211"/>
      <c r="Q22" s="214">
        <f>SUM(Q17:Q21)</f>
        <v>3309867.21</v>
      </c>
      <c r="R22" s="172"/>
      <c r="S22" s="234"/>
      <c r="T22" s="214">
        <f>SUM(T17:T21)</f>
        <v>754920.42</v>
      </c>
      <c r="U22" s="131"/>
      <c r="V22" s="224"/>
      <c r="W22" s="237">
        <f>SUM(W17:W21)</f>
        <v>-11416.96</v>
      </c>
      <c r="X22" s="176"/>
      <c r="Y22" s="175"/>
      <c r="Z22" s="214">
        <f>SUM(Z17:Z21)</f>
        <v>16714.71</v>
      </c>
      <c r="AB22" s="216">
        <f>SUM(AB17:AB21)</f>
        <v>0</v>
      </c>
      <c r="AC22" s="216">
        <f>SUM(AC17:AC21)</f>
        <v>0</v>
      </c>
      <c r="AD22" s="216"/>
      <c r="AE22" s="209"/>
    </row>
    <row r="23" spans="2:33" ht="14.25" customHeight="1" x14ac:dyDescent="0.25">
      <c r="B23" s="166"/>
      <c r="C23" s="208"/>
      <c r="D23" s="208"/>
      <c r="E23" s="209"/>
      <c r="F23" s="233"/>
      <c r="G23" s="11"/>
      <c r="H23" s="217"/>
      <c r="I23" s="131"/>
      <c r="J23" s="223"/>
      <c r="K23" s="221"/>
      <c r="L23" s="220"/>
      <c r="M23" s="238"/>
      <c r="N23" s="221"/>
      <c r="O23" s="173"/>
      <c r="P23" s="211"/>
      <c r="Q23" s="112"/>
      <c r="R23" s="11"/>
      <c r="S23" s="11"/>
      <c r="T23" s="112"/>
      <c r="U23" s="131"/>
      <c r="W23" s="212"/>
      <c r="X23" s="176"/>
      <c r="Y23" s="175"/>
      <c r="Z23" s="112"/>
      <c r="AE23" s="209"/>
    </row>
    <row r="24" spans="2:33" ht="14.25" customHeight="1" x14ac:dyDescent="0.25">
      <c r="B24" s="166" t="s">
        <v>133</v>
      </c>
      <c r="C24" s="167">
        <v>6011</v>
      </c>
      <c r="D24" s="167">
        <v>28040</v>
      </c>
      <c r="E24" s="168">
        <v>673020</v>
      </c>
      <c r="F24" s="95" t="s">
        <v>153</v>
      </c>
      <c r="G24" s="169"/>
      <c r="H24" s="112">
        <f>K24+N24</f>
        <v>291828.23</v>
      </c>
      <c r="I24" s="131"/>
      <c r="J24" s="223"/>
      <c r="K24" s="171">
        <f t="shared" ref="K24:K37" si="4">+Q24+W24</f>
        <v>262069.6</v>
      </c>
      <c r="L24" s="172" t="s">
        <v>136</v>
      </c>
      <c r="M24" s="170"/>
      <c r="N24" s="171">
        <f t="shared" ref="N24:N33" si="5">+T24+Z24</f>
        <v>29758.63</v>
      </c>
      <c r="O24" s="173" t="s">
        <v>136</v>
      </c>
      <c r="P24" s="170"/>
      <c r="Q24" s="178">
        <v>262069.6</v>
      </c>
      <c r="R24" s="11"/>
      <c r="S24" s="170"/>
      <c r="T24" s="178">
        <v>29758.63</v>
      </c>
      <c r="U24" s="131"/>
      <c r="V24" s="224"/>
      <c r="W24" s="174"/>
      <c r="X24" s="239"/>
      <c r="Y24" s="239"/>
      <c r="Z24" s="174"/>
      <c r="AE24" s="177">
        <v>673020</v>
      </c>
    </row>
    <row r="25" spans="2:33" ht="14.25" customHeight="1" x14ac:dyDescent="0.25">
      <c r="B25" s="166" t="s">
        <v>133</v>
      </c>
      <c r="C25" s="167">
        <v>6011</v>
      </c>
      <c r="D25" s="167">
        <v>28040</v>
      </c>
      <c r="E25" s="168">
        <v>673030</v>
      </c>
      <c r="F25" s="95" t="s">
        <v>154</v>
      </c>
      <c r="G25" s="169"/>
      <c r="H25" s="112">
        <f t="shared" ref="H25:H37" si="6">K25+N25</f>
        <v>173055</v>
      </c>
      <c r="I25" s="131"/>
      <c r="J25" s="223"/>
      <c r="K25" s="171">
        <f t="shared" si="4"/>
        <v>152824.87</v>
      </c>
      <c r="L25" s="172" t="s">
        <v>136</v>
      </c>
      <c r="M25" s="170"/>
      <c r="N25" s="171">
        <f t="shared" si="5"/>
        <v>20230.13</v>
      </c>
      <c r="O25" s="173" t="s">
        <v>136</v>
      </c>
      <c r="P25" s="170"/>
      <c r="Q25" s="178">
        <v>152824.87</v>
      </c>
      <c r="R25" s="11"/>
      <c r="S25" s="170"/>
      <c r="T25" s="178">
        <v>20230.13</v>
      </c>
      <c r="U25" s="131"/>
      <c r="V25" s="224"/>
      <c r="W25" s="174"/>
      <c r="X25" s="239"/>
      <c r="Y25" s="239"/>
      <c r="Z25" s="174"/>
      <c r="AE25" s="177">
        <v>673030</v>
      </c>
    </row>
    <row r="26" spans="2:33" ht="14.25" customHeight="1" x14ac:dyDescent="0.25">
      <c r="B26" s="166" t="s">
        <v>133</v>
      </c>
      <c r="C26" s="167">
        <v>6011</v>
      </c>
      <c r="D26" s="167">
        <v>28040</v>
      </c>
      <c r="E26" s="168">
        <v>673040</v>
      </c>
      <c r="F26" s="95" t="s">
        <v>155</v>
      </c>
      <c r="G26" s="169"/>
      <c r="H26" s="112">
        <f t="shared" si="6"/>
        <v>0</v>
      </c>
      <c r="I26" s="131"/>
      <c r="J26" s="223"/>
      <c r="K26" s="180">
        <f t="shared" si="4"/>
        <v>0</v>
      </c>
      <c r="L26" s="172" t="s">
        <v>139</v>
      </c>
      <c r="M26" s="170"/>
      <c r="N26" s="180">
        <f>+T26+Z26</f>
        <v>0</v>
      </c>
      <c r="O26" s="173" t="s">
        <v>139</v>
      </c>
      <c r="P26" s="170"/>
      <c r="Q26" s="182"/>
      <c r="R26" s="11"/>
      <c r="S26" s="170"/>
      <c r="T26" s="182"/>
      <c r="U26" s="131"/>
      <c r="V26" s="224"/>
      <c r="W26" s="190"/>
      <c r="X26" s="239"/>
      <c r="Y26" s="239"/>
      <c r="Z26" s="190"/>
      <c r="AE26" s="186">
        <v>673040</v>
      </c>
    </row>
    <row r="27" spans="2:33" ht="14.25" customHeight="1" x14ac:dyDescent="0.25">
      <c r="B27" s="166" t="s">
        <v>133</v>
      </c>
      <c r="C27" s="167">
        <v>6011</v>
      </c>
      <c r="D27" s="167">
        <v>28040</v>
      </c>
      <c r="E27" s="168">
        <v>673050</v>
      </c>
      <c r="F27" s="95" t="s">
        <v>156</v>
      </c>
      <c r="G27" s="169"/>
      <c r="H27" s="112">
        <f t="shared" si="6"/>
        <v>0</v>
      </c>
      <c r="I27" s="131"/>
      <c r="J27" s="223"/>
      <c r="K27" s="180">
        <f t="shared" si="4"/>
        <v>0</v>
      </c>
      <c r="L27" s="172" t="s">
        <v>139</v>
      </c>
      <c r="M27" s="170"/>
      <c r="N27" s="180">
        <f t="shared" si="5"/>
        <v>0</v>
      </c>
      <c r="O27" s="173" t="s">
        <v>136</v>
      </c>
      <c r="P27" s="170"/>
      <c r="Q27" s="182"/>
      <c r="R27" s="11"/>
      <c r="S27" s="170"/>
      <c r="T27" s="182"/>
      <c r="U27" s="131"/>
      <c r="V27" s="224"/>
      <c r="W27" s="190"/>
      <c r="X27" s="239"/>
      <c r="Y27" s="239"/>
      <c r="Z27" s="190"/>
      <c r="AE27" s="186">
        <v>673050</v>
      </c>
    </row>
    <row r="28" spans="2:33" ht="14.25" customHeight="1" x14ac:dyDescent="0.25">
      <c r="B28" s="166" t="s">
        <v>133</v>
      </c>
      <c r="C28" s="167">
        <v>6011</v>
      </c>
      <c r="D28" s="167">
        <v>28040</v>
      </c>
      <c r="E28" s="168">
        <v>673060</v>
      </c>
      <c r="F28" s="95" t="s">
        <v>157</v>
      </c>
      <c r="G28" s="169"/>
      <c r="H28" s="112">
        <f t="shared" si="6"/>
        <v>0</v>
      </c>
      <c r="I28" s="131"/>
      <c r="J28" s="223"/>
      <c r="K28" s="180">
        <f t="shared" si="4"/>
        <v>0</v>
      </c>
      <c r="L28" s="172" t="s">
        <v>139</v>
      </c>
      <c r="M28" s="170"/>
      <c r="N28" s="180">
        <f t="shared" si="5"/>
        <v>0</v>
      </c>
      <c r="O28" s="173" t="s">
        <v>136</v>
      </c>
      <c r="P28" s="170"/>
      <c r="Q28" s="182"/>
      <c r="R28" s="11"/>
      <c r="T28" s="182"/>
      <c r="U28" s="131"/>
      <c r="V28" s="224"/>
      <c r="W28" s="190"/>
      <c r="X28" s="239"/>
      <c r="Y28" s="239"/>
      <c r="Z28" s="190"/>
      <c r="AE28" s="186">
        <v>673060</v>
      </c>
    </row>
    <row r="29" spans="2:33" ht="14.25" customHeight="1" x14ac:dyDescent="0.25">
      <c r="B29" s="166" t="s">
        <v>133</v>
      </c>
      <c r="C29" s="167">
        <v>6011</v>
      </c>
      <c r="D29" s="167">
        <v>28040</v>
      </c>
      <c r="E29" s="168">
        <v>673070</v>
      </c>
      <c r="F29" s="95" t="s">
        <v>158</v>
      </c>
      <c r="G29" s="169"/>
      <c r="H29" s="112">
        <f t="shared" si="6"/>
        <v>0</v>
      </c>
      <c r="I29" s="131"/>
      <c r="J29" s="223"/>
      <c r="K29" s="171">
        <f t="shared" si="4"/>
        <v>0</v>
      </c>
      <c r="L29" s="172" t="s">
        <v>139</v>
      </c>
      <c r="M29" s="170"/>
      <c r="N29" s="171">
        <f t="shared" si="5"/>
        <v>0</v>
      </c>
      <c r="O29" s="173" t="s">
        <v>136</v>
      </c>
      <c r="P29" s="170"/>
      <c r="Q29" s="178"/>
      <c r="R29" s="11"/>
      <c r="S29" s="170"/>
      <c r="T29" s="178"/>
      <c r="U29" s="131"/>
      <c r="V29" s="224"/>
      <c r="W29" s="174"/>
      <c r="X29" s="239"/>
      <c r="Y29" s="239"/>
      <c r="Z29" s="174"/>
      <c r="AE29" s="177">
        <v>673070</v>
      </c>
    </row>
    <row r="30" spans="2:33" ht="14.25" customHeight="1" x14ac:dyDescent="0.25">
      <c r="B30" s="166" t="s">
        <v>133</v>
      </c>
      <c r="C30" s="167">
        <v>6011</v>
      </c>
      <c r="D30" s="167">
        <v>28040</v>
      </c>
      <c r="E30" s="168">
        <v>673080</v>
      </c>
      <c r="F30" s="95" t="s">
        <v>159</v>
      </c>
      <c r="G30" s="169"/>
      <c r="H30" s="112">
        <f t="shared" si="6"/>
        <v>0</v>
      </c>
      <c r="I30" s="131"/>
      <c r="J30" s="223"/>
      <c r="K30" s="171">
        <f t="shared" si="4"/>
        <v>0</v>
      </c>
      <c r="L30" s="172" t="s">
        <v>136</v>
      </c>
      <c r="M30" s="170"/>
      <c r="N30" s="171">
        <f t="shared" si="5"/>
        <v>0</v>
      </c>
      <c r="O30" s="173" t="s">
        <v>136</v>
      </c>
      <c r="P30" s="170"/>
      <c r="Q30" s="178"/>
      <c r="R30" s="11"/>
      <c r="S30" s="170"/>
      <c r="T30" s="178"/>
      <c r="U30" s="131"/>
      <c r="V30" s="224"/>
      <c r="W30" s="174"/>
      <c r="X30" s="239"/>
      <c r="Y30" s="239"/>
      <c r="Z30" s="174"/>
      <c r="AE30" s="177">
        <v>673080</v>
      </c>
    </row>
    <row r="31" spans="2:33" ht="14.25" customHeight="1" x14ac:dyDescent="0.25">
      <c r="B31" s="166" t="s">
        <v>133</v>
      </c>
      <c r="C31" s="167">
        <v>6011</v>
      </c>
      <c r="D31" s="167">
        <v>28040</v>
      </c>
      <c r="E31" s="168">
        <v>673090</v>
      </c>
      <c r="F31" s="95" t="s">
        <v>160</v>
      </c>
      <c r="G31" s="169"/>
      <c r="H31" s="112">
        <f t="shared" si="6"/>
        <v>0</v>
      </c>
      <c r="I31" s="131"/>
      <c r="J31" s="223"/>
      <c r="K31" s="180">
        <f t="shared" si="4"/>
        <v>0</v>
      </c>
      <c r="L31" s="172" t="s">
        <v>139</v>
      </c>
      <c r="M31" s="170"/>
      <c r="N31" s="180">
        <f>+T31+Z31</f>
        <v>0</v>
      </c>
      <c r="O31" s="173" t="s">
        <v>139</v>
      </c>
      <c r="P31" s="170"/>
      <c r="Q31" s="182"/>
      <c r="R31" s="11"/>
      <c r="S31" s="170"/>
      <c r="T31" s="182"/>
      <c r="U31" s="131"/>
      <c r="V31" s="224"/>
      <c r="W31" s="190"/>
      <c r="X31" s="239"/>
      <c r="Y31" s="239"/>
      <c r="Z31" s="190"/>
      <c r="AE31" s="186">
        <v>673090</v>
      </c>
    </row>
    <row r="32" spans="2:33" ht="14.25" customHeight="1" x14ac:dyDescent="0.25">
      <c r="B32" s="166" t="s">
        <v>133</v>
      </c>
      <c r="C32" s="167">
        <v>6011</v>
      </c>
      <c r="D32" s="167">
        <v>28040</v>
      </c>
      <c r="E32" s="168">
        <v>673120</v>
      </c>
      <c r="F32" s="95" t="s">
        <v>161</v>
      </c>
      <c r="G32" s="169"/>
      <c r="H32" s="112">
        <f t="shared" si="6"/>
        <v>172716.76</v>
      </c>
      <c r="I32" s="131"/>
      <c r="J32" s="223"/>
      <c r="K32" s="171">
        <f t="shared" si="4"/>
        <v>153326.92000000001</v>
      </c>
      <c r="L32" s="172" t="s">
        <v>136</v>
      </c>
      <c r="M32" s="170"/>
      <c r="N32" s="171">
        <f t="shared" si="5"/>
        <v>19389.84</v>
      </c>
      <c r="O32" s="173" t="s">
        <v>136</v>
      </c>
      <c r="P32" s="170"/>
      <c r="Q32" s="178">
        <v>153021.72</v>
      </c>
      <c r="R32" s="11"/>
      <c r="S32" s="170"/>
      <c r="T32" s="178">
        <v>19351.68</v>
      </c>
      <c r="U32" s="131"/>
      <c r="V32" s="224"/>
      <c r="W32" s="178">
        <v>305.2</v>
      </c>
      <c r="X32" s="240"/>
      <c r="Y32" s="240"/>
      <c r="Z32" s="178">
        <v>38.159999999999997</v>
      </c>
      <c r="AD32" s="141"/>
      <c r="AE32" s="177">
        <v>673120</v>
      </c>
    </row>
    <row r="33" spans="2:32" ht="14.25" customHeight="1" x14ac:dyDescent="0.25">
      <c r="B33" s="166" t="s">
        <v>133</v>
      </c>
      <c r="C33" s="167">
        <v>6011</v>
      </c>
      <c r="D33" s="167">
        <v>28040</v>
      </c>
      <c r="E33" s="168">
        <v>673130</v>
      </c>
      <c r="F33" s="95" t="s">
        <v>162</v>
      </c>
      <c r="G33" s="169"/>
      <c r="H33" s="112">
        <f t="shared" si="6"/>
        <v>0</v>
      </c>
      <c r="I33" s="131"/>
      <c r="J33" s="223"/>
      <c r="K33" s="171">
        <f t="shared" si="4"/>
        <v>0</v>
      </c>
      <c r="L33" s="172" t="s">
        <v>136</v>
      </c>
      <c r="M33" s="170"/>
      <c r="N33" s="171">
        <f t="shared" si="5"/>
        <v>0</v>
      </c>
      <c r="O33" s="173" t="s">
        <v>136</v>
      </c>
      <c r="P33" s="170"/>
      <c r="Q33" s="174"/>
      <c r="R33" s="11"/>
      <c r="S33" s="170"/>
      <c r="T33" s="174"/>
      <c r="U33" s="131"/>
      <c r="V33" s="224"/>
      <c r="W33" s="174"/>
      <c r="X33" s="176"/>
      <c r="Y33" s="175"/>
      <c r="Z33" s="174"/>
      <c r="AE33" s="177">
        <v>673130</v>
      </c>
    </row>
    <row r="34" spans="2:32" ht="14.25" customHeight="1" x14ac:dyDescent="0.25">
      <c r="B34" s="166" t="s">
        <v>133</v>
      </c>
      <c r="C34" s="167">
        <v>6011</v>
      </c>
      <c r="D34" s="167">
        <v>28040</v>
      </c>
      <c r="E34" s="168">
        <v>673140</v>
      </c>
      <c r="F34" s="95" t="s">
        <v>163</v>
      </c>
      <c r="G34" s="169"/>
      <c r="H34" s="112">
        <f t="shared" si="6"/>
        <v>0</v>
      </c>
      <c r="I34" s="131"/>
      <c r="J34" s="223"/>
      <c r="K34" s="180">
        <f t="shared" si="4"/>
        <v>0</v>
      </c>
      <c r="L34" s="172" t="s">
        <v>139</v>
      </c>
      <c r="M34" s="170"/>
      <c r="N34" s="180">
        <f>+T34+Z34</f>
        <v>0</v>
      </c>
      <c r="O34" s="173" t="s">
        <v>139</v>
      </c>
      <c r="P34" s="170"/>
      <c r="Q34" s="190"/>
      <c r="R34" s="11"/>
      <c r="S34" s="170"/>
      <c r="T34" s="190"/>
      <c r="U34" s="131"/>
      <c r="V34" s="224"/>
      <c r="W34" s="190"/>
      <c r="X34" s="176"/>
      <c r="Y34" s="175"/>
      <c r="Z34" s="190"/>
      <c r="AE34" s="186">
        <v>673140</v>
      </c>
    </row>
    <row r="35" spans="2:32" ht="14.25" customHeight="1" x14ac:dyDescent="0.25">
      <c r="B35" s="166" t="s">
        <v>133</v>
      </c>
      <c r="C35" s="167">
        <v>6011</v>
      </c>
      <c r="D35" s="167">
        <v>28040</v>
      </c>
      <c r="E35" s="168">
        <v>673160</v>
      </c>
      <c r="F35" s="95" t="s">
        <v>164</v>
      </c>
      <c r="G35" s="169"/>
      <c r="H35" s="112">
        <f t="shared" si="6"/>
        <v>0</v>
      </c>
      <c r="I35" s="131"/>
      <c r="J35" s="223"/>
      <c r="K35" s="180">
        <f t="shared" si="4"/>
        <v>0</v>
      </c>
      <c r="L35" s="172" t="s">
        <v>139</v>
      </c>
      <c r="M35" s="170"/>
      <c r="N35" s="180">
        <f>+T35+Z35</f>
        <v>0</v>
      </c>
      <c r="O35" s="173" t="s">
        <v>139</v>
      </c>
      <c r="P35" s="170"/>
      <c r="Q35" s="190"/>
      <c r="R35" s="11"/>
      <c r="S35" s="170"/>
      <c r="T35" s="190"/>
      <c r="U35" s="131"/>
      <c r="V35" s="224"/>
      <c r="W35" s="190"/>
      <c r="X35" s="176"/>
      <c r="Y35" s="175"/>
      <c r="Z35" s="190"/>
      <c r="AE35" s="186">
        <v>673160</v>
      </c>
    </row>
    <row r="36" spans="2:32" ht="14.25" customHeight="1" x14ac:dyDescent="0.25">
      <c r="B36" s="166" t="s">
        <v>133</v>
      </c>
      <c r="C36" s="167">
        <v>6011</v>
      </c>
      <c r="D36" s="167">
        <v>28040</v>
      </c>
      <c r="E36" s="168">
        <v>673180</v>
      </c>
      <c r="F36" s="95" t="s">
        <v>165</v>
      </c>
      <c r="G36" s="169"/>
      <c r="H36" s="112">
        <f t="shared" si="6"/>
        <v>0</v>
      </c>
      <c r="I36" s="131"/>
      <c r="J36" s="223"/>
      <c r="K36" s="171">
        <f>+Q36+W36</f>
        <v>0</v>
      </c>
      <c r="L36" s="172" t="s">
        <v>136</v>
      </c>
      <c r="M36" s="170"/>
      <c r="N36" s="171">
        <f>+T36+Z36</f>
        <v>0</v>
      </c>
      <c r="O36" s="173" t="s">
        <v>136</v>
      </c>
      <c r="P36" s="170"/>
      <c r="Q36" s="174"/>
      <c r="R36" s="11"/>
      <c r="S36" s="170"/>
      <c r="T36" s="174"/>
      <c r="U36" s="131"/>
      <c r="V36" s="224"/>
      <c r="W36" s="174"/>
      <c r="X36" s="239"/>
      <c r="Y36" s="239"/>
      <c r="Z36" s="174"/>
      <c r="AE36" s="177">
        <v>673180</v>
      </c>
    </row>
    <row r="37" spans="2:32" ht="14.25" customHeight="1" x14ac:dyDescent="0.25">
      <c r="B37" s="166" t="s">
        <v>133</v>
      </c>
      <c r="C37" s="167">
        <v>6011</v>
      </c>
      <c r="D37" s="167">
        <v>28040</v>
      </c>
      <c r="E37" s="168">
        <v>673190</v>
      </c>
      <c r="F37" s="241" t="s">
        <v>166</v>
      </c>
      <c r="G37" s="169"/>
      <c r="H37" s="242">
        <f t="shared" si="6"/>
        <v>0</v>
      </c>
      <c r="I37" s="131"/>
      <c r="J37" s="223"/>
      <c r="K37" s="180">
        <f t="shared" si="4"/>
        <v>0</v>
      </c>
      <c r="L37" s="172" t="s">
        <v>139</v>
      </c>
      <c r="M37" s="231"/>
      <c r="N37" s="180">
        <f>+T37+Z37</f>
        <v>0</v>
      </c>
      <c r="O37" s="173" t="s">
        <v>139</v>
      </c>
      <c r="P37" s="231"/>
      <c r="Q37" s="190"/>
      <c r="R37" s="11"/>
      <c r="S37" s="231"/>
      <c r="T37" s="207"/>
      <c r="U37" s="131"/>
      <c r="V37" s="243"/>
      <c r="W37" s="190"/>
      <c r="X37" s="176"/>
      <c r="Y37" s="175"/>
      <c r="Z37" s="190"/>
      <c r="AE37" s="186">
        <v>673190</v>
      </c>
    </row>
    <row r="38" spans="2:32" ht="15" x14ac:dyDescent="0.25">
      <c r="F38" s="95" t="s">
        <v>167</v>
      </c>
      <c r="G38" s="234"/>
      <c r="H38" s="112">
        <f>SUM(H24:H37)</f>
        <v>637599.99</v>
      </c>
      <c r="I38" s="131"/>
      <c r="J38" s="245"/>
      <c r="K38" s="213">
        <f>SUM(K24:K37)</f>
        <v>568221.39</v>
      </c>
      <c r="L38" s="172"/>
      <c r="M38" s="11"/>
      <c r="N38" s="213">
        <f>SUM(N24:N37)</f>
        <v>69378.600000000006</v>
      </c>
      <c r="O38" s="131"/>
      <c r="P38" s="246"/>
      <c r="Q38" s="214">
        <f>SUM(Q24:Q37)</f>
        <v>567916.18999999994</v>
      </c>
      <c r="R38" s="172"/>
      <c r="S38" s="234"/>
      <c r="T38" s="214">
        <f>SUM(T24:T37)</f>
        <v>69340.44</v>
      </c>
      <c r="U38" s="131"/>
      <c r="W38" s="214">
        <f>SUM(W24:W37)</f>
        <v>305.2</v>
      </c>
      <c r="Y38" s="247"/>
      <c r="Z38" s="214">
        <f>SUM(Z24:Z37)</f>
        <v>38.159999999999997</v>
      </c>
      <c r="AB38" s="216">
        <f>SUM(AB24:AB37)</f>
        <v>0</v>
      </c>
      <c r="AC38" s="216">
        <f>SUM(AC24:AC37)</f>
        <v>0</v>
      </c>
      <c r="AD38" s="216"/>
    </row>
    <row r="39" spans="2:32" ht="14.1" customHeight="1" x14ac:dyDescent="0.25">
      <c r="F39" s="233"/>
      <c r="G39" s="11"/>
      <c r="H39" s="248"/>
      <c r="I39" s="131"/>
      <c r="J39" s="245"/>
      <c r="K39" s="249"/>
      <c r="L39" s="250"/>
      <c r="M39" s="245"/>
      <c r="N39" s="249"/>
      <c r="O39" s="131"/>
      <c r="P39" s="251"/>
      <c r="Q39" s="252"/>
      <c r="R39" s="246"/>
      <c r="S39" s="251"/>
      <c r="T39" s="252"/>
      <c r="U39" s="131"/>
      <c r="V39" s="253"/>
      <c r="W39" s="248"/>
      <c r="Z39" s="254"/>
      <c r="AB39" s="130"/>
      <c r="AC39" s="130"/>
      <c r="AD39" s="130"/>
    </row>
    <row r="40" spans="2:32" ht="15.75" customHeight="1" x14ac:dyDescent="0.25">
      <c r="F40" s="255" t="s">
        <v>168</v>
      </c>
      <c r="G40" s="234">
        <f>+G38+G22+G15</f>
        <v>15830654</v>
      </c>
      <c r="H40" s="112">
        <f>+H38+H22+H15</f>
        <v>9025524.5899999999</v>
      </c>
      <c r="I40" s="131"/>
      <c r="J40" s="255">
        <f>+J38+J22+J15</f>
        <v>11320459</v>
      </c>
      <c r="K40" s="214">
        <f>+K38+K22+K15</f>
        <v>6908102.040000001</v>
      </c>
      <c r="L40" s="256"/>
      <c r="M40" s="255">
        <f>+M38+M22+M15</f>
        <v>4510195</v>
      </c>
      <c r="N40" s="214">
        <f>+N38+N22+N15</f>
        <v>2117422.5499999998</v>
      </c>
      <c r="O40" s="151"/>
      <c r="P40" s="257">
        <f>+P38+P22+P15</f>
        <v>11320824</v>
      </c>
      <c r="Q40" s="258">
        <f>+Q38+Q22+Q15</f>
        <v>6920944.7200000007</v>
      </c>
      <c r="R40" s="96"/>
      <c r="S40" s="257">
        <f>+S38+S22+S15</f>
        <v>4509830</v>
      </c>
      <c r="T40" s="258">
        <f>+T38+T22+T15</f>
        <v>2111124.2000000002</v>
      </c>
      <c r="U40" s="131"/>
      <c r="V40" s="13">
        <f>+V38+V22+V15</f>
        <v>-365</v>
      </c>
      <c r="W40" s="214">
        <f>+W38+W22+W15</f>
        <v>-12842.679999999998</v>
      </c>
      <c r="Y40" s="13">
        <f>+Y38+Y22+Y15</f>
        <v>365</v>
      </c>
      <c r="Z40" s="214">
        <f>+Z38+Z22+Z15</f>
        <v>6298.3499999999985</v>
      </c>
      <c r="AB40" s="216">
        <f>+AB38+AB22+AB15</f>
        <v>0</v>
      </c>
      <c r="AC40" s="216">
        <f>+AC38+AC22+AC15</f>
        <v>0</v>
      </c>
      <c r="AD40" s="216"/>
      <c r="AE40" s="228"/>
    </row>
    <row r="41" spans="2:32" ht="14.1" customHeight="1" x14ac:dyDescent="0.25">
      <c r="H41" s="259"/>
      <c r="I41" s="131"/>
      <c r="J41" s="260"/>
      <c r="K41" s="221"/>
      <c r="L41" s="250"/>
      <c r="M41" s="260"/>
      <c r="N41" s="221"/>
      <c r="O41" s="131"/>
      <c r="P41" s="246"/>
      <c r="Q41" s="100"/>
      <c r="R41" s="246"/>
      <c r="S41" s="246"/>
      <c r="T41" s="100"/>
      <c r="U41" s="131"/>
      <c r="W41" s="254"/>
      <c r="Z41" s="254"/>
    </row>
    <row r="42" spans="2:32" ht="14.1" customHeight="1" x14ac:dyDescent="0.25">
      <c r="C42" s="11" t="s">
        <v>169</v>
      </c>
      <c r="I42" s="131"/>
      <c r="J42" s="261"/>
      <c r="K42" s="262">
        <f>+K8+K9+K10+K11+K12+K13+K14+K18+K26+K27+K28+K31+K34+K35+K37</f>
        <v>2829094.8900000006</v>
      </c>
      <c r="L42" s="250" t="s">
        <v>139</v>
      </c>
      <c r="M42" s="260"/>
      <c r="N42" s="263">
        <f>+N8+N9+N10+N11+N12+N13+N14+N18+N26+N31+N34+N35+N37+N27+N28</f>
        <v>1152525.1300000001</v>
      </c>
      <c r="O42" s="173" t="s">
        <v>139</v>
      </c>
      <c r="P42" s="246"/>
      <c r="Q42" s="264">
        <f>+Q8+Q9+Q10+Q11+Q12+Q13+Q14+Q18+Q26+Q27+Q28+Q31+Q34+Q35+Q37</f>
        <v>2833074.29</v>
      </c>
      <c r="R42" s="246"/>
      <c r="S42" s="261"/>
      <c r="T42" s="264">
        <f>+T8+T10+T9+T11+T12+T13+T14+T18+T26+T31+T34+T35+T37+T27+T28</f>
        <v>1142904.6299999999</v>
      </c>
      <c r="U42" s="131"/>
      <c r="W42" s="264">
        <f>+W8+W9+W10+W11+W12+W13+W14+W18+W26+W27+W28+W31+W34+W35+W37</f>
        <v>-3979.4</v>
      </c>
      <c r="Z42" s="264">
        <f>Z9+Z10+Z11+Z12+Z13+Z14+Z18+Z26+Z31+Z34+Z35+Z37+Z8+Z27+Z28</f>
        <v>9620.5</v>
      </c>
      <c r="AB42" s="265">
        <f>+AB8+AB9+AB10+AB11+AB12+AB13+AB14+AB18+AB26+AB27+AB28+AB29+AB31+AB34+AB35+AB37</f>
        <v>0</v>
      </c>
      <c r="AC42" s="265">
        <f>+AC6+AC8+AC9+AC10+AC11+AC12+AC13+AC14+AC18+AC26+AC31+AC34+AC35+AC37</f>
        <v>0</v>
      </c>
    </row>
    <row r="43" spans="2:32" ht="14.1" customHeight="1" x14ac:dyDescent="0.25">
      <c r="C43" s="11" t="s">
        <v>170</v>
      </c>
      <c r="I43" s="131"/>
      <c r="J43" s="261"/>
      <c r="K43" s="262">
        <f>+K6+K7+K17+K24+K25+K30+K32+K33+K36+K19+K20+K21+K29</f>
        <v>4079007.1500000004</v>
      </c>
      <c r="L43" s="250" t="s">
        <v>136</v>
      </c>
      <c r="M43" s="260"/>
      <c r="N43" s="263">
        <f>N6+N7+N17+N24+N25+N30+N32+N33+N36+N19+N20+N21+N29</f>
        <v>964897.42</v>
      </c>
      <c r="O43" s="173" t="s">
        <v>136</v>
      </c>
      <c r="P43" s="246"/>
      <c r="Q43" s="266">
        <f>Q6+Q7+Q17+Q24+Q25+Q30+Q32+Q33+Q36+Q19+Q20+Q21+Q29</f>
        <v>4087870.4300000006</v>
      </c>
      <c r="R43" s="246"/>
      <c r="S43" s="261"/>
      <c r="T43" s="266">
        <f>+T7+T6+T17+T24+T25+T30+T32+T33+T36+T19+T20+T21+T29</f>
        <v>968219.57000000007</v>
      </c>
      <c r="U43" s="131"/>
      <c r="W43" s="266">
        <f>W6+W7+W17+W24+W25+W30+W32+W33+W36+W19+W20+W21+W29</f>
        <v>-8863.2799999999988</v>
      </c>
      <c r="Z43" s="266">
        <f>+Z7+Z17+Z24+Z25+Z30+Z32+Z33+Z36+Z19+Z20+Z21+Z29+Z6</f>
        <v>-3322.1499999999996</v>
      </c>
      <c r="AB43" s="267">
        <f>AB6+AB7+AB17+AB24+AB25+AB30+AB32+AB33+AB36</f>
        <v>0</v>
      </c>
      <c r="AC43" s="267">
        <f>+AC7+AC17+AC24+AC25+AC27+AC28+AC29+AC30+AC32+AC33+AC36</f>
        <v>0</v>
      </c>
    </row>
    <row r="44" spans="2:32" ht="15" customHeight="1" x14ac:dyDescent="0.25">
      <c r="C44" s="11" t="s">
        <v>12</v>
      </c>
      <c r="I44" s="131"/>
      <c r="J44" s="260"/>
      <c r="K44" s="214">
        <f>SUM(K42:K43)</f>
        <v>6908102.040000001</v>
      </c>
      <c r="L44" s="268"/>
      <c r="M44" s="260"/>
      <c r="N44" s="214">
        <f>SUM(N42:N43)</f>
        <v>2117422.5500000003</v>
      </c>
      <c r="O44" s="131"/>
      <c r="P44" s="246"/>
      <c r="Q44" s="214">
        <f>SUM(Q42:Q43)</f>
        <v>6920944.7200000007</v>
      </c>
      <c r="R44" s="246"/>
      <c r="S44" s="246"/>
      <c r="T44" s="214">
        <f>SUM(T42:T43)</f>
        <v>2111124.2000000002</v>
      </c>
      <c r="U44" s="131"/>
      <c r="W44" s="258">
        <f>SUM(W42:W43)</f>
        <v>-12842.679999999998</v>
      </c>
      <c r="Z44" s="258">
        <f>SUM(Z42:Z43)</f>
        <v>6298.35</v>
      </c>
      <c r="AB44" s="269">
        <f>SUM(AB42:AB43)</f>
        <v>0</v>
      </c>
      <c r="AC44" s="269">
        <f>SUM(AC42:AC43)</f>
        <v>0</v>
      </c>
      <c r="AD44" s="270"/>
      <c r="AE44" s="16">
        <f>+Z44+W44</f>
        <v>-6544.3299999999981</v>
      </c>
    </row>
    <row r="45" spans="2:32" ht="15" customHeight="1" x14ac:dyDescent="0.25">
      <c r="K45" s="271"/>
      <c r="M45" s="169" t="s">
        <v>171</v>
      </c>
      <c r="AE45" s="16">
        <f>+[2]Invoices!$N$68</f>
        <v>-6544.3261224000089</v>
      </c>
      <c r="AF45" s="95" t="s">
        <v>172</v>
      </c>
    </row>
    <row r="46" spans="2:32" ht="15" x14ac:dyDescent="0.25">
      <c r="K46" s="271" t="s">
        <v>173</v>
      </c>
      <c r="M46" s="272">
        <f>K44+N44</f>
        <v>9025524.5900000017</v>
      </c>
      <c r="P46" s="273" t="s">
        <v>174</v>
      </c>
      <c r="Q46" s="274">
        <f>Q44-Q11-Q12-Q13</f>
        <v>9548120.3400000017</v>
      </c>
      <c r="R46" s="133"/>
      <c r="S46" s="273" t="s">
        <v>174</v>
      </c>
      <c r="T46" s="274">
        <f>T44-T11-T12-T13</f>
        <v>2112422.2600000002</v>
      </c>
      <c r="W46" s="228"/>
      <c r="AE46" s="275">
        <f>+AE44-AE45</f>
        <v>-3.877599989209557E-3</v>
      </c>
    </row>
    <row r="47" spans="2:32" ht="15" customHeight="1" x14ac:dyDescent="0.25">
      <c r="F47" s="276"/>
      <c r="K47" s="271" t="s">
        <v>175</v>
      </c>
      <c r="M47" s="277">
        <v>10758617.59</v>
      </c>
      <c r="P47" s="278" t="s">
        <v>176</v>
      </c>
      <c r="Q47" s="279">
        <f>W44</f>
        <v>-12842.679999999998</v>
      </c>
      <c r="R47" s="198"/>
      <c r="S47" s="278" t="s">
        <v>176</v>
      </c>
      <c r="T47" s="279">
        <f>Z44</f>
        <v>6298.35</v>
      </c>
      <c r="W47" s="280"/>
    </row>
    <row r="48" spans="2:32" ht="15" customHeight="1" x14ac:dyDescent="0.25">
      <c r="F48" s="276"/>
      <c r="G48" s="13" t="s">
        <v>177</v>
      </c>
      <c r="K48" s="271">
        <v>28051</v>
      </c>
      <c r="M48" s="15">
        <v>-137872.44</v>
      </c>
      <c r="Q48" s="281">
        <f>Q46+Q47</f>
        <v>9535277.660000002</v>
      </c>
      <c r="R48" s="282"/>
      <c r="S48" s="282"/>
      <c r="T48" s="281">
        <f>T46+T47</f>
        <v>2118720.6100000003</v>
      </c>
      <c r="U48" s="280"/>
      <c r="V48" s="280"/>
      <c r="W48" s="283"/>
      <c r="Z48" s="130"/>
    </row>
    <row r="49" spans="2:26" ht="15" customHeight="1" x14ac:dyDescent="0.25">
      <c r="F49" s="276"/>
      <c r="K49" s="271">
        <v>28051</v>
      </c>
      <c r="M49" s="6">
        <v>-1595220.56</v>
      </c>
      <c r="Q49" s="284"/>
      <c r="R49" s="285"/>
      <c r="S49" s="285"/>
      <c r="T49" s="286"/>
      <c r="U49" s="280"/>
      <c r="V49" s="280"/>
      <c r="W49" s="283"/>
      <c r="Z49" s="130"/>
    </row>
    <row r="50" spans="2:26" ht="15" customHeight="1" x14ac:dyDescent="0.25">
      <c r="F50" s="276"/>
      <c r="K50" s="271" t="s">
        <v>178</v>
      </c>
      <c r="M50" s="272">
        <f>+M47+M48+M49</f>
        <v>9025524.5899999999</v>
      </c>
      <c r="N50" s="13"/>
      <c r="Q50" s="284"/>
      <c r="T50" s="284"/>
      <c r="U50" s="280"/>
      <c r="V50" s="280"/>
      <c r="W50" s="283"/>
      <c r="Z50" s="130"/>
    </row>
    <row r="51" spans="2:26" ht="15" customHeight="1" x14ac:dyDescent="0.25">
      <c r="F51" s="276"/>
      <c r="K51" s="271"/>
      <c r="M51" s="254">
        <f>+M46-M50</f>
        <v>0</v>
      </c>
      <c r="T51" s="284"/>
      <c r="U51" s="280"/>
      <c r="V51" s="280"/>
      <c r="W51" s="283"/>
      <c r="Z51" s="130"/>
    </row>
    <row r="52" spans="2:26" ht="15" customHeight="1" x14ac:dyDescent="0.25">
      <c r="F52" s="276"/>
      <c r="Q52" s="284"/>
      <c r="T52" s="284"/>
      <c r="U52" s="280"/>
      <c r="V52" s="280"/>
      <c r="W52" s="283"/>
      <c r="Z52" s="130"/>
    </row>
    <row r="53" spans="2:26" ht="15" customHeight="1" x14ac:dyDescent="0.25">
      <c r="F53" s="276"/>
      <c r="L53" s="287"/>
      <c r="M53" s="288" t="s">
        <v>1</v>
      </c>
      <c r="N53" s="14" t="s">
        <v>179</v>
      </c>
      <c r="Q53" s="289"/>
      <c r="R53" s="282"/>
      <c r="S53" s="282"/>
      <c r="T53" s="289"/>
      <c r="Z53" s="130"/>
    </row>
    <row r="54" spans="2:26" ht="14.1" customHeight="1" x14ac:dyDescent="0.25">
      <c r="L54" s="142"/>
      <c r="M54" s="288" t="s">
        <v>180</v>
      </c>
      <c r="N54" s="14" t="s">
        <v>181</v>
      </c>
      <c r="P54" s="96"/>
      <c r="Q54" s="289"/>
      <c r="T54" s="289"/>
      <c r="Z54" s="130"/>
    </row>
    <row r="55" spans="2:26" ht="14.1" customHeight="1" x14ac:dyDescent="0.25">
      <c r="B55" s="13"/>
      <c r="L55" s="142"/>
      <c r="M55" s="288" t="s">
        <v>182</v>
      </c>
      <c r="N55" s="14" t="s">
        <v>183</v>
      </c>
    </row>
    <row r="56" spans="2:26" ht="14.1" customHeight="1" x14ac:dyDescent="0.25">
      <c r="B56" s="290"/>
      <c r="L56" s="142"/>
      <c r="M56" s="288" t="s">
        <v>184</v>
      </c>
      <c r="N56" s="14" t="s">
        <v>185</v>
      </c>
      <c r="W56" s="291"/>
    </row>
    <row r="57" spans="2:26" ht="14.1" customHeight="1" x14ac:dyDescent="0.25">
      <c r="L57" s="142"/>
      <c r="M57" s="288" t="s">
        <v>186</v>
      </c>
      <c r="N57" s="292" t="s">
        <v>26</v>
      </c>
    </row>
    <row r="58" spans="2:26" ht="14.1" customHeight="1" x14ac:dyDescent="0.25">
      <c r="L58" s="142"/>
      <c r="M58" s="288" t="s">
        <v>187</v>
      </c>
      <c r="N58" s="14" t="s">
        <v>188</v>
      </c>
    </row>
    <row r="59" spans="2:26" ht="14.1" customHeight="1" x14ac:dyDescent="0.25">
      <c r="L59" s="142"/>
      <c r="M59" s="288" t="s">
        <v>189</v>
      </c>
      <c r="N59" s="14" t="s">
        <v>190</v>
      </c>
    </row>
    <row r="60" spans="2:26" ht="14.1" customHeight="1" x14ac:dyDescent="0.25">
      <c r="L60" s="142"/>
      <c r="M60" s="288" t="s">
        <v>191</v>
      </c>
      <c r="N60" s="14" t="s">
        <v>192</v>
      </c>
    </row>
    <row r="61" spans="2:26" ht="14.1" customHeight="1" x14ac:dyDescent="0.25">
      <c r="L61" s="293"/>
      <c r="M61" s="294"/>
      <c r="N61" s="14" t="s">
        <v>193</v>
      </c>
    </row>
    <row r="62" spans="2:26" ht="14.1" customHeight="1" thickBot="1" x14ac:dyDescent="0.3">
      <c r="P62" s="295" t="s">
        <v>132</v>
      </c>
      <c r="Q62" s="296"/>
      <c r="R62" s="295"/>
      <c r="S62" s="295" t="s">
        <v>132</v>
      </c>
      <c r="T62" s="296"/>
    </row>
    <row r="63" spans="2:26" ht="14.1" customHeight="1" x14ac:dyDescent="0.25">
      <c r="B63" s="13"/>
      <c r="J63" s="93" t="s">
        <v>194</v>
      </c>
      <c r="K63" s="14" t="s">
        <v>195</v>
      </c>
      <c r="L63" s="95"/>
      <c r="M63" s="2">
        <v>6011</v>
      </c>
      <c r="N63" s="14" t="s">
        <v>196</v>
      </c>
      <c r="P63" s="96" t="e">
        <f ca="1">_xll.GXL(1, N$53,"CURRENCY="&amp;N$58&amp;";"&amp;"WEEKLY=FALSE",N$55,N$56,N$57,N$59,J63,$M63,$N63)</f>
        <v>#NAME?</v>
      </c>
      <c r="Q63" s="297" t="e">
        <f ca="1">_xll.GXL(1, N$54,"CURRENCY="&amp;N$58&amp;";"&amp;"WEEKLY=FALSE",N$55,N$56,N$57,N$59,J63,$M63,$N63)</f>
        <v>#NAME?</v>
      </c>
      <c r="R63" s="198">
        <v>-1</v>
      </c>
      <c r="S63" s="96" t="e">
        <f ca="1">_xll.GXL(1, N$53,"CURRENCY="&amp;N$58&amp;";"&amp;"WEEKLY=FALSE",N$55,N$56,N$57,N$59,K63,$M63,$N63)</f>
        <v>#NAME?</v>
      </c>
      <c r="T63" s="297" t="e">
        <f ca="1">_xll.GXL(1, N$54,"CURRENCY="&amp;N$58&amp;";"&amp;"WEEKLY=FALSE",N$55,N$56,N$57,N$59,K63,$M63,$N63)</f>
        <v>#NAME?</v>
      </c>
      <c r="U63" s="298">
        <v>-4</v>
      </c>
    </row>
    <row r="64" spans="2:26" ht="14.1" customHeight="1" x14ac:dyDescent="0.25">
      <c r="J64" s="93" t="s">
        <v>194</v>
      </c>
      <c r="K64" s="14" t="s">
        <v>195</v>
      </c>
      <c r="L64" s="95"/>
      <c r="M64" s="2">
        <v>6011</v>
      </c>
      <c r="N64" s="2">
        <v>28082</v>
      </c>
      <c r="P64" s="96" t="e">
        <f ca="1">_xll.GXL(1, N$53,"CURRENCY="&amp;N$58&amp;";"&amp;"WEEKLY=FALSE",N$55,N$56,N$57,N$59,J64,$M64,$N64)</f>
        <v>#NAME?</v>
      </c>
      <c r="Q64" s="299" t="e">
        <f ca="1">_xll.GXL(1, N$54,"CURRENCY="&amp;N$58&amp;";"&amp;"WEEKLY=FALSE",N$55,N$56,N$57,N$59,N$60,$M64,$N64)</f>
        <v>#NAME?</v>
      </c>
      <c r="R64" s="198">
        <v>-2</v>
      </c>
      <c r="S64" s="297"/>
      <c r="T64" s="299"/>
      <c r="U64" s="298"/>
    </row>
    <row r="65" spans="2:22" ht="15" x14ac:dyDescent="0.25">
      <c r="J65" s="93" t="s">
        <v>194</v>
      </c>
      <c r="K65" s="14" t="s">
        <v>195</v>
      </c>
      <c r="L65" s="95"/>
      <c r="M65" s="2">
        <v>6011</v>
      </c>
      <c r="N65" s="2">
        <v>28120</v>
      </c>
      <c r="P65" s="96" t="e">
        <f ca="1">_xll.GXL(1, N$53,"CURRENCY="&amp;N$58&amp;";"&amp;"WEEKLY=FALSE",N$55,N$56,N$57,N$59,J65,$M65,$N65)</f>
        <v>#NAME?</v>
      </c>
      <c r="Q65" s="297" t="e">
        <f ca="1">_xll.GXL(1, N$54,"CURRENCY="&amp;N$58&amp;";"&amp;"WEEKLY=FALSE",N$55,N$56,N$57,N$59,J65,$M65,$N65)</f>
        <v>#NAME?</v>
      </c>
      <c r="R65" s="198">
        <v>-3</v>
      </c>
      <c r="S65" s="96" t="e">
        <f ca="1">_xll.GXL(1, N$53,"CURRENCY="&amp;N$58&amp;";"&amp;"WEEKLY=FALSE",N$55,N$56,N$57,N$59,K65,$M65,$N65)</f>
        <v>#NAME?</v>
      </c>
      <c r="T65" s="297" t="e">
        <f ca="1">_xll.GXL(1, N$54,"CURRENCY="&amp;N$58&amp;";"&amp;"WEEKLY=FALSE",N$55,N$56,N$57,N$59,K65,$M65,$N65)</f>
        <v>#NAME?</v>
      </c>
      <c r="U65" s="298">
        <v>-5</v>
      </c>
    </row>
    <row r="66" spans="2:22" ht="14.1" customHeight="1" x14ac:dyDescent="0.25">
      <c r="B66" s="7"/>
      <c r="P66" s="96"/>
      <c r="Q66" s="300" t="e">
        <f ca="1">SUM(Q63:Q65)</f>
        <v>#NAME?</v>
      </c>
      <c r="R66" s="153"/>
      <c r="S66" s="153"/>
      <c r="T66" s="300" t="e">
        <f ca="1">SUM(T63:T65)</f>
        <v>#NAME?</v>
      </c>
      <c r="U66" s="95"/>
    </row>
    <row r="67" spans="2:22" ht="14.1" customHeight="1" x14ac:dyDescent="0.25">
      <c r="P67" s="301"/>
      <c r="Q67" s="302"/>
      <c r="R67" s="301"/>
      <c r="S67" s="301"/>
      <c r="T67" s="302"/>
      <c r="U67" s="95"/>
    </row>
    <row r="73" spans="2:22" ht="14.1" customHeight="1" x14ac:dyDescent="0.25">
      <c r="Q73" s="141">
        <v>9776852</v>
      </c>
      <c r="S73" s="141">
        <v>2278617.61</v>
      </c>
      <c r="T73" s="141">
        <v>2102518</v>
      </c>
      <c r="V73" s="13">
        <v>317389.78000000003</v>
      </c>
    </row>
    <row r="75" spans="2:22" ht="14.1" customHeight="1" x14ac:dyDescent="0.25">
      <c r="S75" s="303">
        <f>+S73/Q73</f>
        <v>0.23306250416800825</v>
      </c>
      <c r="V75" s="304">
        <f>+V73/T73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.25" right="0" top="0.75" bottom="0" header="0.35" footer="0.24"/>
  <pageSetup scale="43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4284A-B5E0-4B5F-9689-36B20F2AC4BE}">
  <dimension ref="B1:H29"/>
  <sheetViews>
    <sheetView showGridLines="0" tabSelected="1" view="pageBreakPreview" zoomScale="60" zoomScaleNormal="130" workbookViewId="0">
      <selection activeCell="AA33" sqref="AA33"/>
    </sheetView>
  </sheetViews>
  <sheetFormatPr defaultColWidth="11.85546875" defaultRowHeight="12.75" x14ac:dyDescent="0.2"/>
  <cols>
    <col min="1" max="1" width="1.85546875" style="126" customWidth="1"/>
    <col min="2" max="2" width="10.85546875" style="126" customWidth="1"/>
    <col min="3" max="3" width="28.7109375" style="126" customWidth="1"/>
    <col min="4" max="4" width="22.28515625" style="126" customWidth="1"/>
    <col min="5" max="5" width="21.7109375" style="126" customWidth="1"/>
    <col min="6" max="6" width="20" style="126" customWidth="1"/>
    <col min="7" max="7" width="19.28515625" style="126" bestFit="1" customWidth="1"/>
    <col min="8" max="8" width="4" style="126" customWidth="1"/>
    <col min="9" max="16384" width="11.85546875" style="126"/>
  </cols>
  <sheetData>
    <row r="1" spans="2:8" ht="18" customHeight="1" x14ac:dyDescent="0.2">
      <c r="B1" s="355" t="s">
        <v>9</v>
      </c>
      <c r="C1" s="355"/>
      <c r="D1" s="355"/>
      <c r="E1" s="355"/>
      <c r="F1" s="355"/>
      <c r="G1" s="357"/>
      <c r="H1" s="356"/>
    </row>
    <row r="2" spans="2:8" ht="15" x14ac:dyDescent="0.2">
      <c r="B2" s="355" t="s">
        <v>10</v>
      </c>
      <c r="C2" s="354">
        <f>'[1]Core Cost Incurred'!B2</f>
        <v>44341</v>
      </c>
      <c r="D2" s="353"/>
      <c r="E2" s="353"/>
      <c r="F2" s="353"/>
      <c r="G2" s="353"/>
    </row>
    <row r="4" spans="2:8" ht="15" customHeight="1" thickBot="1" x14ac:dyDescent="0.25">
      <c r="B4" s="352"/>
      <c r="C4" s="352"/>
      <c r="D4" s="352"/>
      <c r="E4" s="352"/>
      <c r="F4" s="351"/>
      <c r="G4" s="350"/>
    </row>
    <row r="5" spans="2:8" ht="14.25" x14ac:dyDescent="0.2">
      <c r="B5" s="349"/>
      <c r="C5" s="349"/>
      <c r="D5" s="347" t="s">
        <v>3</v>
      </c>
      <c r="E5" s="347" t="s">
        <v>6</v>
      </c>
      <c r="F5" s="348" t="s">
        <v>11</v>
      </c>
      <c r="G5" s="347" t="s">
        <v>12</v>
      </c>
    </row>
    <row r="6" spans="2:8" ht="15" x14ac:dyDescent="0.25">
      <c r="B6" s="329" t="s">
        <v>13</v>
      </c>
      <c r="C6" s="346"/>
      <c r="D6" s="344">
        <v>692010</v>
      </c>
      <c r="E6" s="344">
        <v>691010</v>
      </c>
      <c r="F6" s="345">
        <v>693010</v>
      </c>
      <c r="G6" s="344"/>
    </row>
    <row r="7" spans="2:8" ht="15.75" customHeight="1" x14ac:dyDescent="0.2">
      <c r="B7" s="343" t="s">
        <v>14</v>
      </c>
      <c r="C7" s="343"/>
      <c r="D7" s="320"/>
      <c r="E7" s="320"/>
      <c r="F7" s="339"/>
      <c r="G7" s="313">
        <f>SUM(D7:F7)</f>
        <v>0</v>
      </c>
    </row>
    <row r="8" spans="2:8" ht="15.75" customHeight="1" x14ac:dyDescent="0.2">
      <c r="B8" s="342" t="s">
        <v>15</v>
      </c>
      <c r="C8" s="342"/>
      <c r="D8" s="341">
        <f>+'[1]WA Rates'!K39</f>
        <v>2798281.82</v>
      </c>
      <c r="E8" s="341">
        <f>+'[1]WA Rates'!L39</f>
        <v>1828395.8699999999</v>
      </c>
      <c r="F8" s="340">
        <f>+'[1]WA Rates'!M39</f>
        <v>1900847.0699999996</v>
      </c>
      <c r="G8" s="313">
        <f>SUM(D8:F8)</f>
        <v>6527524.7599999988</v>
      </c>
    </row>
    <row r="9" spans="2:8" ht="15.75" customHeight="1" x14ac:dyDescent="0.2">
      <c r="B9" s="315" t="s">
        <v>16</v>
      </c>
      <c r="C9" s="315"/>
      <c r="D9" s="320">
        <f>SUM(D7:D8)</f>
        <v>2798281.82</v>
      </c>
      <c r="E9" s="320">
        <f>SUM(E7:E8)</f>
        <v>1828395.8699999999</v>
      </c>
      <c r="F9" s="339">
        <f>SUM(F7:F8)</f>
        <v>1900847.0699999996</v>
      </c>
      <c r="G9" s="338">
        <f>SUM(G7:G8)</f>
        <v>6527524.7599999988</v>
      </c>
    </row>
    <row r="10" spans="2:8" ht="15.75" customHeight="1" x14ac:dyDescent="0.2">
      <c r="B10" s="315" t="s">
        <v>18</v>
      </c>
      <c r="C10" s="315"/>
      <c r="D10" s="337">
        <f>'[1]Core Cost Incurred'!K42</f>
        <v>2829094.8900000006</v>
      </c>
      <c r="E10" s="337">
        <f>'[1]Core Cost Incurred'!K43</f>
        <v>4079007.1500000004</v>
      </c>
      <c r="F10" s="336">
        <v>0</v>
      </c>
      <c r="G10" s="335">
        <f>SUM(D10:E10)</f>
        <v>6908102.040000001</v>
      </c>
    </row>
    <row r="11" spans="2:8" ht="15.75" customHeight="1" x14ac:dyDescent="0.2">
      <c r="B11" s="315" t="s">
        <v>19</v>
      </c>
      <c r="C11" s="315"/>
      <c r="D11" s="328">
        <f>D9-D10</f>
        <v>-30813.070000000764</v>
      </c>
      <c r="E11" s="334">
        <f>E9-E10</f>
        <v>-2250611.2800000003</v>
      </c>
      <c r="F11" s="334">
        <f>F9-F10</f>
        <v>1900847.0699999996</v>
      </c>
      <c r="G11" s="328">
        <f>G9-G10</f>
        <v>-380577.28000000212</v>
      </c>
    </row>
    <row r="12" spans="2:8" ht="15.75" customHeight="1" x14ac:dyDescent="0.2">
      <c r="B12" s="315" t="s">
        <v>20</v>
      </c>
      <c r="C12" s="315"/>
      <c r="D12" s="333">
        <v>1798.22</v>
      </c>
      <c r="E12" s="332"/>
      <c r="F12" s="331"/>
      <c r="G12" s="330">
        <f>D12</f>
        <v>1798.22</v>
      </c>
    </row>
    <row r="13" spans="2:8" ht="15.75" customHeight="1" x14ac:dyDescent="0.2">
      <c r="B13" s="329" t="s">
        <v>21</v>
      </c>
      <c r="C13" s="329"/>
      <c r="D13" s="328"/>
      <c r="E13" s="328">
        <f>358876.62</f>
        <v>358876.62</v>
      </c>
      <c r="F13" s="327"/>
      <c r="G13" s="313">
        <f>E13</f>
        <v>358876.62</v>
      </c>
    </row>
    <row r="14" spans="2:8" ht="15.75" customHeight="1" x14ac:dyDescent="0.25">
      <c r="B14" s="326" t="s">
        <v>22</v>
      </c>
      <c r="C14" s="325"/>
      <c r="D14" s="323">
        <f>+D9-D10+D12</f>
        <v>-29014.850000000763</v>
      </c>
      <c r="E14" s="323">
        <f>+E11+E13</f>
        <v>-1891734.6600000001</v>
      </c>
      <c r="F14" s="324">
        <f>+F9-F10</f>
        <v>1900847.0699999996</v>
      </c>
      <c r="G14" s="323">
        <f>G11+G13+G12</f>
        <v>-19902.440000002127</v>
      </c>
    </row>
    <row r="15" spans="2:8" ht="14.25" customHeight="1" x14ac:dyDescent="0.2">
      <c r="D15" s="315"/>
      <c r="E15" s="315"/>
      <c r="F15" s="321"/>
      <c r="G15" s="315"/>
    </row>
    <row r="16" spans="2:8" ht="14.25" customHeight="1" x14ac:dyDescent="0.2">
      <c r="D16" s="315" t="s">
        <v>23</v>
      </c>
      <c r="E16" s="315"/>
      <c r="F16" s="321"/>
      <c r="G16" s="315"/>
    </row>
    <row r="17" spans="2:7" ht="14.25" customHeight="1" x14ac:dyDescent="0.2">
      <c r="D17" s="315"/>
      <c r="E17" s="322"/>
      <c r="F17" s="321"/>
      <c r="G17" s="315"/>
    </row>
    <row r="18" spans="2:7" ht="14.25" customHeight="1" x14ac:dyDescent="0.2">
      <c r="B18" s="312" t="s">
        <v>24</v>
      </c>
      <c r="C18" s="312"/>
      <c r="D18" s="320" t="s">
        <v>4</v>
      </c>
      <c r="E18" s="319" t="s">
        <v>4</v>
      </c>
      <c r="F18" s="318"/>
      <c r="G18" s="308"/>
    </row>
    <row r="19" spans="2:7" ht="14.25" customHeight="1" x14ac:dyDescent="0.2">
      <c r="D19" s="317"/>
      <c r="E19" s="317"/>
      <c r="F19" s="316"/>
      <c r="G19" s="315"/>
    </row>
    <row r="20" spans="2:7" ht="14.25" customHeight="1" x14ac:dyDescent="0.2">
      <c r="D20" s="313">
        <f>-D14</f>
        <v>29014.850000000763</v>
      </c>
      <c r="E20" s="313">
        <f>-E11-E13</f>
        <v>1891734.6600000001</v>
      </c>
      <c r="F20" s="314">
        <f>-F14</f>
        <v>-1900847.0699999996</v>
      </c>
      <c r="G20" s="313">
        <f>SUM(D20:F20)</f>
        <v>19902.440000001341</v>
      </c>
    </row>
    <row r="21" spans="2:7" ht="14.25" customHeight="1" thickBot="1" x14ac:dyDescent="0.25">
      <c r="B21" s="312" t="s">
        <v>25</v>
      </c>
      <c r="C21" s="312"/>
      <c r="D21" s="311" t="s">
        <v>5</v>
      </c>
      <c r="E21" s="310" t="s">
        <v>7</v>
      </c>
      <c r="F21" s="309"/>
      <c r="G21" s="308"/>
    </row>
    <row r="23" spans="2:7" x14ac:dyDescent="0.2">
      <c r="E23" s="307"/>
      <c r="F23" s="306"/>
    </row>
    <row r="24" spans="2:7" x14ac:dyDescent="0.2">
      <c r="E24" s="307"/>
      <c r="F24" s="306"/>
    </row>
    <row r="25" spans="2:7" x14ac:dyDescent="0.2">
      <c r="E25" s="307"/>
      <c r="F25" s="306"/>
    </row>
    <row r="26" spans="2:7" x14ac:dyDescent="0.2">
      <c r="F26" s="306"/>
    </row>
    <row r="29" spans="2:7" x14ac:dyDescent="0.2">
      <c r="B29" s="305"/>
      <c r="C29" s="305"/>
    </row>
  </sheetData>
  <mergeCells count="3">
    <mergeCell ref="B4:E4"/>
    <mergeCell ref="B7:C7"/>
    <mergeCell ref="B8:C8"/>
  </mergeCells>
  <pageMargins left="0.75" right="0.75" top="0.7" bottom="1" header="0.7" footer="0.5"/>
  <pageSetup scale="65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2021-06-29T07:00:00+00:00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29C5D505-02E1-4B90-BDF8-C24F82650335}"/>
</file>

<file path=customXml/itemProps2.xml><?xml version="1.0" encoding="utf-8"?>
<ds:datastoreItem xmlns:ds="http://schemas.openxmlformats.org/officeDocument/2006/customXml" ds:itemID="{26256FFB-23F6-4DEC-BEC1-91A3B7AA3436}"/>
</file>

<file path=customXml/itemProps3.xml><?xml version="1.0" encoding="utf-8"?>
<ds:datastoreItem xmlns:ds="http://schemas.openxmlformats.org/officeDocument/2006/customXml" ds:itemID="{9B2BB161-04A7-4D32-B6D3-3933DBB38CBD}"/>
</file>

<file path=customXml/itemProps4.xml><?xml version="1.0" encoding="utf-8"?>
<ds:datastoreItem xmlns:ds="http://schemas.openxmlformats.org/officeDocument/2006/customXml" ds:itemID="{7EFCDBB3-90D6-49A0-BFD0-C624A2163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2021-06-24T23:33:39Z</dcterms:created>
  <dcterms:modified xsi:type="dcterms:W3CDTF">2021-06-25T00:03:55Z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