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2-05 Natural Gas Schedule 120 - Gas Conservation Service Rider (UG-220138) (Eff. 05-01-22)\Workpapers\"/>
    </mc:Choice>
  </mc:AlternateContent>
  <bookViews>
    <workbookView xWindow="-225" yWindow="-75" windowWidth="26310" windowHeight="11535" tabRatio="765" activeTab="5"/>
  </bookViews>
  <sheets>
    <sheet name="Rates" sheetId="4" r:id="rId1"/>
    <sheet name="Allocation" sheetId="3" r:id="rId2"/>
    <sheet name="Rate Impacts--&gt;" sheetId="21" r:id="rId3"/>
    <sheet name="Rate Impacts Sch 120" sheetId="30" r:id="rId4"/>
    <sheet name="Typical Res Bill Sch 120" sheetId="31" r:id="rId5"/>
    <sheet name="Sch. 120" sheetId="32" r:id="rId6"/>
    <sheet name="Workpapers--&gt;" sheetId="25" r:id="rId7"/>
    <sheet name="Rev Requirement" sheetId="2" r:id="rId8"/>
    <sheet name="Forecasted Volume" sheetId="17" r:id="rId9"/>
  </sheets>
  <definedNames>
    <definedName name="_xlnm.Print_Area" localSheetId="1">Allocation!$A$1:$I$25</definedName>
    <definedName name="_xlnm.Print_Area" localSheetId="8">'Forecasted Volume'!$A$1:$N$29</definedName>
    <definedName name="_xlnm.Print_Area" localSheetId="3">'Rate Impacts Sch 120'!$B$1:$T$37</definedName>
    <definedName name="_xlnm.Print_Area" localSheetId="0">Rates!$A$1:$G$24</definedName>
    <definedName name="_xlnm.Print_Area" localSheetId="7">'Rev Requirement'!$A$1:$E$12</definedName>
    <definedName name="_xlnm.Print_Area" localSheetId="4">'Typical Res Bill Sch 120'!$B$1:$H$38</definedName>
  </definedNames>
  <calcPr calcId="162913"/>
</workbook>
</file>

<file path=xl/calcChain.xml><?xml version="1.0" encoding="utf-8"?>
<calcChain xmlns="http://schemas.openxmlformats.org/spreadsheetml/2006/main">
  <c r="G21" i="32" l="1"/>
  <c r="F21" i="32"/>
  <c r="H21" i="32" s="1"/>
  <c r="I21" i="32" s="1"/>
  <c r="G20" i="32"/>
  <c r="G19" i="32"/>
  <c r="H19" i="32" s="1"/>
  <c r="I19" i="32" s="1"/>
  <c r="F19" i="32"/>
  <c r="G18" i="32"/>
  <c r="H18" i="32" s="1"/>
  <c r="I18" i="32" s="1"/>
  <c r="F18" i="32"/>
  <c r="G17" i="32"/>
  <c r="G16" i="32"/>
  <c r="G15" i="32"/>
  <c r="H15" i="32" s="1"/>
  <c r="F15" i="32"/>
  <c r="K17" i="30" s="1"/>
  <c r="K32" i="30" s="1"/>
  <c r="E15" i="32"/>
  <c r="E14" i="32"/>
  <c r="G14" i="32"/>
  <c r="F13" i="32"/>
  <c r="K15" i="30" s="1"/>
  <c r="K30" i="30" s="1"/>
  <c r="E13" i="32"/>
  <c r="G13" i="32"/>
  <c r="H13" i="32" s="1"/>
  <c r="F12" i="32"/>
  <c r="K14" i="30" s="1"/>
  <c r="K29" i="30" s="1"/>
  <c r="G11" i="32"/>
  <c r="H11" i="32" s="1"/>
  <c r="F11" i="32"/>
  <c r="E11" i="32"/>
  <c r="E10" i="32"/>
  <c r="G10" i="32"/>
  <c r="F9" i="32"/>
  <c r="E9" i="32"/>
  <c r="E12" i="32" s="1"/>
  <c r="G9" i="32"/>
  <c r="C8" i="32"/>
  <c r="G28" i="31"/>
  <c r="G27" i="31"/>
  <c r="D29" i="31"/>
  <c r="E29" i="31" s="1"/>
  <c r="G25" i="31"/>
  <c r="H25" i="31" s="1"/>
  <c r="E25" i="31"/>
  <c r="D25" i="31"/>
  <c r="G22" i="31"/>
  <c r="G21" i="31"/>
  <c r="G20" i="31"/>
  <c r="G19" i="31"/>
  <c r="G18" i="31"/>
  <c r="G17" i="31"/>
  <c r="G16" i="31"/>
  <c r="G23" i="31" s="1"/>
  <c r="D13" i="31"/>
  <c r="B4" i="31"/>
  <c r="B2" i="31"/>
  <c r="S33" i="30"/>
  <c r="P33" i="30"/>
  <c r="O33" i="30"/>
  <c r="L33" i="30"/>
  <c r="K33" i="30"/>
  <c r="J33" i="30"/>
  <c r="I33" i="30"/>
  <c r="G33" i="30"/>
  <c r="P32" i="30"/>
  <c r="P30" i="30"/>
  <c r="N30" i="30"/>
  <c r="J30" i="30"/>
  <c r="L29" i="30"/>
  <c r="P28" i="30"/>
  <c r="M28" i="30"/>
  <c r="L28" i="30"/>
  <c r="E28" i="30"/>
  <c r="F28" i="30" s="1"/>
  <c r="D28" i="30"/>
  <c r="Q27" i="30"/>
  <c r="N27" i="30"/>
  <c r="M27" i="30"/>
  <c r="E27" i="30"/>
  <c r="Q33" i="30"/>
  <c r="N33" i="30"/>
  <c r="M33" i="30"/>
  <c r="E33" i="30"/>
  <c r="D33" i="30"/>
  <c r="F22" i="30"/>
  <c r="H22" i="30" s="1"/>
  <c r="R22" i="30" s="1"/>
  <c r="T22" i="30" s="1"/>
  <c r="F21" i="30"/>
  <c r="H21" i="30" s="1"/>
  <c r="R21" i="30" s="1"/>
  <c r="T21" i="30" s="1"/>
  <c r="F20" i="30"/>
  <c r="H20" i="30" s="1"/>
  <c r="R20" i="30" s="1"/>
  <c r="T20" i="30" s="1"/>
  <c r="E24" i="30"/>
  <c r="O29" i="30"/>
  <c r="N24" i="30"/>
  <c r="M24" i="30"/>
  <c r="G29" i="30"/>
  <c r="F19" i="30"/>
  <c r="H19" i="30" s="1"/>
  <c r="R19" i="30" s="1"/>
  <c r="T19" i="30" s="1"/>
  <c r="D29" i="30"/>
  <c r="F18" i="30"/>
  <c r="H18" i="30" s="1"/>
  <c r="R18" i="30" s="1"/>
  <c r="T18" i="30" s="1"/>
  <c r="Q32" i="30"/>
  <c r="O32" i="30"/>
  <c r="N32" i="30"/>
  <c r="M32" i="30"/>
  <c r="L32" i="30"/>
  <c r="J32" i="30"/>
  <c r="I32" i="30"/>
  <c r="G32" i="30"/>
  <c r="F17" i="30"/>
  <c r="H17" i="30" s="1"/>
  <c r="D32" i="30"/>
  <c r="Q31" i="30"/>
  <c r="P31" i="30"/>
  <c r="O31" i="30"/>
  <c r="N31" i="30"/>
  <c r="M31" i="30"/>
  <c r="L31" i="30"/>
  <c r="J31" i="30"/>
  <c r="I31" i="30"/>
  <c r="G31" i="30"/>
  <c r="E31" i="30"/>
  <c r="F31" i="30" s="1"/>
  <c r="D31" i="30"/>
  <c r="Q30" i="30"/>
  <c r="O30" i="30"/>
  <c r="M30" i="30"/>
  <c r="L30" i="30"/>
  <c r="I30" i="30"/>
  <c r="G30" i="30"/>
  <c r="F15" i="30"/>
  <c r="H15" i="30" s="1"/>
  <c r="D30" i="30"/>
  <c r="Q29" i="30"/>
  <c r="P29" i="30"/>
  <c r="N29" i="30"/>
  <c r="M29" i="30"/>
  <c r="J29" i="30"/>
  <c r="I29" i="30"/>
  <c r="F14" i="30"/>
  <c r="H14" i="30" s="1"/>
  <c r="E29" i="30"/>
  <c r="F29" i="30" s="1"/>
  <c r="Q28" i="30"/>
  <c r="O28" i="30"/>
  <c r="N28" i="30"/>
  <c r="K13" i="30"/>
  <c r="K28" i="30" s="1"/>
  <c r="J28" i="30"/>
  <c r="I28" i="30"/>
  <c r="G28" i="30"/>
  <c r="F13" i="30"/>
  <c r="H13" i="30" s="1"/>
  <c r="I27" i="30"/>
  <c r="F12" i="30"/>
  <c r="H12" i="30" s="1"/>
  <c r="Q24" i="30"/>
  <c r="P27" i="30"/>
  <c r="O27" i="30"/>
  <c r="O34" i="30" s="1"/>
  <c r="L24" i="30"/>
  <c r="K11" i="30"/>
  <c r="J24" i="30"/>
  <c r="I24" i="30"/>
  <c r="G24" i="30"/>
  <c r="F11" i="30"/>
  <c r="H11" i="30" s="1"/>
  <c r="D24" i="30"/>
  <c r="F33" i="30" l="1"/>
  <c r="H9" i="32"/>
  <c r="I11" i="32"/>
  <c r="S13" i="30"/>
  <c r="M34" i="30"/>
  <c r="S15" i="30"/>
  <c r="I13" i="32"/>
  <c r="I15" i="32"/>
  <c r="S17" i="30"/>
  <c r="H27" i="30"/>
  <c r="H24" i="30"/>
  <c r="R11" i="30"/>
  <c r="H29" i="30"/>
  <c r="R14" i="30"/>
  <c r="R29" i="30" s="1"/>
  <c r="H32" i="30"/>
  <c r="R17" i="30"/>
  <c r="R32" i="30" s="1"/>
  <c r="N34" i="30"/>
  <c r="H10" i="32"/>
  <c r="H16" i="32"/>
  <c r="I16" i="32" s="1"/>
  <c r="H20" i="32"/>
  <c r="I20" i="32" s="1"/>
  <c r="P34" i="30"/>
  <c r="H23" i="31"/>
  <c r="G36" i="31"/>
  <c r="Q34" i="30"/>
  <c r="R12" i="30"/>
  <c r="H30" i="30"/>
  <c r="R15" i="30"/>
  <c r="R30" i="30" s="1"/>
  <c r="H28" i="30"/>
  <c r="R13" i="30"/>
  <c r="R28" i="30" s="1"/>
  <c r="I34" i="30"/>
  <c r="F24" i="30"/>
  <c r="G29" i="31"/>
  <c r="H29" i="31" s="1"/>
  <c r="H14" i="32"/>
  <c r="D27" i="30"/>
  <c r="D34" i="30" s="1"/>
  <c r="L27" i="30"/>
  <c r="L34" i="30" s="1"/>
  <c r="D23" i="31"/>
  <c r="G12" i="32"/>
  <c r="H12" i="32" s="1"/>
  <c r="O24" i="30"/>
  <c r="F20" i="32"/>
  <c r="F22" i="32" s="1"/>
  <c r="P24" i="30"/>
  <c r="G27" i="30"/>
  <c r="G34" i="30" s="1"/>
  <c r="E12" i="31"/>
  <c r="E13" i="31" s="1"/>
  <c r="F10" i="32"/>
  <c r="K12" i="30" s="1"/>
  <c r="K27" i="30" s="1"/>
  <c r="K34" i="30" s="1"/>
  <c r="F14" i="32"/>
  <c r="K16" i="30" s="1"/>
  <c r="K31" i="30" s="1"/>
  <c r="F17" i="32"/>
  <c r="H17" i="32" s="1"/>
  <c r="I17" i="32" s="1"/>
  <c r="C22" i="32"/>
  <c r="E30" i="30"/>
  <c r="F30" i="30" s="1"/>
  <c r="G12" i="31"/>
  <c r="F16" i="30"/>
  <c r="H16" i="30" s="1"/>
  <c r="F23" i="30"/>
  <c r="H23" i="30" s="1"/>
  <c r="J27" i="30"/>
  <c r="J34" i="30" s="1"/>
  <c r="E32" i="30"/>
  <c r="F32" i="30" s="1"/>
  <c r="F16" i="32"/>
  <c r="I14" i="32" l="1"/>
  <c r="S16" i="30"/>
  <c r="T15" i="30"/>
  <c r="S30" i="30"/>
  <c r="T30" i="30" s="1"/>
  <c r="I10" i="32"/>
  <c r="S12" i="30"/>
  <c r="T12" i="30" s="1"/>
  <c r="I12" i="32"/>
  <c r="S14" i="30"/>
  <c r="T13" i="30"/>
  <c r="S28" i="30"/>
  <c r="T28" i="30" s="1"/>
  <c r="E34" i="30"/>
  <c r="F34" i="30" s="1"/>
  <c r="H30" i="31"/>
  <c r="S32" i="30"/>
  <c r="T32" i="30" s="1"/>
  <c r="T17" i="30"/>
  <c r="G22" i="32"/>
  <c r="H12" i="31"/>
  <c r="H13" i="31" s="1"/>
  <c r="G13" i="31"/>
  <c r="E23" i="31"/>
  <c r="E30" i="31" s="1"/>
  <c r="E32" i="31" s="1"/>
  <c r="D36" i="31"/>
  <c r="D30" i="31"/>
  <c r="G30" i="31"/>
  <c r="K24" i="30"/>
  <c r="R23" i="30"/>
  <c r="H33" i="30"/>
  <c r="H22" i="32"/>
  <c r="I22" i="32" s="1"/>
  <c r="S11" i="30"/>
  <c r="I9" i="32"/>
  <c r="R27" i="30"/>
  <c r="R16" i="30"/>
  <c r="R31" i="30" s="1"/>
  <c r="H31" i="30"/>
  <c r="H34" i="30" s="1"/>
  <c r="F27" i="30"/>
  <c r="S29" i="30" l="1"/>
  <c r="T29" i="30" s="1"/>
  <c r="T14" i="30"/>
  <c r="R24" i="30"/>
  <c r="R34" i="30"/>
  <c r="S27" i="30"/>
  <c r="S24" i="30"/>
  <c r="T24" i="30" s="1"/>
  <c r="T11" i="30"/>
  <c r="T23" i="30"/>
  <c r="R33" i="30"/>
  <c r="T33" i="30" s="1"/>
  <c r="T16" i="30"/>
  <c r="S31" i="30"/>
  <c r="T31" i="30" s="1"/>
  <c r="H32" i="31"/>
  <c r="H33" i="31" s="1"/>
  <c r="H34" i="31" s="1"/>
  <c r="S34" i="30" l="1"/>
  <c r="T34" i="30" s="1"/>
  <c r="T27" i="30"/>
  <c r="F12" i="3" l="1"/>
  <c r="F14" i="3"/>
  <c r="F15" i="3"/>
  <c r="G11" i="3"/>
  <c r="G12" i="3"/>
  <c r="G13" i="3"/>
  <c r="G14" i="3"/>
  <c r="G15" i="3"/>
  <c r="E10" i="2" l="1"/>
  <c r="E8" i="2"/>
  <c r="F20" i="3" l="1"/>
  <c r="F19" i="3"/>
  <c r="F18" i="3"/>
  <c r="C6" i="17" l="1"/>
  <c r="N9" i="17" l="1"/>
  <c r="N10" i="17"/>
  <c r="N11" i="17"/>
  <c r="N12" i="17"/>
  <c r="N13" i="17"/>
  <c r="N14" i="17"/>
  <c r="A4" i="2" l="1"/>
  <c r="A2" i="2"/>
  <c r="A2" i="17" l="1"/>
  <c r="B4" i="3"/>
  <c r="B2" i="3"/>
  <c r="F11" i="4" l="1"/>
  <c r="F10" i="4"/>
  <c r="M25" i="17" l="1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N19" i="17"/>
  <c r="N18" i="17"/>
  <c r="N17" i="17"/>
  <c r="N16" i="17"/>
  <c r="N15" i="17"/>
  <c r="D19" i="3"/>
  <c r="D15" i="3"/>
  <c r="H15" i="3" s="1"/>
  <c r="D13" i="3"/>
  <c r="H13" i="3" s="1"/>
  <c r="N8" i="17"/>
  <c r="N7" i="17"/>
  <c r="D6" i="17"/>
  <c r="E6" i="17" s="1"/>
  <c r="F6" i="17" s="1"/>
  <c r="G6" i="17" s="1"/>
  <c r="H6" i="17" s="1"/>
  <c r="I6" i="17" s="1"/>
  <c r="J6" i="17" s="1"/>
  <c r="K6" i="17" s="1"/>
  <c r="L6" i="17" s="1"/>
  <c r="M6" i="17" s="1"/>
  <c r="D9" i="3" s="1"/>
  <c r="A4" i="17" l="1"/>
  <c r="H26" i="17"/>
  <c r="H27" i="17" s="1"/>
  <c r="D26" i="17"/>
  <c r="D27" i="17" s="1"/>
  <c r="L26" i="17"/>
  <c r="L27" i="17" s="1"/>
  <c r="I26" i="17"/>
  <c r="I27" i="17" s="1"/>
  <c r="E26" i="17"/>
  <c r="E27" i="17" s="1"/>
  <c r="M26" i="17"/>
  <c r="M27" i="17" s="1"/>
  <c r="D20" i="3"/>
  <c r="N24" i="17"/>
  <c r="G17" i="4" s="1"/>
  <c r="D18" i="3"/>
  <c r="D14" i="3"/>
  <c r="H14" i="3" s="1"/>
  <c r="D11" i="3"/>
  <c r="H11" i="3" s="1"/>
  <c r="N23" i="17"/>
  <c r="G16" i="4" s="1"/>
  <c r="B26" i="17"/>
  <c r="B27" i="17" s="1"/>
  <c r="F26" i="17"/>
  <c r="F27" i="17" s="1"/>
  <c r="J26" i="17"/>
  <c r="J27" i="17" s="1"/>
  <c r="C26" i="17"/>
  <c r="C27" i="17" s="1"/>
  <c r="G26" i="17"/>
  <c r="G27" i="17" s="1"/>
  <c r="K26" i="17"/>
  <c r="K27" i="17" s="1"/>
  <c r="D12" i="3"/>
  <c r="H12" i="3" s="1"/>
  <c r="N21" i="17"/>
  <c r="N25" i="17"/>
  <c r="H16" i="3" l="1"/>
  <c r="N26" i="17"/>
  <c r="N27" i="17" s="1"/>
  <c r="A10" i="4" l="1"/>
  <c r="A11" i="4" s="1"/>
  <c r="A12" i="4" s="1"/>
  <c r="A13" i="4" s="1"/>
  <c r="A15" i="4" s="1"/>
  <c r="A16" i="4" s="1"/>
  <c r="A17" i="4" s="1"/>
  <c r="A18" i="4" s="1"/>
  <c r="A20" i="4" l="1"/>
  <c r="A21" i="4" s="1"/>
  <c r="A22" i="4" s="1"/>
  <c r="A23" i="4" s="1"/>
  <c r="A24" i="4" s="1"/>
  <c r="G20" i="3"/>
  <c r="G19" i="3"/>
  <c r="G18" i="3"/>
  <c r="C12" i="2" l="1"/>
  <c r="E12" i="4" s="1"/>
  <c r="E12" i="2" l="1"/>
  <c r="G12" i="4" s="1"/>
  <c r="H18" i="3"/>
  <c r="H20" i="3"/>
  <c r="H19" i="3"/>
  <c r="D16" i="3" l="1"/>
  <c r="G18" i="4"/>
  <c r="H21" i="3"/>
  <c r="D21" i="3"/>
  <c r="D22" i="3" l="1"/>
  <c r="D23" i="3" s="1"/>
  <c r="H22" i="3"/>
  <c r="I16" i="3" s="1"/>
  <c r="D10" i="4" l="1"/>
  <c r="I21" i="3"/>
  <c r="I22" i="3" l="1"/>
  <c r="E10" i="4"/>
  <c r="D11" i="4"/>
  <c r="D12" i="4" s="1"/>
  <c r="G10" i="4" l="1"/>
  <c r="G21" i="4" s="1"/>
  <c r="E11" i="4"/>
  <c r="G11" i="4" s="1"/>
  <c r="G22" i="4" s="1"/>
  <c r="G24" i="4" l="1"/>
  <c r="E13" i="4"/>
  <c r="G13" i="4"/>
</calcChain>
</file>

<file path=xl/sharedStrings.xml><?xml version="1.0" encoding="utf-8"?>
<sst xmlns="http://schemas.openxmlformats.org/spreadsheetml/2006/main" count="286" uniqueCount="173">
  <si>
    <t>41T</t>
  </si>
  <si>
    <t>85T</t>
  </si>
  <si>
    <t>87T</t>
  </si>
  <si>
    <t>Total</t>
  </si>
  <si>
    <t>Schedule</t>
  </si>
  <si>
    <t>Gas Conservation Revenue Requirement</t>
  </si>
  <si>
    <t xml:space="preserve">Line No. </t>
  </si>
  <si>
    <t>Description</t>
  </si>
  <si>
    <t>Amount</t>
  </si>
  <si>
    <t>Conversion Factor</t>
  </si>
  <si>
    <t>Revenue Requirement</t>
  </si>
  <si>
    <t>Total to be Recovered</t>
  </si>
  <si>
    <t>Puget Sound Energy</t>
  </si>
  <si>
    <t>Forecasted</t>
  </si>
  <si>
    <t>Volume</t>
  </si>
  <si>
    <t>Demand</t>
  </si>
  <si>
    <t xml:space="preserve"> Commodity</t>
  </si>
  <si>
    <t>Projected</t>
  </si>
  <si>
    <t>Gas Cost</t>
  </si>
  <si>
    <t>Recovery</t>
  </si>
  <si>
    <t>Total Firm</t>
  </si>
  <si>
    <t>Total Interruptible</t>
  </si>
  <si>
    <t>Residential</t>
  </si>
  <si>
    <t>Residential Propane</t>
  </si>
  <si>
    <t>Commercial &amp; Industrial</t>
  </si>
  <si>
    <t>Interruptible</t>
  </si>
  <si>
    <t>Limited Interruptible</t>
  </si>
  <si>
    <t>Non-exclusive Interruptible</t>
  </si>
  <si>
    <t>Check</t>
  </si>
  <si>
    <t>Percent</t>
  </si>
  <si>
    <t>of</t>
  </si>
  <si>
    <t>Firm Schedules</t>
  </si>
  <si>
    <t>Interruptible Schedules</t>
  </si>
  <si>
    <t>Projected Sales Volume (Therms)</t>
  </si>
  <si>
    <t>Allocation</t>
  </si>
  <si>
    <t>Costs</t>
  </si>
  <si>
    <t>With Revenue</t>
  </si>
  <si>
    <t>Sensitive Items</t>
  </si>
  <si>
    <t>Conversion</t>
  </si>
  <si>
    <t>Factor</t>
  </si>
  <si>
    <t>$/therm</t>
  </si>
  <si>
    <t>Line</t>
  </si>
  <si>
    <t>Firm Schedules (line 2E / line 7E)</t>
  </si>
  <si>
    <t>Interruptible Schedules (line 3E / line 8E)</t>
  </si>
  <si>
    <t>Calculation of Schedule 120 Rates</t>
  </si>
  <si>
    <t>Large Volume</t>
  </si>
  <si>
    <t>86T</t>
  </si>
  <si>
    <t>Contracts</t>
  </si>
  <si>
    <t>$/mantle</t>
  </si>
  <si>
    <t>Proposed Rates</t>
  </si>
  <si>
    <t>Schedule 16 Gas Lights (line 11E * 19 therms/mantle)</t>
  </si>
  <si>
    <r>
      <t>Schedule 101 Volumetric Rates</t>
    </r>
    <r>
      <rPr>
        <vertAlign val="superscript"/>
        <sz val="11"/>
        <color theme="1"/>
        <rFont val="Calibri"/>
        <family val="2"/>
      </rPr>
      <t xml:space="preserve"> (1)</t>
    </r>
  </si>
  <si>
    <t>31T</t>
  </si>
  <si>
    <t>Total Transportation</t>
  </si>
  <si>
    <t>Total Delivered</t>
  </si>
  <si>
    <t>Residential Lights</t>
  </si>
  <si>
    <t>(a)</t>
  </si>
  <si>
    <t>(b)</t>
  </si>
  <si>
    <t>(c)</t>
  </si>
  <si>
    <t>(d)</t>
  </si>
  <si>
    <t>(e)</t>
  </si>
  <si>
    <t>Development of Firm and Interruptible Allocation Factors</t>
  </si>
  <si>
    <t>No.</t>
  </si>
  <si>
    <t>(f)=(d)+(e)</t>
  </si>
  <si>
    <t>(g)=(c)*(f)</t>
  </si>
  <si>
    <t>(h)</t>
  </si>
  <si>
    <t>Forecasted Therm Volumes</t>
  </si>
  <si>
    <t>Estimated Under (Over) Collection from Prior Year</t>
  </si>
  <si>
    <t>2022 Gas Schedule 120 Conservation Filing</t>
  </si>
  <si>
    <t>Proposed Effective May 1, 2022</t>
  </si>
  <si>
    <r>
      <rPr>
        <vertAlign val="superscript"/>
        <sz val="10"/>
        <color theme="1"/>
        <rFont val="Calibri"/>
        <family val="2"/>
      </rPr>
      <t xml:space="preserve">(1) </t>
    </r>
    <r>
      <rPr>
        <sz val="10"/>
        <color theme="1"/>
        <rFont val="Calibri"/>
        <family val="2"/>
        <scheme val="minor"/>
      </rPr>
      <t>UG-210721, Volumetric Schedule 101 rates effective November 1, 2021 (excluding revenue sensitive items)</t>
    </r>
  </si>
  <si>
    <t xml:space="preserve">2022 Conservation Costs (12 Months) </t>
  </si>
  <si>
    <t>Rate Change Impacts by Rate Schedule</t>
  </si>
  <si>
    <t>Proposed Rates Effective May 1, 2022</t>
  </si>
  <si>
    <t>UG-190530</t>
  </si>
  <si>
    <t>Base Sch.</t>
  </si>
  <si>
    <t>Therms</t>
  </si>
  <si>
    <t>12ME Apr. 2023</t>
  </si>
  <si>
    <t>Sch. 120</t>
  </si>
  <si>
    <t>Rate</t>
  </si>
  <si>
    <t>Base Schedule</t>
  </si>
  <si>
    <t>May 2022 -</t>
  </si>
  <si>
    <t>Sch. 101</t>
  </si>
  <si>
    <t>Sch. 106</t>
  </si>
  <si>
    <t>Sch. 129</t>
  </si>
  <si>
    <t>Sch. 140</t>
  </si>
  <si>
    <t>Sch. 141X</t>
  </si>
  <si>
    <t>Sch. 141Z</t>
  </si>
  <si>
    <t>Sch. 142</t>
  </si>
  <si>
    <t>Sch. 149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</si>
  <si>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</si>
  <si>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</si>
  <si>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</si>
  <si>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</si>
  <si>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</si>
  <si>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</si>
  <si>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Apr. 2023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</si>
  <si>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</si>
  <si>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</si>
  <si>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</si>
  <si>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</si>
  <si>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</si>
  <si>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</si>
  <si>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</si>
  <si>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</si>
  <si>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</si>
  <si>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</si>
  <si>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</si>
  <si>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</si>
  <si>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</si>
  <si>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</si>
  <si>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</si>
  <si>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</si>
  <si>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</si>
  <si>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</si>
  <si>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 = sum(G:P)</t>
  </si>
  <si>
    <t xml:space="preserve">R </t>
  </si>
  <si>
    <t>S= R/Q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</si>
  <si>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</si>
  <si>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</si>
  <si>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</si>
  <si>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</si>
  <si>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</si>
  <si>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</si>
  <si>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</si>
  <si>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</si>
  <si>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</si>
  <si>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</si>
  <si>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</si>
  <si>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</si>
  <si>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</si>
  <si>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</si>
  <si>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</si>
  <si>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</si>
  <si>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</si>
  <si>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</si>
  <si>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December 2018, at approved rates from UG-190530 GRC IRS PLR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</si>
  <si>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November 1, 2021.</t>
    </r>
  </si>
  <si>
    <t>Typical Residential Bill Impacts</t>
  </si>
  <si>
    <t>Schedule 120 Conservation</t>
  </si>
  <si>
    <t>Current Rates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</si>
  <si>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</si>
  <si>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</si>
  <si>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</si>
  <si>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</si>
  <si>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</si>
  <si>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</si>
  <si>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</si>
  <si>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</si>
  <si>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Volumetric charges ($/therm)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</si>
  <si>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</si>
  <si>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</si>
  <si>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</si>
  <si>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</si>
  <si>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</si>
  <si>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</si>
  <si>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</si>
  <si>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</si>
  <si>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</si>
  <si>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</si>
  <si>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</si>
  <si>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</si>
  <si>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</si>
  <si>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</si>
  <si>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</si>
  <si>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November 1, 2021</t>
    </r>
  </si>
  <si>
    <t>Gas Schedule 120</t>
  </si>
  <si>
    <t>Conservation Program Tracker</t>
  </si>
  <si>
    <t>Current</t>
  </si>
  <si>
    <t>Proposed</t>
  </si>
  <si>
    <t>Sched 120</t>
  </si>
  <si>
    <t>Volume (Therms)</t>
  </si>
  <si>
    <t xml:space="preserve">Source: F2022 Load Forecast Calendar Month Therms (2-25-2022)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</si>
</sst>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_);_(&quot;$&quot;* \(#,##0.00000\);_(&quot;$&quot;* &quot;-&quot;??_);_(@_)"/>
    <numFmt numFmtId="166" formatCode="0.000000"/>
    <numFmt numFmtId="167" formatCode="_(&quot;$&quot;* #,##0.000000_);_(&quot;$&quot;* \(#,##0.000000\);_(&quot;$&quot;* &quot;-&quot;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_);_(&quot;$&quot;* \(#,##0.00\);_(&quot;$&quot;* &quot;-&quot;_);_(@_)"/>
    <numFmt numFmtId="171" formatCode="0.0%"/>
  </numFmts>
  <fonts count="15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808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0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0" borderId="2" xfId="0" applyNumberFormat="1" applyFont="1" applyBorder="1"/>
    <xf numFmtId="10" fontId="0" fillId="0" borderId="2" xfId="0" applyNumberFormat="1" applyFont="1" applyBorder="1"/>
    <xf numFmtId="164" fontId="0" fillId="0" borderId="0" xfId="0" applyNumberFormat="1" applyFont="1"/>
    <xf numFmtId="164" fontId="1" fillId="0" borderId="0" xfId="0" applyNumberFormat="1" applyFont="1" applyFill="1"/>
    <xf numFmtId="3" fontId="3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10" fontId="3" fillId="0" borderId="0" xfId="0" applyNumberFormat="1" applyFont="1"/>
    <xf numFmtId="0" fontId="3" fillId="0" borderId="0" xfId="0" applyFont="1" applyFill="1"/>
    <xf numFmtId="169" fontId="0" fillId="0" borderId="0" xfId="0" applyNumberFormat="1" applyFont="1"/>
    <xf numFmtId="167" fontId="0" fillId="0" borderId="0" xfId="0" applyNumberFormat="1" applyFont="1"/>
    <xf numFmtId="42" fontId="3" fillId="0" borderId="2" xfId="0" applyNumberFormat="1" applyFont="1" applyFill="1" applyBorder="1"/>
    <xf numFmtId="39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42" fontId="0" fillId="0" borderId="2" xfId="0" applyNumberFormat="1" applyFont="1" applyBorder="1"/>
    <xf numFmtId="164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42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42" fontId="1" fillId="0" borderId="0" xfId="0" applyNumberFormat="1" applyFont="1" applyFill="1"/>
    <xf numFmtId="166" fontId="1" fillId="0" borderId="0" xfId="0" applyNumberFormat="1" applyFont="1" applyFill="1"/>
    <xf numFmtId="42" fontId="1" fillId="0" borderId="1" xfId="0" applyNumberFormat="1" applyFont="1" applyFill="1" applyBorder="1"/>
    <xf numFmtId="42" fontId="0" fillId="0" borderId="1" xfId="0" applyNumberFormat="1" applyFont="1" applyFill="1" applyBorder="1"/>
    <xf numFmtId="42" fontId="0" fillId="0" borderId="3" xfId="0" applyNumberFormat="1" applyFont="1" applyFill="1" applyBorder="1"/>
    <xf numFmtId="164" fontId="4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7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0" fontId="5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Fill="1"/>
    <xf numFmtId="17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0" fontId="0" fillId="0" borderId="1" xfId="0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3" fillId="0" borderId="0" xfId="0" applyNumberFormat="1" applyFont="1"/>
    <xf numFmtId="165" fontId="0" fillId="0" borderId="0" xfId="0" applyNumberFormat="1"/>
    <xf numFmtId="42" fontId="0" fillId="0" borderId="0" xfId="0" applyNumberFormat="1"/>
    <xf numFmtId="42" fontId="8" fillId="0" borderId="0" xfId="0" applyNumberFormat="1" applyFont="1"/>
    <xf numFmtId="42" fontId="1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8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Font="1"/>
    <xf numFmtId="42" fontId="12" fillId="0" borderId="0" xfId="0" applyNumberFormat="1" applyFont="1"/>
    <xf numFmtId="10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8" fontId="12" fillId="0" borderId="0" xfId="0" applyNumberFormat="1" applyFont="1" applyFill="1"/>
    <xf numFmtId="169" fontId="12" fillId="0" borderId="0" xfId="0" applyNumberFormat="1" applyFont="1" applyFill="1"/>
    <xf numFmtId="168" fontId="12" fillId="0" borderId="0" xfId="0" applyNumberFormat="1" applyFont="1" applyFill="1"/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8" fontId="12" fillId="0" borderId="2" xfId="0" applyNumberFormat="1" applyFont="1" applyFill="1" applyBorder="1"/>
    <xf numFmtId="169" fontId="12" fillId="0" borderId="2" xfId="0" applyNumberFormat="1" applyFont="1" applyFill="1" applyBorder="1"/>
    <xf numFmtId="165" fontId="0" fillId="0" borderId="2" xfId="0" applyNumberFormat="1" applyBorder="1"/>
    <xf numFmtId="168" fontId="12" fillId="0" borderId="2" xfId="0" applyNumberFormat="1" applyFont="1" applyFill="1" applyBorder="1"/>
    <xf numFmtId="0" fontId="12" fillId="0" borderId="0" xfId="0" applyFont="1" applyFill="1"/>
    <xf numFmtId="0" fontId="12" fillId="0" borderId="0" xfId="0" applyFont="1" applyBorder="1"/>
    <xf numFmtId="44" fontId="12" fillId="0" borderId="0" xfId="0" applyNumberFormat="1" applyFont="1"/>
    <xf numFmtId="169" fontId="0" fillId="0" borderId="0" xfId="0" applyNumberFormat="1"/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/>
    <xf numFmtId="170" fontId="8" fillId="0" borderId="0" xfId="0" applyNumberFormat="1" applyFont="1"/>
    <xf numFmtId="0" fontId="14" fillId="0" borderId="0" xfId="0" applyFont="1" applyBorder="1"/>
    <xf numFmtId="44" fontId="14" fillId="0" borderId="0" xfId="0" applyNumberFormat="1" applyFont="1" applyBorder="1"/>
    <xf numFmtId="44" fontId="8" fillId="0" borderId="0" xfId="0" applyNumberFormat="1" applyFont="1"/>
    <xf numFmtId="44" fontId="8" fillId="0" borderId="2" xfId="0" applyNumberFormat="1" applyFont="1" applyBorder="1"/>
    <xf numFmtId="44" fontId="14" fillId="0" borderId="0" xfId="0" applyNumberFormat="1" applyFont="1"/>
    <xf numFmtId="164" fontId="3" fillId="0" borderId="0" xfId="0" applyNumberFormat="1" applyFont="1"/>
    <xf numFmtId="164" fontId="14" fillId="0" borderId="0" xfId="0" applyNumberFormat="1" applyFont="1" applyBorder="1"/>
    <xf numFmtId="164" fontId="8" fillId="0" borderId="0" xfId="0" applyNumberFormat="1" applyFont="1"/>
    <xf numFmtId="164" fontId="3" fillId="0" borderId="0" xfId="0" applyNumberFormat="1" applyFont="1" applyFill="1"/>
    <xf numFmtId="164" fontId="8" fillId="0" borderId="2" xfId="0" applyNumberFormat="1" applyFont="1" applyBorder="1"/>
    <xf numFmtId="170" fontId="8" fillId="0" borderId="2" xfId="0" applyNumberFormat="1" applyFont="1" applyBorder="1"/>
    <xf numFmtId="164" fontId="8" fillId="0" borderId="0" xfId="0" applyNumberFormat="1" applyFont="1" applyBorder="1"/>
    <xf numFmtId="44" fontId="8" fillId="0" borderId="0" xfId="0" applyNumberFormat="1" applyFont="1" applyBorder="1"/>
    <xf numFmtId="171" fontId="8" fillId="0" borderId="0" xfId="0" applyNumberFormat="1" applyFont="1"/>
    <xf numFmtId="171" fontId="8" fillId="0" borderId="0" xfId="0" applyNumberFormat="1" applyFont="1" applyBorder="1"/>
    <xf numFmtId="10" fontId="8" fillId="0" borderId="0" xfId="0" applyNumberFormat="1" applyFont="1"/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5" fontId="1" fillId="0" borderId="0" xfId="0" applyNumberFormat="1" applyFont="1" applyFill="1"/>
    <xf numFmtId="165" fontId="3" fillId="0" borderId="0" xfId="0" applyNumberFormat="1" applyFont="1" applyFill="1"/>
    <xf numFmtId="171" fontId="0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/>
    <xf numFmtId="165" fontId="0" fillId="0" borderId="0" xfId="0" applyNumberFormat="1" applyFont="1"/>
    <xf numFmtId="165" fontId="0" fillId="0" borderId="2" xfId="0" applyNumberFormat="1" applyFont="1" applyBorder="1"/>
    <xf numFmtId="171" fontId="0" fillId="0" borderId="2" xfId="0" applyNumberFormat="1" applyFont="1" applyBorder="1"/>
    <xf numFmtId="3" fontId="8" fillId="0" borderId="0" xfId="0" applyNumberFormat="1" applyFont="1" applyFill="1" applyBorder="1"/>
    <xf numFmtId="164" fontId="8" fillId="0" borderId="0" xfId="0" applyNumberFormat="1" applyFont="1" applyFill="1"/>
    <xf numFmtId="164" fontId="8" fillId="0" borderId="0" xfId="0" applyNumberFormat="1" applyFont="1" applyFill="1" applyBorder="1"/>
    <xf numFmtId="3" fontId="1" fillId="0" borderId="0" xfId="0" applyNumberFormat="1" applyFont="1"/>
    <xf numFmtId="44" fontId="1" fillId="0" borderId="0" xfId="0" applyNumberFormat="1" applyFont="1"/>
    <xf numFmtId="164" fontId="1" fillId="0" borderId="0" xfId="0" applyNumberFormat="1" applyFont="1"/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/>
    <xf numFmtId="44" fontId="0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4F81BD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90" zoomScaleNormal="90" workbookViewId="0">
      <selection activeCell="G22" sqref="G22"/>
    </sheetView>
  </sheetViews>
  <sheetFormatPr defaultColWidth="8.7109375" defaultRowHeight="15" x14ac:dyDescent="0.25"/>
  <cols>
    <col min="1" max="1" width="4.7109375" style="3" customWidth="1"/>
    <col min="2" max="2" width="3.42578125" style="3" customWidth="1"/>
    <col min="3" max="3" width="28.5703125" style="3" customWidth="1"/>
    <col min="4" max="4" width="10.140625" style="3" bestFit="1" customWidth="1"/>
    <col min="5" max="5" width="15.140625" style="3" customWidth="1"/>
    <col min="6" max="6" width="13" style="3" customWidth="1"/>
    <col min="7" max="7" width="15.140625" style="3" customWidth="1"/>
    <col min="8" max="8" width="8.7109375" style="3"/>
    <col min="9" max="9" width="12.28515625" style="3" bestFit="1" customWidth="1"/>
    <col min="10" max="10" width="12" style="3" bestFit="1" customWidth="1"/>
    <col min="11" max="11" width="33.140625" style="3" customWidth="1"/>
    <col min="12" max="16384" width="8.7109375" style="3"/>
  </cols>
  <sheetData>
    <row r="1" spans="1:9" x14ac:dyDescent="0.25">
      <c r="A1" s="141" t="s">
        <v>12</v>
      </c>
      <c r="B1" s="141"/>
      <c r="C1" s="141"/>
      <c r="D1" s="141"/>
      <c r="E1" s="141"/>
      <c r="F1" s="141"/>
      <c r="G1" s="141"/>
    </row>
    <row r="2" spans="1:9" x14ac:dyDescent="0.25">
      <c r="A2" s="141" t="s">
        <v>68</v>
      </c>
      <c r="B2" s="141"/>
      <c r="C2" s="141"/>
      <c r="D2" s="141"/>
      <c r="E2" s="141"/>
      <c r="F2" s="141"/>
      <c r="G2" s="141"/>
    </row>
    <row r="3" spans="1:9" x14ac:dyDescent="0.25">
      <c r="A3" s="141" t="s">
        <v>44</v>
      </c>
      <c r="B3" s="141"/>
      <c r="C3" s="141"/>
      <c r="D3" s="141"/>
      <c r="E3" s="141"/>
      <c r="F3" s="141"/>
      <c r="G3" s="141"/>
    </row>
    <row r="4" spans="1:9" x14ac:dyDescent="0.25">
      <c r="A4" s="141" t="s">
        <v>69</v>
      </c>
      <c r="B4" s="141"/>
      <c r="C4" s="141"/>
      <c r="D4" s="141"/>
      <c r="E4" s="141"/>
      <c r="F4" s="141"/>
      <c r="G4" s="141"/>
    </row>
    <row r="6" spans="1:9" x14ac:dyDescent="0.25">
      <c r="A6" s="11" t="s">
        <v>41</v>
      </c>
      <c r="D6" s="13"/>
      <c r="E6" s="13"/>
      <c r="F6" s="13" t="s">
        <v>38</v>
      </c>
      <c r="G6" s="13" t="s">
        <v>36</v>
      </c>
    </row>
    <row r="7" spans="1:9" x14ac:dyDescent="0.25">
      <c r="A7" s="14" t="s">
        <v>62</v>
      </c>
      <c r="B7" s="15" t="s">
        <v>7</v>
      </c>
      <c r="C7" s="15"/>
      <c r="D7" s="14" t="s">
        <v>34</v>
      </c>
      <c r="E7" s="14" t="s">
        <v>35</v>
      </c>
      <c r="F7" s="14" t="s">
        <v>39</v>
      </c>
      <c r="G7" s="14" t="s">
        <v>37</v>
      </c>
      <c r="I7" s="16"/>
    </row>
    <row r="8" spans="1:9" x14ac:dyDescent="0.25">
      <c r="A8" s="17"/>
      <c r="B8" s="18"/>
      <c r="C8" s="18" t="s">
        <v>56</v>
      </c>
      <c r="D8" s="13" t="s">
        <v>57</v>
      </c>
      <c r="E8" s="13" t="s">
        <v>58</v>
      </c>
      <c r="F8" s="13" t="s">
        <v>59</v>
      </c>
      <c r="G8" s="13" t="s">
        <v>60</v>
      </c>
      <c r="I8" s="16"/>
    </row>
    <row r="9" spans="1:9" x14ac:dyDescent="0.25">
      <c r="A9" s="11">
        <v>1</v>
      </c>
      <c r="B9" s="3" t="s">
        <v>10</v>
      </c>
      <c r="E9" s="19"/>
      <c r="G9" s="19"/>
    </row>
    <row r="10" spans="1:9" x14ac:dyDescent="0.25">
      <c r="A10" s="11">
        <f>A9+1</f>
        <v>2</v>
      </c>
      <c r="C10" s="3" t="s">
        <v>31</v>
      </c>
      <c r="D10" s="20">
        <f>Allocation!I16</f>
        <v>0.96771475171747057</v>
      </c>
      <c r="E10" s="19">
        <f>E12*D10</f>
        <v>20295291.008609097</v>
      </c>
      <c r="F10" s="21">
        <f>'Rev Requirement'!$D$8</f>
        <v>0.95455299999999998</v>
      </c>
      <c r="G10" s="22">
        <f>E10/F10</f>
        <v>21261565.36997851</v>
      </c>
      <c r="I10" s="23"/>
    </row>
    <row r="11" spans="1:9" x14ac:dyDescent="0.25">
      <c r="A11" s="11">
        <f t="shared" ref="A11:A24" si="0">A10+1</f>
        <v>3</v>
      </c>
      <c r="C11" s="3" t="s">
        <v>32</v>
      </c>
      <c r="D11" s="1">
        <f>1-D10</f>
        <v>3.2285248282529433E-2</v>
      </c>
      <c r="E11" s="19">
        <f>E12-E10</f>
        <v>677098.81245091558</v>
      </c>
      <c r="F11" s="21">
        <f>'Rev Requirement'!$D$8</f>
        <v>0.95455299999999998</v>
      </c>
      <c r="G11" s="19">
        <f>E11/F11</f>
        <v>709336.00591157912</v>
      </c>
    </row>
    <row r="12" spans="1:9" x14ac:dyDescent="0.25">
      <c r="A12" s="11">
        <f t="shared" si="0"/>
        <v>4</v>
      </c>
      <c r="C12" s="3" t="s">
        <v>3</v>
      </c>
      <c r="D12" s="7">
        <f>SUM(D10:D11)</f>
        <v>1</v>
      </c>
      <c r="E12" s="24">
        <f>'Rev Requirement'!C12</f>
        <v>20972389.821060013</v>
      </c>
      <c r="G12" s="24">
        <f>'Rev Requirement'!E12</f>
        <v>21970901.375890091</v>
      </c>
    </row>
    <row r="13" spans="1:9" x14ac:dyDescent="0.25">
      <c r="A13" s="11">
        <f t="shared" si="0"/>
        <v>5</v>
      </c>
      <c r="C13" s="3" t="s">
        <v>28</v>
      </c>
      <c r="E13" s="19">
        <f>E12-SUM(E10:E11)</f>
        <v>0</v>
      </c>
      <c r="G13" s="19">
        <f>G12-SUM(G10:G11)</f>
        <v>0</v>
      </c>
    </row>
    <row r="14" spans="1:9" x14ac:dyDescent="0.25">
      <c r="A14" s="40"/>
    </row>
    <row r="15" spans="1:9" x14ac:dyDescent="0.25">
      <c r="A15" s="40">
        <f>A13+1</f>
        <v>6</v>
      </c>
      <c r="B15" s="3" t="s">
        <v>33</v>
      </c>
    </row>
    <row r="16" spans="1:9" x14ac:dyDescent="0.25">
      <c r="A16" s="40">
        <f t="shared" si="0"/>
        <v>7</v>
      </c>
      <c r="C16" s="3" t="s">
        <v>31</v>
      </c>
      <c r="G16" s="10">
        <f>'Forecasted Volume'!N23</f>
        <v>898753301</v>
      </c>
    </row>
    <row r="17" spans="1:7" x14ac:dyDescent="0.25">
      <c r="A17" s="40">
        <f t="shared" si="0"/>
        <v>8</v>
      </c>
      <c r="C17" s="3" t="s">
        <v>32</v>
      </c>
      <c r="G17" s="10">
        <f>'Forecasted Volume'!N24</f>
        <v>34483805</v>
      </c>
    </row>
    <row r="18" spans="1:7" x14ac:dyDescent="0.25">
      <c r="A18" s="40">
        <f t="shared" si="0"/>
        <v>9</v>
      </c>
      <c r="C18" s="3" t="s">
        <v>3</v>
      </c>
      <c r="G18" s="6">
        <f>SUM(G16:G17)</f>
        <v>933237106</v>
      </c>
    </row>
    <row r="19" spans="1:7" x14ac:dyDescent="0.25">
      <c r="A19" s="40"/>
    </row>
    <row r="20" spans="1:7" x14ac:dyDescent="0.25">
      <c r="A20" s="40">
        <f>A18+1</f>
        <v>10</v>
      </c>
      <c r="B20" s="3" t="s">
        <v>49</v>
      </c>
    </row>
    <row r="21" spans="1:7" x14ac:dyDescent="0.25">
      <c r="A21" s="40">
        <f t="shared" si="0"/>
        <v>11</v>
      </c>
      <c r="C21" s="3" t="s">
        <v>42</v>
      </c>
      <c r="F21" s="3" t="s">
        <v>40</v>
      </c>
      <c r="G21" s="138">
        <f>ROUND(G10/G16,5)</f>
        <v>2.366E-2</v>
      </c>
    </row>
    <row r="22" spans="1:7" x14ac:dyDescent="0.25">
      <c r="A22" s="40">
        <f t="shared" si="0"/>
        <v>12</v>
      </c>
      <c r="C22" s="3" t="s">
        <v>43</v>
      </c>
      <c r="F22" s="3" t="s">
        <v>40</v>
      </c>
      <c r="G22" s="138">
        <f>ROUND(G11/G17,5)</f>
        <v>2.0570000000000001E-2</v>
      </c>
    </row>
    <row r="23" spans="1:7" x14ac:dyDescent="0.25">
      <c r="A23" s="40">
        <f t="shared" si="0"/>
        <v>13</v>
      </c>
      <c r="G23" s="139"/>
    </row>
    <row r="24" spans="1:7" x14ac:dyDescent="0.25">
      <c r="A24" s="40">
        <f t="shared" si="0"/>
        <v>14</v>
      </c>
      <c r="C24" s="3" t="s">
        <v>50</v>
      </c>
      <c r="F24" s="3" t="s">
        <v>48</v>
      </c>
      <c r="G24" s="139">
        <f>ROUND(G21*19,2)</f>
        <v>0.45</v>
      </c>
    </row>
    <row r="26" spans="1:7" x14ac:dyDescent="0.25">
      <c r="G26" s="25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B1" zoomScale="90" zoomScaleNormal="90" workbookViewId="0">
      <selection activeCell="I21" sqref="I21"/>
    </sheetView>
  </sheetViews>
  <sheetFormatPr defaultColWidth="8.7109375" defaultRowHeight="15" x14ac:dyDescent="0.25"/>
  <cols>
    <col min="1" max="1" width="4.7109375" style="3" customWidth="1"/>
    <col min="2" max="2" width="8.7109375" style="3"/>
    <col min="3" max="3" width="27" style="3" customWidth="1"/>
    <col min="4" max="4" width="19.7109375" style="3" bestFit="1" customWidth="1"/>
    <col min="5" max="7" width="12.7109375" style="3" customWidth="1"/>
    <col min="8" max="8" width="14.5703125" style="3" bestFit="1" customWidth="1"/>
    <col min="9" max="9" width="10" style="3" customWidth="1"/>
    <col min="10" max="16384" width="8.7109375" style="3"/>
  </cols>
  <sheetData>
    <row r="1" spans="1:9" x14ac:dyDescent="0.25">
      <c r="B1" s="141" t="s">
        <v>12</v>
      </c>
      <c r="C1" s="141"/>
      <c r="D1" s="141"/>
      <c r="E1" s="141"/>
      <c r="F1" s="141"/>
      <c r="G1" s="141"/>
      <c r="H1" s="141"/>
      <c r="I1" s="141"/>
    </row>
    <row r="2" spans="1:9" x14ac:dyDescent="0.25">
      <c r="B2" s="141" t="str">
        <f>Rates!A2</f>
        <v>2022 Gas Schedule 120 Conservation Filing</v>
      </c>
      <c r="C2" s="141"/>
      <c r="D2" s="141"/>
      <c r="E2" s="141"/>
      <c r="F2" s="141"/>
      <c r="G2" s="141"/>
      <c r="H2" s="141"/>
      <c r="I2" s="141"/>
    </row>
    <row r="3" spans="1:9" x14ac:dyDescent="0.25">
      <c r="B3" s="141" t="s">
        <v>61</v>
      </c>
      <c r="C3" s="141"/>
      <c r="D3" s="141"/>
      <c r="E3" s="141"/>
      <c r="F3" s="141"/>
      <c r="G3" s="141"/>
      <c r="H3" s="141"/>
      <c r="I3" s="141"/>
    </row>
    <row r="4" spans="1:9" x14ac:dyDescent="0.25">
      <c r="B4" s="141" t="str">
        <f>Rates!A4</f>
        <v>Proposed Effective May 1, 2022</v>
      </c>
      <c r="C4" s="141"/>
      <c r="D4" s="141"/>
      <c r="E4" s="141"/>
      <c r="F4" s="141"/>
      <c r="G4" s="141"/>
      <c r="H4" s="141"/>
      <c r="I4" s="141"/>
    </row>
    <row r="7" spans="1:9" x14ac:dyDescent="0.25">
      <c r="C7" s="13"/>
      <c r="D7" s="13" t="s">
        <v>13</v>
      </c>
      <c r="H7" s="11" t="s">
        <v>17</v>
      </c>
      <c r="I7" s="13" t="s">
        <v>29</v>
      </c>
    </row>
    <row r="8" spans="1:9" ht="17.25" x14ac:dyDescent="0.25">
      <c r="A8" s="11" t="s">
        <v>41</v>
      </c>
      <c r="C8" s="13"/>
      <c r="D8" s="13" t="s">
        <v>14</v>
      </c>
      <c r="E8" s="15" t="s">
        <v>51</v>
      </c>
      <c r="F8" s="15"/>
      <c r="G8" s="15"/>
      <c r="H8" s="11" t="s">
        <v>18</v>
      </c>
      <c r="I8" s="16" t="s">
        <v>30</v>
      </c>
    </row>
    <row r="9" spans="1:9" x14ac:dyDescent="0.25">
      <c r="A9" s="14" t="s">
        <v>62</v>
      </c>
      <c r="B9" s="14" t="s">
        <v>4</v>
      </c>
      <c r="C9" s="14" t="s">
        <v>7</v>
      </c>
      <c r="D9" s="42" t="str">
        <f>TEXT('Forecasted Volume'!$B$6,"Mmm YYYY - ")&amp;TEXT('Forecasted Volume'!$M$6,"Mmm YYYY")</f>
        <v>May 2022 - Apr 2023</v>
      </c>
      <c r="E9" s="14" t="s">
        <v>15</v>
      </c>
      <c r="F9" s="14" t="s">
        <v>16</v>
      </c>
      <c r="G9" s="14" t="s">
        <v>3</v>
      </c>
      <c r="H9" s="26" t="s">
        <v>19</v>
      </c>
      <c r="I9" s="26" t="s">
        <v>19</v>
      </c>
    </row>
    <row r="10" spans="1:9" x14ac:dyDescent="0.25">
      <c r="B10" s="11" t="s">
        <v>56</v>
      </c>
      <c r="C10" s="11" t="s">
        <v>57</v>
      </c>
      <c r="D10" s="16" t="s">
        <v>58</v>
      </c>
      <c r="E10" s="11" t="s">
        <v>59</v>
      </c>
      <c r="F10" s="11" t="s">
        <v>60</v>
      </c>
      <c r="G10" s="11" t="s">
        <v>63</v>
      </c>
      <c r="H10" s="16" t="s">
        <v>64</v>
      </c>
      <c r="I10" s="16" t="s">
        <v>65</v>
      </c>
    </row>
    <row r="11" spans="1:9" x14ac:dyDescent="0.25">
      <c r="A11" s="11">
        <v>1</v>
      </c>
      <c r="B11" s="4">
        <v>23</v>
      </c>
      <c r="C11" s="3" t="s">
        <v>22</v>
      </c>
      <c r="D11" s="10">
        <f>'Forecasted Volume'!N8</f>
        <v>595130910</v>
      </c>
      <c r="E11" s="9">
        <v>0.14330000000000001</v>
      </c>
      <c r="F11" s="9">
        <v>0.29903999999999997</v>
      </c>
      <c r="G11" s="8">
        <f>SUM(E11:F11)</f>
        <v>0.44233999999999996</v>
      </c>
      <c r="H11" s="19">
        <f>D11*G11</f>
        <v>263250206.72939998</v>
      </c>
    </row>
    <row r="12" spans="1:9" x14ac:dyDescent="0.25">
      <c r="A12" s="11">
        <v>2</v>
      </c>
      <c r="B12" s="4">
        <v>16</v>
      </c>
      <c r="C12" s="4" t="s">
        <v>55</v>
      </c>
      <c r="D12" s="10">
        <f>'Forecasted Volume'!N7</f>
        <v>7068</v>
      </c>
      <c r="E12" s="9">
        <v>0.14330000000000001</v>
      </c>
      <c r="F12" s="9">
        <f>$F$11</f>
        <v>0.29903999999999997</v>
      </c>
      <c r="G12" s="8">
        <f>SUM(E12:F12)</f>
        <v>0.44233999999999996</v>
      </c>
      <c r="H12" s="19">
        <f>D12*G12</f>
        <v>3126.4591199999995</v>
      </c>
    </row>
    <row r="13" spans="1:9" x14ac:dyDescent="0.25">
      <c r="A13" s="11">
        <v>3</v>
      </c>
      <c r="B13" s="4">
        <v>53</v>
      </c>
      <c r="C13" s="3" t="s">
        <v>23</v>
      </c>
      <c r="D13" s="10">
        <f>'Forecasted Volume'!N9</f>
        <v>0</v>
      </c>
      <c r="E13" s="9">
        <v>0</v>
      </c>
      <c r="F13" s="9">
        <v>4.80769</v>
      </c>
      <c r="G13" s="8">
        <f>SUM(E13:F13)</f>
        <v>4.80769</v>
      </c>
      <c r="H13" s="19">
        <f>D13*G13</f>
        <v>0</v>
      </c>
    </row>
    <row r="14" spans="1:9" x14ac:dyDescent="0.25">
      <c r="A14" s="11">
        <v>4</v>
      </c>
      <c r="B14" s="4">
        <v>31</v>
      </c>
      <c r="C14" s="3" t="s">
        <v>24</v>
      </c>
      <c r="D14" s="10">
        <f>'Forecasted Volume'!N10</f>
        <v>238193203</v>
      </c>
      <c r="E14" s="9">
        <v>0.13586999999999999</v>
      </c>
      <c r="F14" s="9">
        <f>$F$11</f>
        <v>0.29903999999999997</v>
      </c>
      <c r="G14" s="8">
        <f>SUM(E14:F14)</f>
        <v>0.43490999999999996</v>
      </c>
      <c r="H14" s="19">
        <f>D14*G14</f>
        <v>103592605.91672999</v>
      </c>
    </row>
    <row r="15" spans="1:9" x14ac:dyDescent="0.25">
      <c r="A15" s="11">
        <v>5</v>
      </c>
      <c r="B15" s="4">
        <v>41</v>
      </c>
      <c r="C15" s="3" t="s">
        <v>45</v>
      </c>
      <c r="D15" s="10">
        <f>'Forecasted Volume'!N11</f>
        <v>65422120</v>
      </c>
      <c r="E15" s="9">
        <v>3.4020000000000002E-2</v>
      </c>
      <c r="F15" s="9">
        <f>$F$11</f>
        <v>0.29903999999999997</v>
      </c>
      <c r="G15" s="8">
        <f>SUM(E15:F15)</f>
        <v>0.33305999999999997</v>
      </c>
      <c r="H15" s="19">
        <f>D15*G15</f>
        <v>21789491.287199996</v>
      </c>
    </row>
    <row r="16" spans="1:9" x14ac:dyDescent="0.25">
      <c r="A16" s="11">
        <v>6</v>
      </c>
      <c r="B16" s="4" t="s">
        <v>20</v>
      </c>
      <c r="D16" s="6">
        <f>SUM(D11:D15)</f>
        <v>898753301</v>
      </c>
      <c r="E16" s="9"/>
      <c r="F16" s="9"/>
      <c r="G16" s="8"/>
      <c r="H16" s="27">
        <f>SUM(H11:H15)</f>
        <v>388635430.39244998</v>
      </c>
      <c r="I16" s="1">
        <f>H16/H$22</f>
        <v>0.96771475171747057</v>
      </c>
    </row>
    <row r="17" spans="1:9" x14ac:dyDescent="0.25">
      <c r="A17" s="11">
        <v>7</v>
      </c>
      <c r="B17" s="4"/>
      <c r="E17" s="9"/>
      <c r="F17" s="9"/>
      <c r="G17" s="8"/>
      <c r="H17" s="19"/>
    </row>
    <row r="18" spans="1:9" x14ac:dyDescent="0.25">
      <c r="A18" s="11">
        <v>8</v>
      </c>
      <c r="B18" s="4">
        <v>85</v>
      </c>
      <c r="C18" s="3" t="s">
        <v>25</v>
      </c>
      <c r="D18" s="10">
        <f>'Forecasted Volume'!N12</f>
        <v>13050473</v>
      </c>
      <c r="E18" s="9">
        <v>7.0489999999999997E-2</v>
      </c>
      <c r="F18" s="9">
        <f>$F$11</f>
        <v>0.29903999999999997</v>
      </c>
      <c r="G18" s="8">
        <f>SUM(E18:F18)</f>
        <v>0.36952999999999997</v>
      </c>
      <c r="H18" s="19">
        <f>D18*G18</f>
        <v>4822541.2876899997</v>
      </c>
    </row>
    <row r="19" spans="1:9" x14ac:dyDescent="0.25">
      <c r="A19" s="11">
        <v>9</v>
      </c>
      <c r="B19" s="4">
        <v>86</v>
      </c>
      <c r="C19" s="3" t="s">
        <v>26</v>
      </c>
      <c r="D19" s="10">
        <f>'Forecasted Volume'!N13</f>
        <v>5525178</v>
      </c>
      <c r="E19" s="9">
        <v>8.3669999999999994E-2</v>
      </c>
      <c r="F19" s="9">
        <f>$F$11</f>
        <v>0.29903999999999997</v>
      </c>
      <c r="G19" s="8">
        <f>SUM(E19:F19)</f>
        <v>0.38270999999999999</v>
      </c>
      <c r="H19" s="19">
        <f>D19*G19</f>
        <v>2114540.8723800001</v>
      </c>
    </row>
    <row r="20" spans="1:9" x14ac:dyDescent="0.25">
      <c r="A20" s="11">
        <v>10</v>
      </c>
      <c r="B20" s="4">
        <v>87</v>
      </c>
      <c r="C20" s="3" t="s">
        <v>27</v>
      </c>
      <c r="D20" s="10">
        <f>'Forecasted Volume'!N14</f>
        <v>15908154</v>
      </c>
      <c r="E20" s="9">
        <v>7.9930000000000001E-2</v>
      </c>
      <c r="F20" s="9">
        <f>$F$11</f>
        <v>0.29903999999999997</v>
      </c>
      <c r="G20" s="8">
        <f>SUM(E20:F20)</f>
        <v>0.37896999999999997</v>
      </c>
      <c r="H20" s="19">
        <f>D20*G20</f>
        <v>6028713.1213799994</v>
      </c>
    </row>
    <row r="21" spans="1:9" x14ac:dyDescent="0.25">
      <c r="A21" s="11">
        <v>11</v>
      </c>
      <c r="B21" s="4" t="s">
        <v>21</v>
      </c>
      <c r="D21" s="6">
        <f>SUM(D18:D20)</f>
        <v>34483805</v>
      </c>
      <c r="E21" s="39"/>
      <c r="F21" s="28"/>
      <c r="G21" s="8"/>
      <c r="H21" s="27">
        <f>SUM(H18:H20)</f>
        <v>12965795.28145</v>
      </c>
      <c r="I21" s="1">
        <f>H21/H$22</f>
        <v>3.2285248282529447E-2</v>
      </c>
    </row>
    <row r="22" spans="1:9" x14ac:dyDescent="0.25">
      <c r="A22" s="11">
        <v>12</v>
      </c>
      <c r="B22" s="4" t="s">
        <v>3</v>
      </c>
      <c r="D22" s="5">
        <f>D16+D21</f>
        <v>933237106</v>
      </c>
      <c r="E22" s="39"/>
      <c r="F22" s="8"/>
      <c r="G22" s="8"/>
      <c r="H22" s="27">
        <f>H16+H21</f>
        <v>401601225.67389995</v>
      </c>
      <c r="I22" s="1">
        <f>I16+I21</f>
        <v>1</v>
      </c>
    </row>
    <row r="23" spans="1:9" x14ac:dyDescent="0.25">
      <c r="A23" s="11">
        <v>13</v>
      </c>
      <c r="B23" s="3" t="s">
        <v>28</v>
      </c>
      <c r="D23" s="2">
        <f>D22-'Forecasted Volume'!N23-'Forecasted Volume'!N24</f>
        <v>0</v>
      </c>
      <c r="E23" s="39"/>
      <c r="F23" s="8"/>
      <c r="G23" s="8"/>
      <c r="H23" s="19"/>
    </row>
    <row r="24" spans="1:9" x14ac:dyDescent="0.25">
      <c r="H24" s="19"/>
    </row>
    <row r="25" spans="1:9" s="29" customFormat="1" ht="15.75" x14ac:dyDescent="0.25">
      <c r="B25" s="46" t="s">
        <v>70</v>
      </c>
      <c r="H25" s="30"/>
    </row>
  </sheetData>
  <mergeCells count="4">
    <mergeCell ref="B1:I1"/>
    <mergeCell ref="B2:I2"/>
    <mergeCell ref="B3:I3"/>
    <mergeCell ref="B4:I4"/>
  </mergeCells>
  <printOptions horizontalCentered="1"/>
  <pageMargins left="0.7" right="0.7" top="0.75" bottom="0.75" header="0.3" footer="0.3"/>
  <pageSetup scale="99"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zoomScale="90" zoomScaleNormal="90" workbookViewId="0">
      <pane xSplit="3" ySplit="9" topLeftCell="L10" activePane="bottomRight" state="frozenSplit"/>
      <selection activeCell="B30" activeCellId="1" sqref="E13 B30"/>
      <selection pane="topRight" activeCell="B30" activeCellId="1" sqref="E13 B30"/>
      <selection pane="bottomLeft" activeCell="B30" activeCellId="1" sqref="E13 B30"/>
      <selection pane="bottomRight" activeCell="S11" sqref="S11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3.28515625" bestFit="1" customWidth="1"/>
    <col min="14" max="14" width="14" bestFit="1" customWidth="1"/>
    <col min="15" max="15" width="12.85546875" bestFit="1" customWidth="1"/>
    <col min="16" max="17" width="13.28515625" bestFit="1" customWidth="1"/>
    <col min="18" max="18" width="16.140625" bestFit="1" customWidth="1"/>
    <col min="19" max="19" width="13.28515625" bestFit="1" customWidth="1"/>
    <col min="20" max="20" width="7.85546875" bestFit="1" customWidth="1"/>
    <col min="21" max="21" width="13.7109375" bestFit="1" customWidth="1"/>
  </cols>
  <sheetData>
    <row r="1" spans="2:20" x14ac:dyDescent="0.25">
      <c r="B1" s="50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20" x14ac:dyDescent="0.25"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x14ac:dyDescent="0.25">
      <c r="B3" s="51" t="s">
        <v>72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0" x14ac:dyDescent="0.25">
      <c r="B4" s="51" t="s">
        <v>73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2:20" x14ac:dyDescent="0.25">
      <c r="F5" s="52"/>
      <c r="N5" s="52"/>
      <c r="Q5" s="52"/>
    </row>
    <row r="6" spans="2:20" x14ac:dyDescent="0.25">
      <c r="F6" s="52"/>
      <c r="G6" s="53" t="s">
        <v>13</v>
      </c>
      <c r="N6" s="52"/>
      <c r="Q6" s="52"/>
    </row>
    <row r="7" spans="2:20" x14ac:dyDescent="0.25">
      <c r="B7" s="53"/>
      <c r="C7" s="53"/>
      <c r="D7" s="53" t="s">
        <v>74</v>
      </c>
      <c r="E7" s="53" t="s">
        <v>74</v>
      </c>
      <c r="F7" s="53" t="s">
        <v>75</v>
      </c>
      <c r="G7" s="53" t="s">
        <v>76</v>
      </c>
      <c r="H7" s="52"/>
      <c r="I7" s="53"/>
      <c r="J7" s="53"/>
      <c r="K7" s="53"/>
      <c r="L7" s="53"/>
      <c r="M7" s="53"/>
      <c r="N7" s="53"/>
      <c r="O7" s="53"/>
      <c r="P7" s="53"/>
      <c r="Q7" s="53"/>
      <c r="R7" s="54" t="s">
        <v>77</v>
      </c>
      <c r="S7" s="54" t="s">
        <v>78</v>
      </c>
      <c r="T7" s="53"/>
    </row>
    <row r="8" spans="2:20" x14ac:dyDescent="0.25">
      <c r="B8" s="53"/>
      <c r="C8" s="53" t="s">
        <v>79</v>
      </c>
      <c r="D8" s="53" t="s">
        <v>14</v>
      </c>
      <c r="E8" s="53" t="s">
        <v>80</v>
      </c>
      <c r="F8" s="53" t="s">
        <v>79</v>
      </c>
      <c r="G8" s="54" t="s">
        <v>81</v>
      </c>
      <c r="H8" s="52" t="s">
        <v>80</v>
      </c>
      <c r="I8" s="53" t="s">
        <v>82</v>
      </c>
      <c r="J8" s="53" t="s">
        <v>83</v>
      </c>
      <c r="K8" s="53" t="s">
        <v>78</v>
      </c>
      <c r="L8" s="53" t="s">
        <v>84</v>
      </c>
      <c r="M8" s="53" t="s">
        <v>85</v>
      </c>
      <c r="N8" s="53" t="s">
        <v>86</v>
      </c>
      <c r="O8" s="53" t="s">
        <v>87</v>
      </c>
      <c r="P8" s="53" t="s">
        <v>88</v>
      </c>
      <c r="Q8" s="53" t="s">
        <v>89</v>
      </c>
      <c r="R8" s="53" t="s">
        <v>90</v>
      </c>
      <c r="S8" s="53" t="s">
        <v>91</v>
      </c>
      <c r="T8" s="53" t="s">
        <v>29</v>
      </c>
    </row>
    <row r="9" spans="2:20" ht="17.25" x14ac:dyDescent="0.25">
      <c r="B9" s="55" t="s">
        <v>92</v>
      </c>
      <c r="C9" s="55" t="s">
        <v>4</v>
      </c>
      <c r="D9" s="55" t="s">
        <v>93</v>
      </c>
      <c r="E9" s="55" t="s">
        <v>94</v>
      </c>
      <c r="F9" s="55" t="s">
        <v>95</v>
      </c>
      <c r="G9" s="56" t="s">
        <v>96</v>
      </c>
      <c r="H9" s="55" t="s">
        <v>91</v>
      </c>
      <c r="I9" s="55" t="s">
        <v>91</v>
      </c>
      <c r="J9" s="55" t="s">
        <v>91</v>
      </c>
      <c r="K9" s="55" t="s">
        <v>91</v>
      </c>
      <c r="L9" s="55" t="s">
        <v>91</v>
      </c>
      <c r="M9" s="55" t="s">
        <v>91</v>
      </c>
      <c r="N9" s="55" t="s">
        <v>91</v>
      </c>
      <c r="O9" s="55" t="s">
        <v>91</v>
      </c>
      <c r="P9" s="55" t="s">
        <v>91</v>
      </c>
      <c r="Q9" s="55" t="s">
        <v>91</v>
      </c>
      <c r="R9" s="14" t="s">
        <v>97</v>
      </c>
      <c r="S9" s="55" t="s">
        <v>98</v>
      </c>
      <c r="T9" s="55" t="s">
        <v>98</v>
      </c>
    </row>
    <row r="10" spans="2:20" x14ac:dyDescent="0.25">
      <c r="B10" s="53" t="s">
        <v>99</v>
      </c>
      <c r="C10" s="53" t="s">
        <v>100</v>
      </c>
      <c r="D10" s="57" t="s">
        <v>101</v>
      </c>
      <c r="E10" s="58" t="s">
        <v>102</v>
      </c>
      <c r="F10" s="53" t="s">
        <v>103</v>
      </c>
      <c r="G10" s="53" t="s">
        <v>104</v>
      </c>
      <c r="H10" s="53" t="s">
        <v>105</v>
      </c>
      <c r="I10" s="53" t="s">
        <v>106</v>
      </c>
      <c r="J10" s="53" t="s">
        <v>107</v>
      </c>
      <c r="K10" s="53" t="s">
        <v>108</v>
      </c>
      <c r="L10" s="58" t="s">
        <v>109</v>
      </c>
      <c r="M10" s="53" t="s">
        <v>110</v>
      </c>
      <c r="N10" s="58" t="s">
        <v>111</v>
      </c>
      <c r="O10" s="58" t="s">
        <v>112</v>
      </c>
      <c r="P10" s="58" t="s">
        <v>113</v>
      </c>
      <c r="Q10" s="53" t="s">
        <v>114</v>
      </c>
      <c r="R10" s="59" t="s">
        <v>115</v>
      </c>
      <c r="S10" s="53" t="s">
        <v>116</v>
      </c>
      <c r="T10" s="53" t="s">
        <v>117</v>
      </c>
    </row>
    <row r="11" spans="2:20" x14ac:dyDescent="0.25">
      <c r="B11" t="s">
        <v>22</v>
      </c>
      <c r="C11" s="52" t="s">
        <v>118</v>
      </c>
      <c r="D11" s="134">
        <v>609248315.15931809</v>
      </c>
      <c r="E11" s="64">
        <v>363968434.35868043</v>
      </c>
      <c r="F11" s="61">
        <f t="shared" ref="F11:F16" si="0">(E11)/D11</f>
        <v>0.59740572981888818</v>
      </c>
      <c r="G11" s="134">
        <v>595130910</v>
      </c>
      <c r="H11" s="62">
        <f>F11*G11</f>
        <v>355534615.62632906</v>
      </c>
      <c r="I11" s="64">
        <v>275783663.69</v>
      </c>
      <c r="J11" s="64">
        <v>15580527.220000001</v>
      </c>
      <c r="K11" s="60">
        <f>'Sch. 120'!F9</f>
        <v>12015693.072899999</v>
      </c>
      <c r="L11" s="64">
        <v>2172227.8215000001</v>
      </c>
      <c r="M11" s="64">
        <v>13539228.202499999</v>
      </c>
      <c r="N11" s="64">
        <v>1868711.0574</v>
      </c>
      <c r="O11" s="64">
        <v>-815329.34669999999</v>
      </c>
      <c r="P11" s="64">
        <v>13402348.09</v>
      </c>
      <c r="Q11" s="64">
        <v>13438055.947799999</v>
      </c>
      <c r="R11" s="63">
        <f t="shared" ref="R11:R23" si="1">SUM(H11:Q11)</f>
        <v>702519741.38172913</v>
      </c>
      <c r="S11" s="60">
        <f>'Sch. 120'!H9</f>
        <v>2065104.2577000018</v>
      </c>
      <c r="T11" s="1">
        <f>S11/R11</f>
        <v>2.9395675823120867E-3</v>
      </c>
    </row>
    <row r="12" spans="2:20" x14ac:dyDescent="0.25">
      <c r="B12" t="s">
        <v>119</v>
      </c>
      <c r="C12" s="52">
        <v>16</v>
      </c>
      <c r="D12" s="134">
        <v>9386</v>
      </c>
      <c r="E12" s="64">
        <v>5552.56</v>
      </c>
      <c r="F12" s="61">
        <f t="shared" si="0"/>
        <v>0.59157894736842109</v>
      </c>
      <c r="G12" s="134">
        <v>7068</v>
      </c>
      <c r="H12" s="62">
        <f t="shared" ref="H12:H23" si="2">F12*G12</f>
        <v>4181.2800000000007</v>
      </c>
      <c r="I12" s="64">
        <v>3275.31</v>
      </c>
      <c r="J12" s="64">
        <v>185.04</v>
      </c>
      <c r="K12" s="60">
        <f>'Sch. 120'!F10</f>
        <v>142.70292000000001</v>
      </c>
      <c r="L12" s="64"/>
      <c r="M12" s="64">
        <v>160.797</v>
      </c>
      <c r="N12" s="64">
        <v>22.193519999999999</v>
      </c>
      <c r="O12" s="64">
        <v>-9.6831599999999991</v>
      </c>
      <c r="P12" s="64"/>
      <c r="Q12" s="64">
        <v>159.59544</v>
      </c>
      <c r="R12" s="63">
        <f t="shared" si="1"/>
        <v>8117.2357199999997</v>
      </c>
      <c r="S12" s="60">
        <f>'Sch. 120'!H10</f>
        <v>24.525959999999998</v>
      </c>
      <c r="T12" s="1">
        <f t="shared" ref="T12:T24" si="3">S12/R12</f>
        <v>3.0214670173456535E-3</v>
      </c>
    </row>
    <row r="13" spans="2:20" x14ac:dyDescent="0.25">
      <c r="B13" t="s">
        <v>24</v>
      </c>
      <c r="C13" s="52">
        <v>31</v>
      </c>
      <c r="D13" s="134">
        <v>234140158.08963937</v>
      </c>
      <c r="E13" s="64">
        <v>115517786.53999999</v>
      </c>
      <c r="F13" s="61">
        <f t="shared" si="0"/>
        <v>0.49337024234763949</v>
      </c>
      <c r="G13" s="134">
        <v>238193203</v>
      </c>
      <c r="H13" s="62">
        <f t="shared" si="2"/>
        <v>117517438.28967048</v>
      </c>
      <c r="I13" s="64">
        <v>108525587.15000001</v>
      </c>
      <c r="J13" s="64">
        <v>6226370.3300000001</v>
      </c>
      <c r="K13" s="60">
        <f>'Sch. 120'!F11</f>
        <v>4809120.7685700003</v>
      </c>
      <c r="L13" s="64">
        <v>733635.06523999991</v>
      </c>
      <c r="M13" s="64">
        <v>6269245.1029599998</v>
      </c>
      <c r="N13" s="64">
        <v>843203.93862000003</v>
      </c>
      <c r="O13" s="64">
        <v>-350144.00841000001</v>
      </c>
      <c r="P13" s="64">
        <v>7688876.5999999996</v>
      </c>
      <c r="Q13" s="64">
        <v>5888135.9781599995</v>
      </c>
      <c r="R13" s="63">
        <f t="shared" si="1"/>
        <v>258151469.21481049</v>
      </c>
      <c r="S13" s="60">
        <f>'Sch. 120'!H11</f>
        <v>826530.41440999974</v>
      </c>
      <c r="T13" s="1">
        <f>S13/R13</f>
        <v>3.201726555823842E-3</v>
      </c>
    </row>
    <row r="14" spans="2:20" x14ac:dyDescent="0.25">
      <c r="B14" t="s">
        <v>45</v>
      </c>
      <c r="C14" s="52">
        <v>41</v>
      </c>
      <c r="D14" s="134">
        <v>65836657.463465497</v>
      </c>
      <c r="E14" s="64">
        <v>16636904.087507829</v>
      </c>
      <c r="F14" s="61">
        <f t="shared" si="0"/>
        <v>0.25269970755638815</v>
      </c>
      <c r="G14" s="134">
        <v>65422120</v>
      </c>
      <c r="H14" s="62">
        <f t="shared" si="2"/>
        <v>16532150.591718933</v>
      </c>
      <c r="I14" s="64">
        <v>27516824.669999998</v>
      </c>
      <c r="J14" s="64">
        <v>1702937.78</v>
      </c>
      <c r="K14" s="60">
        <f>'Sch. 120'!F12</f>
        <v>1320872.6028</v>
      </c>
      <c r="L14" s="64">
        <v>97478.958799999993</v>
      </c>
      <c r="M14" s="64">
        <v>575060.43479999993</v>
      </c>
      <c r="N14" s="64">
        <v>87011.419600000008</v>
      </c>
      <c r="O14" s="64">
        <v>-36636.387199999997</v>
      </c>
      <c r="P14" s="64">
        <v>-1316821.8800000001</v>
      </c>
      <c r="Q14" s="64">
        <v>735998.85</v>
      </c>
      <c r="R14" s="63">
        <f t="shared" si="1"/>
        <v>47214877.040518932</v>
      </c>
      <c r="S14" s="60">
        <f>'Sch. 120'!H12</f>
        <v>227014.75640000007</v>
      </c>
      <c r="T14" s="1">
        <f t="shared" si="3"/>
        <v>4.8081191910164297E-3</v>
      </c>
    </row>
    <row r="15" spans="2:20" x14ac:dyDescent="0.25">
      <c r="B15" t="s">
        <v>25</v>
      </c>
      <c r="C15" s="52">
        <v>85</v>
      </c>
      <c r="D15" s="134">
        <v>16184434.068649083</v>
      </c>
      <c r="E15" s="64">
        <v>1697295.0899999999</v>
      </c>
      <c r="F15" s="61">
        <f t="shared" si="0"/>
        <v>0.1048720692240846</v>
      </c>
      <c r="G15" s="134">
        <v>13050473</v>
      </c>
      <c r="H15" s="62">
        <f t="shared" si="2"/>
        <v>1368630.1078630469</v>
      </c>
      <c r="I15" s="64">
        <v>5142832.66</v>
      </c>
      <c r="J15" s="64">
        <v>338659.77</v>
      </c>
      <c r="K15" s="60">
        <f>'Sch. 120'!F13</f>
        <v>218986.93693999999</v>
      </c>
      <c r="L15" s="64">
        <v>9689.1751502953775</v>
      </c>
      <c r="M15" s="64">
        <v>63294.794050000004</v>
      </c>
      <c r="N15" s="64">
        <v>10570.88313</v>
      </c>
      <c r="O15" s="64">
        <v>-3523.6277100000002</v>
      </c>
      <c r="P15" s="64"/>
      <c r="Q15" s="64">
        <v>87568.67383</v>
      </c>
      <c r="R15" s="63">
        <f t="shared" si="1"/>
        <v>7236709.3732533436</v>
      </c>
      <c r="S15" s="60">
        <f>'Sch. 120'!H13</f>
        <v>49461.292670000053</v>
      </c>
      <c r="T15" s="1">
        <f t="shared" si="3"/>
        <v>6.8347767084315251E-3</v>
      </c>
    </row>
    <row r="16" spans="2:20" x14ac:dyDescent="0.25">
      <c r="B16" t="s">
        <v>26</v>
      </c>
      <c r="C16" s="52">
        <v>86</v>
      </c>
      <c r="D16" s="134">
        <v>9397200.2729263548</v>
      </c>
      <c r="E16" s="64">
        <v>1991938.09</v>
      </c>
      <c r="F16" s="61">
        <f t="shared" si="0"/>
        <v>0.21197144172172638</v>
      </c>
      <c r="G16" s="134">
        <v>5525178</v>
      </c>
      <c r="H16" s="62">
        <f t="shared" si="2"/>
        <v>1171179.9464291648</v>
      </c>
      <c r="I16" s="64">
        <v>2301730.9900000002</v>
      </c>
      <c r="J16" s="64">
        <v>143544.12</v>
      </c>
      <c r="K16" s="60">
        <f>'Sch. 120'!F14</f>
        <v>92712.486839999998</v>
      </c>
      <c r="L16" s="64">
        <v>7237.9831800000002</v>
      </c>
      <c r="M16" s="64">
        <v>59948.181300000004</v>
      </c>
      <c r="N16" s="64">
        <v>6740.7171600000001</v>
      </c>
      <c r="O16" s="64">
        <v>-1823.3087399999999</v>
      </c>
      <c r="P16" s="64">
        <v>-97210.040000000008</v>
      </c>
      <c r="Q16" s="64">
        <v>46743.005880000004</v>
      </c>
      <c r="R16" s="63">
        <f t="shared" si="1"/>
        <v>3730804.0820491654</v>
      </c>
      <c r="S16" s="60">
        <f>'Sch. 120'!H14</f>
        <v>20940.424620000005</v>
      </c>
      <c r="T16" s="1">
        <f t="shared" si="3"/>
        <v>5.6128448879841364E-3</v>
      </c>
    </row>
    <row r="17" spans="2:21" x14ac:dyDescent="0.25">
      <c r="B17" t="s">
        <v>27</v>
      </c>
      <c r="C17" s="52">
        <v>87</v>
      </c>
      <c r="D17" s="134">
        <v>23337042.118500695</v>
      </c>
      <c r="E17" s="64">
        <v>1376677.9799999997</v>
      </c>
      <c r="F17" s="61">
        <f>(E17)/D17</f>
        <v>5.8991108342244594E-2</v>
      </c>
      <c r="G17" s="134">
        <v>15908154</v>
      </c>
      <c r="H17" s="62">
        <f t="shared" si="2"/>
        <v>938439.63613911171</v>
      </c>
      <c r="I17" s="64">
        <v>6315696.2199999997</v>
      </c>
      <c r="J17" s="64">
        <v>412816.6</v>
      </c>
      <c r="K17" s="60">
        <f>'Sch. 120'!F15</f>
        <v>266938.82412</v>
      </c>
      <c r="L17" s="64">
        <v>4691.849587821448</v>
      </c>
      <c r="M17" s="64">
        <v>41997.526559999998</v>
      </c>
      <c r="N17" s="64">
        <v>6840.5062200000002</v>
      </c>
      <c r="O17" s="64">
        <v>-2227.14156</v>
      </c>
      <c r="P17" s="64"/>
      <c r="Q17" s="64">
        <v>59496.49596</v>
      </c>
      <c r="R17" s="63">
        <f t="shared" si="1"/>
        <v>8044690.517026932</v>
      </c>
      <c r="S17" s="60">
        <f>'Sch. 120'!H15</f>
        <v>60291.903660000011</v>
      </c>
      <c r="T17" s="1">
        <f t="shared" si="3"/>
        <v>7.4946206485370214E-3</v>
      </c>
    </row>
    <row r="18" spans="2:21" x14ac:dyDescent="0.25">
      <c r="B18" t="s">
        <v>120</v>
      </c>
      <c r="C18" s="52" t="s">
        <v>52</v>
      </c>
      <c r="D18" s="134">
        <v>36359.963605097219</v>
      </c>
      <c r="E18" s="64">
        <v>25086.03</v>
      </c>
      <c r="F18" s="61">
        <f>(E18)/D18</f>
        <v>0.68993550907964185</v>
      </c>
      <c r="G18" s="134">
        <v>35551</v>
      </c>
      <c r="H18" s="62">
        <f t="shared" si="2"/>
        <v>24527.897283290349</v>
      </c>
      <c r="I18" s="64"/>
      <c r="J18" s="64"/>
      <c r="K18" s="60"/>
      <c r="L18" s="64">
        <v>109.49708</v>
      </c>
      <c r="M18" s="64">
        <v>935.70231999999999</v>
      </c>
      <c r="N18" s="64">
        <v>125.85054000000001</v>
      </c>
      <c r="O18" s="64">
        <v>-52.259969999999996</v>
      </c>
      <c r="P18" s="64">
        <v>1108.1199999999999</v>
      </c>
      <c r="Q18" s="64">
        <v>878.82071999999994</v>
      </c>
      <c r="R18" s="63">
        <f t="shared" si="1"/>
        <v>27633.627973290349</v>
      </c>
      <c r="S18" s="60"/>
      <c r="T18" s="1">
        <f t="shared" si="3"/>
        <v>0</v>
      </c>
    </row>
    <row r="19" spans="2:21" x14ac:dyDescent="0.25">
      <c r="B19" t="s">
        <v>121</v>
      </c>
      <c r="C19" s="52" t="s">
        <v>0</v>
      </c>
      <c r="D19" s="134">
        <v>20492334.449073859</v>
      </c>
      <c r="E19" s="64">
        <v>4384305.3758256389</v>
      </c>
      <c r="F19" s="61">
        <f t="shared" ref="F19:F24" si="4">(E19)/D19</f>
        <v>0.21394855655519449</v>
      </c>
      <c r="G19" s="134">
        <v>22840538</v>
      </c>
      <c r="H19" s="62">
        <f>F19*G19</f>
        <v>4886700.1360440692</v>
      </c>
      <c r="I19" s="64"/>
      <c r="J19" s="64"/>
      <c r="K19" s="60"/>
      <c r="L19" s="64">
        <v>34032.401619999997</v>
      </c>
      <c r="M19" s="64">
        <v>200768.32901999998</v>
      </c>
      <c r="N19" s="64">
        <v>30377.915540000002</v>
      </c>
      <c r="O19" s="64">
        <v>-12790.701279999999</v>
      </c>
      <c r="P19" s="64">
        <v>-407849.12</v>
      </c>
      <c r="Q19" s="64">
        <v>256956.05249999999</v>
      </c>
      <c r="R19" s="63">
        <f t="shared" si="1"/>
        <v>4988195.0134440698</v>
      </c>
      <c r="S19" s="60"/>
      <c r="T19" s="1">
        <f t="shared" si="3"/>
        <v>0</v>
      </c>
    </row>
    <row r="20" spans="2:21" x14ac:dyDescent="0.25">
      <c r="B20" t="s">
        <v>122</v>
      </c>
      <c r="C20" s="52" t="s">
        <v>1</v>
      </c>
      <c r="D20" s="134">
        <v>74773537.134971082</v>
      </c>
      <c r="E20" s="64">
        <v>7487912.2400000002</v>
      </c>
      <c r="F20" s="61">
        <f t="shared" si="4"/>
        <v>0.10014120672777367</v>
      </c>
      <c r="G20" s="134">
        <v>70621998</v>
      </c>
      <c r="H20" s="62">
        <f t="shared" si="2"/>
        <v>7072172.1012464184</v>
      </c>
      <c r="I20" s="64"/>
      <c r="J20" s="64"/>
      <c r="K20" s="60"/>
      <c r="L20" s="64">
        <v>47997.112435106988</v>
      </c>
      <c r="M20" s="64">
        <v>342516.69030000002</v>
      </c>
      <c r="N20" s="64">
        <v>57203.818379999997</v>
      </c>
      <c r="O20" s="64">
        <v>-19067.939460000001</v>
      </c>
      <c r="P20" s="64"/>
      <c r="Q20" s="64">
        <v>473873.60657999996</v>
      </c>
      <c r="R20" s="63">
        <f t="shared" si="1"/>
        <v>7974695.3894815259</v>
      </c>
      <c r="S20" s="60"/>
      <c r="T20" s="1">
        <f t="shared" si="3"/>
        <v>0</v>
      </c>
    </row>
    <row r="21" spans="2:21" x14ac:dyDescent="0.25">
      <c r="B21" t="s">
        <v>123</v>
      </c>
      <c r="C21" s="52" t="s">
        <v>46</v>
      </c>
      <c r="D21" s="134">
        <v>351288.14999999997</v>
      </c>
      <c r="E21" s="64">
        <v>70256.2</v>
      </c>
      <c r="F21" s="61">
        <f t="shared" si="4"/>
        <v>0.19999592926775356</v>
      </c>
      <c r="G21" s="134">
        <v>1123336</v>
      </c>
      <c r="H21" s="62">
        <f t="shared" si="2"/>
        <v>224662.6271999212</v>
      </c>
      <c r="I21" s="64"/>
      <c r="J21" s="64"/>
      <c r="K21" s="60"/>
      <c r="L21" s="64">
        <v>1471.57016</v>
      </c>
      <c r="M21" s="64">
        <v>12188.195600000001</v>
      </c>
      <c r="N21" s="64">
        <v>1370.46992</v>
      </c>
      <c r="O21" s="64">
        <v>-370.70087999999998</v>
      </c>
      <c r="P21" s="64">
        <v>-16465.36</v>
      </c>
      <c r="Q21" s="64">
        <v>9503.4225600000009</v>
      </c>
      <c r="R21" s="63">
        <f t="shared" si="1"/>
        <v>232360.22455992122</v>
      </c>
      <c r="S21" s="60"/>
      <c r="T21" s="1">
        <f t="shared" si="3"/>
        <v>0</v>
      </c>
    </row>
    <row r="22" spans="2:21" x14ac:dyDescent="0.25">
      <c r="B22" t="s">
        <v>124</v>
      </c>
      <c r="C22" s="52" t="s">
        <v>2</v>
      </c>
      <c r="D22" s="134">
        <v>100441128.37470125</v>
      </c>
      <c r="E22" s="64">
        <v>4338586.3099999996</v>
      </c>
      <c r="F22" s="61">
        <f>(E22)/D22</f>
        <v>4.3195316303244434E-2</v>
      </c>
      <c r="G22" s="134">
        <v>99194904</v>
      </c>
      <c r="H22" s="62">
        <f t="shared" si="2"/>
        <v>4284755.2539499663</v>
      </c>
      <c r="I22" s="64"/>
      <c r="J22" s="64"/>
      <c r="K22" s="60"/>
      <c r="L22" s="64">
        <v>23630.905792189424</v>
      </c>
      <c r="M22" s="64">
        <v>261874.54655999999</v>
      </c>
      <c r="N22" s="64">
        <v>42653.808720000001</v>
      </c>
      <c r="O22" s="64">
        <v>-13887.286559999999</v>
      </c>
      <c r="P22" s="64"/>
      <c r="Q22" s="64">
        <v>370988.94095999998</v>
      </c>
      <c r="R22" s="63">
        <f t="shared" si="1"/>
        <v>4970016.1694221562</v>
      </c>
      <c r="S22" s="60"/>
      <c r="T22" s="1">
        <f t="shared" si="3"/>
        <v>0</v>
      </c>
    </row>
    <row r="23" spans="2:21" x14ac:dyDescent="0.25">
      <c r="B23" t="s">
        <v>47</v>
      </c>
      <c r="D23" s="134">
        <v>37056427.854413897</v>
      </c>
      <c r="E23" s="64">
        <v>1757519.5213237838</v>
      </c>
      <c r="F23" s="65">
        <f t="shared" si="4"/>
        <v>4.7428195945617584E-2</v>
      </c>
      <c r="G23" s="134">
        <v>35501588</v>
      </c>
      <c r="H23" s="62">
        <f t="shared" si="2"/>
        <v>1683776.2720445858</v>
      </c>
      <c r="I23" s="64"/>
      <c r="J23" s="64"/>
      <c r="K23" s="60"/>
      <c r="L23" s="64"/>
      <c r="M23" s="64">
        <v>46507.080280000002</v>
      </c>
      <c r="N23" s="64">
        <v>7455.3334800000002</v>
      </c>
      <c r="O23" s="64">
        <v>-2485.1111599999999</v>
      </c>
      <c r="P23" s="64"/>
      <c r="Q23" s="64">
        <v>33016.476840000003</v>
      </c>
      <c r="R23" s="63">
        <f t="shared" si="1"/>
        <v>1768270.0514845857</v>
      </c>
      <c r="S23" s="60"/>
      <c r="T23" s="1">
        <f t="shared" si="3"/>
        <v>0</v>
      </c>
    </row>
    <row r="24" spans="2:21" x14ac:dyDescent="0.25">
      <c r="B24" t="s">
        <v>3</v>
      </c>
      <c r="D24" s="66">
        <f>SUM(D11:D23)</f>
        <v>1191304269.0992641</v>
      </c>
      <c r="E24" s="67">
        <f>SUM(E11:E23)</f>
        <v>519258254.38333762</v>
      </c>
      <c r="F24" s="61">
        <f t="shared" si="4"/>
        <v>0.43587374598761802</v>
      </c>
      <c r="G24" s="66">
        <f>SUM(G11:G23)</f>
        <v>1162555021</v>
      </c>
      <c r="H24" s="67">
        <f>SUM(H11:H23)</f>
        <v>511243229.76591808</v>
      </c>
      <c r="I24" s="67">
        <f t="shared" ref="I24:K24" si="5">SUM(I11:I23)</f>
        <v>425589610.69000006</v>
      </c>
      <c r="J24" s="67">
        <f t="shared" si="5"/>
        <v>24405040.860000003</v>
      </c>
      <c r="K24" s="67">
        <f t="shared" si="5"/>
        <v>18724467.395089999</v>
      </c>
      <c r="L24" s="67">
        <f>SUM(L11:L23)</f>
        <v>3132202.3405454135</v>
      </c>
      <c r="M24" s="67">
        <f>SUM(M11:M23)</f>
        <v>21413725.583249994</v>
      </c>
      <c r="N24" s="67">
        <f>SUM(N11:N23)</f>
        <v>2962287.9122300004</v>
      </c>
      <c r="O24" s="67">
        <f>SUM(O11:O23)</f>
        <v>-1258347.5027899996</v>
      </c>
      <c r="P24" s="67">
        <f t="shared" ref="P24:R24" si="6">SUM(P11:P23)</f>
        <v>19253986.41</v>
      </c>
      <c r="Q24" s="67">
        <f t="shared" si="6"/>
        <v>21401375.867229994</v>
      </c>
      <c r="R24" s="68">
        <f t="shared" si="6"/>
        <v>1046867579.3214735</v>
      </c>
      <c r="S24" s="67">
        <f>SUM(S11:S23)</f>
        <v>3249367.575420002</v>
      </c>
      <c r="T24" s="7">
        <f t="shared" si="3"/>
        <v>3.1038955065607033E-3</v>
      </c>
      <c r="U24" s="62"/>
    </row>
    <row r="25" spans="2:21" x14ac:dyDescent="0.25">
      <c r="D25" s="69"/>
      <c r="E25" s="62"/>
      <c r="G25" s="69"/>
      <c r="L25" s="62"/>
      <c r="O25" s="62"/>
      <c r="P25" s="62"/>
      <c r="R25" s="62"/>
      <c r="T25" s="70"/>
    </row>
    <row r="26" spans="2:21" s="75" customFormat="1" x14ac:dyDescent="0.25">
      <c r="B26" s="71" t="s">
        <v>125</v>
      </c>
      <c r="C26" s="72"/>
      <c r="D26" s="73"/>
      <c r="E26" s="74"/>
      <c r="S26" s="76"/>
      <c r="T26" s="77"/>
    </row>
    <row r="27" spans="2:21" s="75" customFormat="1" x14ac:dyDescent="0.25">
      <c r="B27" s="78" t="s">
        <v>22</v>
      </c>
      <c r="C27" s="79" t="s">
        <v>126</v>
      </c>
      <c r="D27" s="80">
        <f>D11+D12</f>
        <v>609257701.15931809</v>
      </c>
      <c r="E27" s="81">
        <f>E11+E12</f>
        <v>363973986.91868043</v>
      </c>
      <c r="F27" s="61">
        <f t="shared" ref="F27:F34" si="7">(E27)/D27</f>
        <v>0.5974056400536214</v>
      </c>
      <c r="G27" s="82">
        <f>G11+G12</f>
        <v>595137978</v>
      </c>
      <c r="H27" s="81">
        <f>H11+H12</f>
        <v>355538796.90632904</v>
      </c>
      <c r="I27" s="81">
        <f t="shared" ref="I27:Q27" si="8">I11+I12</f>
        <v>275786939</v>
      </c>
      <c r="J27" s="81">
        <f t="shared" si="8"/>
        <v>15580712.26</v>
      </c>
      <c r="K27" s="81">
        <f t="shared" si="8"/>
        <v>12015835.775819998</v>
      </c>
      <c r="L27" s="81">
        <f t="shared" si="8"/>
        <v>2172227.8215000001</v>
      </c>
      <c r="M27" s="81">
        <f t="shared" si="8"/>
        <v>13539388.999499999</v>
      </c>
      <c r="N27" s="81">
        <f t="shared" si="8"/>
        <v>1868733.25092</v>
      </c>
      <c r="O27" s="81">
        <f t="shared" si="8"/>
        <v>-815339.02986000001</v>
      </c>
      <c r="P27" s="81">
        <f t="shared" si="8"/>
        <v>13402348.09</v>
      </c>
      <c r="Q27" s="81">
        <f t="shared" si="8"/>
        <v>13438215.54324</v>
      </c>
      <c r="R27" s="81">
        <f>R11+R12</f>
        <v>702527858.61744916</v>
      </c>
      <c r="S27" s="62">
        <f>SUM(S11:S12)</f>
        <v>2065128.7836600018</v>
      </c>
      <c r="T27" s="1">
        <f t="shared" ref="T27:T34" si="9">S27/R27</f>
        <v>2.9395685286048366E-3</v>
      </c>
      <c r="U27" s="83"/>
    </row>
    <row r="28" spans="2:21" s="75" customFormat="1" x14ac:dyDescent="0.25">
      <c r="B28" s="84" t="s">
        <v>127</v>
      </c>
      <c r="C28" s="79" t="s">
        <v>128</v>
      </c>
      <c r="D28" s="80">
        <f>D13+D18</f>
        <v>234176518.05324447</v>
      </c>
      <c r="E28" s="81">
        <f>E13+E18</f>
        <v>115542872.56999999</v>
      </c>
      <c r="F28" s="61">
        <f t="shared" si="7"/>
        <v>0.49340076251252968</v>
      </c>
      <c r="G28" s="82">
        <f t="shared" ref="G28:Q32" si="10">G13+G18</f>
        <v>238228754</v>
      </c>
      <c r="H28" s="81">
        <f t="shared" si="10"/>
        <v>117541966.18695377</v>
      </c>
      <c r="I28" s="81">
        <f t="shared" si="10"/>
        <v>108525587.15000001</v>
      </c>
      <c r="J28" s="81">
        <f t="shared" si="10"/>
        <v>6226370.3300000001</v>
      </c>
      <c r="K28" s="81">
        <f t="shared" si="10"/>
        <v>4809120.7685700003</v>
      </c>
      <c r="L28" s="81">
        <f t="shared" si="10"/>
        <v>733744.56231999991</v>
      </c>
      <c r="M28" s="81">
        <f t="shared" si="10"/>
        <v>6270180.80528</v>
      </c>
      <c r="N28" s="81">
        <f t="shared" si="10"/>
        <v>843329.78916000004</v>
      </c>
      <c r="O28" s="81">
        <f t="shared" si="10"/>
        <v>-350196.26838000002</v>
      </c>
      <c r="P28" s="81">
        <f t="shared" si="10"/>
        <v>7689984.7199999997</v>
      </c>
      <c r="Q28" s="81">
        <f t="shared" si="10"/>
        <v>5889014.7988799997</v>
      </c>
      <c r="R28" s="81">
        <f>R13+R18</f>
        <v>258179102.84278378</v>
      </c>
      <c r="S28" s="62">
        <f>SUM(S13,S18)</f>
        <v>826530.41440999974</v>
      </c>
      <c r="T28" s="1">
        <f t="shared" si="9"/>
        <v>3.2013838661191303E-3</v>
      </c>
    </row>
    <row r="29" spans="2:21" s="75" customFormat="1" x14ac:dyDescent="0.25">
      <c r="B29" s="78" t="s">
        <v>129</v>
      </c>
      <c r="C29" s="79" t="s">
        <v>130</v>
      </c>
      <c r="D29" s="80">
        <f t="shared" ref="D29:E32" si="11">D14+D19</f>
        <v>86328991.912539363</v>
      </c>
      <c r="E29" s="81">
        <f t="shared" si="11"/>
        <v>21021209.463333469</v>
      </c>
      <c r="F29" s="61">
        <f t="shared" si="7"/>
        <v>0.24350115757902321</v>
      </c>
      <c r="G29" s="82">
        <f t="shared" si="10"/>
        <v>88262658</v>
      </c>
      <c r="H29" s="81">
        <f t="shared" si="10"/>
        <v>21418850.727763001</v>
      </c>
      <c r="I29" s="81">
        <f t="shared" si="10"/>
        <v>27516824.669999998</v>
      </c>
      <c r="J29" s="81">
        <f t="shared" si="10"/>
        <v>1702937.78</v>
      </c>
      <c r="K29" s="81">
        <f t="shared" si="10"/>
        <v>1320872.6028</v>
      </c>
      <c r="L29" s="81">
        <f t="shared" si="10"/>
        <v>131511.36041999998</v>
      </c>
      <c r="M29" s="81">
        <f t="shared" si="10"/>
        <v>775828.76381999988</v>
      </c>
      <c r="N29" s="81">
        <f t="shared" si="10"/>
        <v>117389.33514000001</v>
      </c>
      <c r="O29" s="81">
        <f t="shared" si="10"/>
        <v>-49427.088479999999</v>
      </c>
      <c r="P29" s="81">
        <f t="shared" si="10"/>
        <v>-1724671</v>
      </c>
      <c r="Q29" s="81">
        <f t="shared" si="10"/>
        <v>992954.90249999997</v>
      </c>
      <c r="R29" s="81">
        <f>R14+R19</f>
        <v>52203072.053963006</v>
      </c>
      <c r="S29" s="62">
        <f>SUM(S14,S19)</f>
        <v>227014.75640000007</v>
      </c>
      <c r="T29" s="1">
        <f t="shared" si="9"/>
        <v>4.3486857663344392E-3</v>
      </c>
    </row>
    <row r="30" spans="2:21" s="75" customFormat="1" x14ac:dyDescent="0.25">
      <c r="B30" s="78" t="s">
        <v>25</v>
      </c>
      <c r="C30" s="79" t="s">
        <v>131</v>
      </c>
      <c r="D30" s="80">
        <f t="shared" si="11"/>
        <v>90957971.203620166</v>
      </c>
      <c r="E30" s="81">
        <f t="shared" si="11"/>
        <v>9185207.3300000001</v>
      </c>
      <c r="F30" s="61">
        <f t="shared" si="7"/>
        <v>0.10098298377211853</v>
      </c>
      <c r="G30" s="82">
        <f t="shared" si="10"/>
        <v>83672471</v>
      </c>
      <c r="H30" s="81">
        <f t="shared" si="10"/>
        <v>8440802.2091094647</v>
      </c>
      <c r="I30" s="81">
        <f t="shared" si="10"/>
        <v>5142832.66</v>
      </c>
      <c r="J30" s="81">
        <f t="shared" si="10"/>
        <v>338659.77</v>
      </c>
      <c r="K30" s="81">
        <f t="shared" si="10"/>
        <v>218986.93693999999</v>
      </c>
      <c r="L30" s="81">
        <f t="shared" si="10"/>
        <v>57686.287585402366</v>
      </c>
      <c r="M30" s="81">
        <f t="shared" si="10"/>
        <v>405811.48435000004</v>
      </c>
      <c r="N30" s="81">
        <f t="shared" si="10"/>
        <v>67774.701509999999</v>
      </c>
      <c r="O30" s="81">
        <f t="shared" si="10"/>
        <v>-22591.567170000002</v>
      </c>
      <c r="P30" s="81">
        <f t="shared" si="10"/>
        <v>0</v>
      </c>
      <c r="Q30" s="81">
        <f t="shared" si="10"/>
        <v>561442.28041000001</v>
      </c>
      <c r="R30" s="81">
        <f>R15+R20</f>
        <v>15211404.762734869</v>
      </c>
      <c r="S30" s="62">
        <f>SUM(S15,S20)</f>
        <v>49461.292670000053</v>
      </c>
      <c r="T30" s="1">
        <f t="shared" si="9"/>
        <v>3.2515926991286879E-3</v>
      </c>
    </row>
    <row r="31" spans="2:21" s="75" customFormat="1" x14ac:dyDescent="0.25">
      <c r="B31" s="78" t="s">
        <v>132</v>
      </c>
      <c r="C31" s="79" t="s">
        <v>133</v>
      </c>
      <c r="D31" s="80">
        <f t="shared" si="11"/>
        <v>9748488.4229263552</v>
      </c>
      <c r="E31" s="81">
        <f t="shared" si="11"/>
        <v>2062194.29</v>
      </c>
      <c r="F31" s="61">
        <f t="shared" si="7"/>
        <v>0.2115399024478668</v>
      </c>
      <c r="G31" s="82">
        <f t="shared" si="10"/>
        <v>6648514</v>
      </c>
      <c r="H31" s="81">
        <f t="shared" si="10"/>
        <v>1395842.5736290861</v>
      </c>
      <c r="I31" s="81">
        <f t="shared" si="10"/>
        <v>2301730.9900000002</v>
      </c>
      <c r="J31" s="81">
        <f t="shared" si="10"/>
        <v>143544.12</v>
      </c>
      <c r="K31" s="81">
        <f t="shared" si="10"/>
        <v>92712.486839999998</v>
      </c>
      <c r="L31" s="81">
        <f t="shared" si="10"/>
        <v>8709.5533400000004</v>
      </c>
      <c r="M31" s="81">
        <f t="shared" si="10"/>
        <v>72136.376900000003</v>
      </c>
      <c r="N31" s="81">
        <f t="shared" si="10"/>
        <v>8111.1870799999997</v>
      </c>
      <c r="O31" s="81">
        <f t="shared" si="10"/>
        <v>-2194.0096199999998</v>
      </c>
      <c r="P31" s="81">
        <f t="shared" si="10"/>
        <v>-113675.40000000001</v>
      </c>
      <c r="Q31" s="81">
        <f t="shared" si="10"/>
        <v>56246.428440000003</v>
      </c>
      <c r="R31" s="81">
        <f>R16+R21</f>
        <v>3963164.3066090867</v>
      </c>
      <c r="S31" s="62">
        <f>SUM(S16,S21)</f>
        <v>20940.424620000005</v>
      </c>
      <c r="T31" s="1">
        <f t="shared" si="9"/>
        <v>5.2837639320376271E-3</v>
      </c>
    </row>
    <row r="32" spans="2:21" s="75" customFormat="1" x14ac:dyDescent="0.25">
      <c r="B32" s="85" t="s">
        <v>134</v>
      </c>
      <c r="C32" s="79" t="s">
        <v>135</v>
      </c>
      <c r="D32" s="80">
        <f t="shared" si="11"/>
        <v>123778170.49320194</v>
      </c>
      <c r="E32" s="81">
        <f t="shared" si="11"/>
        <v>5715264.2899999991</v>
      </c>
      <c r="F32" s="61">
        <f t="shared" si="7"/>
        <v>4.6173442919920107E-2</v>
      </c>
      <c r="G32" s="82">
        <f t="shared" si="10"/>
        <v>115103058</v>
      </c>
      <c r="H32" s="81">
        <f t="shared" si="10"/>
        <v>5223194.8900890779</v>
      </c>
      <c r="I32" s="81">
        <f t="shared" si="10"/>
        <v>6315696.2199999997</v>
      </c>
      <c r="J32" s="81">
        <f t="shared" si="10"/>
        <v>412816.6</v>
      </c>
      <c r="K32" s="81">
        <f t="shared" si="10"/>
        <v>266938.82412</v>
      </c>
      <c r="L32" s="81">
        <f t="shared" si="10"/>
        <v>28322.755380010873</v>
      </c>
      <c r="M32" s="81">
        <f t="shared" si="10"/>
        <v>303872.07311999996</v>
      </c>
      <c r="N32" s="81">
        <f t="shared" si="10"/>
        <v>49494.314940000004</v>
      </c>
      <c r="O32" s="81">
        <f t="shared" si="10"/>
        <v>-16114.428119999999</v>
      </c>
      <c r="P32" s="81">
        <f t="shared" si="10"/>
        <v>0</v>
      </c>
      <c r="Q32" s="81">
        <f t="shared" si="10"/>
        <v>430485.43692000001</v>
      </c>
      <c r="R32" s="81">
        <f>R17+R22</f>
        <v>13014706.686449088</v>
      </c>
      <c r="S32" s="62">
        <f>SUM(S17,S22)</f>
        <v>60291.903660000011</v>
      </c>
      <c r="T32" s="1">
        <f t="shared" si="9"/>
        <v>4.6325979611031836E-3</v>
      </c>
    </row>
    <row r="33" spans="2:20" s="75" customFormat="1" x14ac:dyDescent="0.25">
      <c r="B33" s="85" t="s">
        <v>47</v>
      </c>
      <c r="C33" s="78"/>
      <c r="D33" s="80">
        <f>D23</f>
        <v>37056427.854413897</v>
      </c>
      <c r="E33" s="81">
        <f>E23</f>
        <v>1757519.5213237838</v>
      </c>
      <c r="F33" s="61">
        <f t="shared" si="7"/>
        <v>4.7428195945617584E-2</v>
      </c>
      <c r="G33" s="82">
        <f>G23</f>
        <v>35501588</v>
      </c>
      <c r="H33" s="81">
        <f>H23</f>
        <v>1683776.2720445858</v>
      </c>
      <c r="I33" s="81">
        <f t="shared" ref="I33:Q33" si="12">I23</f>
        <v>0</v>
      </c>
      <c r="J33" s="81">
        <f t="shared" si="12"/>
        <v>0</v>
      </c>
      <c r="K33" s="81">
        <f t="shared" si="12"/>
        <v>0</v>
      </c>
      <c r="L33" s="81">
        <f t="shared" si="12"/>
        <v>0</v>
      </c>
      <c r="M33" s="81">
        <f t="shared" si="12"/>
        <v>46507.080280000002</v>
      </c>
      <c r="N33" s="81">
        <f t="shared" si="12"/>
        <v>7455.3334800000002</v>
      </c>
      <c r="O33" s="81">
        <f t="shared" si="12"/>
        <v>-2485.1111599999999</v>
      </c>
      <c r="P33" s="81">
        <f t="shared" si="12"/>
        <v>0</v>
      </c>
      <c r="Q33" s="81">
        <f t="shared" si="12"/>
        <v>33016.476840000003</v>
      </c>
      <c r="R33" s="81">
        <f>R23</f>
        <v>1768270.0514845857</v>
      </c>
      <c r="S33" s="62">
        <f>S23</f>
        <v>0</v>
      </c>
      <c r="T33" s="1">
        <f t="shared" si="9"/>
        <v>0</v>
      </c>
    </row>
    <row r="34" spans="2:20" s="75" customFormat="1" x14ac:dyDescent="0.25">
      <c r="B34" s="85" t="s">
        <v>3</v>
      </c>
      <c r="C34" s="85"/>
      <c r="D34" s="86">
        <f>SUM(D27:D33)</f>
        <v>1191304269.0992644</v>
      </c>
      <c r="E34" s="87">
        <f>SUM(E27:E33)</f>
        <v>519258254.38333774</v>
      </c>
      <c r="F34" s="88">
        <f t="shared" si="7"/>
        <v>0.43587374598761802</v>
      </c>
      <c r="G34" s="89">
        <f>SUM(G27:G33)</f>
        <v>1162555021</v>
      </c>
      <c r="H34" s="87">
        <f>SUM(H27:H33)</f>
        <v>511243229.76591808</v>
      </c>
      <c r="I34" s="87">
        <f t="shared" ref="I34:Q34" si="13">SUM(I27:I33)</f>
        <v>425589610.69000006</v>
      </c>
      <c r="J34" s="87">
        <f t="shared" si="13"/>
        <v>24405040.860000003</v>
      </c>
      <c r="K34" s="87">
        <f t="shared" si="13"/>
        <v>18724467.395089999</v>
      </c>
      <c r="L34" s="87">
        <f t="shared" si="13"/>
        <v>3132202.3405454131</v>
      </c>
      <c r="M34" s="87">
        <f t="shared" si="13"/>
        <v>21413725.583249997</v>
      </c>
      <c r="N34" s="87">
        <f t="shared" si="13"/>
        <v>2962287.9122300004</v>
      </c>
      <c r="O34" s="87">
        <f t="shared" si="13"/>
        <v>-1258347.5027899998</v>
      </c>
      <c r="P34" s="87">
        <f t="shared" si="13"/>
        <v>19253986.41</v>
      </c>
      <c r="Q34" s="87">
        <f t="shared" si="13"/>
        <v>21401375.867229998</v>
      </c>
      <c r="R34" s="87">
        <f>SUM(R27:R33)</f>
        <v>1046867579.3214735</v>
      </c>
      <c r="S34" s="87">
        <f>SUM(S27:S33)</f>
        <v>3249367.575420002</v>
      </c>
      <c r="T34" s="7">
        <f t="shared" si="9"/>
        <v>3.1038955065607033E-3</v>
      </c>
    </row>
    <row r="35" spans="2:20" s="75" customFormat="1" x14ac:dyDescent="0.25">
      <c r="B35" s="90"/>
      <c r="C35" s="90"/>
      <c r="D35" s="90"/>
      <c r="E35" s="90"/>
      <c r="F35" s="90"/>
      <c r="I35" s="91"/>
      <c r="L35" s="90"/>
      <c r="N35" s="90"/>
      <c r="O35" s="90"/>
      <c r="P35" s="90"/>
      <c r="Q35" s="90"/>
      <c r="R35" s="90"/>
      <c r="S35" s="92"/>
    </row>
    <row r="36" spans="2:20" ht="17.25" x14ac:dyDescent="0.25">
      <c r="B36" t="s">
        <v>136</v>
      </c>
      <c r="D36" s="69"/>
      <c r="E36" s="69"/>
      <c r="H36" s="93"/>
      <c r="L36" s="69"/>
      <c r="O36" s="69"/>
      <c r="P36" s="69"/>
      <c r="R36" s="69"/>
    </row>
    <row r="37" spans="2:20" ht="17.25" x14ac:dyDescent="0.25">
      <c r="B37" t="s">
        <v>137</v>
      </c>
    </row>
  </sheetData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topLeftCell="A10" zoomScale="90" zoomScaleNormal="90" workbookViewId="0">
      <selection activeCell="H34" sqref="H34"/>
    </sheetView>
  </sheetViews>
  <sheetFormatPr defaultColWidth="9.140625" defaultRowHeight="15" x14ac:dyDescent="0.25"/>
  <cols>
    <col min="1" max="1" width="2.140625" style="95" customWidth="1"/>
    <col min="2" max="2" width="2.42578125" style="95" customWidth="1"/>
    <col min="3" max="3" width="33" style="95" customWidth="1"/>
    <col min="4" max="5" width="11.85546875" style="95" customWidth="1"/>
    <col min="6" max="6" width="2.7109375" style="96" customWidth="1"/>
    <col min="7" max="8" width="11.85546875" style="95" customWidth="1"/>
    <col min="9" max="16384" width="9.140625" style="95"/>
  </cols>
  <sheetData>
    <row r="1" spans="2:8" x14ac:dyDescent="0.25">
      <c r="B1" s="94" t="s">
        <v>12</v>
      </c>
      <c r="C1" s="94"/>
      <c r="D1" s="94"/>
      <c r="E1" s="94"/>
      <c r="F1" s="94"/>
      <c r="G1" s="94"/>
      <c r="H1" s="94"/>
    </row>
    <row r="2" spans="2:8" x14ac:dyDescent="0.25">
      <c r="B2" s="94" t="str">
        <f>'Rate Impacts Sch 120'!B2</f>
        <v>2022 Gas Schedule 120 Conservation Filing</v>
      </c>
      <c r="C2" s="94"/>
      <c r="D2" s="94"/>
      <c r="E2" s="94"/>
      <c r="F2" s="94"/>
      <c r="G2" s="94"/>
      <c r="H2" s="94"/>
    </row>
    <row r="3" spans="2:8" x14ac:dyDescent="0.25">
      <c r="B3" s="50" t="s">
        <v>138</v>
      </c>
      <c r="C3" s="50"/>
      <c r="D3" s="50"/>
      <c r="E3" s="50"/>
      <c r="F3" s="50"/>
      <c r="G3" s="50"/>
      <c r="H3" s="50"/>
    </row>
    <row r="4" spans="2:8" x14ac:dyDescent="0.25">
      <c r="B4" s="50" t="str">
        <f>'Rate Impacts Sch 120'!B4</f>
        <v>Proposed Rates Effective May 1, 2022</v>
      </c>
      <c r="C4" s="50"/>
      <c r="D4" s="50"/>
      <c r="E4" s="50"/>
      <c r="F4" s="50"/>
      <c r="G4" s="50"/>
      <c r="H4" s="50"/>
    </row>
    <row r="6" spans="2:8" x14ac:dyDescent="0.25">
      <c r="G6" s="97" t="s">
        <v>139</v>
      </c>
      <c r="H6" s="97"/>
    </row>
    <row r="7" spans="2:8" x14ac:dyDescent="0.25">
      <c r="D7" s="98" t="s">
        <v>140</v>
      </c>
      <c r="E7" s="98"/>
      <c r="F7" s="99"/>
      <c r="G7" s="98" t="s">
        <v>141</v>
      </c>
      <c r="H7" s="98"/>
    </row>
    <row r="8" spans="2:8" ht="17.25" x14ac:dyDescent="0.25">
      <c r="D8" s="100" t="s">
        <v>142</v>
      </c>
      <c r="E8" s="100" t="s">
        <v>143</v>
      </c>
      <c r="F8" s="101"/>
      <c r="G8" s="100" t="s">
        <v>144</v>
      </c>
      <c r="H8" s="100" t="s">
        <v>143</v>
      </c>
    </row>
    <row r="9" spans="2:8" x14ac:dyDescent="0.25">
      <c r="B9" s="95" t="s">
        <v>145</v>
      </c>
      <c r="D9" s="102">
        <v>64</v>
      </c>
      <c r="E9" s="103"/>
      <c r="F9" s="104"/>
      <c r="G9" s="102">
        <v>64</v>
      </c>
      <c r="H9" s="103"/>
    </row>
    <row r="10" spans="2:8" x14ac:dyDescent="0.25">
      <c r="D10" s="102"/>
      <c r="E10" s="103"/>
      <c r="F10" s="104"/>
      <c r="G10" s="102"/>
      <c r="H10" s="103"/>
    </row>
    <row r="11" spans="2:8" x14ac:dyDescent="0.25">
      <c r="B11" s="95" t="s">
        <v>146</v>
      </c>
      <c r="D11" s="102"/>
      <c r="E11" s="103"/>
      <c r="F11" s="104"/>
      <c r="G11" s="102"/>
      <c r="H11" s="103"/>
    </row>
    <row r="12" spans="2:8" x14ac:dyDescent="0.25">
      <c r="C12" s="95" t="s">
        <v>147</v>
      </c>
      <c r="D12" s="135">
        <v>11.52</v>
      </c>
      <c r="E12" s="103">
        <f>D12</f>
        <v>11.52</v>
      </c>
      <c r="F12" s="105"/>
      <c r="G12" s="106">
        <f>$D$12</f>
        <v>11.52</v>
      </c>
      <c r="H12" s="103">
        <f>G12</f>
        <v>11.52</v>
      </c>
    </row>
    <row r="13" spans="2:8" x14ac:dyDescent="0.25">
      <c r="C13" s="95" t="s">
        <v>148</v>
      </c>
      <c r="D13" s="107">
        <f>SUM(D12:D12)</f>
        <v>11.52</v>
      </c>
      <c r="E13" s="107">
        <f>SUM(E12:E12)</f>
        <v>11.52</v>
      </c>
      <c r="F13" s="105"/>
      <c r="G13" s="107">
        <f>SUM(G12:G12)</f>
        <v>11.52</v>
      </c>
      <c r="H13" s="107">
        <f>SUM(H12:H12)</f>
        <v>11.52</v>
      </c>
    </row>
    <row r="14" spans="2:8" x14ac:dyDescent="0.25">
      <c r="D14" s="108"/>
      <c r="E14" s="103"/>
      <c r="F14" s="105"/>
      <c r="G14" s="106"/>
      <c r="H14" s="103"/>
    </row>
    <row r="15" spans="2:8" x14ac:dyDescent="0.25">
      <c r="B15" s="95" t="s">
        <v>149</v>
      </c>
      <c r="E15" s="103"/>
      <c r="H15" s="103"/>
    </row>
    <row r="16" spans="2:8" x14ac:dyDescent="0.25">
      <c r="C16" s="95" t="s">
        <v>150</v>
      </c>
      <c r="D16" s="136">
        <v>0.41964000000000001</v>
      </c>
      <c r="E16" s="103"/>
      <c r="F16" s="110"/>
      <c r="G16" s="111">
        <f>$D$16</f>
        <v>0.41964000000000001</v>
      </c>
      <c r="H16" s="103"/>
    </row>
    <row r="17" spans="2:8" x14ac:dyDescent="0.25">
      <c r="C17" s="95" t="s">
        <v>151</v>
      </c>
      <c r="D17" s="9">
        <v>3.65E-3</v>
      </c>
      <c r="E17" s="103"/>
      <c r="F17" s="110"/>
      <c r="G17" s="8">
        <f>$D$17</f>
        <v>3.65E-3</v>
      </c>
      <c r="H17" s="103"/>
    </row>
    <row r="18" spans="2:8" x14ac:dyDescent="0.25">
      <c r="C18" s="95" t="s">
        <v>152</v>
      </c>
      <c r="D18" s="136">
        <v>2.2749999999999999E-2</v>
      </c>
      <c r="E18" s="103"/>
      <c r="F18" s="110"/>
      <c r="G18" s="8">
        <f>$D$18</f>
        <v>2.2749999999999999E-2</v>
      </c>
      <c r="H18" s="103"/>
    </row>
    <row r="19" spans="2:8" x14ac:dyDescent="0.25">
      <c r="C19" s="95" t="s">
        <v>153</v>
      </c>
      <c r="D19" s="136">
        <v>3.14E-3</v>
      </c>
      <c r="E19" s="103"/>
      <c r="F19" s="110"/>
      <c r="G19" s="111">
        <f>$D$19</f>
        <v>3.14E-3</v>
      </c>
      <c r="H19" s="103"/>
    </row>
    <row r="20" spans="2:8" x14ac:dyDescent="0.25">
      <c r="C20" s="95" t="s">
        <v>154</v>
      </c>
      <c r="D20" s="136">
        <v>-1.3699999999999999E-3</v>
      </c>
      <c r="E20" s="103"/>
      <c r="F20" s="110"/>
      <c r="G20" s="8">
        <f>$D$20</f>
        <v>-1.3699999999999999E-3</v>
      </c>
      <c r="H20" s="103"/>
    </row>
    <row r="21" spans="2:8" x14ac:dyDescent="0.25">
      <c r="C21" s="95" t="s">
        <v>155</v>
      </c>
      <c r="D21" s="136">
        <v>2.2519999999999998E-2</v>
      </c>
      <c r="E21" s="103"/>
      <c r="F21" s="110"/>
      <c r="G21" s="8">
        <f>$D$21</f>
        <v>2.2519999999999998E-2</v>
      </c>
      <c r="H21" s="103"/>
    </row>
    <row r="22" spans="2:8" x14ac:dyDescent="0.25">
      <c r="C22" s="95" t="s">
        <v>156</v>
      </c>
      <c r="D22" s="9">
        <v>2.2579999999999999E-2</v>
      </c>
      <c r="E22" s="103"/>
      <c r="F22" s="110"/>
      <c r="G22" s="8">
        <f>$D$22</f>
        <v>2.2579999999999999E-2</v>
      </c>
      <c r="H22" s="103"/>
    </row>
    <row r="23" spans="2:8" x14ac:dyDescent="0.25">
      <c r="C23" s="95" t="s">
        <v>148</v>
      </c>
      <c r="D23" s="113">
        <f>SUM(D16:D22)</f>
        <v>0.49290999999999996</v>
      </c>
      <c r="E23" s="103">
        <f>ROUND(D23*D$9,2)</f>
        <v>31.55</v>
      </c>
      <c r="F23" s="110"/>
      <c r="G23" s="113">
        <f>SUM(G16:G22)</f>
        <v>0.49290999999999996</v>
      </c>
      <c r="H23" s="103">
        <f>ROUND(G23*G$9,2)</f>
        <v>31.55</v>
      </c>
    </row>
    <row r="25" spans="2:8" x14ac:dyDescent="0.25">
      <c r="C25" s="95" t="s">
        <v>157</v>
      </c>
      <c r="D25" s="109">
        <f>'Sch. 120'!$D$9</f>
        <v>2.019E-2</v>
      </c>
      <c r="E25" s="103">
        <f>ROUND(D25*D$9,2)</f>
        <v>1.29</v>
      </c>
      <c r="F25" s="110"/>
      <c r="G25" s="112">
        <f>'Sch. 120'!$E$9</f>
        <v>2.366E-2</v>
      </c>
      <c r="H25" s="103">
        <f>ROUND(G25*G$9,2)</f>
        <v>1.51</v>
      </c>
    </row>
    <row r="26" spans="2:8" x14ac:dyDescent="0.25">
      <c r="D26" s="111"/>
      <c r="E26" s="103"/>
      <c r="F26" s="110"/>
      <c r="G26" s="111"/>
      <c r="H26" s="103"/>
    </row>
    <row r="27" spans="2:8" x14ac:dyDescent="0.25">
      <c r="C27" s="95" t="s">
        <v>158</v>
      </c>
      <c r="D27" s="136">
        <v>0.46339999999999998</v>
      </c>
      <c r="E27" s="103"/>
      <c r="F27" s="110"/>
      <c r="G27" s="8">
        <f>$D$27</f>
        <v>0.46339999999999998</v>
      </c>
      <c r="H27" s="103"/>
    </row>
    <row r="28" spans="2:8" x14ac:dyDescent="0.25">
      <c r="C28" s="95" t="s">
        <v>159</v>
      </c>
      <c r="D28" s="136">
        <v>2.6179999999999998E-2</v>
      </c>
      <c r="E28" s="103"/>
      <c r="F28" s="110"/>
      <c r="G28" s="8">
        <f>$D$28</f>
        <v>2.6179999999999998E-2</v>
      </c>
      <c r="H28" s="103"/>
    </row>
    <row r="29" spans="2:8" x14ac:dyDescent="0.25">
      <c r="C29" s="95" t="s">
        <v>148</v>
      </c>
      <c r="D29" s="113">
        <f>SUM(D27:D28)</f>
        <v>0.48957999999999996</v>
      </c>
      <c r="E29" s="103">
        <f>ROUND(D29*D$9,2)</f>
        <v>31.33</v>
      </c>
      <c r="F29" s="110"/>
      <c r="G29" s="113">
        <f>SUM(G27:G28)</f>
        <v>0.48957999999999996</v>
      </c>
      <c r="H29" s="103">
        <f>ROUND(G29*G$9,2)</f>
        <v>31.33</v>
      </c>
    </row>
    <row r="30" spans="2:8" x14ac:dyDescent="0.25">
      <c r="C30" s="95" t="s">
        <v>160</v>
      </c>
      <c r="D30" s="113">
        <f>D23+D25+D29</f>
        <v>1.00268</v>
      </c>
      <c r="E30" s="114">
        <f>SUM(E23,E25,E29)</f>
        <v>64.17</v>
      </c>
      <c r="F30" s="115"/>
      <c r="G30" s="113">
        <f>G23+G25+G29</f>
        <v>1.0061499999999999</v>
      </c>
      <c r="H30" s="114">
        <f>SUM(H23,H25,H29)</f>
        <v>64.39</v>
      </c>
    </row>
    <row r="31" spans="2:8" x14ac:dyDescent="0.25">
      <c r="E31" s="103"/>
      <c r="H31" s="103"/>
    </row>
    <row r="32" spans="2:8" x14ac:dyDescent="0.25">
      <c r="B32" s="95" t="s">
        <v>161</v>
      </c>
      <c r="D32" s="106"/>
      <c r="E32" s="103">
        <f>E13+E30</f>
        <v>75.69</v>
      </c>
      <c r="F32" s="116"/>
      <c r="G32" s="106"/>
      <c r="H32" s="103">
        <f>H13+H30</f>
        <v>75.91</v>
      </c>
    </row>
    <row r="33" spans="2:8" x14ac:dyDescent="0.25">
      <c r="B33" s="95" t="s">
        <v>162</v>
      </c>
      <c r="D33" s="106"/>
      <c r="E33" s="103"/>
      <c r="F33" s="116"/>
      <c r="G33" s="106"/>
      <c r="H33" s="103">
        <f>H32-$E32</f>
        <v>0.21999999999999886</v>
      </c>
    </row>
    <row r="34" spans="2:8" x14ac:dyDescent="0.25">
      <c r="B34" s="95" t="s">
        <v>163</v>
      </c>
      <c r="D34" s="117"/>
      <c r="E34" s="117"/>
      <c r="F34" s="118"/>
      <c r="G34" s="117"/>
      <c r="H34" s="119">
        <f>H33/$E32</f>
        <v>2.9065926806711435E-3</v>
      </c>
    </row>
    <row r="35" spans="2:8" x14ac:dyDescent="0.25">
      <c r="E35" s="103"/>
    </row>
    <row r="36" spans="2:8" x14ac:dyDescent="0.25">
      <c r="B36" s="95" t="s">
        <v>164</v>
      </c>
      <c r="D36" s="111">
        <f>D23+D25</f>
        <v>0.5131</v>
      </c>
      <c r="E36" s="103"/>
      <c r="F36" s="115"/>
      <c r="G36" s="111">
        <f>G23+G25</f>
        <v>0.51656999999999997</v>
      </c>
    </row>
    <row r="38" spans="2:8" ht="17.25" x14ac:dyDescent="0.25">
      <c r="B38" s="120" t="s">
        <v>165</v>
      </c>
    </row>
    <row r="39" spans="2:8" x14ac:dyDescent="0.25">
      <c r="C39" s="120"/>
      <c r="D39" s="120"/>
      <c r="E39" s="120"/>
      <c r="F39" s="121"/>
      <c r="G39" s="121"/>
      <c r="H39" s="121"/>
    </row>
    <row r="44" spans="2:8" ht="14.25" customHeight="1" x14ac:dyDescent="0.25"/>
  </sheetData>
  <printOptions horizontalCentered="1"/>
  <pageMargins left="0.5" right="0.5" top="1" bottom="1" header="0.5" footer="0.5"/>
  <pageSetup scale="73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90" zoomScaleNormal="90" workbookViewId="0">
      <selection activeCell="A16" sqref="A16"/>
    </sheetView>
  </sheetViews>
  <sheetFormatPr defaultColWidth="8.7109375" defaultRowHeight="15" x14ac:dyDescent="0.25"/>
  <cols>
    <col min="1" max="1" width="38.42578125" style="3" customWidth="1"/>
    <col min="2" max="2" width="8.7109375" style="3"/>
    <col min="3" max="3" width="18.5703125" style="3" bestFit="1" customWidth="1"/>
    <col min="4" max="5" width="13.7109375" style="3" customWidth="1"/>
    <col min="6" max="8" width="14.42578125" style="3" customWidth="1"/>
    <col min="9" max="9" width="8.28515625" style="3" customWidth="1"/>
    <col min="10" max="16384" width="8.7109375" style="3"/>
  </cols>
  <sheetData>
    <row r="1" spans="1:9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5">
      <c r="A2" s="141" t="s">
        <v>166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25">
      <c r="A3" s="141" t="s">
        <v>167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141" t="s">
        <v>73</v>
      </c>
      <c r="B4" s="141"/>
      <c r="C4" s="141"/>
      <c r="D4" s="141"/>
      <c r="E4" s="141"/>
      <c r="F4" s="141"/>
      <c r="G4" s="141"/>
      <c r="H4" s="141"/>
      <c r="I4" s="141"/>
    </row>
    <row r="5" spans="1:9" x14ac:dyDescent="0.25">
      <c r="D5" s="137"/>
      <c r="E5" s="137"/>
    </row>
    <row r="6" spans="1:9" x14ac:dyDescent="0.25">
      <c r="A6" s="13"/>
      <c r="B6" s="13"/>
      <c r="C6" s="13" t="s">
        <v>13</v>
      </c>
      <c r="D6" s="13" t="s">
        <v>168</v>
      </c>
      <c r="E6" s="13" t="s">
        <v>169</v>
      </c>
      <c r="F6" s="122" t="s">
        <v>13</v>
      </c>
      <c r="G6" s="122" t="s">
        <v>13</v>
      </c>
      <c r="H6" s="13" t="s">
        <v>170</v>
      </c>
      <c r="I6" s="13"/>
    </row>
    <row r="7" spans="1:9" x14ac:dyDescent="0.25">
      <c r="A7" s="13"/>
      <c r="B7" s="13" t="s">
        <v>79</v>
      </c>
      <c r="C7" s="13" t="s">
        <v>171</v>
      </c>
      <c r="D7" s="13" t="s">
        <v>170</v>
      </c>
      <c r="E7" s="13" t="s">
        <v>170</v>
      </c>
      <c r="F7" s="122" t="s">
        <v>91</v>
      </c>
      <c r="G7" s="122" t="s">
        <v>91</v>
      </c>
      <c r="H7" s="13" t="s">
        <v>91</v>
      </c>
      <c r="I7" s="13" t="s">
        <v>29</v>
      </c>
    </row>
    <row r="8" spans="1:9" x14ac:dyDescent="0.25">
      <c r="A8" s="14" t="s">
        <v>92</v>
      </c>
      <c r="B8" s="14" t="s">
        <v>4</v>
      </c>
      <c r="C8" s="140" t="str">
        <f>'Rate Impacts Sch 120'!$R$7</f>
        <v>12ME Apr. 2023</v>
      </c>
      <c r="D8" s="14" t="s">
        <v>144</v>
      </c>
      <c r="E8" s="14" t="s">
        <v>144</v>
      </c>
      <c r="F8" s="100" t="s">
        <v>140</v>
      </c>
      <c r="G8" s="100" t="s">
        <v>49</v>
      </c>
      <c r="H8" s="14" t="s">
        <v>98</v>
      </c>
      <c r="I8" s="14" t="s">
        <v>98</v>
      </c>
    </row>
    <row r="9" spans="1:9" x14ac:dyDescent="0.25">
      <c r="A9" s="3" t="s">
        <v>22</v>
      </c>
      <c r="B9" s="137" t="s">
        <v>118</v>
      </c>
      <c r="C9" s="134">
        <v>595130910</v>
      </c>
      <c r="D9" s="123">
        <v>2.019E-2</v>
      </c>
      <c r="E9" s="124">
        <f>Rates!$G$21</f>
        <v>2.366E-2</v>
      </c>
      <c r="F9" s="63">
        <f>C9*D9</f>
        <v>12015693.072899999</v>
      </c>
      <c r="G9" s="63">
        <f>C9*E9</f>
        <v>14080797.330600001</v>
      </c>
      <c r="H9" s="19">
        <f>G9-F9</f>
        <v>2065104.2577000018</v>
      </c>
      <c r="I9" s="125">
        <f>H9/F9</f>
        <v>0.17186726102030725</v>
      </c>
    </row>
    <row r="10" spans="1:9" x14ac:dyDescent="0.25">
      <c r="A10" s="3" t="s">
        <v>119</v>
      </c>
      <c r="B10" s="137">
        <v>16</v>
      </c>
      <c r="C10" s="48">
        <v>7068</v>
      </c>
      <c r="D10" s="123">
        <v>2.019E-2</v>
      </c>
      <c r="E10" s="124">
        <f>$E$9</f>
        <v>2.366E-2</v>
      </c>
      <c r="F10" s="63">
        <f t="shared" ref="F10:F21" si="0">C10*D10</f>
        <v>142.70292000000001</v>
      </c>
      <c r="G10" s="63">
        <f t="shared" ref="G10:G21" si="1">C10*E10</f>
        <v>167.22888</v>
      </c>
      <c r="H10" s="19">
        <f t="shared" ref="H10:H21" si="2">G10-F10</f>
        <v>24.525959999999998</v>
      </c>
      <c r="I10" s="125">
        <f t="shared" ref="I10:I20" si="3">H10/F10</f>
        <v>0.17186726102030705</v>
      </c>
    </row>
    <row r="11" spans="1:9" x14ac:dyDescent="0.25">
      <c r="A11" s="3" t="s">
        <v>24</v>
      </c>
      <c r="B11" s="137">
        <v>31</v>
      </c>
      <c r="C11" s="134">
        <v>238193203</v>
      </c>
      <c r="D11" s="123">
        <v>2.019E-2</v>
      </c>
      <c r="E11" s="124">
        <f t="shared" ref="E11:E12" si="4">$E$9</f>
        <v>2.366E-2</v>
      </c>
      <c r="F11" s="63">
        <f t="shared" si="0"/>
        <v>4809120.7685700003</v>
      </c>
      <c r="G11" s="63">
        <f t="shared" si="1"/>
        <v>5635651.18298</v>
      </c>
      <c r="H11" s="19">
        <f t="shared" si="2"/>
        <v>826530.41440999974</v>
      </c>
      <c r="I11" s="125">
        <f t="shared" si="3"/>
        <v>0.17186726102030703</v>
      </c>
    </row>
    <row r="12" spans="1:9" x14ac:dyDescent="0.25">
      <c r="A12" s="3" t="s">
        <v>45</v>
      </c>
      <c r="B12" s="137">
        <v>41</v>
      </c>
      <c r="C12" s="134">
        <v>65422120</v>
      </c>
      <c r="D12" s="123">
        <v>2.019E-2</v>
      </c>
      <c r="E12" s="124">
        <f t="shared" si="4"/>
        <v>2.366E-2</v>
      </c>
      <c r="F12" s="63">
        <f t="shared" si="0"/>
        <v>1320872.6028</v>
      </c>
      <c r="G12" s="63">
        <f t="shared" si="1"/>
        <v>1547887.3592000001</v>
      </c>
      <c r="H12" s="19">
        <f t="shared" si="2"/>
        <v>227014.75640000007</v>
      </c>
      <c r="I12" s="125">
        <f t="shared" si="3"/>
        <v>0.17186726102030714</v>
      </c>
    </row>
    <row r="13" spans="1:9" x14ac:dyDescent="0.25">
      <c r="A13" s="3" t="s">
        <v>25</v>
      </c>
      <c r="B13" s="137">
        <v>85</v>
      </c>
      <c r="C13" s="134">
        <v>13050473</v>
      </c>
      <c r="D13" s="123">
        <v>1.678E-2</v>
      </c>
      <c r="E13" s="124">
        <f>Rates!$G$22</f>
        <v>2.0570000000000001E-2</v>
      </c>
      <c r="F13" s="63">
        <f t="shared" si="0"/>
        <v>218986.93693999999</v>
      </c>
      <c r="G13" s="63">
        <f t="shared" si="1"/>
        <v>268448.22961000004</v>
      </c>
      <c r="H13" s="19">
        <f t="shared" si="2"/>
        <v>49461.292670000053</v>
      </c>
      <c r="I13" s="125">
        <f t="shared" si="3"/>
        <v>0.22586412395709204</v>
      </c>
    </row>
    <row r="14" spans="1:9" x14ac:dyDescent="0.25">
      <c r="A14" s="3" t="s">
        <v>26</v>
      </c>
      <c r="B14" s="137">
        <v>86</v>
      </c>
      <c r="C14" s="134">
        <v>5525178</v>
      </c>
      <c r="D14" s="123">
        <v>1.678E-2</v>
      </c>
      <c r="E14" s="124">
        <f>$E$13</f>
        <v>2.0570000000000001E-2</v>
      </c>
      <c r="F14" s="63">
        <f t="shared" si="0"/>
        <v>92712.486839999998</v>
      </c>
      <c r="G14" s="63">
        <f t="shared" si="1"/>
        <v>113652.91146</v>
      </c>
      <c r="H14" s="19">
        <f t="shared" si="2"/>
        <v>20940.424620000005</v>
      </c>
      <c r="I14" s="125">
        <f t="shared" si="3"/>
        <v>0.22586412395709185</v>
      </c>
    </row>
    <row r="15" spans="1:9" x14ac:dyDescent="0.25">
      <c r="A15" s="3" t="s">
        <v>27</v>
      </c>
      <c r="B15" s="137">
        <v>87</v>
      </c>
      <c r="C15" s="134">
        <v>15908154</v>
      </c>
      <c r="D15" s="123">
        <v>1.678E-2</v>
      </c>
      <c r="E15" s="124">
        <f>$E$13</f>
        <v>2.0570000000000001E-2</v>
      </c>
      <c r="F15" s="63">
        <f t="shared" si="0"/>
        <v>266938.82412</v>
      </c>
      <c r="G15" s="63">
        <f t="shared" si="1"/>
        <v>327230.72778000002</v>
      </c>
      <c r="H15" s="19">
        <f t="shared" si="2"/>
        <v>60291.903660000011</v>
      </c>
      <c r="I15" s="125">
        <f t="shared" si="3"/>
        <v>0.22586412395709182</v>
      </c>
    </row>
    <row r="16" spans="1:9" x14ac:dyDescent="0.25">
      <c r="A16" s="3" t="s">
        <v>120</v>
      </c>
      <c r="B16" s="137" t="s">
        <v>52</v>
      </c>
      <c r="C16" s="134">
        <v>35551</v>
      </c>
      <c r="D16" s="126">
        <v>0</v>
      </c>
      <c r="E16" s="126">
        <v>0</v>
      </c>
      <c r="F16" s="63">
        <f t="shared" si="0"/>
        <v>0</v>
      </c>
      <c r="G16" s="63">
        <f t="shared" si="1"/>
        <v>0</v>
      </c>
      <c r="H16" s="19">
        <f t="shared" si="2"/>
        <v>0</v>
      </c>
      <c r="I16" s="125" t="e">
        <f t="shared" si="3"/>
        <v>#DIV/0!</v>
      </c>
    </row>
    <row r="17" spans="1:9" x14ac:dyDescent="0.25">
      <c r="A17" s="3" t="s">
        <v>121</v>
      </c>
      <c r="B17" s="137" t="s">
        <v>0</v>
      </c>
      <c r="C17" s="134">
        <v>22840538</v>
      </c>
      <c r="D17" s="126">
        <v>0</v>
      </c>
      <c r="E17" s="126">
        <v>0</v>
      </c>
      <c r="F17" s="63">
        <f t="shared" si="0"/>
        <v>0</v>
      </c>
      <c r="G17" s="63">
        <f t="shared" si="1"/>
        <v>0</v>
      </c>
      <c r="H17" s="19">
        <f t="shared" si="2"/>
        <v>0</v>
      </c>
      <c r="I17" s="125" t="e">
        <f t="shared" si="3"/>
        <v>#DIV/0!</v>
      </c>
    </row>
    <row r="18" spans="1:9" x14ac:dyDescent="0.25">
      <c r="A18" s="3" t="s">
        <v>122</v>
      </c>
      <c r="B18" s="137" t="s">
        <v>1</v>
      </c>
      <c r="C18" s="134">
        <v>70621998</v>
      </c>
      <c r="D18" s="126">
        <v>0</v>
      </c>
      <c r="E18" s="126">
        <v>0</v>
      </c>
      <c r="F18" s="63">
        <f t="shared" si="0"/>
        <v>0</v>
      </c>
      <c r="G18" s="63">
        <f t="shared" si="1"/>
        <v>0</v>
      </c>
      <c r="H18" s="19">
        <f t="shared" si="2"/>
        <v>0</v>
      </c>
      <c r="I18" s="125" t="e">
        <f t="shared" si="3"/>
        <v>#DIV/0!</v>
      </c>
    </row>
    <row r="19" spans="1:9" x14ac:dyDescent="0.25">
      <c r="A19" s="3" t="s">
        <v>123</v>
      </c>
      <c r="B19" s="137" t="s">
        <v>46</v>
      </c>
      <c r="C19" s="134">
        <v>1123336</v>
      </c>
      <c r="D19" s="126">
        <v>0</v>
      </c>
      <c r="E19" s="126">
        <v>0</v>
      </c>
      <c r="F19" s="63">
        <f t="shared" si="0"/>
        <v>0</v>
      </c>
      <c r="G19" s="63">
        <f t="shared" si="1"/>
        <v>0</v>
      </c>
      <c r="H19" s="19">
        <f t="shared" si="2"/>
        <v>0</v>
      </c>
      <c r="I19" s="125" t="e">
        <f t="shared" si="3"/>
        <v>#DIV/0!</v>
      </c>
    </row>
    <row r="20" spans="1:9" x14ac:dyDescent="0.25">
      <c r="A20" s="3" t="s">
        <v>124</v>
      </c>
      <c r="B20" s="137" t="s">
        <v>2</v>
      </c>
      <c r="C20" s="134">
        <v>99194904</v>
      </c>
      <c r="D20" s="126">
        <v>0</v>
      </c>
      <c r="E20" s="126">
        <v>0</v>
      </c>
      <c r="F20" s="63">
        <f t="shared" si="0"/>
        <v>0</v>
      </c>
      <c r="G20" s="63">
        <f t="shared" si="1"/>
        <v>0</v>
      </c>
      <c r="H20" s="19">
        <f t="shared" si="2"/>
        <v>0</v>
      </c>
      <c r="I20" s="125" t="e">
        <f t="shared" si="3"/>
        <v>#DIV/0!</v>
      </c>
    </row>
    <row r="21" spans="1:9" x14ac:dyDescent="0.25">
      <c r="A21" s="3" t="s">
        <v>47</v>
      </c>
      <c r="B21" s="137"/>
      <c r="C21" s="134">
        <v>35501588</v>
      </c>
      <c r="D21" s="127">
        <v>0</v>
      </c>
      <c r="E21" s="126">
        <v>0</v>
      </c>
      <c r="F21" s="63">
        <f t="shared" si="0"/>
        <v>0</v>
      </c>
      <c r="G21" s="63">
        <f t="shared" si="1"/>
        <v>0</v>
      </c>
      <c r="H21" s="19">
        <f t="shared" si="2"/>
        <v>0</v>
      </c>
      <c r="I21" s="125" t="e">
        <f>H21/F21</f>
        <v>#DIV/0!</v>
      </c>
    </row>
    <row r="22" spans="1:9" x14ac:dyDescent="0.25">
      <c r="A22" s="3" t="s">
        <v>3</v>
      </c>
      <c r="C22" s="6">
        <f>SUM(C9:C21)</f>
        <v>1162555021</v>
      </c>
      <c r="D22" s="128"/>
      <c r="E22" s="129"/>
      <c r="F22" s="68">
        <f>SUM(F9:F21)</f>
        <v>18724467.395089999</v>
      </c>
      <c r="G22" s="68">
        <f>SUM(G9:G21)</f>
        <v>21973834.970510002</v>
      </c>
      <c r="H22" s="27">
        <f>SUM(H9:H21)</f>
        <v>3249367.575420002</v>
      </c>
      <c r="I22" s="130">
        <f>H22/F22</f>
        <v>0.17353591463285431</v>
      </c>
    </row>
    <row r="23" spans="1:9" x14ac:dyDescent="0.25">
      <c r="A23" s="99"/>
      <c r="B23" s="131"/>
      <c r="C23" s="132"/>
      <c r="D23" s="133"/>
      <c r="E23" s="133"/>
      <c r="F23" s="133"/>
      <c r="G23" s="133"/>
      <c r="H23" s="117"/>
      <c r="I23" s="9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90" zoomScaleNormal="90" workbookViewId="0">
      <selection activeCell="D10" sqref="D10"/>
    </sheetView>
  </sheetViews>
  <sheetFormatPr defaultColWidth="8.7109375" defaultRowHeight="15" x14ac:dyDescent="0.25"/>
  <cols>
    <col min="1" max="1" width="4.7109375" style="3" customWidth="1"/>
    <col min="2" max="2" width="45.85546875" style="3" customWidth="1"/>
    <col min="3" max="3" width="16.140625" style="3" customWidth="1"/>
    <col min="4" max="4" width="11.140625" style="3" customWidth="1"/>
    <col min="5" max="5" width="16.140625" style="3" customWidth="1"/>
    <col min="6" max="6" width="8.7109375" style="3"/>
    <col min="7" max="7" width="11.5703125" style="3" bestFit="1" customWidth="1"/>
    <col min="8" max="16384" width="8.7109375" style="3"/>
  </cols>
  <sheetData>
    <row r="1" spans="1:7" x14ac:dyDescent="0.25">
      <c r="A1" s="142" t="s">
        <v>12</v>
      </c>
      <c r="B1" s="142"/>
      <c r="C1" s="142"/>
      <c r="D1" s="142"/>
      <c r="E1" s="142"/>
    </row>
    <row r="2" spans="1:7" x14ac:dyDescent="0.25">
      <c r="A2" s="142" t="str">
        <f>Rates!A2</f>
        <v>2022 Gas Schedule 120 Conservation Filing</v>
      </c>
      <c r="B2" s="142"/>
      <c r="C2" s="142"/>
      <c r="D2" s="142"/>
      <c r="E2" s="142"/>
    </row>
    <row r="3" spans="1:7" x14ac:dyDescent="0.25">
      <c r="A3" s="142" t="s">
        <v>5</v>
      </c>
      <c r="B3" s="142"/>
      <c r="C3" s="142"/>
      <c r="D3" s="142"/>
      <c r="E3" s="142"/>
    </row>
    <row r="4" spans="1:7" x14ac:dyDescent="0.25">
      <c r="A4" s="142" t="str">
        <f>Rates!A4</f>
        <v>Proposed Effective May 1, 2022</v>
      </c>
      <c r="B4" s="142"/>
      <c r="C4" s="142"/>
      <c r="D4" s="142"/>
      <c r="E4" s="142"/>
    </row>
    <row r="5" spans="1:7" s="29" customFormat="1" x14ac:dyDescent="0.25"/>
    <row r="6" spans="1:7" ht="30" x14ac:dyDescent="0.25">
      <c r="A6" s="31" t="s">
        <v>6</v>
      </c>
      <c r="B6" s="31" t="s">
        <v>7</v>
      </c>
      <c r="C6" s="31" t="s">
        <v>8</v>
      </c>
      <c r="D6" s="31" t="s">
        <v>9</v>
      </c>
      <c r="E6" s="31" t="s">
        <v>10</v>
      </c>
    </row>
    <row r="7" spans="1:7" x14ac:dyDescent="0.25">
      <c r="A7" s="29"/>
      <c r="B7" s="12" t="s">
        <v>56</v>
      </c>
      <c r="C7" s="32" t="s">
        <v>57</v>
      </c>
      <c r="D7" s="12" t="s">
        <v>58</v>
      </c>
      <c r="E7" s="32" t="s">
        <v>59</v>
      </c>
    </row>
    <row r="8" spans="1:7" x14ac:dyDescent="0.25">
      <c r="A8" s="16">
        <v>1</v>
      </c>
      <c r="B8" s="33" t="s">
        <v>71</v>
      </c>
      <c r="C8" s="34">
        <v>24904543.481040005</v>
      </c>
      <c r="D8" s="35">
        <v>0.95455299999999998</v>
      </c>
      <c r="E8" s="30">
        <f>+C8/D8</f>
        <v>26090267.885638624</v>
      </c>
    </row>
    <row r="9" spans="1:7" x14ac:dyDescent="0.25">
      <c r="A9" s="16"/>
      <c r="B9" s="33"/>
      <c r="C9" s="30"/>
      <c r="D9" s="29"/>
      <c r="E9" s="30"/>
    </row>
    <row r="10" spans="1:7" x14ac:dyDescent="0.25">
      <c r="A10" s="16">
        <v>2</v>
      </c>
      <c r="B10" s="33" t="s">
        <v>67</v>
      </c>
      <c r="C10" s="36">
        <v>-3932153.6599799916</v>
      </c>
      <c r="D10" s="35">
        <v>0.95455299999999998</v>
      </c>
      <c r="E10" s="37">
        <f>+C10/D10</f>
        <v>-4119366.5097485334</v>
      </c>
    </row>
    <row r="11" spans="1:7" x14ac:dyDescent="0.25">
      <c r="A11" s="16"/>
      <c r="B11" s="33"/>
      <c r="C11" s="30"/>
      <c r="D11" s="29"/>
      <c r="E11" s="30"/>
    </row>
    <row r="12" spans="1:7" ht="15.75" thickBot="1" x14ac:dyDescent="0.3">
      <c r="A12" s="16">
        <v>3</v>
      </c>
      <c r="B12" s="33" t="s">
        <v>11</v>
      </c>
      <c r="C12" s="38">
        <f>SUM(C8:C10)</f>
        <v>20972389.821060013</v>
      </c>
      <c r="D12" s="30"/>
      <c r="E12" s="38">
        <f>SUM(E8:E10)</f>
        <v>21970901.375890091</v>
      </c>
    </row>
    <row r="13" spans="1:7" ht="15.75" thickTop="1" x14ac:dyDescent="0.25">
      <c r="C13" s="19"/>
      <c r="E13" s="19"/>
      <c r="G13" s="19"/>
    </row>
    <row r="14" spans="1:7" x14ac:dyDescent="0.25">
      <c r="C14" s="19"/>
      <c r="E14" s="19"/>
    </row>
    <row r="15" spans="1:7" x14ac:dyDescent="0.25">
      <c r="C15" s="19"/>
      <c r="E15" s="19"/>
    </row>
    <row r="16" spans="1:7" x14ac:dyDescent="0.25">
      <c r="C16" s="19"/>
      <c r="E16" s="19"/>
    </row>
    <row r="17" spans="3:3" x14ac:dyDescent="0.25">
      <c r="C17" s="19"/>
    </row>
    <row r="18" spans="3:3" x14ac:dyDescent="0.25">
      <c r="C18" s="1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M6" sqref="M6"/>
    </sheetView>
  </sheetViews>
  <sheetFormatPr defaultColWidth="9.140625" defaultRowHeight="15" x14ac:dyDescent="0.25"/>
  <cols>
    <col min="1" max="1" width="19.85546875" style="3" customWidth="1"/>
    <col min="2" max="13" width="12.42578125" style="3" customWidth="1"/>
    <col min="14" max="14" width="13.5703125" style="3" customWidth="1"/>
    <col min="15" max="16384" width="9.140625" style="3"/>
  </cols>
  <sheetData>
    <row r="1" spans="1:18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8" x14ac:dyDescent="0.25">
      <c r="A2" s="141" t="str">
        <f>Rates!A2</f>
        <v>2022 Gas Schedule 120 Conservation Filing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8" x14ac:dyDescent="0.25">
      <c r="A3" s="141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8" x14ac:dyDescent="0.25">
      <c r="A4" s="143" t="str">
        <f>TEXT(B6,"Mmm YYYY - ")&amp;TEXT(M6,"Mmmm YYYY")</f>
        <v>May 2022 - April 2023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8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8" x14ac:dyDescent="0.25">
      <c r="A6" s="49" t="s">
        <v>4</v>
      </c>
      <c r="B6" s="47">
        <v>44682</v>
      </c>
      <c r="C6" s="42">
        <f>EDATE(B6,1)</f>
        <v>44713</v>
      </c>
      <c r="D6" s="42">
        <f t="shared" ref="D6:M6" si="0">EDATE(C6,1)</f>
        <v>44743</v>
      </c>
      <c r="E6" s="42">
        <f t="shared" si="0"/>
        <v>44774</v>
      </c>
      <c r="F6" s="42">
        <f t="shared" si="0"/>
        <v>44805</v>
      </c>
      <c r="G6" s="42">
        <f t="shared" si="0"/>
        <v>44835</v>
      </c>
      <c r="H6" s="42">
        <f t="shared" si="0"/>
        <v>44866</v>
      </c>
      <c r="I6" s="42">
        <f t="shared" si="0"/>
        <v>44896</v>
      </c>
      <c r="J6" s="42">
        <f t="shared" si="0"/>
        <v>44927</v>
      </c>
      <c r="K6" s="42">
        <f t="shared" si="0"/>
        <v>44958</v>
      </c>
      <c r="L6" s="42">
        <f t="shared" si="0"/>
        <v>44986</v>
      </c>
      <c r="M6" s="42">
        <f t="shared" si="0"/>
        <v>45017</v>
      </c>
      <c r="N6" s="14" t="s">
        <v>3</v>
      </c>
    </row>
    <row r="7" spans="1:18" x14ac:dyDescent="0.25">
      <c r="A7" s="4">
        <v>16</v>
      </c>
      <c r="B7" s="48">
        <v>589</v>
      </c>
      <c r="C7" s="48">
        <v>589</v>
      </c>
      <c r="D7" s="48">
        <v>589</v>
      </c>
      <c r="E7" s="48">
        <v>589</v>
      </c>
      <c r="F7" s="48">
        <v>589</v>
      </c>
      <c r="G7" s="48">
        <v>589</v>
      </c>
      <c r="H7" s="48">
        <v>589</v>
      </c>
      <c r="I7" s="48">
        <v>589</v>
      </c>
      <c r="J7" s="48">
        <v>589</v>
      </c>
      <c r="K7" s="48">
        <v>589</v>
      </c>
      <c r="L7" s="48">
        <v>589</v>
      </c>
      <c r="M7" s="48">
        <v>589</v>
      </c>
      <c r="N7" s="5">
        <f t="shared" ref="N7:N20" si="1">SUM(B7:M7)</f>
        <v>7068</v>
      </c>
      <c r="R7" s="5"/>
    </row>
    <row r="8" spans="1:18" x14ac:dyDescent="0.25">
      <c r="A8" s="4">
        <v>23</v>
      </c>
      <c r="B8" s="48">
        <v>28457064</v>
      </c>
      <c r="C8" s="48">
        <v>18650017</v>
      </c>
      <c r="D8" s="48">
        <v>13578051</v>
      </c>
      <c r="E8" s="48">
        <v>13170122</v>
      </c>
      <c r="F8" s="48">
        <v>18974008</v>
      </c>
      <c r="G8" s="48">
        <v>43349960</v>
      </c>
      <c r="H8" s="48">
        <v>71510105</v>
      </c>
      <c r="I8" s="48">
        <v>93363533</v>
      </c>
      <c r="J8" s="48">
        <v>91157352</v>
      </c>
      <c r="K8" s="48">
        <v>79642432</v>
      </c>
      <c r="L8" s="48">
        <v>73078363</v>
      </c>
      <c r="M8" s="48">
        <v>50199903</v>
      </c>
      <c r="N8" s="5">
        <f t="shared" si="1"/>
        <v>595130910</v>
      </c>
      <c r="R8" s="5"/>
    </row>
    <row r="9" spans="1:18" x14ac:dyDescent="0.25">
      <c r="A9" s="4">
        <v>53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5">
        <f t="shared" si="1"/>
        <v>0</v>
      </c>
      <c r="R9" s="5"/>
    </row>
    <row r="10" spans="1:18" x14ac:dyDescent="0.25">
      <c r="A10" s="4">
        <v>31</v>
      </c>
      <c r="B10" s="48">
        <v>13059472</v>
      </c>
      <c r="C10" s="48">
        <v>10563030</v>
      </c>
      <c r="D10" s="48">
        <v>9076016</v>
      </c>
      <c r="E10" s="48">
        <v>9816184</v>
      </c>
      <c r="F10" s="48">
        <v>11561879</v>
      </c>
      <c r="G10" s="48">
        <v>19235367</v>
      </c>
      <c r="H10" s="48">
        <v>27796819</v>
      </c>
      <c r="I10" s="48">
        <v>34723815</v>
      </c>
      <c r="J10" s="48">
        <v>31107887</v>
      </c>
      <c r="K10" s="48">
        <v>27944916</v>
      </c>
      <c r="L10" s="48">
        <v>25031743</v>
      </c>
      <c r="M10" s="48">
        <v>18276075</v>
      </c>
      <c r="N10" s="5">
        <f t="shared" si="1"/>
        <v>238193203</v>
      </c>
      <c r="R10" s="5"/>
    </row>
    <row r="11" spans="1:18" x14ac:dyDescent="0.25">
      <c r="A11" s="4">
        <v>41</v>
      </c>
      <c r="B11" s="48">
        <v>4085592</v>
      </c>
      <c r="C11" s="48">
        <v>3510686</v>
      </c>
      <c r="D11" s="48">
        <v>2915241</v>
      </c>
      <c r="E11" s="48">
        <v>3189705</v>
      </c>
      <c r="F11" s="48">
        <v>3808422</v>
      </c>
      <c r="G11" s="48">
        <v>5872238</v>
      </c>
      <c r="H11" s="48">
        <v>7592067</v>
      </c>
      <c r="I11" s="48">
        <v>8313250</v>
      </c>
      <c r="J11" s="48">
        <v>7405161</v>
      </c>
      <c r="K11" s="48">
        <v>7068900</v>
      </c>
      <c r="L11" s="48">
        <v>6549005</v>
      </c>
      <c r="M11" s="48">
        <v>5111853</v>
      </c>
      <c r="N11" s="5">
        <f t="shared" si="1"/>
        <v>65422120</v>
      </c>
      <c r="R11" s="5"/>
    </row>
    <row r="12" spans="1:18" x14ac:dyDescent="0.25">
      <c r="A12" s="4">
        <v>85</v>
      </c>
      <c r="B12" s="48">
        <v>1026693</v>
      </c>
      <c r="C12" s="48">
        <v>830896</v>
      </c>
      <c r="D12" s="48">
        <v>790782</v>
      </c>
      <c r="E12" s="48">
        <v>854672</v>
      </c>
      <c r="F12" s="48">
        <v>804168</v>
      </c>
      <c r="G12" s="48">
        <v>1108609</v>
      </c>
      <c r="H12" s="48">
        <v>1252245</v>
      </c>
      <c r="I12" s="48">
        <v>1529720</v>
      </c>
      <c r="J12" s="48">
        <v>1306618</v>
      </c>
      <c r="K12" s="48">
        <v>1284218</v>
      </c>
      <c r="L12" s="48">
        <v>1228239</v>
      </c>
      <c r="M12" s="48">
        <v>1033613</v>
      </c>
      <c r="N12" s="5">
        <f t="shared" si="1"/>
        <v>13050473</v>
      </c>
      <c r="R12" s="5"/>
    </row>
    <row r="13" spans="1:18" x14ac:dyDescent="0.25">
      <c r="A13" s="4">
        <v>86</v>
      </c>
      <c r="B13" s="48">
        <v>423863</v>
      </c>
      <c r="C13" s="48">
        <v>265458</v>
      </c>
      <c r="D13" s="48">
        <v>190592</v>
      </c>
      <c r="E13" s="48">
        <v>156842</v>
      </c>
      <c r="F13" s="48">
        <v>173283</v>
      </c>
      <c r="G13" s="48">
        <v>379830</v>
      </c>
      <c r="H13" s="48">
        <v>568845</v>
      </c>
      <c r="I13" s="48">
        <v>840776</v>
      </c>
      <c r="J13" s="48">
        <v>718407</v>
      </c>
      <c r="K13" s="48">
        <v>692620</v>
      </c>
      <c r="L13" s="48">
        <v>651358</v>
      </c>
      <c r="M13" s="48">
        <v>463304</v>
      </c>
      <c r="N13" s="5">
        <f t="shared" si="1"/>
        <v>5525178</v>
      </c>
      <c r="R13" s="5"/>
    </row>
    <row r="14" spans="1:18" x14ac:dyDescent="0.25">
      <c r="A14" s="4">
        <v>87</v>
      </c>
      <c r="B14" s="48">
        <v>1160398</v>
      </c>
      <c r="C14" s="48">
        <v>940560</v>
      </c>
      <c r="D14" s="48">
        <v>958917</v>
      </c>
      <c r="E14" s="48">
        <v>1038850</v>
      </c>
      <c r="F14" s="48">
        <v>1042875</v>
      </c>
      <c r="G14" s="48">
        <v>1604401</v>
      </c>
      <c r="H14" s="48">
        <v>1656822</v>
      </c>
      <c r="I14" s="48">
        <v>2033762</v>
      </c>
      <c r="J14" s="48">
        <v>1521398</v>
      </c>
      <c r="K14" s="48">
        <v>1477173</v>
      </c>
      <c r="L14" s="48">
        <v>1401402</v>
      </c>
      <c r="M14" s="48">
        <v>1071596</v>
      </c>
      <c r="N14" s="5">
        <f t="shared" si="1"/>
        <v>15908154</v>
      </c>
      <c r="R14" s="5"/>
    </row>
    <row r="15" spans="1:18" x14ac:dyDescent="0.25">
      <c r="A15" s="4" t="s">
        <v>52</v>
      </c>
      <c r="B15" s="48">
        <v>2324</v>
      </c>
      <c r="C15" s="48">
        <v>2004</v>
      </c>
      <c r="D15" s="48">
        <v>1700</v>
      </c>
      <c r="E15" s="48">
        <v>1858</v>
      </c>
      <c r="F15" s="48">
        <v>2378</v>
      </c>
      <c r="G15" s="48">
        <v>2787</v>
      </c>
      <c r="H15" s="48">
        <v>3971</v>
      </c>
      <c r="I15" s="48">
        <v>4350</v>
      </c>
      <c r="J15" s="48">
        <v>3638</v>
      </c>
      <c r="K15" s="48">
        <v>4142</v>
      </c>
      <c r="L15" s="48">
        <v>3396</v>
      </c>
      <c r="M15" s="48">
        <v>3003</v>
      </c>
      <c r="N15" s="5">
        <f t="shared" si="1"/>
        <v>35551</v>
      </c>
      <c r="R15" s="5"/>
    </row>
    <row r="16" spans="1:18" x14ac:dyDescent="0.25">
      <c r="A16" s="4" t="s">
        <v>0</v>
      </c>
      <c r="B16" s="48">
        <v>1918476</v>
      </c>
      <c r="C16" s="48">
        <v>1841565</v>
      </c>
      <c r="D16" s="48">
        <v>1626287</v>
      </c>
      <c r="E16" s="48">
        <v>1653346</v>
      </c>
      <c r="F16" s="48">
        <v>1889123</v>
      </c>
      <c r="G16" s="48">
        <v>1683056</v>
      </c>
      <c r="H16" s="48">
        <v>1967978</v>
      </c>
      <c r="I16" s="48">
        <v>1938149</v>
      </c>
      <c r="J16" s="48">
        <v>1898192</v>
      </c>
      <c r="K16" s="48">
        <v>2250888</v>
      </c>
      <c r="L16" s="48">
        <v>2003089</v>
      </c>
      <c r="M16" s="48">
        <v>2170389</v>
      </c>
      <c r="N16" s="5">
        <f t="shared" si="1"/>
        <v>22840538</v>
      </c>
      <c r="R16" s="5"/>
    </row>
    <row r="17" spans="1:18" x14ac:dyDescent="0.25">
      <c r="A17" s="4" t="s">
        <v>1</v>
      </c>
      <c r="B17" s="48">
        <v>6120144</v>
      </c>
      <c r="C17" s="48">
        <v>5894622</v>
      </c>
      <c r="D17" s="48">
        <v>5418705</v>
      </c>
      <c r="E17" s="48">
        <v>5441524</v>
      </c>
      <c r="F17" s="48">
        <v>6347724</v>
      </c>
      <c r="G17" s="48">
        <v>5435800</v>
      </c>
      <c r="H17" s="48">
        <v>5849336</v>
      </c>
      <c r="I17" s="48">
        <v>5735536</v>
      </c>
      <c r="J17" s="48">
        <v>5284730</v>
      </c>
      <c r="K17" s="48">
        <v>6633683</v>
      </c>
      <c r="L17" s="48">
        <v>5858974</v>
      </c>
      <c r="M17" s="48">
        <v>6601220</v>
      </c>
      <c r="N17" s="5">
        <f t="shared" si="1"/>
        <v>70621998</v>
      </c>
      <c r="R17" s="5"/>
    </row>
    <row r="18" spans="1:18" x14ac:dyDescent="0.25">
      <c r="A18" s="4" t="s">
        <v>46</v>
      </c>
      <c r="B18" s="48">
        <v>86657</v>
      </c>
      <c r="C18" s="48">
        <v>87481</v>
      </c>
      <c r="D18" s="48">
        <v>79004</v>
      </c>
      <c r="E18" s="48">
        <v>74718</v>
      </c>
      <c r="F18" s="48">
        <v>100763</v>
      </c>
      <c r="G18" s="48">
        <v>81908</v>
      </c>
      <c r="H18" s="48">
        <v>94814</v>
      </c>
      <c r="I18" s="48">
        <v>92907</v>
      </c>
      <c r="J18" s="48">
        <v>88619</v>
      </c>
      <c r="K18" s="48">
        <v>122475</v>
      </c>
      <c r="L18" s="48">
        <v>101578</v>
      </c>
      <c r="M18" s="48">
        <v>112412</v>
      </c>
      <c r="N18" s="5">
        <f t="shared" si="1"/>
        <v>1123336</v>
      </c>
      <c r="R18" s="5"/>
    </row>
    <row r="19" spans="1:18" x14ac:dyDescent="0.25">
      <c r="A19" s="4" t="s">
        <v>2</v>
      </c>
      <c r="B19" s="48">
        <v>8666369</v>
      </c>
      <c r="C19" s="48">
        <v>8192041</v>
      </c>
      <c r="D19" s="48">
        <v>8554057</v>
      </c>
      <c r="E19" s="48">
        <v>8049380</v>
      </c>
      <c r="F19" s="48">
        <v>9122811</v>
      </c>
      <c r="G19" s="48">
        <v>7236917</v>
      </c>
      <c r="H19" s="48">
        <v>7393649</v>
      </c>
      <c r="I19" s="48">
        <v>8345897</v>
      </c>
      <c r="J19" s="48">
        <v>7156555</v>
      </c>
      <c r="K19" s="48">
        <v>9579531</v>
      </c>
      <c r="L19" s="48">
        <v>8230984</v>
      </c>
      <c r="M19" s="48">
        <v>8666713</v>
      </c>
      <c r="N19" s="5">
        <f t="shared" si="1"/>
        <v>99194904</v>
      </c>
      <c r="R19" s="5"/>
    </row>
    <row r="20" spans="1:18" x14ac:dyDescent="0.25">
      <c r="A20" s="4" t="s">
        <v>47</v>
      </c>
      <c r="B20" s="48">
        <v>2561084</v>
      </c>
      <c r="C20" s="48">
        <v>2220639</v>
      </c>
      <c r="D20" s="48">
        <v>1966487</v>
      </c>
      <c r="E20" s="48">
        <v>1843051</v>
      </c>
      <c r="F20" s="48">
        <v>2322698</v>
      </c>
      <c r="G20" s="48">
        <v>2520345</v>
      </c>
      <c r="H20" s="48">
        <v>3339028</v>
      </c>
      <c r="I20" s="48">
        <v>3867436</v>
      </c>
      <c r="J20" s="48">
        <v>3542589</v>
      </c>
      <c r="K20" s="48">
        <v>4673686</v>
      </c>
      <c r="L20" s="48">
        <v>3395825</v>
      </c>
      <c r="M20" s="48">
        <v>3248720</v>
      </c>
      <c r="N20" s="5">
        <f t="shared" si="1"/>
        <v>35501588</v>
      </c>
      <c r="R20" s="5"/>
    </row>
    <row r="21" spans="1:18" x14ac:dyDescent="0.25">
      <c r="A21" s="4" t="s">
        <v>3</v>
      </c>
      <c r="B21" s="6">
        <f>SUM(B7:B20)</f>
        <v>67568725</v>
      </c>
      <c r="C21" s="6">
        <f t="shared" ref="C21:M21" si="2">SUM(C7:C20)</f>
        <v>52999588</v>
      </c>
      <c r="D21" s="6">
        <f t="shared" si="2"/>
        <v>45156428</v>
      </c>
      <c r="E21" s="6">
        <f t="shared" si="2"/>
        <v>45290841</v>
      </c>
      <c r="F21" s="6">
        <f t="shared" si="2"/>
        <v>56150721</v>
      </c>
      <c r="G21" s="6">
        <f t="shared" si="2"/>
        <v>88511807</v>
      </c>
      <c r="H21" s="6">
        <f t="shared" si="2"/>
        <v>129026268</v>
      </c>
      <c r="I21" s="6">
        <f t="shared" si="2"/>
        <v>160789720</v>
      </c>
      <c r="J21" s="6">
        <f t="shared" si="2"/>
        <v>151191735</v>
      </c>
      <c r="K21" s="6">
        <f t="shared" si="2"/>
        <v>141375253</v>
      </c>
      <c r="L21" s="6">
        <f t="shared" si="2"/>
        <v>127534545</v>
      </c>
      <c r="M21" s="6">
        <f t="shared" si="2"/>
        <v>96959390</v>
      </c>
      <c r="N21" s="6">
        <f>SUM(N7:N20)</f>
        <v>1162555021</v>
      </c>
    </row>
    <row r="22" spans="1: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8" x14ac:dyDescent="0.25">
      <c r="A23" s="4" t="s">
        <v>20</v>
      </c>
      <c r="B23" s="5">
        <f>SUM(B7:B11)</f>
        <v>45602717</v>
      </c>
      <c r="C23" s="5">
        <f t="shared" ref="C23:M23" si="3">SUM(C7:C11)</f>
        <v>32724322</v>
      </c>
      <c r="D23" s="5">
        <f t="shared" si="3"/>
        <v>25569897</v>
      </c>
      <c r="E23" s="5">
        <f t="shared" si="3"/>
        <v>26176600</v>
      </c>
      <c r="F23" s="5">
        <f t="shared" si="3"/>
        <v>34344898</v>
      </c>
      <c r="G23" s="5">
        <f t="shared" si="3"/>
        <v>68458154</v>
      </c>
      <c r="H23" s="5">
        <f t="shared" si="3"/>
        <v>106899580</v>
      </c>
      <c r="I23" s="5">
        <f t="shared" si="3"/>
        <v>136401187</v>
      </c>
      <c r="J23" s="5">
        <f t="shared" si="3"/>
        <v>129670989</v>
      </c>
      <c r="K23" s="5">
        <f t="shared" si="3"/>
        <v>114656837</v>
      </c>
      <c r="L23" s="5">
        <f t="shared" si="3"/>
        <v>104659700</v>
      </c>
      <c r="M23" s="5">
        <f t="shared" si="3"/>
        <v>73588420</v>
      </c>
      <c r="N23" s="5">
        <f>SUM(B23:M23)</f>
        <v>898753301</v>
      </c>
    </row>
    <row r="24" spans="1:18" x14ac:dyDescent="0.25">
      <c r="A24" s="4" t="s">
        <v>21</v>
      </c>
      <c r="B24" s="5">
        <f>SUM(B12:B14)</f>
        <v>2610954</v>
      </c>
      <c r="C24" s="5">
        <f t="shared" ref="C24:M24" si="4">SUM(C12:C14)</f>
        <v>2036914</v>
      </c>
      <c r="D24" s="5">
        <f t="shared" si="4"/>
        <v>1940291</v>
      </c>
      <c r="E24" s="5">
        <f t="shared" si="4"/>
        <v>2050364</v>
      </c>
      <c r="F24" s="5">
        <f t="shared" si="4"/>
        <v>2020326</v>
      </c>
      <c r="G24" s="5">
        <f t="shared" si="4"/>
        <v>3092840</v>
      </c>
      <c r="H24" s="5">
        <f t="shared" si="4"/>
        <v>3477912</v>
      </c>
      <c r="I24" s="5">
        <f t="shared" si="4"/>
        <v>4404258</v>
      </c>
      <c r="J24" s="5">
        <f t="shared" si="4"/>
        <v>3546423</v>
      </c>
      <c r="K24" s="5">
        <f t="shared" si="4"/>
        <v>3454011</v>
      </c>
      <c r="L24" s="5">
        <f t="shared" si="4"/>
        <v>3280999</v>
      </c>
      <c r="M24" s="5">
        <f t="shared" si="4"/>
        <v>2568513</v>
      </c>
      <c r="N24" s="5">
        <f>SUM(B24:M24)</f>
        <v>34483805</v>
      </c>
    </row>
    <row r="25" spans="1:18" x14ac:dyDescent="0.25">
      <c r="A25" s="4" t="s">
        <v>53</v>
      </c>
      <c r="B25" s="43">
        <f>SUM(B15:B20)</f>
        <v>19355054</v>
      </c>
      <c r="C25" s="43">
        <f t="shared" ref="C25:M25" si="5">SUM(C15:C20)</f>
        <v>18238352</v>
      </c>
      <c r="D25" s="43">
        <f t="shared" si="5"/>
        <v>17646240</v>
      </c>
      <c r="E25" s="43">
        <f t="shared" si="5"/>
        <v>17063877</v>
      </c>
      <c r="F25" s="43">
        <f t="shared" si="5"/>
        <v>19785497</v>
      </c>
      <c r="G25" s="43">
        <f t="shared" si="5"/>
        <v>16960813</v>
      </c>
      <c r="H25" s="43">
        <f t="shared" si="5"/>
        <v>18648776</v>
      </c>
      <c r="I25" s="43">
        <f t="shared" si="5"/>
        <v>19984275</v>
      </c>
      <c r="J25" s="43">
        <f t="shared" si="5"/>
        <v>17974323</v>
      </c>
      <c r="K25" s="43">
        <f t="shared" si="5"/>
        <v>23264405</v>
      </c>
      <c r="L25" s="43">
        <f t="shared" si="5"/>
        <v>19593846</v>
      </c>
      <c r="M25" s="43">
        <f t="shared" si="5"/>
        <v>20802457</v>
      </c>
      <c r="N25" s="43">
        <f>SUM(B25:M25)</f>
        <v>229317915</v>
      </c>
    </row>
    <row r="26" spans="1:18" x14ac:dyDescent="0.25">
      <c r="A26" s="4" t="s">
        <v>54</v>
      </c>
      <c r="B26" s="5">
        <f t="shared" ref="B26:M26" si="6">SUM(B23:B25)</f>
        <v>67568725</v>
      </c>
      <c r="C26" s="5">
        <f t="shared" si="6"/>
        <v>52999588</v>
      </c>
      <c r="D26" s="5">
        <f t="shared" si="6"/>
        <v>45156428</v>
      </c>
      <c r="E26" s="5">
        <f t="shared" si="6"/>
        <v>45290841</v>
      </c>
      <c r="F26" s="5">
        <f t="shared" si="6"/>
        <v>56150721</v>
      </c>
      <c r="G26" s="5">
        <f t="shared" si="6"/>
        <v>88511807</v>
      </c>
      <c r="H26" s="5">
        <f t="shared" si="6"/>
        <v>129026268</v>
      </c>
      <c r="I26" s="5">
        <f t="shared" si="6"/>
        <v>160789720</v>
      </c>
      <c r="J26" s="5">
        <f t="shared" si="6"/>
        <v>151191735</v>
      </c>
      <c r="K26" s="5">
        <f t="shared" si="6"/>
        <v>141375253</v>
      </c>
      <c r="L26" s="5">
        <f t="shared" si="6"/>
        <v>127534545</v>
      </c>
      <c r="M26" s="5">
        <f t="shared" si="6"/>
        <v>96959390</v>
      </c>
      <c r="N26" s="5">
        <f>SUM(B26:M26)</f>
        <v>1162555021</v>
      </c>
    </row>
    <row r="27" spans="1:18" x14ac:dyDescent="0.25">
      <c r="A27" s="44" t="s">
        <v>28</v>
      </c>
      <c r="B27" s="45">
        <f>B21-B26</f>
        <v>0</v>
      </c>
      <c r="C27" s="45">
        <f t="shared" ref="C27:N27" si="7">C21-C26</f>
        <v>0</v>
      </c>
      <c r="D27" s="45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  <c r="L27" s="45">
        <f t="shared" si="7"/>
        <v>0</v>
      </c>
      <c r="M27" s="45">
        <f t="shared" si="7"/>
        <v>0</v>
      </c>
      <c r="N27" s="45">
        <f t="shared" si="7"/>
        <v>0</v>
      </c>
    </row>
    <row r="29" spans="1:18" x14ac:dyDescent="0.25">
      <c r="A29" s="3" t="s">
        <v>172</v>
      </c>
    </row>
  </sheetData>
  <mergeCells count="4">
    <mergeCell ref="A1:N1"/>
    <mergeCell ref="A3:N3"/>
    <mergeCell ref="A4:N4"/>
    <mergeCell ref="A2:N2"/>
  </mergeCells>
  <printOptions horizontalCentered="1"/>
  <pageMargins left="0.7" right="0.7" top="0.75" bottom="0.75" header="0.3" footer="0.3"/>
  <pageSetup scale="67" orientation="landscape" blackAndWhite="1" r:id="rId1"/>
  <headerFooter>
    <oddFooter>&amp;L&amp;F 
&amp;A&amp;C&amp;P&amp;R&amp;D</oddFooter>
  </headerFooter>
  <ignoredErrors>
    <ignoredError sqref="N7:N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FCC6340667ED43A4D648CC91A4B9CE" ma:contentTypeVersion="20" ma:contentTypeDescription="" ma:contentTypeScope="" ma:versionID="7ebbe51f686425fbac5d81a2a72792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2022-03-01T08:00:00+00:00</OpenedDate>
    <SignificantOrder xmlns="dc463f71-b30c-4ab2-9473-d307f9d35888">false</SignificantOrder>
    <Date1 xmlns="dc463f71-b30c-4ab2-9473-d307f9d35888">2022-03-29T07:00:00+00:00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4067F0-8B0F-433C-9A89-68447F0C92BE}"/>
</file>

<file path=customXml/itemProps2.xml><?xml version="1.0" encoding="utf-8"?>
<ds:datastoreItem xmlns:ds="http://schemas.openxmlformats.org/officeDocument/2006/customXml" ds:itemID="{829F8CFB-6A30-4307-B556-42E9D0494D15}"/>
</file>

<file path=customXml/itemProps3.xml><?xml version="1.0" encoding="utf-8"?>
<ds:datastoreItem xmlns:ds="http://schemas.openxmlformats.org/officeDocument/2006/customXml" ds:itemID="{CDA62303-EB6C-4A82-941F-2A5A802247DE}"/>
</file>

<file path=customXml/itemProps4.xml><?xml version="1.0" encoding="utf-8"?>
<ds:datastoreItem xmlns:ds="http://schemas.openxmlformats.org/officeDocument/2006/customXml" ds:itemID="{4BC984E3-0BB5-4BF4-92A3-BDFB55938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Rates</vt:lpstr>
      <vt:lpstr>Allocation</vt:lpstr>
      <vt:lpstr>Rate Impacts--&gt;</vt:lpstr>
      <vt:lpstr>Rate Impacts Sch 120</vt:lpstr>
      <vt:lpstr>Typical Res Bill Sch 120</vt:lpstr>
      <vt:lpstr>Sch. 120</vt:lpstr>
      <vt:lpstr>Workpapers--&gt;</vt:lpstr>
      <vt:lpstr>Rev Requirement</vt:lpstr>
      <vt:lpstr>Forecasted Volume</vt:lpstr>
      <vt:lpstr>Allocation!Print_Area</vt:lpstr>
      <vt:lpstr>'Forecasted Volume'!Print_Area</vt:lpstr>
      <vt:lpstr>'Rate Impacts Sch 120'!Print_Area</vt:lpstr>
      <vt:lpstr>Rates!Print_Area</vt:lpstr>
      <vt:lpstr>'Rev Requirement'!Print_Area</vt:lpstr>
      <vt:lpstr>'Typical Res Bill Sch 120'!Print_Area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Puget Sound Energy</cp:lastModifiedBy>
  <cp:lastPrinted>2022-02-24T00:18:11Z</cp:lastPrinted>
  <dcterms:created xsi:type="dcterms:W3CDTF">2013-02-25T17:53:58Z</dcterms:created>
  <dcterms:modified xsi:type="dcterms:W3CDTF">2022-03-24T23:42:54Z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0x0101006E56B4D1795A2E4DB2F0B01679ED314A00B0FCC6340667ED43A4D648CC91A4B9CE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