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gasco.com\share\GROUPS\Regulatory_Affairs\PGA - WASHINGTON\2025\September\2_Replace_10xx25\25-06A_Residual_UG-250711\"/>
    </mc:Choice>
  </mc:AlternateContent>
  <xr:revisionPtr revIDLastSave="0" documentId="13_ncr:1_{C7F47DAA-2797-460B-AB33-9D9B58C9AC62}" xr6:coauthVersionLast="47" xr6:coauthVersionMax="47" xr10:uidLastSave="{00000000-0000-0000-0000-000000000000}"/>
  <bookViews>
    <workbookView xWindow="-4200" yWindow="-21720" windowWidth="38640" windowHeight="21120" firstSheet="1" activeTab="3" xr2:uid="{3B65E646-5B18-49A5-BA42-F033EBD3269B}"/>
  </bookViews>
  <sheets>
    <sheet name="Calc of Avg Cent Increments" sheetId="3" r:id="rId1"/>
    <sheet name="Calc of % of Margin Increments" sheetId="2" r:id="rId2"/>
    <sheet name="Calc of % of Revenue Increments" sheetId="15" r:id="rId3"/>
    <sheet name="Effct of Avg Bill" sheetId="19" r:id="rId4"/>
    <sheet name="Deferral Summary" sheetId="14" r:id="rId5"/>
    <sheet name="232050" sheetId="4" r:id="rId6"/>
    <sheet name="232075" sheetId="5" r:id="rId7"/>
    <sheet name="151827" sheetId="6" r:id="rId8"/>
    <sheet name="151829" sheetId="7" r:id="rId9"/>
    <sheet name="151887" sheetId="8" r:id="rId10"/>
    <sheet name="151889" sheetId="9" r:id="rId11"/>
    <sheet name="151914" sheetId="10" r:id="rId12"/>
    <sheet name="Effects on Revenu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0" localSheetId="7">#REF!</definedName>
    <definedName name="\0" localSheetId="8">#REF!</definedName>
    <definedName name="\0" localSheetId="9">#REF!</definedName>
    <definedName name="\0" localSheetId="10">#REF!</definedName>
    <definedName name="\0" localSheetId="11">#REF!</definedName>
    <definedName name="\0" localSheetId="5">#REF!</definedName>
    <definedName name="\0" localSheetId="6">#REF!</definedName>
    <definedName name="\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on08" localSheetId="7">#REF!</definedName>
    <definedName name="_bon08" localSheetId="8">#REF!</definedName>
    <definedName name="_bon08" localSheetId="9">#REF!</definedName>
    <definedName name="_bon08">#REF!</definedName>
    <definedName name="_Fill" hidden="1">#REF!</definedName>
    <definedName name="_xlnm._FilterDatabase" hidden="1">'[1]Summary (Avg)'!#REF!</definedName>
    <definedName name="_gip08" localSheetId="7">#REF!</definedName>
    <definedName name="_gip08" localSheetId="8">#REF!</definedName>
    <definedName name="_gip08" localSheetId="9">#REF!</definedName>
    <definedName name="_gip08" localSheetId="10">#REF!</definedName>
    <definedName name="_gip08">#REF!</definedName>
    <definedName name="_Key1" hidden="1">#REF!</definedName>
    <definedName name="_Key2" hidden="1">#REF!</definedName>
    <definedName name="_nbu2500" localSheetId="7">#REF!</definedName>
    <definedName name="_nbu2500" localSheetId="8">#REF!</definedName>
    <definedName name="_nbu2500" localSheetId="9">#REF!</definedName>
    <definedName name="_nbu2500">#REF!</definedName>
    <definedName name="_Order1" hidden="1">255</definedName>
    <definedName name="_Order2" hidden="1">255</definedName>
    <definedName name="_Parse_In" hidden="1">#REF!</definedName>
    <definedName name="_PG3">#N/A</definedName>
    <definedName name="_ptp08" localSheetId="7">#REF!</definedName>
    <definedName name="_ptp08" localSheetId="8">#REF!</definedName>
    <definedName name="_ptp08" localSheetId="9">#REF!</definedName>
    <definedName name="_ptp08" localSheetId="10">#REF!</definedName>
    <definedName name="_ptp08">#REF!</definedName>
    <definedName name="_sa1" localSheetId="4" hidden="1">{#N/A,#N/A,FALSE,"Assessment";#N/A,#N/A,FALSE,"Staffing";#N/A,#N/A,FALSE,"Hires";#N/A,#N/A,FALSE,"Assumptions"}</definedName>
    <definedName name="_sa1" hidden="1">{#N/A,#N/A,FALSE,"Assessment";#N/A,#N/A,FALSE,"Staffing";#N/A,#N/A,FALSE,"Hires";#N/A,#N/A,FALSE,"Assumptions"}</definedName>
    <definedName name="_sbn08" localSheetId="7">#REF!</definedName>
    <definedName name="_sbn08" localSheetId="8">#REF!</definedName>
    <definedName name="_sbn08" localSheetId="9">#REF!</definedName>
    <definedName name="_sbn08">#REF!</definedName>
    <definedName name="_Sort" hidden="1">#REF!</definedName>
    <definedName name="_t2" localSheetId="4" hidden="1">{#N/A,#N/A,FALSE,"Assessment";#N/A,#N/A,FALSE,"Staffing";#N/A,#N/A,FALSE,"Hires";#N/A,#N/A,FALSE,"Assumptions"}</definedName>
    <definedName name="_t2" hidden="1">{#N/A,#N/A,FALSE,"Assessment";#N/A,#N/A,FALSE,"Staffing";#N/A,#N/A,FALSE,"Hires";#N/A,#N/A,FALSE,"Assumptions"}</definedName>
    <definedName name="_t3" localSheetId="4" hidden="1">{#N/A,#N/A,FALSE,"Assessment";#N/A,#N/A,FALSE,"Staffing";#N/A,#N/A,FALSE,"Hires";#N/A,#N/A,FALSE,"Assumptions"}</definedName>
    <definedName name="_t3" hidden="1">{#N/A,#N/A,FALSE,"Assessment";#N/A,#N/A,FALSE,"Staffing";#N/A,#N/A,FALSE,"Hires";#N/A,#N/A,FALSE,"Assumptions"}</definedName>
    <definedName name="_t4" localSheetId="4" hidden="1">{#N/A,#N/A,FALSE,"Assessment";#N/A,#N/A,FALSE,"Staffing";#N/A,#N/A,FALSE,"Hires";#N/A,#N/A,FALSE,"Assumptions"}</definedName>
    <definedName name="_t4" hidden="1">{#N/A,#N/A,FALSE,"Assessment";#N/A,#N/A,FALSE,"Staffing";#N/A,#N/A,FALSE,"Hires";#N/A,#N/A,FALSE,"Assumptions"}</definedName>
    <definedName name="A" localSheetId="7">[2]DEPR!#REF!</definedName>
    <definedName name="A" localSheetId="8">[2]DEPR!#REF!</definedName>
    <definedName name="A" localSheetId="9">[2]DEPR!#REF!</definedName>
    <definedName name="A" localSheetId="10">[2]DEPR!#REF!</definedName>
    <definedName name="A" localSheetId="11">[2]DEPR!#REF!</definedName>
    <definedName name="A" localSheetId="5">[2]DEPR!#REF!</definedName>
    <definedName name="A" localSheetId="6">[2]DEPR!#REF!</definedName>
    <definedName name="A">[2]DEPR!#REF!</definedName>
    <definedName name="AC__E">'[3]BID COST BREAKDOWN'!#REF!</definedName>
    <definedName name="AccessDatabase" hidden="1">"C:\DATA\KEVIN\MODELS\Model 0218.mdb"</definedName>
    <definedName name="ALLOCATION" localSheetId="7">#REF!</definedName>
    <definedName name="ALLOCATION" localSheetId="8">#REF!</definedName>
    <definedName name="ALLOCATION" localSheetId="9">#REF!</definedName>
    <definedName name="ALLOCATION" localSheetId="10">#REF!</definedName>
    <definedName name="ALLOCATION" localSheetId="11">#REF!</definedName>
    <definedName name="ALLOCATION" localSheetId="5">#REF!</definedName>
    <definedName name="ALLOCATION" localSheetId="6">#REF!</definedName>
    <definedName name="ALLOCATION">#REF!</definedName>
    <definedName name="anscount" hidden="1">3</definedName>
    <definedName name="asdcasdcasd" localSheetId="4" hidden="1">{"REPORT100",#N/A,FALSE,"100 &amp; 110"}</definedName>
    <definedName name="asdcasdcasd" hidden="1">{"REPORT100",#N/A,FALSE,"100 &amp; 110"}</definedName>
    <definedName name="Assumption" localSheetId="4" hidden="1">{"report102",#N/A,FALSE,"102"}</definedName>
    <definedName name="Assumption" hidden="1">{"report102",#N/A,FALSE,"102"}</definedName>
    <definedName name="AT_DAY" localSheetId="8">#REF!</definedName>
    <definedName name="AT_DAY">#REF!</definedName>
    <definedName name="AT_NOW" localSheetId="8">#REF!</definedName>
    <definedName name="AT_NOW">#REF!</definedName>
    <definedName name="AutomationEngineer">[4]IQGEO!$B$9</definedName>
    <definedName name="BenMcLeod">[4]IQGEO!$B$8</definedName>
    <definedName name="BenSainsbury">[4]IQGEO!$B$10</definedName>
    <definedName name="BITS_DEF_VAR" localSheetId="8">#REF!</definedName>
    <definedName name="BITS_DEF_VAR">#REF!</definedName>
    <definedName name="BITSDEFF" localSheetId="8">#REF!</definedName>
    <definedName name="BITSDEFF">#REF!</definedName>
    <definedName name="BON00" localSheetId="7">#REF!</definedName>
    <definedName name="BON00" localSheetId="8">#REF!</definedName>
    <definedName name="BON00" localSheetId="9">#REF!</definedName>
    <definedName name="BON00">#REF!</definedName>
    <definedName name="BONUS_90_88">#N/A</definedName>
    <definedName name="bonus00" localSheetId="7">#REF!</definedName>
    <definedName name="bonus00" localSheetId="8">#REF!</definedName>
    <definedName name="bonus00" localSheetId="9">#REF!</definedName>
    <definedName name="bonus00" localSheetId="10">#REF!</definedName>
    <definedName name="bonus00">#REF!</definedName>
    <definedName name="BrianGrass">[4]IQGEO!$B$11</definedName>
    <definedName name="BrianLee">[4]IQGEO!$B$14</definedName>
    <definedName name="BryceGartrell">[4]IQGEO!$B$5</definedName>
    <definedName name="BUBenefits00" localSheetId="7">#REF!</definedName>
    <definedName name="BUBenefits00" localSheetId="8">#REF!</definedName>
    <definedName name="BUBenefits00" localSheetId="9">#REF!</definedName>
    <definedName name="BUBenefits00" localSheetId="10">#REF!</definedName>
    <definedName name="BUBenefits00">#REF!</definedName>
    <definedName name="buc00" localSheetId="7">#REF!</definedName>
    <definedName name="buc00" localSheetId="8">#REF!</definedName>
    <definedName name="buc00" localSheetId="9">#REF!</definedName>
    <definedName name="buc00" localSheetId="10">#REF!</definedName>
    <definedName name="buc00">#REF!</definedName>
    <definedName name="BUDGET_C_F" localSheetId="8">#REF!</definedName>
    <definedName name="BUDGET_C_F">#REF!</definedName>
    <definedName name="buf00" localSheetId="7">#REF!</definedName>
    <definedName name="buf00" localSheetId="8">#REF!</definedName>
    <definedName name="buf00" localSheetId="9">#REF!</definedName>
    <definedName name="buf00">#REF!</definedName>
    <definedName name="calcsheet1">#N/A</definedName>
    <definedName name="calcsheet2">#N/A</definedName>
    <definedName name="calcsheet3">#N/A</definedName>
    <definedName name="cancel" localSheetId="7">'[5]July Int Rate for Amort'!$B$17</definedName>
    <definedName name="cancel" localSheetId="8">'[5]July Int Rate for Amort'!$B$17</definedName>
    <definedName name="cancel" localSheetId="9">'[5]July Int Rate for Amort'!$B$17</definedName>
    <definedName name="cancel" localSheetId="10">'[5]July Int Rate for Amort'!$B$17</definedName>
    <definedName name="cancel" localSheetId="11">'[5]July Int Rate for Amort'!$B$17</definedName>
    <definedName name="cancel" localSheetId="5">'[5]July Int Rate for Amort'!$B$17</definedName>
    <definedName name="cancel" localSheetId="6">'[5]July Int Rate for Amort'!$B$17</definedName>
    <definedName name="cancel">'[6]July Int Rate for Amort'!$B$17</definedName>
    <definedName name="casepg1">#N/A</definedName>
    <definedName name="cashallow99" localSheetId="7">#REF!</definedName>
    <definedName name="cashallow99" localSheetId="8">#REF!</definedName>
    <definedName name="cashallow99" localSheetId="9">#REF!</definedName>
    <definedName name="cashallow99" localSheetId="10">#REF!</definedName>
    <definedName name="cashallow99">#REF!</definedName>
    <definedName name="cd" localSheetId="4" hidden="1">{#N/A,#N/A,FALSE,"Assessment";#N/A,#N/A,FALSE,"Staffing";#N/A,#N/A,FALSE,"Hires";#N/A,#N/A,FALSE,"Assumptions"}</definedName>
    <definedName name="cd" hidden="1">{#N/A,#N/A,FALSE,"Assessment";#N/A,#N/A,FALSE,"Staffing";#N/A,#N/A,FALSE,"Hires";#N/A,#N/A,FALSE,"Assumptions"}</definedName>
    <definedName name="Ceramic_Tile">'[3]BID COST BREAKDOWN'!#REF!</definedName>
    <definedName name="check1">[7]Miscellaneous!$C$7</definedName>
    <definedName name="check10">[7]Miscellaneous!$C$16</definedName>
    <definedName name="check11">[7]Miscellaneous!$C$17</definedName>
    <definedName name="check12">[7]Miscellaneous!$C$18</definedName>
    <definedName name="check13">[7]Miscellaneous!$C$19</definedName>
    <definedName name="check14">[7]Miscellaneous!$C$20</definedName>
    <definedName name="check15">[7]Miscellaneous!$C$21</definedName>
    <definedName name="check16">[7]Miscellaneous!$C$22</definedName>
    <definedName name="check17">[7]Miscellaneous!$C$23</definedName>
    <definedName name="check18">[7]Miscellaneous!$C$24</definedName>
    <definedName name="check19">[7]Miscellaneous!$C$25</definedName>
    <definedName name="check2">[7]Miscellaneous!$C$8</definedName>
    <definedName name="check20">[7]Miscellaneous!$C$26</definedName>
    <definedName name="check21">[7]Miscellaneous!$C$27</definedName>
    <definedName name="check22">[7]Miscellaneous!$C$28</definedName>
    <definedName name="check23">[7]Miscellaneous!$C$29</definedName>
    <definedName name="check24">[7]Miscellaneous!$C$30</definedName>
    <definedName name="check25">[7]Miscellaneous!$C$31</definedName>
    <definedName name="check26">[7]Miscellaneous!$C$32</definedName>
    <definedName name="check27">[7]Miscellaneous!$C$33</definedName>
    <definedName name="check28">[7]Miscellaneous!$C$34</definedName>
    <definedName name="check29">[7]Miscellaneous!$C$35</definedName>
    <definedName name="check3">[7]Miscellaneous!$C$9</definedName>
    <definedName name="check30">[7]Miscellaneous!$C$36</definedName>
    <definedName name="check31">[7]Miscellaneous!$C$37</definedName>
    <definedName name="check32">[7]Miscellaneous!$C$38</definedName>
    <definedName name="check33">[7]Miscellaneous!$C$39</definedName>
    <definedName name="check34">[7]Miscellaneous!$C$40</definedName>
    <definedName name="check35">[7]Miscellaneous!$C$41</definedName>
    <definedName name="check36">[7]Miscellaneous!$C$42</definedName>
    <definedName name="check37">[7]Miscellaneous!$C$43</definedName>
    <definedName name="check38">[7]Miscellaneous!$C$44</definedName>
    <definedName name="check39">[7]Miscellaneous!$C$45</definedName>
    <definedName name="check4">[7]Miscellaneous!$C$10</definedName>
    <definedName name="check40">[7]Miscellaneous!$C$46</definedName>
    <definedName name="check41">[7]Miscellaneous!$C$47</definedName>
    <definedName name="check42">[7]Miscellaneous!$C$48</definedName>
    <definedName name="check43">[7]Miscellaneous!$C$49</definedName>
    <definedName name="check44">[7]Miscellaneous!$C$50</definedName>
    <definedName name="check45">[7]Miscellaneous!$C$51</definedName>
    <definedName name="check46">[7]Miscellaneous!$C$52</definedName>
    <definedName name="check5">[7]Miscellaneous!$C$11</definedName>
    <definedName name="check6">[7]Miscellaneous!$C$12</definedName>
    <definedName name="check7">[7]Miscellaneous!$C$13</definedName>
    <definedName name="check8">[7]Miscellaneous!$C$14</definedName>
    <definedName name="check9">[7]Miscellaneous!$C$15</definedName>
    <definedName name="City_Name">'[8]Input Sheet'!$B$76:$B$85</definedName>
    <definedName name="clerical99" localSheetId="7">#REF!</definedName>
    <definedName name="clerical99" localSheetId="8">#REF!</definedName>
    <definedName name="clerical99" localSheetId="9">#REF!</definedName>
    <definedName name="clerical99">#REF!</definedName>
    <definedName name="CMonth" localSheetId="7">#REF!</definedName>
    <definedName name="CMonth" localSheetId="8">#REF!</definedName>
    <definedName name="CMonth" localSheetId="9">#REF!</definedName>
    <definedName name="CMonth" localSheetId="10">#REF!</definedName>
    <definedName name="CMonth" localSheetId="11">#REF!</definedName>
    <definedName name="CMonth" localSheetId="5">#REF!</definedName>
    <definedName name="CMonth" localSheetId="6">#REF!</definedName>
    <definedName name="CMonth" localSheetId="4">#REF!</definedName>
    <definedName name="CMonth">#REF!</definedName>
    <definedName name="column00" localSheetId="7">#REF!</definedName>
    <definedName name="column00" localSheetId="8">#REF!</definedName>
    <definedName name="column00" localSheetId="9">#REF!</definedName>
    <definedName name="column00">#REF!</definedName>
    <definedName name="COMBINE" localSheetId="8">#REF!</definedName>
    <definedName name="COMBINE">#REF!</definedName>
    <definedName name="COMMBALCFSTART" localSheetId="7">#REF!</definedName>
    <definedName name="COMMBALCFSTART" localSheetId="8">#REF!</definedName>
    <definedName name="COMMBALCFSTART" localSheetId="9">#REF!</definedName>
    <definedName name="COMMBALCFSTART" localSheetId="10">#REF!</definedName>
    <definedName name="COMMBALCFSTART" localSheetId="11">#REF!</definedName>
    <definedName name="COMMBALCFSTART" localSheetId="5">#REF!</definedName>
    <definedName name="COMMBALCFSTART" localSheetId="6">#REF!</definedName>
    <definedName name="COMMBALCFSTART">#REF!</definedName>
    <definedName name="Commencement_Date">'[9]Inputs Master'!$C$12</definedName>
    <definedName name="COMMSHCF" localSheetId="7">#REF!</definedName>
    <definedName name="COMMSHCF" localSheetId="8">#REF!</definedName>
    <definedName name="COMMSHCF" localSheetId="9">#REF!</definedName>
    <definedName name="COMMSHCF" localSheetId="10">#REF!</definedName>
    <definedName name="COMMSHCF" localSheetId="11">#REF!</definedName>
    <definedName name="COMMSHCF" localSheetId="5">#REF!</definedName>
    <definedName name="COMMSHCF" localSheetId="6">#REF!</definedName>
    <definedName name="COMMSHCF">#REF!</definedName>
    <definedName name="COMMSHCFSTART" localSheetId="7">#REF!</definedName>
    <definedName name="COMMSHCFSTART" localSheetId="8">#REF!</definedName>
    <definedName name="COMMSHCFSTART" localSheetId="9">#REF!</definedName>
    <definedName name="COMMSHCFSTART" localSheetId="10">#REF!</definedName>
    <definedName name="COMMSHCFSTART" localSheetId="11">#REF!</definedName>
    <definedName name="COMMSHCFSTART" localSheetId="5">#REF!</definedName>
    <definedName name="COMMSHCFSTART" localSheetId="6">#REF!</definedName>
    <definedName name="COMMSHCFSTART">#REF!</definedName>
    <definedName name="Concrete">'[3]BID COST BREAKDOWN'!#REF!</definedName>
    <definedName name="Controls">'[3]BID COST BREAKDOWN'!#REF!</definedName>
    <definedName name="costgas" localSheetId="7">#REF!</definedName>
    <definedName name="costgas" localSheetId="8">#REF!</definedName>
    <definedName name="costgas" localSheetId="9">#REF!</definedName>
    <definedName name="costgas" localSheetId="10">#REF!</definedName>
    <definedName name="costgas" localSheetId="11">#REF!</definedName>
    <definedName name="costgas" localSheetId="5">#REF!</definedName>
    <definedName name="costgas" localSheetId="6">#REF!</definedName>
    <definedName name="costgas">#REF!</definedName>
    <definedName name="coun" localSheetId="4" hidden="1">{#N/A,#N/A,FALSE,"Assessment";#N/A,#N/A,FALSE,"Staffing";#N/A,#N/A,FALSE,"Hires";#N/A,#N/A,FALSE,"Assumptions"}</definedName>
    <definedName name="coun" hidden="1">{#N/A,#N/A,FALSE,"Assessment";#N/A,#N/A,FALSE,"Staffing";#N/A,#N/A,FALSE,"Hires";#N/A,#N/A,FALSE,"Assumptions"}</definedName>
    <definedName name="count00" localSheetId="7">#REF!</definedName>
    <definedName name="count00" localSheetId="8">#REF!</definedName>
    <definedName name="count00" localSheetId="9">#REF!</definedName>
    <definedName name="count00">#REF!</definedName>
    <definedName name="COUNT2" localSheetId="4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_Name">'[8]Input Sheet'!$B$111:$B$120</definedName>
    <definedName name="CUSTADJYR3" localSheetId="7">#REF!</definedName>
    <definedName name="CUSTADJYR3" localSheetId="8">#REF!</definedName>
    <definedName name="CUSTADJYR3" localSheetId="9">#REF!</definedName>
    <definedName name="CUSTADJYR3" localSheetId="10">#REF!</definedName>
    <definedName name="CUSTADJYR3" localSheetId="11">#REF!</definedName>
    <definedName name="CUSTADJYR3" localSheetId="5">#REF!</definedName>
    <definedName name="CUSTADJYR3" localSheetId="6">#REF!</definedName>
    <definedName name="CUSTADJYR3">#REF!</definedName>
    <definedName name="CUSTADJYR5" localSheetId="7">#REF!</definedName>
    <definedName name="CUSTADJYR5" localSheetId="8">#REF!</definedName>
    <definedName name="CUSTADJYR5" localSheetId="9">#REF!</definedName>
    <definedName name="CUSTADJYR5" localSheetId="10">#REF!</definedName>
    <definedName name="CUSTADJYR5" localSheetId="11">#REF!</definedName>
    <definedName name="CUSTADJYR5" localSheetId="5">#REF!</definedName>
    <definedName name="CUSTADJYR5" localSheetId="6">#REF!</definedName>
    <definedName name="CUSTADJYR5">#REF!</definedName>
    <definedName name="CYTD" localSheetId="7">#REF!</definedName>
    <definedName name="CYTD" localSheetId="8">#REF!</definedName>
    <definedName name="CYTD" localSheetId="9">#REF!</definedName>
    <definedName name="CYTD" localSheetId="10">#REF!</definedName>
    <definedName name="CYTD" localSheetId="11">#REF!</definedName>
    <definedName name="CYTD" localSheetId="5">#REF!</definedName>
    <definedName name="CYTD" localSheetId="6">#REF!</definedName>
    <definedName name="CYTD" localSheetId="4">#REF!</definedName>
    <definedName name="CYTD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5">#REF!</definedName>
    <definedName name="DATA" localSheetId="6">#REF!</definedName>
    <definedName name="DATA">#REF!</definedName>
    <definedName name="data00" localSheetId="7">#REF!</definedName>
    <definedName name="data00" localSheetId="8">#REF!</definedName>
    <definedName name="data00" localSheetId="9">#REF!</definedName>
    <definedName name="data00">#REF!</definedName>
    <definedName name="data081" localSheetId="7">#REF!</definedName>
    <definedName name="data081" localSheetId="8">#REF!</definedName>
    <definedName name="data081" localSheetId="9">#REF!</definedName>
    <definedName name="data081">#REF!</definedName>
    <definedName name="DATA1" localSheetId="7">#REF!</definedName>
    <definedName name="DATA1" localSheetId="8">#REF!</definedName>
    <definedName name="DATA1" localSheetId="9">#REF!</definedName>
    <definedName name="DATA1">#REF!</definedName>
    <definedName name="DATA10" localSheetId="7">#REF!</definedName>
    <definedName name="DATA10" localSheetId="8">#REF!</definedName>
    <definedName name="DATA10" localSheetId="9">#REF!</definedName>
    <definedName name="DATA10">#REF!</definedName>
    <definedName name="DATA11" localSheetId="7">#REF!</definedName>
    <definedName name="DATA11" localSheetId="8">#REF!</definedName>
    <definedName name="DATA11" localSheetId="9">#REF!</definedName>
    <definedName name="DATA11">#REF!</definedName>
    <definedName name="DATA12" localSheetId="7">#REF!</definedName>
    <definedName name="DATA12" localSheetId="8">#REF!</definedName>
    <definedName name="DATA12" localSheetId="9">#REF!</definedName>
    <definedName name="DATA12">#REF!</definedName>
    <definedName name="DATA13" localSheetId="7">#REF!</definedName>
    <definedName name="DATA13" localSheetId="8">#REF!</definedName>
    <definedName name="DATA13" localSheetId="9">#REF!</definedName>
    <definedName name="DATA13">#REF!</definedName>
    <definedName name="DATA14" localSheetId="7">#REF!</definedName>
    <definedName name="DATA14" localSheetId="8">#REF!</definedName>
    <definedName name="DATA14" localSheetId="9">#REF!</definedName>
    <definedName name="DATA14">#REF!</definedName>
    <definedName name="DATA15" localSheetId="7">#REF!</definedName>
    <definedName name="DATA15" localSheetId="8">#REF!</definedName>
    <definedName name="DATA15" localSheetId="9">#REF!</definedName>
    <definedName name="DATA15">#REF!</definedName>
    <definedName name="DATA16" localSheetId="7">#REF!</definedName>
    <definedName name="DATA16" localSheetId="8">#REF!</definedName>
    <definedName name="DATA16" localSheetId="9">#REF!</definedName>
    <definedName name="DATA16">#REF!</definedName>
    <definedName name="DATA17" localSheetId="7">#REF!</definedName>
    <definedName name="DATA17" localSheetId="8">#REF!</definedName>
    <definedName name="DATA17" localSheetId="9">#REF!</definedName>
    <definedName name="DATA17">#REF!</definedName>
    <definedName name="DATA18" localSheetId="7">#REF!</definedName>
    <definedName name="DATA18" localSheetId="8">#REF!</definedName>
    <definedName name="DATA18" localSheetId="9">#REF!</definedName>
    <definedName name="DATA18">#REF!</definedName>
    <definedName name="DATA19" localSheetId="7">#REF!</definedName>
    <definedName name="DATA19" localSheetId="8">#REF!</definedName>
    <definedName name="DATA19" localSheetId="9">#REF!</definedName>
    <definedName name="DATA19">#REF!</definedName>
    <definedName name="DATA2" localSheetId="7">#REF!</definedName>
    <definedName name="DATA2" localSheetId="8">#REF!</definedName>
    <definedName name="DATA2" localSheetId="9">#REF!</definedName>
    <definedName name="DATA2">#REF!</definedName>
    <definedName name="DATA20" localSheetId="7">#REF!</definedName>
    <definedName name="DATA20" localSheetId="8">#REF!</definedName>
    <definedName name="DATA20" localSheetId="9">#REF!</definedName>
    <definedName name="DATA20">#REF!</definedName>
    <definedName name="DATA21" localSheetId="7">#REF!</definedName>
    <definedName name="DATA21" localSheetId="8">#REF!</definedName>
    <definedName name="DATA21" localSheetId="9">#REF!</definedName>
    <definedName name="DATA21">#REF!</definedName>
    <definedName name="DATA22" localSheetId="7">#REF!</definedName>
    <definedName name="DATA22" localSheetId="8">#REF!</definedName>
    <definedName name="DATA22" localSheetId="9">#REF!</definedName>
    <definedName name="DATA22">#REF!</definedName>
    <definedName name="DATA23" localSheetId="7">#REF!</definedName>
    <definedName name="DATA23" localSheetId="8">#REF!</definedName>
    <definedName name="DATA23" localSheetId="9">#REF!</definedName>
    <definedName name="DATA23">#REF!</definedName>
    <definedName name="DATA24" localSheetId="7">#REF!</definedName>
    <definedName name="DATA24" localSheetId="8">#REF!</definedName>
    <definedName name="DATA24" localSheetId="9">#REF!</definedName>
    <definedName name="DATA24">#REF!</definedName>
    <definedName name="DATA25" localSheetId="7">#REF!</definedName>
    <definedName name="DATA25" localSheetId="8">#REF!</definedName>
    <definedName name="DATA25" localSheetId="9">#REF!</definedName>
    <definedName name="DATA25">#REF!</definedName>
    <definedName name="DATA26" localSheetId="7">#REF!</definedName>
    <definedName name="DATA26" localSheetId="8">#REF!</definedName>
    <definedName name="DATA26" localSheetId="9">#REF!</definedName>
    <definedName name="DATA26">#REF!</definedName>
    <definedName name="DATA27" localSheetId="7">#REF!</definedName>
    <definedName name="DATA27" localSheetId="8">#REF!</definedName>
    <definedName name="DATA27" localSheetId="9">#REF!</definedName>
    <definedName name="DATA27">#REF!</definedName>
    <definedName name="DATA28" localSheetId="7">#REF!</definedName>
    <definedName name="DATA28" localSheetId="8">#REF!</definedName>
    <definedName name="DATA28" localSheetId="9">#REF!</definedName>
    <definedName name="DATA28">#REF!</definedName>
    <definedName name="DATA29" localSheetId="7">#REF!</definedName>
    <definedName name="DATA29" localSheetId="8">#REF!</definedName>
    <definedName name="DATA29" localSheetId="9">#REF!</definedName>
    <definedName name="DATA29">#REF!</definedName>
    <definedName name="DATA3" localSheetId="7">#REF!</definedName>
    <definedName name="DATA3" localSheetId="8">#REF!</definedName>
    <definedName name="DATA3" localSheetId="9">#REF!</definedName>
    <definedName name="DATA3">#REF!</definedName>
    <definedName name="DATA30" localSheetId="7">#REF!</definedName>
    <definedName name="DATA30" localSheetId="8">#REF!</definedName>
    <definedName name="DATA30" localSheetId="9">#REF!</definedName>
    <definedName name="DATA30">#REF!</definedName>
    <definedName name="DATA31" localSheetId="7">#REF!</definedName>
    <definedName name="DATA31" localSheetId="8">#REF!</definedName>
    <definedName name="DATA31" localSheetId="9">#REF!</definedName>
    <definedName name="DATA31">#REF!</definedName>
    <definedName name="DATA32" localSheetId="7">#REF!</definedName>
    <definedName name="DATA32" localSheetId="8">#REF!</definedName>
    <definedName name="DATA32" localSheetId="9">#REF!</definedName>
    <definedName name="DATA32">#REF!</definedName>
    <definedName name="DATA33" localSheetId="7">#REF!</definedName>
    <definedName name="DATA33" localSheetId="8">#REF!</definedName>
    <definedName name="DATA33" localSheetId="9">#REF!</definedName>
    <definedName name="DATA33">#REF!</definedName>
    <definedName name="DATA34" localSheetId="7">#REF!</definedName>
    <definedName name="DATA34" localSheetId="8">#REF!</definedName>
    <definedName name="DATA34" localSheetId="9">#REF!</definedName>
    <definedName name="DATA34">#REF!</definedName>
    <definedName name="DATA35" localSheetId="7">#REF!</definedName>
    <definedName name="DATA35" localSheetId="8">#REF!</definedName>
    <definedName name="DATA35" localSheetId="9">#REF!</definedName>
    <definedName name="DATA35">#REF!</definedName>
    <definedName name="DATA36" localSheetId="7">#REF!</definedName>
    <definedName name="DATA36" localSheetId="8">#REF!</definedName>
    <definedName name="DATA36" localSheetId="9">#REF!</definedName>
    <definedName name="DATA36">#REF!</definedName>
    <definedName name="DATA37" localSheetId="7">#REF!</definedName>
    <definedName name="DATA37" localSheetId="8">#REF!</definedName>
    <definedName name="DATA37" localSheetId="9">#REF!</definedName>
    <definedName name="DATA37">#REF!</definedName>
    <definedName name="DATA38" localSheetId="7">#REF!</definedName>
    <definedName name="DATA38" localSheetId="8">#REF!</definedName>
    <definedName name="DATA38" localSheetId="9">#REF!</definedName>
    <definedName name="DATA38">#REF!</definedName>
    <definedName name="DATA39" localSheetId="7">#REF!</definedName>
    <definedName name="DATA39" localSheetId="8">#REF!</definedName>
    <definedName name="DATA39" localSheetId="9">#REF!</definedName>
    <definedName name="DATA39">#REF!</definedName>
    <definedName name="DATA4" localSheetId="7">#REF!</definedName>
    <definedName name="DATA4" localSheetId="8">#REF!</definedName>
    <definedName name="DATA4" localSheetId="9">#REF!</definedName>
    <definedName name="DATA4">#REF!</definedName>
    <definedName name="DATA40" localSheetId="7">#REF!</definedName>
    <definedName name="DATA40" localSheetId="8">#REF!</definedName>
    <definedName name="DATA40" localSheetId="9">#REF!</definedName>
    <definedName name="DATA40">#REF!</definedName>
    <definedName name="DATA41" localSheetId="7">#REF!</definedName>
    <definedName name="DATA41" localSheetId="8">#REF!</definedName>
    <definedName name="DATA41" localSheetId="9">#REF!</definedName>
    <definedName name="DATA41">#REF!</definedName>
    <definedName name="DATA42" localSheetId="7">#REF!</definedName>
    <definedName name="DATA42" localSheetId="8">#REF!</definedName>
    <definedName name="DATA42" localSheetId="9">#REF!</definedName>
    <definedName name="DATA42">#REF!</definedName>
    <definedName name="DATA5" localSheetId="7">#REF!</definedName>
    <definedName name="DATA5" localSheetId="8">#REF!</definedName>
    <definedName name="DATA5" localSheetId="9">#REF!</definedName>
    <definedName name="DATA5">#REF!</definedName>
    <definedName name="DATA6" localSheetId="7">#REF!</definedName>
    <definedName name="DATA6" localSheetId="8">#REF!</definedName>
    <definedName name="DATA6" localSheetId="9">#REF!</definedName>
    <definedName name="DATA6">#REF!</definedName>
    <definedName name="DATA7" localSheetId="7">#REF!</definedName>
    <definedName name="DATA7" localSheetId="8">#REF!</definedName>
    <definedName name="DATA7" localSheetId="9">#REF!</definedName>
    <definedName name="DATA7">#REF!</definedName>
    <definedName name="DATA8" localSheetId="7">#REF!</definedName>
    <definedName name="DATA8" localSheetId="8">#REF!</definedName>
    <definedName name="DATA8" localSheetId="9">#REF!</definedName>
    <definedName name="DATA8">#REF!</definedName>
    <definedName name="DATA9" localSheetId="7">#REF!</definedName>
    <definedName name="DATA9" localSheetId="8">#REF!</definedName>
    <definedName name="DATA9" localSheetId="9">#REF!</definedName>
    <definedName name="DATA9">#REF!</definedName>
    <definedName name="datalooky" localSheetId="8">#REF!</definedName>
    <definedName name="datalooky">#REF!</definedName>
    <definedName name="DATE_TITLE" localSheetId="8">#REF!</definedName>
    <definedName name="DATE_TITLE">#REF!</definedName>
    <definedName name="DATE_WRITE" localSheetId="8">#REF!</definedName>
    <definedName name="DATE_WRITE">#REF!</definedName>
    <definedName name="DAY_CALC" localSheetId="8">#REF!</definedName>
    <definedName name="DAY_CALC">#REF!</definedName>
    <definedName name="dd" localSheetId="4" hidden="1">{#N/A,#N/A,FALSE,"Assessment";#N/A,#N/A,FALSE,"Staffing";#N/A,#N/A,FALSE,"Hires";#N/A,#N/A,FALSE,"Assumptions"}</definedName>
    <definedName name="dd" hidden="1">{#N/A,#N/A,FALSE,"Assessment";#N/A,#N/A,FALSE,"Staffing";#N/A,#N/A,FALSE,"Hires";#N/A,#N/A,FALSE,"Assumptions"}</definedName>
    <definedName name="Décor">'[3]BID COST BREAKDOWN'!#REF!</definedName>
    <definedName name="Def401b00" localSheetId="7">#REF!</definedName>
    <definedName name="Def401b00" localSheetId="8">#REF!</definedName>
    <definedName name="Def401b00" localSheetId="9">#REF!</definedName>
    <definedName name="Def401b00">#REF!</definedName>
    <definedName name="Def401b01" localSheetId="7">#REF!</definedName>
    <definedName name="Def401b01" localSheetId="8">#REF!</definedName>
    <definedName name="Def401b01" localSheetId="9">#REF!</definedName>
    <definedName name="Def401b01">#REF!</definedName>
    <definedName name="Def401p00" localSheetId="7">#REF!</definedName>
    <definedName name="Def401p00" localSheetId="8">#REF!</definedName>
    <definedName name="Def401p00" localSheetId="9">#REF!</definedName>
    <definedName name="Def401p00">#REF!</definedName>
    <definedName name="Def401p01" localSheetId="7">#REF!</definedName>
    <definedName name="Def401p01" localSheetId="8">#REF!</definedName>
    <definedName name="Def401p01" localSheetId="9">#REF!</definedName>
    <definedName name="Def401p01">#REF!</definedName>
    <definedName name="Def401pct" localSheetId="7">#REF!</definedName>
    <definedName name="Def401pct" localSheetId="8">#REF!</definedName>
    <definedName name="Def401pct" localSheetId="9">#REF!</definedName>
    <definedName name="Def401pct">#REF!</definedName>
    <definedName name="Defedcb00" localSheetId="7">#REF!</definedName>
    <definedName name="Defedcb00" localSheetId="8">#REF!</definedName>
    <definedName name="Defedcb00" localSheetId="9">#REF!</definedName>
    <definedName name="Defedcb00">#REF!</definedName>
    <definedName name="Defedcb01" localSheetId="7">#REF!</definedName>
    <definedName name="Defedcb01" localSheetId="8">#REF!</definedName>
    <definedName name="Defedcb01" localSheetId="9">#REF!</definedName>
    <definedName name="Defedcb01">#REF!</definedName>
    <definedName name="Defedcp00" localSheetId="7">#REF!</definedName>
    <definedName name="Defedcp00" localSheetId="8">#REF!</definedName>
    <definedName name="Defedcp00" localSheetId="9">#REF!</definedName>
    <definedName name="Defedcp00">#REF!</definedName>
    <definedName name="Defedcp01" localSheetId="7">#REF!</definedName>
    <definedName name="Defedcp01" localSheetId="8">#REF!</definedName>
    <definedName name="Defedcp01" localSheetId="9">#REF!</definedName>
    <definedName name="Defedcp01">#REF!</definedName>
    <definedName name="Defedcpct" localSheetId="7">#REF!</definedName>
    <definedName name="Defedcpct" localSheetId="8">#REF!</definedName>
    <definedName name="Defedcpct" localSheetId="9">#REF!</definedName>
    <definedName name="Defedcpct">#REF!</definedName>
    <definedName name="DefNames" localSheetId="7">#REF!</definedName>
    <definedName name="DefNames" localSheetId="8">#REF!</definedName>
    <definedName name="DefNames" localSheetId="9">#REF!</definedName>
    <definedName name="DefNames">#REF!</definedName>
    <definedName name="DEMANDADJYR2" localSheetId="7">#REF!</definedName>
    <definedName name="DEMANDADJYR2" localSheetId="8">#REF!</definedName>
    <definedName name="DEMANDADJYR2" localSheetId="9">#REF!</definedName>
    <definedName name="DEMANDADJYR2" localSheetId="10">#REF!</definedName>
    <definedName name="DEMANDADJYR2" localSheetId="11">#REF!</definedName>
    <definedName name="DEMANDADJYR2" localSheetId="5">#REF!</definedName>
    <definedName name="DEMANDADJYR2" localSheetId="6">#REF!</definedName>
    <definedName name="DEMANDADJYR2">#REF!</definedName>
    <definedName name="DEMANDADJYR4" localSheetId="7">#REF!</definedName>
    <definedName name="DEMANDADJYR4" localSheetId="8">#REF!</definedName>
    <definedName name="DEMANDADJYR4" localSheetId="9">#REF!</definedName>
    <definedName name="DEMANDADJYR4" localSheetId="10">#REF!</definedName>
    <definedName name="DEMANDADJYR4" localSheetId="11">#REF!</definedName>
    <definedName name="DEMANDADJYR4" localSheetId="5">#REF!</definedName>
    <definedName name="DEMANDADJYR4" localSheetId="6">#REF!</definedName>
    <definedName name="DEMANDADJYR4">#REF!</definedName>
    <definedName name="DEMANDADJYR5" localSheetId="7">#REF!</definedName>
    <definedName name="DEMANDADJYR5" localSheetId="8">#REF!</definedName>
    <definedName name="DEMANDADJYR5" localSheetId="9">#REF!</definedName>
    <definedName name="DEMANDADJYR5" localSheetId="10">#REF!</definedName>
    <definedName name="DEMANDADJYR5" localSheetId="11">#REF!</definedName>
    <definedName name="DEMANDADJYR5" localSheetId="5">#REF!</definedName>
    <definedName name="DEMANDADJYR5" localSheetId="6">#REF!</definedName>
    <definedName name="DEMANDADJYR5">#REF!</definedName>
    <definedName name="DEMANDTRANS" localSheetId="8">#REF!</definedName>
    <definedName name="DEMANDTRANS">#REF!</definedName>
    <definedName name="Demolition">'[3]BID COST BREAKDOWN'!#REF!</definedName>
    <definedName name="dental00" localSheetId="7">#REF!</definedName>
    <definedName name="dental00" localSheetId="8">#REF!</definedName>
    <definedName name="dental00" localSheetId="9">#REF!</definedName>
    <definedName name="dental00">#REF!</definedName>
    <definedName name="dentalallow00" localSheetId="7">#REF!</definedName>
    <definedName name="dentalallow00" localSheetId="8">#REF!</definedName>
    <definedName name="dentalallow00" localSheetId="9">#REF!</definedName>
    <definedName name="dentalallow00">#REF!</definedName>
    <definedName name="dentalallow99" localSheetId="7">#REF!</definedName>
    <definedName name="dentalallow99" localSheetId="8">#REF!</definedName>
    <definedName name="dentalallow99" localSheetId="9">#REF!</definedName>
    <definedName name="dentalallow99">#REF!</definedName>
    <definedName name="dentalpremium00" localSheetId="7">#REF!</definedName>
    <definedName name="dentalpremium00" localSheetId="8">#REF!</definedName>
    <definedName name="dentalpremium00" localSheetId="9">#REF!</definedName>
    <definedName name="dentalpremium00">#REF!</definedName>
    <definedName name="dentalpremium99" localSheetId="7">#REF!</definedName>
    <definedName name="dentalpremium99" localSheetId="8">#REF!</definedName>
    <definedName name="dentalpremium99" localSheetId="9">#REF!</definedName>
    <definedName name="dentalpremium99">#REF!</definedName>
    <definedName name="dfadf" localSheetId="4" hidden="1">{"report102",#N/A,FALSE,"102"}</definedName>
    <definedName name="dfadf" hidden="1">{"report102",#N/A,FALSE,"102"}</definedName>
    <definedName name="Differences" localSheetId="7">#REF!</definedName>
    <definedName name="Differences" localSheetId="8">#REF!</definedName>
    <definedName name="Differences" localSheetId="9">#REF!</definedName>
    <definedName name="Differences" localSheetId="10">#REF!</definedName>
    <definedName name="Differences" localSheetId="11">#REF!</definedName>
    <definedName name="Differences" localSheetId="5">#REF!</definedName>
    <definedName name="Differences" localSheetId="6">#REF!</definedName>
    <definedName name="Differences" localSheetId="4">#REF!</definedName>
    <definedName name="Differences">#REF!</definedName>
    <definedName name="DIVCF" localSheetId="7">#REF!</definedName>
    <definedName name="DIVCF" localSheetId="8">#REF!</definedName>
    <definedName name="DIVCF" localSheetId="9">#REF!</definedName>
    <definedName name="DIVCF" localSheetId="10">#REF!</definedName>
    <definedName name="DIVCF" localSheetId="11">#REF!</definedName>
    <definedName name="DIVCF" localSheetId="5">#REF!</definedName>
    <definedName name="DIVCF" localSheetId="6">#REF!</definedName>
    <definedName name="DIVCF">#REF!</definedName>
    <definedName name="DIVCFSTART" localSheetId="7">#REF!</definedName>
    <definedName name="DIVCFSTART" localSheetId="8">#REF!</definedName>
    <definedName name="DIVCFSTART" localSheetId="9">#REF!</definedName>
    <definedName name="DIVCFSTART" localSheetId="10">#REF!</definedName>
    <definedName name="DIVCFSTART" localSheetId="11">#REF!</definedName>
    <definedName name="DIVCFSTART" localSheetId="5">#REF!</definedName>
    <definedName name="DIVCFSTART" localSheetId="6">#REF!</definedName>
    <definedName name="DIVCFSTART">#REF!</definedName>
    <definedName name="DivM" localSheetId="7">#REF!</definedName>
    <definedName name="DivM" localSheetId="8">#REF!</definedName>
    <definedName name="DivM" localSheetId="9">#REF!</definedName>
    <definedName name="DivM" localSheetId="10">#REF!</definedName>
    <definedName name="DivM" localSheetId="11">#REF!</definedName>
    <definedName name="DivM" localSheetId="5">#REF!</definedName>
    <definedName name="DivM" localSheetId="6">#REF!</definedName>
    <definedName name="DivM" localSheetId="4">#REF!</definedName>
    <definedName name="DivM">#REF!</definedName>
    <definedName name="DivY" localSheetId="7">#REF!</definedName>
    <definedName name="DivY" localSheetId="8">#REF!</definedName>
    <definedName name="DivY" localSheetId="9">#REF!</definedName>
    <definedName name="DivY" localSheetId="10">#REF!</definedName>
    <definedName name="DivY" localSheetId="11">#REF!</definedName>
    <definedName name="DivY" localSheetId="5">#REF!</definedName>
    <definedName name="DivY" localSheetId="6">#REF!</definedName>
    <definedName name="DivY" localSheetId="4">#REF!</definedName>
    <definedName name="DivY">#REF!</definedName>
    <definedName name="dkibid" localSheetId="4" hidden="1">{"REPORT101",#N/A,FALSE,"101 &amp; 111"}</definedName>
    <definedName name="dkibid" hidden="1">{"REPORT101",#N/A,FALSE,"101 &amp; 111"}</definedName>
    <definedName name="dots" localSheetId="7">#REF!</definedName>
    <definedName name="dots" localSheetId="8">#REF!</definedName>
    <definedName name="dots" localSheetId="9">#REF!</definedName>
    <definedName name="dots" localSheetId="10">#REF!</definedName>
    <definedName name="dots" localSheetId="11">#REF!</definedName>
    <definedName name="dots" localSheetId="6">#REF!</definedName>
    <definedName name="dots">#REF!</definedName>
    <definedName name="Drywall">'[3]BID COST BREAKDOWN'!#REF!</definedName>
    <definedName name="dude" localSheetId="4" hidden="1">{"'Server Configuration'!$A$1:$DB$281"}</definedName>
    <definedName name="dude" hidden="1">{"'Server Configuration'!$A$1:$DB$281"}</definedName>
    <definedName name="earn08" localSheetId="7">#REF!</definedName>
    <definedName name="earn08" localSheetId="8">#REF!</definedName>
    <definedName name="earn08" localSheetId="9">#REF!</definedName>
    <definedName name="earn08">#REF!</definedName>
    <definedName name="earn081" localSheetId="7">#REF!</definedName>
    <definedName name="earn081" localSheetId="8">#REF!</definedName>
    <definedName name="earn081" localSheetId="9">#REF!</definedName>
    <definedName name="earn081">#REF!</definedName>
    <definedName name="eee" localSheetId="4" hidden="1">{"REPORT101",#N/A,FALSE,"101 &amp; 111"}</definedName>
    <definedName name="eee" hidden="1">{"REPORT101",#N/A,FALSE,"101 &amp; 111"}</definedName>
    <definedName name="eeee" localSheetId="4" hidden="1">{"JOBCOGS",#N/A,FALSE,"JOB COGS";"JOBHIST",#N/A,FALSE,"JOB COGS"}</definedName>
    <definedName name="eeee" hidden="1">{"JOBCOGS",#N/A,FALSE,"JOB COGS";"JOBHIST",#N/A,FALSE,"JOB COGS"}</definedName>
    <definedName name="EFFDATE" localSheetId="7">[10]Inputs!$B$85</definedName>
    <definedName name="EFFDATE" localSheetId="8">[10]Inputs!$B$85</definedName>
    <definedName name="EFFDATE" localSheetId="9">[10]Inputs!$B$85</definedName>
    <definedName name="EFFDATE" localSheetId="10">[10]Inputs!$B$85</definedName>
    <definedName name="EFFDATE" localSheetId="11">[10]Inputs!$B$85</definedName>
    <definedName name="EFFDATE" localSheetId="5">[10]Inputs!$B$85</definedName>
    <definedName name="EFFDATE" localSheetId="6">[10]Inputs!$B$85</definedName>
    <definedName name="EFFDATE" localSheetId="4">[11]Inputs!$B$85</definedName>
    <definedName name="EFFDATE" localSheetId="3">[12]Inputs!$B$71</definedName>
    <definedName name="EFFDATE">[13]Inputs!$B$71</definedName>
    <definedName name="EffectiveDate">[14]Input!$B$8</definedName>
    <definedName name="Electrical">'[3]BID COST BREAKDOWN'!#REF!</definedName>
    <definedName name="EMonth" localSheetId="7">[15]Data!$G$4:$G$4,[15]Data!#REF!</definedName>
    <definedName name="EMonth" localSheetId="8">[15]Data!$G$4:$G$4,[15]Data!#REF!</definedName>
    <definedName name="EMonth" localSheetId="9">[15]Data!$G$4:$G$4,[15]Data!#REF!</definedName>
    <definedName name="EMonth" localSheetId="10">[15]Data!$G$4:$G$4,[15]Data!#REF!</definedName>
    <definedName name="EMonth" localSheetId="11">[15]Data!$G$4:$G$4,[15]Data!#REF!</definedName>
    <definedName name="EMonth" localSheetId="5">[15]Data!$G$4:$G$4,[15]Data!#REF!</definedName>
    <definedName name="EMonth" localSheetId="6">[15]Data!$G$4:$G$4,[15]Data!#REF!</definedName>
    <definedName name="EMonth" localSheetId="4">[15]Data!$G$4:$G$4,[15]Data!#REF!</definedName>
    <definedName name="EMonth">#REF!,#REF!</definedName>
    <definedName name="emplid00" localSheetId="7">#REF!</definedName>
    <definedName name="emplid00" localSheetId="8">#REF!</definedName>
    <definedName name="emplid00" localSheetId="9">#REF!</definedName>
    <definedName name="emplid00" localSheetId="10">#REF!</definedName>
    <definedName name="emplid00">#REF!</definedName>
    <definedName name="EQUITYCF" localSheetId="7">#REF!</definedName>
    <definedName name="EQUITYCF" localSheetId="8">#REF!</definedName>
    <definedName name="EQUITYCF" localSheetId="9">#REF!</definedName>
    <definedName name="EQUITYCF" localSheetId="10">#REF!</definedName>
    <definedName name="EQUITYCF" localSheetId="11">#REF!</definedName>
    <definedName name="EQUITYCF" localSheetId="5">#REF!</definedName>
    <definedName name="EQUITYCF" localSheetId="6">#REF!</definedName>
    <definedName name="EQUITYCF">#REF!</definedName>
    <definedName name="ErickCaceres">[4]IQGEO!$B$7</definedName>
    <definedName name="EssbaseMonth">[16]Essbase!$D$6</definedName>
    <definedName name="EssLatest">"Beg Bal"</definedName>
    <definedName name="EssOptions" localSheetId="7">"A3100000000111000000011100010_01000"</definedName>
    <definedName name="EssOptions" localSheetId="9">"A3100000000111000000011100010_01000"</definedName>
    <definedName name="EssOptions">"A3100000000111000000011100010_01000"</definedName>
    <definedName name="EssSamplingValue">100</definedName>
    <definedName name="ExpM" localSheetId="7">#REF!</definedName>
    <definedName name="ExpM" localSheetId="8">#REF!</definedName>
    <definedName name="ExpM" localSheetId="9">#REF!</definedName>
    <definedName name="ExpM" localSheetId="10">#REF!</definedName>
    <definedName name="ExpM" localSheetId="11">#REF!</definedName>
    <definedName name="ExpM" localSheetId="5">#REF!</definedName>
    <definedName name="ExpM" localSheetId="6">#REF!</definedName>
    <definedName name="ExpM" localSheetId="4">#REF!</definedName>
    <definedName name="ExpM">#REF!</definedName>
    <definedName name="ExpY" localSheetId="7">#REF!</definedName>
    <definedName name="ExpY" localSheetId="8">#REF!</definedName>
    <definedName name="ExpY" localSheetId="9">#REF!</definedName>
    <definedName name="ExpY" localSheetId="10">#REF!</definedName>
    <definedName name="ExpY" localSheetId="11">#REF!</definedName>
    <definedName name="ExpY" localSheetId="5">#REF!</definedName>
    <definedName name="ExpY" localSheetId="6">#REF!</definedName>
    <definedName name="ExpY" localSheetId="4">#REF!</definedName>
    <definedName name="ExpY">#REF!</definedName>
    <definedName name="EYTD" localSheetId="7">[15]Data!#REF!,[15]Data!#REF!</definedName>
    <definedName name="EYTD" localSheetId="8">[15]Data!#REF!,[15]Data!#REF!</definedName>
    <definedName name="EYTD" localSheetId="9">[15]Data!#REF!,[15]Data!#REF!</definedName>
    <definedName name="EYTD" localSheetId="10">[15]Data!#REF!,[15]Data!#REF!</definedName>
    <definedName name="EYTD" localSheetId="11">[15]Data!#REF!,[15]Data!#REF!</definedName>
    <definedName name="EYTD" localSheetId="5">[15]Data!#REF!,[15]Data!#REF!</definedName>
    <definedName name="EYTD" localSheetId="6">[15]Data!#REF!,[15]Data!#REF!</definedName>
    <definedName name="EYTD" localSheetId="4">[15]Data!#REF!,[15]Data!#REF!</definedName>
    <definedName name="EYTD">#REF!,#REF!</definedName>
    <definedName name="FCINT" localSheetId="7">#REF!</definedName>
    <definedName name="FCINT" localSheetId="8">#REF!</definedName>
    <definedName name="FCINT" localSheetId="9">#REF!</definedName>
    <definedName name="FCINT" localSheetId="10">#REF!</definedName>
    <definedName name="FCINT" localSheetId="11">#REF!</definedName>
    <definedName name="FCINT" localSheetId="5">#REF!</definedName>
    <definedName name="FCINT" localSheetId="6">#REF!</definedName>
    <definedName name="FCINT">#REF!</definedName>
    <definedName name="feb00" localSheetId="7">[17]Udy!#REF!</definedName>
    <definedName name="feb00" localSheetId="8">[17]Udy!#REF!</definedName>
    <definedName name="feb00" localSheetId="9">[17]Udy!#REF!</definedName>
    <definedName name="feb00">[17]Udy!#REF!</definedName>
    <definedName name="Fencing">'[3]BID COST BREAKDOWN'!#REF!</definedName>
    <definedName name="ff" localSheetId="4" hidden="1">{#N/A,#N/A,FALSE,"Assessment";#N/A,#N/A,FALSE,"Staffing";#N/A,#N/A,FALSE,"Hires";#N/A,#N/A,FALSE,"Assumptions"}</definedName>
    <definedName name="ff" hidden="1">{#N/A,#N/A,FALSE,"Assessment";#N/A,#N/A,FALSE,"Staffing";#N/A,#N/A,FALSE,"Hires";#N/A,#N/A,FALSE,"Assumptions"}</definedName>
    <definedName name="field99" localSheetId="7">#REF!</definedName>
    <definedName name="field99" localSheetId="8">#REF!</definedName>
    <definedName name="field99" localSheetId="9">#REF!</definedName>
    <definedName name="field99" localSheetId="10">#REF!</definedName>
    <definedName name="field99">#REF!</definedName>
    <definedName name="Fire_Protection">'[3]BID COST BREAKDOWN'!#REF!</definedName>
    <definedName name="FIRSTYEAR" localSheetId="7">#REF!</definedName>
    <definedName name="FIRSTYEAR" localSheetId="8">#REF!</definedName>
    <definedName name="FIRSTYEAR" localSheetId="9">#REF!</definedName>
    <definedName name="FIRSTYEAR" localSheetId="10">#REF!</definedName>
    <definedName name="FIRSTYEAR" localSheetId="11">#REF!</definedName>
    <definedName name="FIRSTYEAR" localSheetId="5">#REF!</definedName>
    <definedName name="FIRSTYEAR" localSheetId="6">#REF!</definedName>
    <definedName name="FIRSTYEAR">#REF!</definedName>
    <definedName name="FORMULA" localSheetId="7">#REF!</definedName>
    <definedName name="FORMULA" localSheetId="8">#REF!</definedName>
    <definedName name="FORMULA" localSheetId="9">#REF!</definedName>
    <definedName name="FORMULA" localSheetId="10">#REF!</definedName>
    <definedName name="FORMULA" localSheetId="11">#REF!</definedName>
    <definedName name="FORMULA" localSheetId="5">#REF!</definedName>
    <definedName name="FORMULA" localSheetId="6">#REF!</definedName>
    <definedName name="FORMULA">#REF!</definedName>
    <definedName name="GASCOSTTRANS" localSheetId="8">#REF!</definedName>
    <definedName name="GASCOSTTRANS">#REF!</definedName>
    <definedName name="GDS" localSheetId="4" hidden="1">{#N/A,#N/A,FALSE,"Assessment";#N/A,#N/A,FALSE,"Staffing";#N/A,#N/A,FALSE,"Hires";#N/A,#N/A,FALSE,"Assumptions"}</definedName>
    <definedName name="GDS" hidden="1">{#N/A,#N/A,FALSE,"Assessment";#N/A,#N/A,FALSE,"Staffing";#N/A,#N/A,FALSE,"Hires";#N/A,#N/A,FALSE,"Assumptions"}</definedName>
    <definedName name="GITTY" localSheetId="7">#REF!</definedName>
    <definedName name="GITTY" localSheetId="8">#REF!</definedName>
    <definedName name="GITTY" localSheetId="9">#REF!</definedName>
    <definedName name="GITTY" localSheetId="10">#REF!</definedName>
    <definedName name="GITTY" localSheetId="11">#REF!</definedName>
    <definedName name="GITTY" localSheetId="6">#REF!</definedName>
    <definedName name="GITTY">#REF!</definedName>
    <definedName name="glac00" localSheetId="8">#REF!</definedName>
    <definedName name="glac00">#REF!</definedName>
    <definedName name="glac0200" localSheetId="7">#REF!</definedName>
    <definedName name="glac0200" localSheetId="8">#REF!</definedName>
    <definedName name="glac0200" localSheetId="9">#REF!</definedName>
    <definedName name="glac0200">#REF!</definedName>
    <definedName name="gldist" localSheetId="7">#REF!</definedName>
    <definedName name="gldist" localSheetId="8">#REF!</definedName>
    <definedName name="gldist" localSheetId="9">#REF!</definedName>
    <definedName name="gldist">#REF!</definedName>
    <definedName name="gldist2" localSheetId="7">#REF!</definedName>
    <definedName name="gldist2" localSheetId="8">#REF!</definedName>
    <definedName name="gldist2" localSheetId="9">#REF!</definedName>
    <definedName name="gldist2">#REF!</definedName>
    <definedName name="gmk" localSheetId="4" hidden="1">{#N/A,#N/A,FALSE,"Assessment";#N/A,#N/A,FALSE,"Staffing";#N/A,#N/A,FALSE,"Hires";#N/A,#N/A,FALSE,"Assumptions"}</definedName>
    <definedName name="gmk" hidden="1">{#N/A,#N/A,FALSE,"Assessment";#N/A,#N/A,FALSE,"Staffing";#N/A,#N/A,FALSE,"Hires";#N/A,#N/A,FALSE,"Assumptions"}</definedName>
    <definedName name="greg" localSheetId="4" hidden="1">{#N/A,#N/A,FALSE,"Assessment";#N/A,#N/A,FALSE,"Staffing";#N/A,#N/A,FALSE,"Hires";#N/A,#N/A,FALSE,"Assumptions"}</definedName>
    <definedName name="greg" hidden="1">{#N/A,#N/A,FALSE,"Assessment";#N/A,#N/A,FALSE,"Staffing";#N/A,#N/A,FALSE,"Hires";#N/A,#N/A,FALSE,"Assumptions"}</definedName>
    <definedName name="hhhh" localSheetId="4" hidden="1">{#N/A,#N/A,FALSE,"Assessment";#N/A,#N/A,FALSE,"Staffing";#N/A,#N/A,FALSE,"Hires";#N/A,#N/A,FALSE,"Assumptions"}</definedName>
    <definedName name="hhhh" hidden="1">{#N/A,#N/A,FALSE,"Assessment";#N/A,#N/A,FALSE,"Staffing";#N/A,#N/A,FALSE,"Hires";#N/A,#N/A,FALSE,"Assumptions"}</definedName>
    <definedName name="HOME" localSheetId="4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FE" localSheetId="4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1252</definedName>
    <definedName name="HTML_Control" localSheetId="4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HVAC">'[3]BID COST BREAKDOWN'!#REF!</definedName>
    <definedName name="I">"a1..m50"</definedName>
    <definedName name="ii" localSheetId="4" hidden="1">{"REPORT100",#N/A,FALSE,"100 &amp; 110"}</definedName>
    <definedName name="ii" hidden="1">{"REPORT100",#N/A,FALSE,"100 &amp; 110"}</definedName>
    <definedName name="INCIMPACT" localSheetId="7">#REF!</definedName>
    <definedName name="INCIMPACT" localSheetId="8">#REF!</definedName>
    <definedName name="INCIMPACT" localSheetId="9">#REF!</definedName>
    <definedName name="INCIMPACT" localSheetId="10">#REF!</definedName>
    <definedName name="INCIMPACT" localSheetId="11">#REF!</definedName>
    <definedName name="INCIMPACT" localSheetId="5">#REF!</definedName>
    <definedName name="INCIMPACT" localSheetId="6">#REF!</definedName>
    <definedName name="INCIMPACT">#REF!</definedName>
    <definedName name="Incremental_Support_Cost">#REF!</definedName>
    <definedName name="Inflation_Rate">#REF!</definedName>
    <definedName name="ISG" localSheetId="4" hidden="1">{"REPORT100",#N/A,FALSE,"100 &amp; 110"}</definedName>
    <definedName name="ISG" hidden="1">{"REPORT100",#N/A,FALSE,"100 &amp; 110"}</definedName>
    <definedName name="Janet">[4]IQGEO!$B$3</definedName>
    <definedName name="JanetHoyt">'[18]TGG Resources - H1'!$B$2</definedName>
    <definedName name="JANYEAR3START" localSheetId="7">#REF!</definedName>
    <definedName name="JANYEAR3START" localSheetId="8">#REF!</definedName>
    <definedName name="JANYEAR3START" localSheetId="9">#REF!</definedName>
    <definedName name="JANYEAR3START" localSheetId="10">#REF!</definedName>
    <definedName name="JANYEAR3START" localSheetId="11">#REF!</definedName>
    <definedName name="JANYEAR3START" localSheetId="5">#REF!</definedName>
    <definedName name="JANYEAR3START" localSheetId="6">#REF!</definedName>
    <definedName name="JANYEAR3START">#REF!</definedName>
    <definedName name="JasonBerney">[4]IQGEO!$B$6</definedName>
    <definedName name="jkkjh" localSheetId="4" hidden="1">{"'Server Configuration'!$A$1:$DB$281"}</definedName>
    <definedName name="jkkjh" hidden="1">{"'Server Configuration'!$A$1:$DB$281"}</definedName>
    <definedName name="jobhist00" localSheetId="7">#REF!</definedName>
    <definedName name="jobhist00" localSheetId="8">#REF!</definedName>
    <definedName name="jobhist00" localSheetId="9">#REF!</definedName>
    <definedName name="jobhist00">#REF!</definedName>
    <definedName name="jobhist99" localSheetId="7">#REF!</definedName>
    <definedName name="jobhist99" localSheetId="8">#REF!</definedName>
    <definedName name="jobhist99" localSheetId="9">#REF!</definedName>
    <definedName name="jobhist99">#REF!</definedName>
    <definedName name="JOHN" localSheetId="4" hidden="1">{"'Server Configuration'!$A$1:$DB$281"}</definedName>
    <definedName name="JOHN" hidden="1">{"'Server Configuration'!$A$1:$DB$281"}</definedName>
    <definedName name="july_int_rate" localSheetId="7">'[19]July Int Rate for Amort'!$B$17</definedName>
    <definedName name="july_int_rate" localSheetId="8">'[19]July Int Rate for Amort'!$B$17</definedName>
    <definedName name="july_int_rate" localSheetId="9">'[19]July Int Rate for Amort'!$B$17</definedName>
    <definedName name="july_int_rate" localSheetId="10">'[19]July Int Rate for Amort'!$B$17</definedName>
    <definedName name="july_int_rate" localSheetId="11">'[19]July Int Rate for Amort'!$B$17</definedName>
    <definedName name="july_int_rate" localSheetId="5">'[19]July Int Rate for Amort'!$B$17</definedName>
    <definedName name="july_int_rate" localSheetId="6">'[19]July Int Rate for Amort'!$B$17</definedName>
    <definedName name="july_int_rate">'[20]July Int Rate for Amort'!$B$17</definedName>
    <definedName name="KBA" localSheetId="7">'[21]FEB GL'!#REF!</definedName>
    <definedName name="KBA" localSheetId="8">'[21]FEB GL'!#REF!</definedName>
    <definedName name="KBA" localSheetId="9">'[21]FEB GL'!#REF!</definedName>
    <definedName name="KBA" localSheetId="10">'[21]FEB GL'!#REF!</definedName>
    <definedName name="KBA">'[21]FEB GL'!#REF!</definedName>
    <definedName name="kbid" localSheetId="4" hidden="1">{"PRICE",#N/A,FALSE,"PRICE VAR"}</definedName>
    <definedName name="kbid" hidden="1">{"PRICE",#N/A,FALSE,"PRICE VAR"}</definedName>
    <definedName name="kdibm" localSheetId="4" hidden="1">{"REPORT100",#N/A,FALSE,"100 &amp; 110"}</definedName>
    <definedName name="kdibm" hidden="1">{"REPORT100",#N/A,FALSE,"100 &amp; 110"}</definedName>
    <definedName name="kevin" localSheetId="4" hidden="1">{#N/A,#N/A,FALSE,"Assessment";#N/A,#N/A,FALSE,"Staffing";#N/A,#N/A,FALSE,"Hires";#N/A,#N/A,FALSE,"Assumptions"}</definedName>
    <definedName name="kevin" hidden="1">{#N/A,#N/A,FALSE,"Assessment";#N/A,#N/A,FALSE,"Staffing";#N/A,#N/A,FALSE,"Hires";#N/A,#N/A,FALSE,"Assumptions"}</definedName>
    <definedName name="keygoal00" localSheetId="7">#REF!</definedName>
    <definedName name="keygoal00" localSheetId="8">#REF!</definedName>
    <definedName name="keygoal00" localSheetId="9">#REF!</definedName>
    <definedName name="keygoal00" localSheetId="10">#REF!</definedName>
    <definedName name="keygoal00">#REF!</definedName>
    <definedName name="kibmb" localSheetId="4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4" hidden="1">{"JOBCOGS",#N/A,FALSE,"JOB COGS";"JOBHIST",#N/A,FALSE,"JOB COGS"}</definedName>
    <definedName name="kiby\" hidden="1">{"JOBCOGS",#N/A,FALSE,"JOB COGS";"JOBHIST",#N/A,FALSE,"JOB COGS"}</definedName>
    <definedName name="kim" localSheetId="4" hidden="1">{"CONSOL",#N/A,FALSE,"CONSOLIDATION"}</definedName>
    <definedName name="kim" hidden="1">{"CONSOL",#N/A,FALSE,"CONSOLIDATION"}</definedName>
    <definedName name="kimb" localSheetId="4" hidden="1">{"EXCH HIST",#N/A,FALSE,"EXCHANGE VAR";"RATES",#N/A,FALSE,"EXCHANGE VAR"}</definedName>
    <definedName name="kimb" hidden="1">{"EXCH HIST",#N/A,FALSE,"EXCHANGE VAR";"RATES",#N/A,FALSE,"EXCHANGE VAR"}</definedName>
    <definedName name="kimbmb" localSheetId="4" hidden="1">{"MFGVAR",#N/A,FALSE,"MFG VAR"}</definedName>
    <definedName name="kimbmb" hidden="1">{"MFGVAR",#N/A,FALSE,"MFG VAR"}</definedName>
    <definedName name="KKK" localSheetId="4" hidden="1">{#N/A,#N/A,FALSE,"Assessment";#N/A,#N/A,FALSE,"Staffing";#N/A,#N/A,FALSE,"Hires";#N/A,#N/A,FALSE,"Assumptions"}</definedName>
    <definedName name="KKK" hidden="1">{#N/A,#N/A,FALSE,"Assessment";#N/A,#N/A,FALSE,"Staffing";#N/A,#N/A,FALSE,"Hires";#N/A,#N/A,FALSE,"Assumptions"}</definedName>
    <definedName name="kkkk" localSheetId="4" hidden="1">{#N/A,#N/A,FALSE,"Assessment";#N/A,#N/A,FALSE,"Staffing";#N/A,#N/A,FALSE,"Hires";#N/A,#N/A,FALSE,"Assumptions"}</definedName>
    <definedName name="kkkk" hidden="1">{#N/A,#N/A,FALSE,"Assessment";#N/A,#N/A,FALSE,"Staffing";#N/A,#N/A,FALSE,"Hires";#N/A,#N/A,FALSE,"Assumptions"}</definedName>
    <definedName name="kodak" localSheetId="4" hidden="1">{"REPORT100",#N/A,FALSE,"100 &amp; 110"}</definedName>
    <definedName name="kodak" hidden="1">{"REPORT100",#N/A,FALSE,"100 &amp; 110"}</definedName>
    <definedName name="kodakrjs" localSheetId="4" hidden="1">{"MFG COGS",#N/A,FALSE,"MFG COGS";"MFGCOGS ESTIMATES",#N/A,FALSE,"MFG COGS"}</definedName>
    <definedName name="kodakrjs" hidden="1">{"MFG COGS",#N/A,FALSE,"MFG COGS";"MFGCOGS ESTIMATES",#N/A,FALSE,"MFG COGS"}</definedName>
    <definedName name="Landscaping">'[3]BID COST BREAKDOWN'!#REF!</definedName>
    <definedName name="Length">'[9]Inputs Master'!$C$9</definedName>
    <definedName name="life00" localSheetId="7">#REF!</definedName>
    <definedName name="life00" localSheetId="8">#REF!</definedName>
    <definedName name="life00" localSheetId="9">#REF!</definedName>
    <definedName name="life00">#REF!</definedName>
    <definedName name="lifeallow99" localSheetId="7">#REF!</definedName>
    <definedName name="lifeallow99" localSheetId="8">#REF!</definedName>
    <definedName name="lifeallow99" localSheetId="9">#REF!</definedName>
    <definedName name="lifeallow99">#REF!</definedName>
    <definedName name="lifepremium00" localSheetId="7">#REF!</definedName>
    <definedName name="lifepremium00" localSheetId="8">#REF!</definedName>
    <definedName name="lifepremium00" localSheetId="9">#REF!</definedName>
    <definedName name="lifepremium00">#REF!</definedName>
    <definedName name="lifepremium99" localSheetId="7">#REF!</definedName>
    <definedName name="lifepremium99" localSheetId="8">#REF!</definedName>
    <definedName name="lifepremium99" localSheetId="9">#REF!</definedName>
    <definedName name="lifepremium99">#REF!</definedName>
    <definedName name="limcount" hidden="1">3</definedName>
    <definedName name="LINE_LOSS" localSheetId="7">#REF!</definedName>
    <definedName name="LINE_LOSS" localSheetId="8">#REF!</definedName>
    <definedName name="LINE_LOSS" localSheetId="9">#REF!</definedName>
    <definedName name="LINE_LOSS" localSheetId="10">#REF!</definedName>
    <definedName name="LINE_LOSS" localSheetId="11">#REF!</definedName>
    <definedName name="LINE_LOSS" localSheetId="5">#REF!</definedName>
    <definedName name="LINE_LOSS" localSheetId="6">#REF!</definedName>
    <definedName name="LINE_LOSS">#REF!</definedName>
    <definedName name="Listing" localSheetId="4" hidden="1">{"REPORT100",#N/A,FALSE,"100 &amp; 110"}</definedName>
    <definedName name="Listing" hidden="1">{"REPORT100",#N/A,FALSE,"100 &amp; 110"}</definedName>
    <definedName name="ltd00" localSheetId="7">#REF!</definedName>
    <definedName name="ltd00" localSheetId="8">#REF!</definedName>
    <definedName name="ltd00" localSheetId="9">#REF!</definedName>
    <definedName name="ltd00">#REF!</definedName>
    <definedName name="ltdallow99" localSheetId="7">#REF!</definedName>
    <definedName name="ltdallow99" localSheetId="8">#REF!</definedName>
    <definedName name="ltdallow99" localSheetId="9">#REF!</definedName>
    <definedName name="ltdallow99">#REF!</definedName>
    <definedName name="ltdpremium00" localSheetId="7">#REF!</definedName>
    <definedName name="ltdpremium00" localSheetId="8">#REF!</definedName>
    <definedName name="ltdpremium00" localSheetId="9">#REF!</definedName>
    <definedName name="ltdpremium00">#REF!</definedName>
    <definedName name="ltdpremium99" localSheetId="7">#REF!</definedName>
    <definedName name="ltdpremium99" localSheetId="8">#REF!</definedName>
    <definedName name="ltdpremium99" localSheetId="9">#REF!</definedName>
    <definedName name="ltdpremium99">#REF!</definedName>
    <definedName name="MACRO" localSheetId="7">#REF!</definedName>
    <definedName name="MACRO" localSheetId="8">#REF!</definedName>
    <definedName name="MACRO" localSheetId="9">#REF!</definedName>
    <definedName name="MACRO" localSheetId="10">#REF!</definedName>
    <definedName name="MACRO" localSheetId="11">#REF!</definedName>
    <definedName name="MACRO" localSheetId="5">#REF!</definedName>
    <definedName name="MACRO" localSheetId="6">#REF!</definedName>
    <definedName name="MACRO">#REF!</definedName>
    <definedName name="MARGINTRANS">#N/A</definedName>
    <definedName name="MARGTRANS">#N/A</definedName>
    <definedName name="Maria" localSheetId="4" hidden="1">{"CONSOL",#N/A,FALSE,"CONSOLIDATION"}</definedName>
    <definedName name="Maria" hidden="1">{"CONSOL",#N/A,FALSE,"CONSOLIDATION"}</definedName>
    <definedName name="medical00" localSheetId="7">#REF!</definedName>
    <definedName name="medical00" localSheetId="8">#REF!</definedName>
    <definedName name="medical00" localSheetId="9">#REF!</definedName>
    <definedName name="medical00" localSheetId="10">#REF!</definedName>
    <definedName name="medical00">#REF!</definedName>
    <definedName name="medicalallow00" localSheetId="7">#REF!</definedName>
    <definedName name="medicalallow00" localSheetId="8">#REF!</definedName>
    <definedName name="medicalallow00" localSheetId="9">#REF!</definedName>
    <definedName name="medicalallow00">#REF!</definedName>
    <definedName name="medicalallow99" localSheetId="7">#REF!</definedName>
    <definedName name="medicalallow99" localSheetId="8">#REF!</definedName>
    <definedName name="medicalallow99" localSheetId="9">#REF!</definedName>
    <definedName name="medicalallow99">#REF!</definedName>
    <definedName name="medicalpremium00" localSheetId="7">#REF!</definedName>
    <definedName name="medicalpremium00" localSheetId="8">#REF!</definedName>
    <definedName name="medicalpremium00" localSheetId="9">#REF!</definedName>
    <definedName name="medicalpremium00">#REF!</definedName>
    <definedName name="medicalpremium99" localSheetId="7">#REF!</definedName>
    <definedName name="medicalpremium99" localSheetId="8">#REF!</definedName>
    <definedName name="medicalpremium99" localSheetId="9">#REF!</definedName>
    <definedName name="medicalpremium99">#REF!</definedName>
    <definedName name="Metal_Fixture_Install">'[3]BID COST BREAKDOWN'!#REF!</definedName>
    <definedName name="MIN_CASH" localSheetId="7">#REF!</definedName>
    <definedName name="MIN_CASH" localSheetId="8">#REF!</definedName>
    <definedName name="MIN_CASH" localSheetId="9">#REF!</definedName>
    <definedName name="MIN_CASH" localSheetId="10">#REF!</definedName>
    <definedName name="MIN_CASH" localSheetId="11">#REF!</definedName>
    <definedName name="MIN_CASH" localSheetId="5">#REF!</definedName>
    <definedName name="MIN_CASH" localSheetId="6">#REF!</definedName>
    <definedName name="MIN_CASH">#REF!</definedName>
    <definedName name="mmm" localSheetId="4" hidden="1">{"REPORT101",#N/A,FALSE,"101 &amp; 111"}</definedName>
    <definedName name="mmm" hidden="1">{"REPORT101",#N/A,FALSE,"101 &amp; 111"}</definedName>
    <definedName name="MNTHDEGREE" localSheetId="8">#REF!</definedName>
    <definedName name="MNTHDEGREE">#REF!</definedName>
    <definedName name="MNTHDEL" localSheetId="8">#REF!</definedName>
    <definedName name="MNTHDEL">#REF!</definedName>
    <definedName name="MNTHTRANSPO" localSheetId="8">#REF!</definedName>
    <definedName name="MNTHTRANSPO">#REF!</definedName>
    <definedName name="MollyEarle">[4]IQGEO!$B$15</definedName>
    <definedName name="Month" localSheetId="7">'[22]Old Journal Page'!$D$6</definedName>
    <definedName name="Month" localSheetId="8">'[23]Old Journal Page'!$D$6</definedName>
    <definedName name="Month" localSheetId="9">'[22]Old Journal Page'!$D$6</definedName>
    <definedName name="Month" localSheetId="10">'[23]Old Journal Page'!$D$6</definedName>
    <definedName name="Month" localSheetId="11">'[24]Old Journal Page'!$D$6</definedName>
    <definedName name="Month" localSheetId="5">#REF!</definedName>
    <definedName name="Month" localSheetId="6">#REF!</definedName>
    <definedName name="Month" localSheetId="4">#REF!</definedName>
    <definedName name="Month">#REF!</definedName>
    <definedName name="MONTH_INPUT" localSheetId="7">#REF!</definedName>
    <definedName name="MONTH_INPUT" localSheetId="8">#REF!</definedName>
    <definedName name="MONTH_INPUT" localSheetId="9">#REF!</definedName>
    <definedName name="MONTH_INPUT" localSheetId="10">#REF!</definedName>
    <definedName name="MONTH_INPUT">#REF!</definedName>
    <definedName name="MONTH_TITLE" localSheetId="7">#REF!</definedName>
    <definedName name="MONTH_TITLE" localSheetId="8">#REF!</definedName>
    <definedName name="MONTH_TITLE" localSheetId="9">#REF!</definedName>
    <definedName name="MONTH_TITLE" localSheetId="10">#REF!</definedName>
    <definedName name="MONTH_TITLE">#REF!</definedName>
    <definedName name="NAME" localSheetId="5">#REF!</definedName>
    <definedName name="NAME" localSheetId="6">#REF!</definedName>
    <definedName name="NAME">#REF!</definedName>
    <definedName name="NAME1" localSheetId="7">#REF!</definedName>
    <definedName name="NAME1" localSheetId="8">#REF!</definedName>
    <definedName name="NAME1" localSheetId="9">#REF!</definedName>
    <definedName name="NAME1" localSheetId="10">#REF!</definedName>
    <definedName name="NAME1" localSheetId="11">#REF!</definedName>
    <definedName name="NAME1" localSheetId="5">#REF!</definedName>
    <definedName name="NAME1" localSheetId="6">#REF!</definedName>
    <definedName name="NAME1">#REF!</definedName>
    <definedName name="nbubenefits00" localSheetId="7">#REF!</definedName>
    <definedName name="nbubenefits00" localSheetId="8">#REF!</definedName>
    <definedName name="nbubenefits00" localSheetId="9">#REF!</definedName>
    <definedName name="nbubenefits00">#REF!</definedName>
    <definedName name="NBUbenefits03" localSheetId="7">#REF!</definedName>
    <definedName name="NBUbenefits03" localSheetId="8">#REF!</definedName>
    <definedName name="NBUbenefits03" localSheetId="9">#REF!</definedName>
    <definedName name="NBUbenefits03">#REF!</definedName>
    <definedName name="nbunames00" localSheetId="7">#REF!</definedName>
    <definedName name="nbunames00" localSheetId="8">#REF!</definedName>
    <definedName name="nbunames00" localSheetId="9">#REF!</definedName>
    <definedName name="nbunames00">#REF!</definedName>
    <definedName name="new_int" localSheetId="7">'[25]for PGA'!$I$11</definedName>
    <definedName name="new_int" localSheetId="8">'[25]for PGA'!$I$11</definedName>
    <definedName name="new_int" localSheetId="9">'[25]for PGA'!$I$11</definedName>
    <definedName name="new_int" localSheetId="10">'[25]for PGA'!$I$11</definedName>
    <definedName name="new_int" localSheetId="11">'[25]for PGA'!$I$11</definedName>
    <definedName name="new_int" localSheetId="5">'[25]for PGA'!$I$11</definedName>
    <definedName name="new_int" localSheetId="6">'[25]for PGA'!$I$11</definedName>
    <definedName name="new_int">'[26]for PGA'!$I$11</definedName>
    <definedName name="newnbu08" localSheetId="7">#REF!</definedName>
    <definedName name="newnbu08" localSheetId="8">#REF!</definedName>
    <definedName name="newnbu08" localSheetId="9">#REF!</definedName>
    <definedName name="newnbu08" localSheetId="10">#REF!</definedName>
    <definedName name="newnbu08">#REF!</definedName>
    <definedName name="NicoleNowlin">[4]IQGEO!$B$4</definedName>
    <definedName name="NIYR1" localSheetId="7">#REF!</definedName>
    <definedName name="NIYR1" localSheetId="8">#REF!</definedName>
    <definedName name="NIYR1" localSheetId="9">#REF!</definedName>
    <definedName name="NIYR1" localSheetId="10">#REF!</definedName>
    <definedName name="NIYR1" localSheetId="11">#REF!</definedName>
    <definedName name="NIYR1" localSheetId="5">#REF!</definedName>
    <definedName name="NIYR1" localSheetId="6">#REF!</definedName>
    <definedName name="NIYR1">#REF!</definedName>
    <definedName name="nobonus00" localSheetId="7">#REF!</definedName>
    <definedName name="nobonus00" localSheetId="8">#REF!</definedName>
    <definedName name="nobonus00" localSheetId="9">#REF!</definedName>
    <definedName name="nobonus00">#REF!</definedName>
    <definedName name="NORMALIZE" localSheetId="8">#REF!</definedName>
    <definedName name="NORMALIZE">#REF!</definedName>
    <definedName name="O_MCF" localSheetId="7">#REF!</definedName>
    <definedName name="O_MCF" localSheetId="8">#REF!</definedName>
    <definedName name="O_MCF" localSheetId="9">#REF!</definedName>
    <definedName name="O_MCF" localSheetId="10">#REF!</definedName>
    <definedName name="O_MCF" localSheetId="11">#REF!</definedName>
    <definedName name="O_MCF" localSheetId="5">#REF!</definedName>
    <definedName name="O_MCF" localSheetId="6">#REF!</definedName>
    <definedName name="O_MCF">#REF!</definedName>
    <definedName name="O_MCFSTART" localSheetId="7">#REF!</definedName>
    <definedName name="O_MCFSTART" localSheetId="8">#REF!</definedName>
    <definedName name="O_MCFSTART" localSheetId="9">#REF!</definedName>
    <definedName name="O_MCFSTART" localSheetId="10">#REF!</definedName>
    <definedName name="O_MCFSTART" localSheetId="11">#REF!</definedName>
    <definedName name="O_MCFSTART" localSheetId="5">#REF!</definedName>
    <definedName name="O_MCFSTART" localSheetId="6">#REF!</definedName>
    <definedName name="O_MCFSTART">#REF!</definedName>
    <definedName name="O_MINFLATION" localSheetId="7">#REF!</definedName>
    <definedName name="O_MINFLATION" localSheetId="8">#REF!</definedName>
    <definedName name="O_MINFLATION" localSheetId="9">#REF!</definedName>
    <definedName name="O_MINFLATION" localSheetId="10">#REF!</definedName>
    <definedName name="O_MINFLATION" localSheetId="11">#REF!</definedName>
    <definedName name="O_MINFLATION" localSheetId="5">#REF!</definedName>
    <definedName name="O_MINFLATION" localSheetId="6">#REF!</definedName>
    <definedName name="O_MINFLATION">#REF!</definedName>
    <definedName name="OH_HOME" localSheetId="7">[2]DEPR!#REF!</definedName>
    <definedName name="OH_HOME" localSheetId="8">[2]DEPR!#REF!</definedName>
    <definedName name="OH_HOME" localSheetId="9">[2]DEPR!#REF!</definedName>
    <definedName name="OH_HOME" localSheetId="10">[2]DEPR!#REF!</definedName>
    <definedName name="OH_HOME" localSheetId="11">[2]DEPR!#REF!</definedName>
    <definedName name="OH_HOME" localSheetId="5">[2]DEPR!#REF!</definedName>
    <definedName name="OH_HOME" localSheetId="6">[2]DEPR!#REF!</definedName>
    <definedName name="OH_HOME">[2]DEPR!#REF!</definedName>
    <definedName name="old_int" localSheetId="7">#REF!</definedName>
    <definedName name="old_int" localSheetId="8">#REF!</definedName>
    <definedName name="old_int" localSheetId="9">#REF!</definedName>
    <definedName name="old_int" localSheetId="10">#REF!</definedName>
    <definedName name="old_int" localSheetId="11">#REF!</definedName>
    <definedName name="old_int">#REF!</definedName>
    <definedName name="ONCOR_ELECTRIC_DELIVERY_COMPANY" localSheetId="7">#REF!</definedName>
    <definedName name="ONCOR_ELECTRIC_DELIVERY_COMPANY" localSheetId="8">#REF!</definedName>
    <definedName name="ONCOR_ELECTRIC_DELIVERY_COMPANY" localSheetId="9">#REF!</definedName>
    <definedName name="ONCOR_ELECTRIC_DELIVERY_COMPANY" localSheetId="5">#REF!</definedName>
    <definedName name="ONCOR_ELECTRIC_DELIVERY_COMPANY" localSheetId="6">#REF!</definedName>
    <definedName name="ONCOR_ELECTRIC_DELIVERY_COMPANY">#REF!</definedName>
    <definedName name="Option">'[9]Inputs Master'!$C$10</definedName>
    <definedName name="ORCOMM" localSheetId="7">#REF!</definedName>
    <definedName name="ORCOMM" localSheetId="8">#REF!</definedName>
    <definedName name="ORCOMM" localSheetId="9">#REF!</definedName>
    <definedName name="ORCOMM" localSheetId="10">#REF!</definedName>
    <definedName name="ORCOMM" localSheetId="11">#REF!</definedName>
    <definedName name="ORCOMM" localSheetId="5">#REF!</definedName>
    <definedName name="ORCOMM" localSheetId="6">#REF!</definedName>
    <definedName name="ORCOMM">#REF!</definedName>
    <definedName name="ORINTNEW" localSheetId="7">[27]Interest!$E$3</definedName>
    <definedName name="ORINTNEW" localSheetId="8">[27]Interest!$E$3</definedName>
    <definedName name="ORINTNEW" localSheetId="9">[27]Interest!$E$3</definedName>
    <definedName name="ORINTNEW" localSheetId="10">[27]Interest!$E$3</definedName>
    <definedName name="ORINTNEW" localSheetId="11">[27]Interest!$E$3</definedName>
    <definedName name="ORINTNEW" localSheetId="5">[28]Interest!$E$3</definedName>
    <definedName name="ORINTNEW" localSheetId="6">[27]Interest!$E$3</definedName>
    <definedName name="ORINTNEW">[29]Interest!$E$3</definedName>
    <definedName name="ORRES" localSheetId="7">#REF!</definedName>
    <definedName name="ORRES" localSheetId="8">#REF!</definedName>
    <definedName name="ORRES" localSheetId="9">#REF!</definedName>
    <definedName name="ORRES" localSheetId="10">#REF!</definedName>
    <definedName name="ORRES" localSheetId="11">#REF!</definedName>
    <definedName name="ORRES" localSheetId="5">#REF!</definedName>
    <definedName name="ORRES" localSheetId="6">#REF!</definedName>
    <definedName name="ORRES">#REF!</definedName>
    <definedName name="ORWACC">#REF!</definedName>
    <definedName name="OUT" localSheetId="7">'[30]Pipeline Charges:Summary'!$C$5:$AU$599</definedName>
    <definedName name="OUT" localSheetId="8">'[30]Pipeline Charges:Summary'!$C$5:$AU$599</definedName>
    <definedName name="OUT" localSheetId="9">'[30]Pipeline Charges:Summary'!$C$5:$AU$599</definedName>
    <definedName name="OUT" localSheetId="10">'[30]Pipeline Charges:Summary'!$C$5:$AU$599</definedName>
    <definedName name="OUT" localSheetId="11">'[30]Pipeline Charges:Summary'!$C$5:$AU$599</definedName>
    <definedName name="OUT" localSheetId="5">'[30]Pipeline Charges:Summary'!$C$5:$AU$599</definedName>
    <definedName name="OUT" localSheetId="6">'[30]Pipeline Charges:Summary'!$C$5:$AU$599</definedName>
    <definedName name="OUT">'[31]Pipeline Charges:Summary'!$C$5:$AU$599</definedName>
    <definedName name="overtime00" localSheetId="7">#REF!</definedName>
    <definedName name="overtime00" localSheetId="8">#REF!</definedName>
    <definedName name="overtime00" localSheetId="9">#REF!</definedName>
    <definedName name="overtime00" localSheetId="10">#REF!</definedName>
    <definedName name="overtime00">#REF!</definedName>
    <definedName name="page1">#N/A</definedName>
    <definedName name="page2">#N/A</definedName>
    <definedName name="page3">#N/A</definedName>
    <definedName name="page4">#N/A</definedName>
    <definedName name="PAGE5" localSheetId="8">#REF!</definedName>
    <definedName name="PAGE5" localSheetId="10">#REF!</definedName>
    <definedName name="PAGE5">#REF!</definedName>
    <definedName name="PAGE6" localSheetId="8">#REF!</definedName>
    <definedName name="PAGE6">#REF!</definedName>
    <definedName name="PAGEA" localSheetId="8">#REF!</definedName>
    <definedName name="PAGEA">#REF!</definedName>
    <definedName name="PAGEAINSERT">#N/A</definedName>
    <definedName name="PAGEB" localSheetId="8">#REF!</definedName>
    <definedName name="PAGEB">#REF!</definedName>
    <definedName name="PAGEC" localSheetId="8">#REF!</definedName>
    <definedName name="PAGEC">#REF!</definedName>
    <definedName name="PAGED" localSheetId="8">#REF!</definedName>
    <definedName name="PAGED">#REF!</definedName>
    <definedName name="PAGEE" localSheetId="8">#REF!</definedName>
    <definedName name="PAGEE">#REF!</definedName>
    <definedName name="PAGEETRANS" localSheetId="8">#REF!</definedName>
    <definedName name="PAGEETRANS">#REF!</definedName>
    <definedName name="Painting">'[3]BID COST BREAKDOWN'!#REF!</definedName>
    <definedName name="Pal_Workbook_GUID" hidden="1">"VX3CWJGNQX2CCGI81U4N2V76"</definedName>
    <definedName name="PAYROLL_TAXES">#N/A</definedName>
    <definedName name="percent40199" localSheetId="7">#REF!</definedName>
    <definedName name="percent40199" localSheetId="8">#REF!</definedName>
    <definedName name="percent40199" localSheetId="9">#REF!</definedName>
    <definedName name="percent40199" localSheetId="10">#REF!</definedName>
    <definedName name="percent40199">#REF!</definedName>
    <definedName name="percentedc99" localSheetId="7">#REF!</definedName>
    <definedName name="percentedc99" localSheetId="8">#REF!</definedName>
    <definedName name="percentedc99" localSheetId="9">#REF!</definedName>
    <definedName name="percentedc99">#REF!</definedName>
    <definedName name="Periodic_Upgrade_Costs">#REF!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lumbing">'[3]BID COST BREAKDOWN'!#REF!</definedName>
    <definedName name="Positions">#REF!</definedName>
    <definedName name="PREFBALCFSTART" localSheetId="7">#REF!</definedName>
    <definedName name="PREFBALCFSTART" localSheetId="8">#REF!</definedName>
    <definedName name="PREFBALCFSTART" localSheetId="9">#REF!</definedName>
    <definedName name="PREFBALCFSTART" localSheetId="10">#REF!</definedName>
    <definedName name="PREFBALCFSTART" localSheetId="11">#REF!</definedName>
    <definedName name="PREFBALCFSTART" localSheetId="5">#REF!</definedName>
    <definedName name="PREFBALCFSTART" localSheetId="6">#REF!</definedName>
    <definedName name="PREFBALCFSTART">#REF!</definedName>
    <definedName name="PRINT" localSheetId="8">#REF!</definedName>
    <definedName name="PRINT">#REF!</definedName>
    <definedName name="Print_177.3">#REF!</definedName>
    <definedName name="Print_177.4">#REF!</definedName>
    <definedName name="Print_177.5">#REF!</definedName>
    <definedName name="Print_177.6">#REF!</definedName>
    <definedName name="_xlnm.Print_Area" localSheetId="7">'151827'!$A$1:$J$227</definedName>
    <definedName name="_xlnm.Print_Area" localSheetId="8">'151829'!$A$1:$J$230</definedName>
    <definedName name="_xlnm.Print_Area" localSheetId="9">'151887'!$A$1:$I$227</definedName>
    <definedName name="_xlnm.Print_Area" localSheetId="10">'151889'!$A$1:$J$228</definedName>
    <definedName name="_xlnm.Print_Area" localSheetId="11">'151914'!$A$1:$I$228</definedName>
    <definedName name="_xlnm.Print_Area" localSheetId="5">'232050'!$A$1:$I$85</definedName>
    <definedName name="_xlnm.Print_Area" localSheetId="6">'232075'!$A$1:$I$132</definedName>
    <definedName name="_xlnm.Print_Area" localSheetId="1">'Calc of % of Margin Increments'!$A$1:$AQ$90</definedName>
    <definedName name="_xlnm.Print_Area" localSheetId="0">'Calc of Avg Cent Increments'!$A$1:$W$88</definedName>
    <definedName name="_xlnm.Print_Area" localSheetId="4">'Deferral Summary'!$A$1:$N$65</definedName>
    <definedName name="_xlnm.Print_Area" localSheetId="3">'Effct of Avg Bill'!$A$1:$AH$103</definedName>
    <definedName name="_xlnm.Print_Titles" localSheetId="8">#REF!</definedName>
    <definedName name="_xlnm.Print_Titles" localSheetId="10">#REF!</definedName>
    <definedName name="_xlnm.Print_Titles" localSheetId="11">#REF!</definedName>
    <definedName name="_xlnm.Print_Titles" localSheetId="1">'Calc of % of Margin Increments'!$A:$M</definedName>
    <definedName name="_xlnm.Print_Titles" localSheetId="0">'Calc of Avg Cent Increments'!$A:$E</definedName>
    <definedName name="_xlnm.Print_Titles" localSheetId="3">'Effct of Avg Bill'!$A:$M</definedName>
    <definedName name="_xlnm.Print_Titles">#REF!</definedName>
    <definedName name="print55" localSheetId="7">#REF!</definedName>
    <definedName name="print55" localSheetId="8">#REF!</definedName>
    <definedName name="print55" localSheetId="9">#REF!</definedName>
    <definedName name="print55" localSheetId="10">#REF!</definedName>
    <definedName name="print55" localSheetId="11">#REF!</definedName>
    <definedName name="print55" localSheetId="5">#REF!</definedName>
    <definedName name="print55" localSheetId="6">#REF!</definedName>
    <definedName name="print55" localSheetId="4">#REF!</definedName>
    <definedName name="print55">#REF!</definedName>
    <definedName name="PRINTMONTH" localSheetId="8">#REF!</definedName>
    <definedName name="PRINTMONTH">#REF!</definedName>
    <definedName name="PROJECTION" localSheetId="8">[32]MAIN!#REF!</definedName>
    <definedName name="PROJECTION">[32]MAIN!#REF!</definedName>
    <definedName name="QATester">'[18]TGG Resources - H1'!#REF!</definedName>
    <definedName name="QRYCOUNT" hidden="1">0</definedName>
    <definedName name="QRYNEXT" hidden="1">1</definedName>
    <definedName name="QRYWKS1" hidden="1">0</definedName>
    <definedName name="QTR">'[33]QTR TITLE'!$A$52</definedName>
    <definedName name="R8..">#REF!</definedName>
    <definedName name="rangeE">[34]Exempt!#REF!</definedName>
    <definedName name="rangeEAVG">[34]Exempt!#REF!</definedName>
    <definedName name="rangeEYTD">[34]Exempt!#REF!</definedName>
    <definedName name="rangeO" localSheetId="7">#REF!</definedName>
    <definedName name="rangeO" localSheetId="8">#REF!</definedName>
    <definedName name="rangeO" localSheetId="9">#REF!</definedName>
    <definedName name="rangeO" localSheetId="10">#REF!</definedName>
    <definedName name="rangeO">#REF!</definedName>
    <definedName name="rangeOAVG" localSheetId="7">#REF!</definedName>
    <definedName name="rangeOAVG" localSheetId="8">#REF!</definedName>
    <definedName name="rangeOAVG" localSheetId="9">#REF!</definedName>
    <definedName name="rangeOAVG">#REF!</definedName>
    <definedName name="rangeOUAVG" localSheetId="7">[34]Office!#REF!</definedName>
    <definedName name="rangeOUAVG" localSheetId="8">[34]Office!#REF!</definedName>
    <definedName name="rangeOUAVG" localSheetId="9">[34]Office!#REF!</definedName>
    <definedName name="rangeOUAVG">[34]Office!#REF!</definedName>
    <definedName name="rangeOUYTD" localSheetId="7">[34]Office!#REF!</definedName>
    <definedName name="rangeOUYTD" localSheetId="8">[34]Office!#REF!</definedName>
    <definedName name="rangeOUYTD" localSheetId="9">[34]Office!#REF!</definedName>
    <definedName name="rangeOUYTD">[34]Office!#REF!</definedName>
    <definedName name="rangeOYTD" localSheetId="7">#REF!</definedName>
    <definedName name="rangeOYTD" localSheetId="8">#REF!</definedName>
    <definedName name="rangeOYTD" localSheetId="9">#REF!</definedName>
    <definedName name="rangeOYTD" localSheetId="10">#REF!</definedName>
    <definedName name="rangeOYTD">#REF!</definedName>
    <definedName name="rangeUF" localSheetId="7">[34]Field!#REF!</definedName>
    <definedName name="rangeUF" localSheetId="8">[34]Field!#REF!</definedName>
    <definedName name="rangeUF" localSheetId="9">[34]Field!#REF!</definedName>
    <definedName name="rangeUF" localSheetId="10">[34]Field!#REF!</definedName>
    <definedName name="rangeUF">[34]Field!#REF!</definedName>
    <definedName name="rangeUFAVG" localSheetId="7">[34]Field!#REF!</definedName>
    <definedName name="rangeUFAVG" localSheetId="8">[34]Field!#REF!</definedName>
    <definedName name="rangeUFAVG" localSheetId="9">[34]Field!#REF!</definedName>
    <definedName name="rangeUFAVG">[34]Field!#REF!</definedName>
    <definedName name="rangeUFYTD">[34]Field!#REF!</definedName>
    <definedName name="rangeUO">[34]Office!#REF!</definedName>
    <definedName name="Refrigeration">'[3]BID COST BREAKDOWN'!#REF!</definedName>
    <definedName name="RESERVE_REPORT" localSheetId="7">[35]UTILPLNT!#REF!</definedName>
    <definedName name="RESERVE_REPORT" localSheetId="8">[35]UTILPLNT!#REF!</definedName>
    <definedName name="RESERVE_REPORT" localSheetId="9">[35]UTILPLNT!#REF!</definedName>
    <definedName name="RESERVE_REPORT" localSheetId="10">[35]UTILPLNT!#REF!</definedName>
    <definedName name="RESERVE_REPORT" localSheetId="11">[35]UTILPLNT!#REF!</definedName>
    <definedName name="RESERVE_REPORT" localSheetId="5">[35]UTILPLNT!#REF!</definedName>
    <definedName name="RESERVE_REPORT" localSheetId="6">[35]UTILPLNT!#REF!</definedName>
    <definedName name="RESERVE_REPORT">[36]UTILPLNT!#REF!</definedName>
    <definedName name="Resinous_Flooring">'[3]BID COST BREAKDOWN'!#REF!</definedName>
    <definedName name="resources" localSheetId="4" hidden="1">{#N/A,#N/A,FALSE,"Assessment";#N/A,#N/A,FALSE,"Staffing";#N/A,#N/A,FALSE,"Hires";#N/A,#N/A,FALSE,"Assumptions"}</definedName>
    <definedName name="resources" hidden="1">{#N/A,#N/A,FALSE,"Assessment";#N/A,#N/A,FALSE,"Staffing";#N/A,#N/A,FALSE,"Hires";#N/A,#N/A,FALSE,"Assumptions"}</definedName>
    <definedName name="REV_PC_OR" localSheetId="7">#REF!</definedName>
    <definedName name="REV_PC_OR" localSheetId="8">#REF!</definedName>
    <definedName name="REV_PC_OR" localSheetId="9">#REF!</definedName>
    <definedName name="REV_PC_OR" localSheetId="10">#REF!</definedName>
    <definedName name="REV_PC_OR" localSheetId="11">#REF!</definedName>
    <definedName name="REV_PC_OR" localSheetId="5">#REF!</definedName>
    <definedName name="REV_PC_OR" localSheetId="6">#REF!</definedName>
    <definedName name="REV_PC_OR">#REF!</definedName>
    <definedName name="REV_PC_SYS" localSheetId="7">#REF!</definedName>
    <definedName name="REV_PC_SYS" localSheetId="8">#REF!</definedName>
    <definedName name="REV_PC_SYS" localSheetId="9">#REF!</definedName>
    <definedName name="REV_PC_SYS" localSheetId="10">#REF!</definedName>
    <definedName name="REV_PC_SYS" localSheetId="11">#REF!</definedName>
    <definedName name="REV_PC_SYS" localSheetId="5">#REF!</definedName>
    <definedName name="REV_PC_SYS" localSheetId="6">#REF!</definedName>
    <definedName name="REV_PC_SYS">#REF!</definedName>
    <definedName name="REV_PC_WA" localSheetId="7">#REF!</definedName>
    <definedName name="REV_PC_WA" localSheetId="8">#REF!</definedName>
    <definedName name="REV_PC_WA" localSheetId="9">#REF!</definedName>
    <definedName name="REV_PC_WA" localSheetId="10">#REF!</definedName>
    <definedName name="REV_PC_WA" localSheetId="11">#REF!</definedName>
    <definedName name="REV_PC_WA" localSheetId="5">#REF!</definedName>
    <definedName name="REV_PC_WA" localSheetId="6">#REF!</definedName>
    <definedName name="REV_PC_WA">#REF!</definedName>
    <definedName name="RevM" localSheetId="7">#REF!</definedName>
    <definedName name="RevM" localSheetId="8">#REF!</definedName>
    <definedName name="RevM" localSheetId="9">#REF!</definedName>
    <definedName name="RevM" localSheetId="10">#REF!</definedName>
    <definedName name="RevM" localSheetId="11">#REF!</definedName>
    <definedName name="RevM" localSheetId="5">#REF!</definedName>
    <definedName name="RevM" localSheetId="6">#REF!</definedName>
    <definedName name="RevM" localSheetId="4">#REF!</definedName>
    <definedName name="RevM">#REF!</definedName>
    <definedName name="revrate" localSheetId="7">#REF!</definedName>
    <definedName name="revrate" localSheetId="8">#REF!</definedName>
    <definedName name="revrate" localSheetId="9">#REF!</definedName>
    <definedName name="revrate" localSheetId="10">#REF!</definedName>
    <definedName name="revrate" localSheetId="11">#REF!</definedName>
    <definedName name="revrate" localSheetId="5">#REF!</definedName>
    <definedName name="revrate" localSheetId="6">#REF!</definedName>
    <definedName name="revrate">#REF!</definedName>
    <definedName name="REVREL" localSheetId="7">#REF!</definedName>
    <definedName name="REVREL" localSheetId="8">#REF!</definedName>
    <definedName name="REVREL" localSheetId="9">#REF!</definedName>
    <definedName name="REVREL" localSheetId="10">#REF!</definedName>
    <definedName name="REVREL" localSheetId="11">#REF!</definedName>
    <definedName name="REVREL" localSheetId="5">#REF!</definedName>
    <definedName name="REVREL" localSheetId="6">#REF!</definedName>
    <definedName name="REVREL">#REF!</definedName>
    <definedName name="revsens" localSheetId="7">[37]Inputs!$B$24</definedName>
    <definedName name="revsens" localSheetId="8">[37]Inputs!$B$24</definedName>
    <definedName name="revsens" localSheetId="9">[37]Inputs!$B$24</definedName>
    <definedName name="revsens" localSheetId="10">[37]Inputs!$B$24</definedName>
    <definedName name="revsens" localSheetId="11">[37]Inputs!$B$24</definedName>
    <definedName name="revsens" localSheetId="5">[37]Inputs!$B$24</definedName>
    <definedName name="revsens" localSheetId="6">[37]Inputs!$B$24</definedName>
    <definedName name="revsens" localSheetId="4">[38]Inputs!$B$24</definedName>
    <definedName name="revsens" localSheetId="3">[12]Inputs!$B$30</definedName>
    <definedName name="revsens">[13]Inputs!$B$30</definedName>
    <definedName name="REVTRANS" localSheetId="7">#REF!</definedName>
    <definedName name="REVTRANS" localSheetId="8">#REF!</definedName>
    <definedName name="REVTRANS" localSheetId="9">#REF!</definedName>
    <definedName name="REVTRANS" localSheetId="10">#REF!</definedName>
    <definedName name="REVTRANS">#REF!</definedName>
    <definedName name="RevY" localSheetId="7">#REF!</definedName>
    <definedName name="RevY" localSheetId="8">#REF!</definedName>
    <definedName name="RevY" localSheetId="9">#REF!</definedName>
    <definedName name="RevY" localSheetId="10">#REF!</definedName>
    <definedName name="RevY" localSheetId="11">#REF!</definedName>
    <definedName name="RevY" localSheetId="5">#REF!</definedName>
    <definedName name="RevY" localSheetId="6">#REF!</definedName>
    <definedName name="RevY" localSheetId="4">#REF!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1">#N/A</definedName>
    <definedName name="ror_2">#N/A</definedName>
    <definedName name="Rough_Carpentry">'[3]BID COST BREAKDOWN'!#REF!</definedName>
    <definedName name="RPTCOUNT" hidden="1">1</definedName>
    <definedName name="RPTDATACELL1" hidden="1">#REF!</definedName>
    <definedName name="RptDate" localSheetId="7">#REF!</definedName>
    <definedName name="RptDate" localSheetId="8">#REF!</definedName>
    <definedName name="RptDate" localSheetId="9">#REF!</definedName>
    <definedName name="RptDate" localSheetId="10">#REF!</definedName>
    <definedName name="RptDate" localSheetId="11">#REF!</definedName>
    <definedName name="RptDate" localSheetId="5">#REF!</definedName>
    <definedName name="RptDate" localSheetId="6">#REF!</definedName>
    <definedName name="RptDate" localSheetId="4">#REF!</definedName>
    <definedName name="RptDate">#REF!</definedName>
    <definedName name="RPTID" hidden="1">0</definedName>
    <definedName name="RPTNEXT" hidden="1">2</definedName>
    <definedName name="RPTQRY1" hidden="1">1</definedName>
    <definedName name="RPTWKS1" hidden="1">#REF!</definedName>
    <definedName name="rrrrrr" localSheetId="4" hidden="1">{"MFGVAR",#N/A,FALSE,"MFG VAR"}</definedName>
    <definedName name="rrrrrr" hidden="1">{"MFGVAR",#N/A,FALSE,"MFG VAR"}</definedName>
    <definedName name="RyanDalton">[4]IQGEO!$B$12</definedName>
    <definedName name="sa" localSheetId="4" hidden="1">{#N/A,#N/A,FALSE,"Assessment";#N/A,#N/A,FALSE,"Staffing";#N/A,#N/A,FALSE,"Hires";#N/A,#N/A,FALSE,"Assumptions"}</definedName>
    <definedName name="sa" hidden="1">{#N/A,#N/A,FALSE,"Assessment";#N/A,#N/A,FALSE,"Staffing";#N/A,#N/A,FALSE,"Hires";#N/A,#N/A,FALSE,"Assumptions"}</definedName>
    <definedName name="SCD">[14]Input!$B$12</definedName>
    <definedName name="ScottOlafsen">[4]IQGEO!$B$13</definedName>
    <definedName name="SECACCUMCOMPRINCOME" localSheetId="7">'[39]LAW RETAIN EARN'!$B$23</definedName>
    <definedName name="SECACCUMCOMPRINCOME" localSheetId="8">'[39]LAW RETAIN EARN'!$B$23</definedName>
    <definedName name="SECACCUMCOMPRINCOME" localSheetId="9">'[39]LAW RETAIN EARN'!$B$23</definedName>
    <definedName name="SECACCUMCOMPRINCOME" localSheetId="10">'[39]LAW RETAIN EARN'!$B$23</definedName>
    <definedName name="SECACCUMCOMPRINCOME" localSheetId="11">'[39]LAW RETAIN EARN'!$B$23</definedName>
    <definedName name="SECACCUMCOMPRINCOME" localSheetId="5">'[39]LAW RETAIN EARN'!$B$23</definedName>
    <definedName name="SECACCUMCOMPRINCOME" localSheetId="6">'[39]LAW RETAIN EARN'!$B$23</definedName>
    <definedName name="SECACCUMCOMPRINCOME">'[40]LAW RETAIN EARN'!$B$23</definedName>
    <definedName name="SECAIRCRAFT" localSheetId="7">'[39]LAW OTHER INV'!$B$45</definedName>
    <definedName name="SECAIRCRAFT" localSheetId="8">'[39]LAW OTHER INV'!$B$45</definedName>
    <definedName name="SECAIRCRAFT" localSheetId="9">'[39]LAW OTHER INV'!$B$45</definedName>
    <definedName name="SECAIRCRAFT" localSheetId="10">'[39]LAW OTHER INV'!$B$45</definedName>
    <definedName name="SECAIRCRAFT" localSheetId="11">'[39]LAW OTHER INV'!$B$45</definedName>
    <definedName name="SECAIRCRAFT" localSheetId="5">'[39]LAW OTHER INV'!$B$45</definedName>
    <definedName name="SECAIRCRAFT" localSheetId="6">'[39]LAW OTHER INV'!$B$45</definedName>
    <definedName name="SECAIRCRAFT">'[40]LAW OTHER INV'!$B$45</definedName>
    <definedName name="SECARTRADE1" localSheetId="7">'[39]LAW CASH'!$B$96</definedName>
    <definedName name="SECARTRADE1" localSheetId="8">'[39]LAW CASH'!$B$96</definedName>
    <definedName name="SECARTRADE1" localSheetId="9">'[39]LAW CASH'!$B$96</definedName>
    <definedName name="SECARTRADE1" localSheetId="10">'[39]LAW CASH'!$B$96</definedName>
    <definedName name="SECARTRADE1" localSheetId="11">'[39]LAW CASH'!$B$96</definedName>
    <definedName name="SECARTRADE1" localSheetId="5">'[39]LAW CASH'!$B$96</definedName>
    <definedName name="SECARTRADE1" localSheetId="6">'[39]LAW CASH'!$B$96</definedName>
    <definedName name="SECARTRADE1">'[40]LAW CASH'!$B$96</definedName>
    <definedName name="SECARTRADE2" localSheetId="7">'[39]LAW ACCT REC'!$B$42</definedName>
    <definedName name="SECARTRADE2" localSheetId="8">'[39]LAW ACCT REC'!$B$42</definedName>
    <definedName name="SECARTRADE2" localSheetId="9">'[39]LAW ACCT REC'!$B$42</definedName>
    <definedName name="SECARTRADE2" localSheetId="10">'[39]LAW ACCT REC'!$B$42</definedName>
    <definedName name="SECARTRADE2" localSheetId="11">'[39]LAW ACCT REC'!$B$42</definedName>
    <definedName name="SECARTRADE2" localSheetId="5">'[39]LAW ACCT REC'!$B$42</definedName>
    <definedName name="SECARTRADE2" localSheetId="6">'[39]LAW ACCT REC'!$B$42</definedName>
    <definedName name="SECARTRADE2">'[40]LAW ACCT REC'!$B$42</definedName>
    <definedName name="SECCUSTADV" localSheetId="7">'[39]LAW OTHER LIABILITIES'!$B$76</definedName>
    <definedName name="SECCUSTADV" localSheetId="8">'[39]LAW OTHER LIABILITIES'!$B$76</definedName>
    <definedName name="SECCUSTADV" localSheetId="9">'[39]LAW OTHER LIABILITIES'!$B$76</definedName>
    <definedName name="SECCUSTADV" localSheetId="10">'[39]LAW OTHER LIABILITIES'!$B$76</definedName>
    <definedName name="SECCUSTADV" localSheetId="11">'[39]LAW OTHER LIABILITIES'!$B$76</definedName>
    <definedName name="SECCUSTADV" localSheetId="5">'[39]LAW OTHER LIABILITIES'!$B$76</definedName>
    <definedName name="SECCUSTADV" localSheetId="6">'[39]LAW OTHER LIABILITIES'!$B$76</definedName>
    <definedName name="SECCUSTADV">'[40]LAW OTHER LIABILITIES'!$B$76</definedName>
    <definedName name="SECDEFINCTAXLIAB" localSheetId="7">'[39]LAW DEF TAXES INV CREDIT'!$B$34</definedName>
    <definedName name="SECDEFINCTAXLIAB" localSheetId="8">'[39]LAW DEF TAXES INV CREDIT'!$B$34</definedName>
    <definedName name="SECDEFINCTAXLIAB" localSheetId="9">'[39]LAW DEF TAXES INV CREDIT'!$B$34</definedName>
    <definedName name="SECDEFINCTAXLIAB" localSheetId="10">'[39]LAW DEF TAXES INV CREDIT'!$B$34</definedName>
    <definedName name="SECDEFINCTAXLIAB" localSheetId="11">'[39]LAW DEF TAXES INV CREDIT'!$B$34</definedName>
    <definedName name="SECDEFINCTAXLIAB" localSheetId="5">'[39]LAW DEF TAXES INV CREDIT'!$B$34</definedName>
    <definedName name="SECDEFINCTAXLIAB" localSheetId="6">'[39]LAW DEF TAXES INV CREDIT'!$B$34</definedName>
    <definedName name="SECDEFINCTAXLIAB">'[40]LAW DEF TAXES INV CREDIT'!$B$34</definedName>
    <definedName name="SECINCTAXASSET" localSheetId="7">'[39]LAW DEF REG AND OTHER'!$B$159</definedName>
    <definedName name="SECINCTAXASSET" localSheetId="8">'[39]LAW DEF REG AND OTHER'!$B$159</definedName>
    <definedName name="SECINCTAXASSET" localSheetId="9">'[39]LAW DEF REG AND OTHER'!$B$159</definedName>
    <definedName name="SECINCTAXASSET" localSheetId="10">'[39]LAW DEF REG AND OTHER'!$B$159</definedName>
    <definedName name="SECINCTAXASSET" localSheetId="11">'[39]LAW DEF REG AND OTHER'!$B$159</definedName>
    <definedName name="SECINCTAXASSET" localSheetId="5">'[39]LAW DEF REG AND OTHER'!$B$159</definedName>
    <definedName name="SECINCTAXASSET" localSheetId="6">'[39]LAW DEF REG AND OTHER'!$B$159</definedName>
    <definedName name="SECINCTAXASSET">'[40]LAW DEF REG AND OTHER'!$B$159</definedName>
    <definedName name="SECINTRECNNGFC" localSheetId="7">'[39]LAW INV IN SUBS'!$B$26</definedName>
    <definedName name="SECINTRECNNGFC" localSheetId="8">'[39]LAW INV IN SUBS'!$B$26</definedName>
    <definedName name="SECINTRECNNGFC" localSheetId="9">'[39]LAW INV IN SUBS'!$B$26</definedName>
    <definedName name="SECINTRECNNGFC" localSheetId="10">'[39]LAW INV IN SUBS'!$B$26</definedName>
    <definedName name="SECINTRECNNGFC" localSheetId="11">'[39]LAW INV IN SUBS'!$B$26</definedName>
    <definedName name="SECINTRECNNGFC" localSheetId="5">'[39]LAW INV IN SUBS'!$B$26</definedName>
    <definedName name="SECINTRECNNGFC" localSheetId="6">'[39]LAW INV IN SUBS'!$B$26</definedName>
    <definedName name="SECINTRECNNGFC">'[40]LAW INV IN SUBS'!$B$26</definedName>
    <definedName name="SECINTRECNWENERGY" localSheetId="7">'[39]LAW INV IN SUBS'!$B$24</definedName>
    <definedName name="SECINTRECNWENERGY" localSheetId="8">'[39]LAW INV IN SUBS'!$B$24</definedName>
    <definedName name="SECINTRECNWENERGY" localSheetId="9">'[39]LAW INV IN SUBS'!$B$24</definedName>
    <definedName name="SECINTRECNWENERGY" localSheetId="10">'[39]LAW INV IN SUBS'!$B$24</definedName>
    <definedName name="SECINTRECNWENERGY" localSheetId="11">'[39]LAW INV IN SUBS'!$B$24</definedName>
    <definedName name="SECINTRECNWENERGY" localSheetId="5">'[39]LAW INV IN SUBS'!$B$24</definedName>
    <definedName name="SECINTRECNWENERGY" localSheetId="6">'[39]LAW INV IN SUBS'!$B$24</definedName>
    <definedName name="SECINTRECNWENERGY">'[40]LAW INV IN SUBS'!$B$24</definedName>
    <definedName name="SECINVESTLIFEINS" localSheetId="7">'[39]LAW DEF REG AND OTHER'!$B$165</definedName>
    <definedName name="SECINVESTLIFEINS" localSheetId="8">'[39]LAW DEF REG AND OTHER'!$B$165</definedName>
    <definedName name="SECINVESTLIFEINS" localSheetId="9">'[39]LAW DEF REG AND OTHER'!$B$165</definedName>
    <definedName name="SECINVESTLIFEINS" localSheetId="10">'[39]LAW DEF REG AND OTHER'!$B$165</definedName>
    <definedName name="SECINVESTLIFEINS" localSheetId="11">'[39]LAW DEF REG AND OTHER'!$B$165</definedName>
    <definedName name="SECINVESTLIFEINS" localSheetId="5">'[39]LAW DEF REG AND OTHER'!$B$165</definedName>
    <definedName name="SECINVESTLIFEINS" localSheetId="6">'[39]LAW DEF REG AND OTHER'!$B$165</definedName>
    <definedName name="SECINVESTLIFEINS">'[40]LAW DEF REG AND OTHER'!$B$165</definedName>
    <definedName name="SECLOSSDERIV" localSheetId="7">'[39]LAW DEF REG AND OTHER'!$B$161</definedName>
    <definedName name="SECLOSSDERIV" localSheetId="8">'[39]LAW DEF REG AND OTHER'!$B$161</definedName>
    <definedName name="SECLOSSDERIV" localSheetId="9">'[39]LAW DEF REG AND OTHER'!$B$161</definedName>
    <definedName name="SECLOSSDERIV" localSheetId="10">'[39]LAW DEF REG AND OTHER'!$B$161</definedName>
    <definedName name="SECLOSSDERIV" localSheetId="11">'[39]LAW DEF REG AND OTHER'!$B$161</definedName>
    <definedName name="SECLOSSDERIV" localSheetId="5">'[39]LAW DEF REG AND OTHER'!$B$161</definedName>
    <definedName name="SECLOSSDERIV" localSheetId="6">'[39]LAW DEF REG AND OTHER'!$B$161</definedName>
    <definedName name="SECLOSSDERIV">'[40]LAW DEF REG AND OTHER'!$B$161</definedName>
    <definedName name="SECNNGFC" localSheetId="7">'[39]LAW INV IN SUBS'!$B$22</definedName>
    <definedName name="SECNNGFC" localSheetId="8">'[39]LAW INV IN SUBS'!$B$22</definedName>
    <definedName name="SECNNGFC" localSheetId="9">'[39]LAW INV IN SUBS'!$B$22</definedName>
    <definedName name="SECNNGFC" localSheetId="10">'[39]LAW INV IN SUBS'!$B$22</definedName>
    <definedName name="SECNNGFC" localSheetId="11">'[39]LAW INV IN SUBS'!$B$22</definedName>
    <definedName name="SECNNGFC" localSheetId="5">'[39]LAW INV IN SUBS'!$B$22</definedName>
    <definedName name="SECNNGFC" localSheetId="6">'[39]LAW INV IN SUBS'!$B$22</definedName>
    <definedName name="SECNNGFC">'[40]LAW INV IN SUBS'!$B$22</definedName>
    <definedName name="SECNONUTDEPR" localSheetId="7">'[39]LAW NON UTIL PROP'!$B$44</definedName>
    <definedName name="SECNONUTDEPR" localSheetId="8">'[39]LAW NON UTIL PROP'!$B$44</definedName>
    <definedName name="SECNONUTDEPR" localSheetId="9">'[39]LAW NON UTIL PROP'!$B$44</definedName>
    <definedName name="SECNONUTDEPR" localSheetId="10">'[39]LAW NON UTIL PROP'!$B$44</definedName>
    <definedName name="SECNONUTDEPR" localSheetId="11">'[39]LAW NON UTIL PROP'!$B$44</definedName>
    <definedName name="SECNONUTDEPR" localSheetId="5">'[39]LAW NON UTIL PROP'!$B$44</definedName>
    <definedName name="SECNONUTDEPR" localSheetId="6">'[39]LAW NON UTIL PROP'!$B$44</definedName>
    <definedName name="SECNONUTDEPR">'[40]LAW NON UTIL PROP'!$B$44</definedName>
    <definedName name="SECNONUTILPROP" localSheetId="7">'[39]LAW NON UTIL PROP'!$B$42</definedName>
    <definedName name="SECNONUTILPROP" localSheetId="8">'[39]LAW NON UTIL PROP'!$B$42</definedName>
    <definedName name="SECNONUTILPROP" localSheetId="9">'[39]LAW NON UTIL PROP'!$B$42</definedName>
    <definedName name="SECNONUTILPROP" localSheetId="10">'[39]LAW NON UTIL PROP'!$B$42</definedName>
    <definedName name="SECNONUTILPROP" localSheetId="11">'[39]LAW NON UTIL PROP'!$B$42</definedName>
    <definedName name="SECNONUTILPROP" localSheetId="5">'[39]LAW NON UTIL PROP'!$B$42</definedName>
    <definedName name="SECNONUTILPROP" localSheetId="6">'[39]LAW NON UTIL PROP'!$B$42</definedName>
    <definedName name="SECNONUTILPROP">'[40]LAW NON UTIL PROP'!$B$42</definedName>
    <definedName name="SECNWENERGY" localSheetId="7">'[39]LAW INV IN SUBS'!$B$20</definedName>
    <definedName name="SECNWENERGY" localSheetId="8">'[39]LAW INV IN SUBS'!$B$20</definedName>
    <definedName name="SECNWENERGY" localSheetId="9">'[39]LAW INV IN SUBS'!$B$20</definedName>
    <definedName name="SECNWENERGY" localSheetId="10">'[39]LAW INV IN SUBS'!$B$20</definedName>
    <definedName name="SECNWENERGY" localSheetId="11">'[39]LAW INV IN SUBS'!$B$20</definedName>
    <definedName name="SECNWENERGY" localSheetId="5">'[39]LAW INV IN SUBS'!$B$20</definedName>
    <definedName name="SECNWENERGY" localSheetId="6">'[39]LAW INV IN SUBS'!$B$20</definedName>
    <definedName name="SECNWENERGY">'[40]LAW INV IN SUBS'!$B$20</definedName>
    <definedName name="SECONDYEAR" localSheetId="7">#REF!</definedName>
    <definedName name="SECONDYEAR" localSheetId="8">#REF!</definedName>
    <definedName name="SECONDYEAR" localSheetId="9">#REF!</definedName>
    <definedName name="SECONDYEAR" localSheetId="10">#REF!</definedName>
    <definedName name="SECONDYEAR" localSheetId="11">#REF!</definedName>
    <definedName name="SECONDYEAR" localSheetId="5">#REF!</definedName>
    <definedName name="SECONDYEAR" localSheetId="6">#REF!</definedName>
    <definedName name="SECONDYEAR">#REF!</definedName>
    <definedName name="SECOTHCURRLIAB" localSheetId="7">'[39]LAW CUST DEPOS'!$B$17</definedName>
    <definedName name="SECOTHCURRLIAB" localSheetId="8">'[39]LAW CUST DEPOS'!$B$17</definedName>
    <definedName name="SECOTHCURRLIAB" localSheetId="9">'[39]LAW CUST DEPOS'!$B$17</definedName>
    <definedName name="SECOTHCURRLIAB" localSheetId="10">'[39]LAW CUST DEPOS'!$B$17</definedName>
    <definedName name="SECOTHCURRLIAB" localSheetId="11">'[39]LAW CUST DEPOS'!$B$17</definedName>
    <definedName name="SECOTHCURRLIAB" localSheetId="5">'[39]LAW CUST DEPOS'!$B$17</definedName>
    <definedName name="SECOTHCURRLIAB" localSheetId="6">'[39]LAW CUST DEPOS'!$B$17</definedName>
    <definedName name="SECOTHCURRLIAB">'[40]LAW CUST DEPOS'!$B$17</definedName>
    <definedName name="SECOTHCURRLIAB2" localSheetId="7">'[39]LAW DIVIDENDS DECLARED'!$B$15</definedName>
    <definedName name="SECOTHCURRLIAB2" localSheetId="8">'[39]LAW DIVIDENDS DECLARED'!$B$15</definedName>
    <definedName name="SECOTHCURRLIAB2" localSheetId="9">'[39]LAW DIVIDENDS DECLARED'!$B$15</definedName>
    <definedName name="SECOTHCURRLIAB2" localSheetId="10">'[39]LAW DIVIDENDS DECLARED'!$B$15</definedName>
    <definedName name="SECOTHCURRLIAB2" localSheetId="11">'[39]LAW DIVIDENDS DECLARED'!$B$15</definedName>
    <definedName name="SECOTHCURRLIAB2" localSheetId="5">'[39]LAW DIVIDENDS DECLARED'!$B$15</definedName>
    <definedName name="SECOTHCURRLIAB2" localSheetId="6">'[39]LAW DIVIDENDS DECLARED'!$B$15</definedName>
    <definedName name="SECOTHCURRLIAB2">'[40]LAW DIVIDENDS DECLARED'!$B$15</definedName>
    <definedName name="SECOTHERASSETS" localSheetId="7">'[39]LAW DEF REG AND OTHER'!$B$167</definedName>
    <definedName name="SECOTHERASSETS" localSheetId="8">'[39]LAW DEF REG AND OTHER'!$B$167</definedName>
    <definedName name="SECOTHERASSETS" localSheetId="9">'[39]LAW DEF REG AND OTHER'!$B$167</definedName>
    <definedName name="SECOTHERASSETS" localSheetId="10">'[39]LAW DEF REG AND OTHER'!$B$167</definedName>
    <definedName name="SECOTHERASSETS" localSheetId="11">'[39]LAW DEF REG AND OTHER'!$B$167</definedName>
    <definedName name="SECOTHERASSETS" localSheetId="5">'[39]LAW DEF REG AND OTHER'!$B$167</definedName>
    <definedName name="SECOTHERASSETS" localSheetId="6">'[39]LAW DEF REG AND OTHER'!$B$167</definedName>
    <definedName name="SECOTHERASSETS">'[40]LAW DEF REG AND OTHER'!$B$167</definedName>
    <definedName name="SECOTHERASSETS1" localSheetId="7">'[39]LAW UNAMT DEBT DISC'!$B$46</definedName>
    <definedName name="SECOTHERASSETS1" localSheetId="8">'[39]LAW UNAMT DEBT DISC'!$B$46</definedName>
    <definedName name="SECOTHERASSETS1" localSheetId="9">'[39]LAW UNAMT DEBT DISC'!$B$46</definedName>
    <definedName name="SECOTHERASSETS1" localSheetId="10">'[39]LAW UNAMT DEBT DISC'!$B$46</definedName>
    <definedName name="SECOTHERASSETS1" localSheetId="11">'[39]LAW UNAMT DEBT DISC'!$B$46</definedName>
    <definedName name="SECOTHERASSETS1" localSheetId="5">'[39]LAW UNAMT DEBT DISC'!$B$46</definedName>
    <definedName name="SECOTHERASSETS1" localSheetId="6">'[39]LAW UNAMT DEBT DISC'!$B$46</definedName>
    <definedName name="SECOTHERASSETS1">'[40]LAW UNAMT DEBT DISC'!$B$46</definedName>
    <definedName name="SECOTHERINV" localSheetId="7">'[39]LAW OTHER INV'!$B$47</definedName>
    <definedName name="SECOTHERINV" localSheetId="8">'[39]LAW OTHER INV'!$B$47</definedName>
    <definedName name="SECOTHERINV" localSheetId="9">'[39]LAW OTHER INV'!$B$47</definedName>
    <definedName name="SECOTHERINV" localSheetId="10">'[39]LAW OTHER INV'!$B$47</definedName>
    <definedName name="SECOTHERINV" localSheetId="11">'[39]LAW OTHER INV'!$B$47</definedName>
    <definedName name="SECOTHERINV" localSheetId="5">'[39]LAW OTHER INV'!$B$47</definedName>
    <definedName name="SECOTHERINV" localSheetId="6">'[39]LAW OTHER INV'!$B$47</definedName>
    <definedName name="SECOTHERINV">'[40]LAW OTHER INV'!$B$47</definedName>
    <definedName name="SECUNAMORTLOSSDEBTRED" localSheetId="7">'[39]LAW DEF REG AND OTHER'!$B$163</definedName>
    <definedName name="SECUNAMORTLOSSDEBTRED" localSheetId="8">'[39]LAW DEF REG AND OTHER'!$B$163</definedName>
    <definedName name="SECUNAMORTLOSSDEBTRED" localSheetId="9">'[39]LAW DEF REG AND OTHER'!$B$163</definedName>
    <definedName name="SECUNAMORTLOSSDEBTRED" localSheetId="10">'[39]LAW DEF REG AND OTHER'!$B$163</definedName>
    <definedName name="SECUNAMORTLOSSDEBTRED" localSheetId="11">'[39]LAW DEF REG AND OTHER'!$B$163</definedName>
    <definedName name="SECUNAMORTLOSSDEBTRED" localSheetId="5">'[39]LAW DEF REG AND OTHER'!$B$163</definedName>
    <definedName name="SECUNAMORTLOSSDEBTRED" localSheetId="6">'[39]LAW DEF REG AND OTHER'!$B$163</definedName>
    <definedName name="SECUNAMORTLOSSDEBTRED">'[40]LAW DEF REG AND OTHER'!$B$163</definedName>
    <definedName name="SECUNEARNEDCOMP" localSheetId="7">'[39]LAW RETAIN EARN'!$B$25</definedName>
    <definedName name="SECUNEARNEDCOMP" localSheetId="8">'[39]LAW RETAIN EARN'!$B$25</definedName>
    <definedName name="SECUNEARNEDCOMP" localSheetId="9">'[39]LAW RETAIN EARN'!$B$25</definedName>
    <definedName name="SECUNEARNEDCOMP" localSheetId="10">'[39]LAW RETAIN EARN'!$B$25</definedName>
    <definedName name="SECUNEARNEDCOMP" localSheetId="11">'[39]LAW RETAIN EARN'!$B$25</definedName>
    <definedName name="SECUNEARNEDCOMP" localSheetId="5">'[39]LAW RETAIN EARN'!$B$25</definedName>
    <definedName name="SECUNEARNEDCOMP" localSheetId="6">'[39]LAW RETAIN EARN'!$B$25</definedName>
    <definedName name="SECUNEARNEDCOMP">'[40]LAW RETAIN EARN'!$B$25</definedName>
    <definedName name="Security.Active" hidden="1">FALSE</definedName>
    <definedName name="Security.Status" hidden="1">TRUE</definedName>
    <definedName name="SECUTILPLANT" localSheetId="7">'[39]LAW GAS STORED'!$B$23</definedName>
    <definedName name="SECUTILPLANT" localSheetId="8">'[39]LAW GAS STORED'!$B$23</definedName>
    <definedName name="SECUTILPLANT" localSheetId="9">'[39]LAW GAS STORED'!$B$23</definedName>
    <definedName name="SECUTILPLANT" localSheetId="10">'[39]LAW GAS STORED'!$B$23</definedName>
    <definedName name="SECUTILPLANT" localSheetId="11">'[39]LAW GAS STORED'!$B$23</definedName>
    <definedName name="SECUTILPLANT" localSheetId="5">'[39]LAW GAS STORED'!$B$23</definedName>
    <definedName name="SECUTILPLANT" localSheetId="6">'[39]LAW GAS STORED'!$B$23</definedName>
    <definedName name="SECUTILPLANT">'[40]LAW GAS STORED'!$B$23</definedName>
    <definedName name="sencount" hidden="1">3</definedName>
    <definedName name="Sept_2003_YTD_actual" localSheetId="7">#REF!</definedName>
    <definedName name="Sept_2003_YTD_actual" localSheetId="8">#REF!</definedName>
    <definedName name="Sept_2003_YTD_actual" localSheetId="9">#REF!</definedName>
    <definedName name="Sept_2003_YTD_actual" localSheetId="10">#REF!</definedName>
    <definedName name="Sept_2003_YTD_actual">#REF!</definedName>
    <definedName name="ServiceCat_List">'[9]Inputs Master'!$E$4:$E$31</definedName>
    <definedName name="shitodear">#N/A</definedName>
    <definedName name="shitodear2">#N/A</definedName>
    <definedName name="shitodear3">#N/A</definedName>
    <definedName name="SHORTBALCF" localSheetId="7">#REF!</definedName>
    <definedName name="SHORTBALCF" localSheetId="8">#REF!</definedName>
    <definedName name="SHORTBALCF" localSheetId="9">#REF!</definedName>
    <definedName name="SHORTBALCF" localSheetId="10">#REF!</definedName>
    <definedName name="SHORTBALCF" localSheetId="11">#REF!</definedName>
    <definedName name="SHORTBALCF" localSheetId="5">#REF!</definedName>
    <definedName name="SHORTBALCF" localSheetId="6">#REF!</definedName>
    <definedName name="SHORTBALCF">#REF!</definedName>
    <definedName name="SHORTBALCFSTART" localSheetId="7">#REF!</definedName>
    <definedName name="SHORTBALCFSTART" localSheetId="8">#REF!</definedName>
    <definedName name="SHORTBALCFSTART" localSheetId="9">#REF!</definedName>
    <definedName name="SHORTBALCFSTART" localSheetId="10">#REF!</definedName>
    <definedName name="SHORTBALCFSTART" localSheetId="11">#REF!</definedName>
    <definedName name="SHORTBALCFSTART" localSheetId="5">#REF!</definedName>
    <definedName name="SHORTBALCFSTART" localSheetId="6">#REF!</definedName>
    <definedName name="SHORTBALCFSTART">#REF!</definedName>
    <definedName name="Site_ID">'[8]Input Sheet'!$C$63:$C$72</definedName>
    <definedName name="Site_Name">'[8]Input Sheet'!$B$63:$B$72</definedName>
    <definedName name="Sitework">'[3]BID COST BREAKDOWN'!#REF!</definedName>
    <definedName name="staffing2" localSheetId="4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4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" localSheetId="7">#REF!</definedName>
    <definedName name="START" localSheetId="8">#REF!</definedName>
    <definedName name="START" localSheetId="9">#REF!</definedName>
    <definedName name="START" localSheetId="10">#REF!</definedName>
    <definedName name="START" localSheetId="11">#REF!</definedName>
    <definedName name="START" localSheetId="5">#REF!</definedName>
    <definedName name="START" localSheetId="6">#REF!</definedName>
    <definedName name="START">#REF!</definedName>
    <definedName name="STARTA" localSheetId="8">#REF!</definedName>
    <definedName name="STARTA">#REF!</definedName>
    <definedName name="State_Name">'[8]Input Sheet'!$B$89:$B$98</definedName>
    <definedName name="STATE_PAGE_A_B" localSheetId="8">#REF!</definedName>
    <definedName name="STATE_PAGE_A_B">#REF!</definedName>
    <definedName name="STATE_UNBILLED" localSheetId="8">#REF!</definedName>
    <definedName name="STATE_UNBILLED">#REF!</definedName>
    <definedName name="STATS" localSheetId="8">#REF!</definedName>
    <definedName name="STATS">#REF!</definedName>
    <definedName name="Steel_Erection">'[3]BID COST BREAKDOWN'!#REF!</definedName>
    <definedName name="Subcontractors_over__20_000.">'[3]BID COST BREAKDOWN'!#REF!</definedName>
    <definedName name="SUBDATA" localSheetId="7">'[41]page1:CLP with elas'!$A$7:$K$51</definedName>
    <definedName name="SUBDATA" localSheetId="8">'[41]page1:CLP with elas'!$A$7:$K$51</definedName>
    <definedName name="SUBDATA" localSheetId="9">'[41]page1:CLP with elas'!$A$7:$K$51</definedName>
    <definedName name="SUBDATA" localSheetId="10">'[41]page1:CLP with elas'!$A$7:$K$51</definedName>
    <definedName name="SUBDATA" localSheetId="11">'[41]page1:CLP with elas'!$A$7:$K$51</definedName>
    <definedName name="SUBDATA" localSheetId="5">'[41]page1:CLP with elas'!$A$7:$K$51</definedName>
    <definedName name="SUBDATA" localSheetId="6">'[41]page1:CLP with elas'!$A$7:$K$51</definedName>
    <definedName name="SUBDATA" localSheetId="12">#REF!</definedName>
    <definedName name="SUBDATA">'[42]page1:CLP with elas'!$A$7:$K$51</definedName>
    <definedName name="Subs_20K">'[3]BID COST BREAKDOWN'!#REF!</definedName>
    <definedName name="sue">#N/A</definedName>
    <definedName name="SUMMARY" localSheetId="7">#REF!</definedName>
    <definedName name="SUMMARY" localSheetId="8">#REF!</definedName>
    <definedName name="SUMMARY" localSheetId="9">#REF!</definedName>
    <definedName name="SUMMARY" localSheetId="10">#REF!</definedName>
    <definedName name="SUMMARY" localSheetId="11">#REF!</definedName>
    <definedName name="SUMMARY" localSheetId="6">#REF!</definedName>
    <definedName name="SUMMARY">#REF!</definedName>
    <definedName name="SUMRY1" localSheetId="7">'[41]New SMPE:Proposed Temps'!$A$1:$L$61</definedName>
    <definedName name="SUMRY1" localSheetId="8">'[41]New SMPE:Proposed Temps'!$A$1:$L$61</definedName>
    <definedName name="SUMRY1" localSheetId="9">'[41]New SMPE:Proposed Temps'!$A$1:$L$61</definedName>
    <definedName name="SUMRY1" localSheetId="10">'[41]New SMPE:Proposed Temps'!$A$1:$L$61</definedName>
    <definedName name="SUMRY1" localSheetId="11">'[41]New SMPE:Proposed Temps'!$A$1:$L$61</definedName>
    <definedName name="SUMRY1" localSheetId="5">'[41]New SMPE:Proposed Temps'!$A$1:$L$61</definedName>
    <definedName name="SUMRY1" localSheetId="6">'[41]New SMPE:Proposed Temps'!$A$1:$L$61</definedName>
    <definedName name="SUMRY1" localSheetId="12">#REF!</definedName>
    <definedName name="SUMRY1">'[42]New SMPE:Proposed Temps'!$A$1:$L$61</definedName>
    <definedName name="SUPPLY" localSheetId="7">'[30]Pipeline Charges:Flowing Dispatch'!$Q$97:$Q$379</definedName>
    <definedName name="SUPPLY" localSheetId="8">'[30]Pipeline Charges:Flowing Dispatch'!$Q$97:$Q$379</definedName>
    <definedName name="SUPPLY" localSheetId="9">'[30]Pipeline Charges:Flowing Dispatch'!$Q$97:$Q$379</definedName>
    <definedName name="SUPPLY" localSheetId="10">'[30]Pipeline Charges:Flowing Dispatch'!$Q$97:$Q$379</definedName>
    <definedName name="SUPPLY" localSheetId="11">'[30]Pipeline Charges:Flowing Dispatch'!$Q$97:$Q$379</definedName>
    <definedName name="SUPPLY" localSheetId="5">'[30]Pipeline Charges:Flowing Dispatch'!$Q$97:$Q$379</definedName>
    <definedName name="SUPPLY" localSheetId="6">'[30]Pipeline Charges:Flowing Dispatch'!$Q$97:$Q$379</definedName>
    <definedName name="SUPPLY">'[31]Pipeline Charges:Flowing Dispatch'!$Q$97:$Q$379</definedName>
    <definedName name="TAX" localSheetId="7">#REF!</definedName>
    <definedName name="TAX" localSheetId="8">#REF!</definedName>
    <definedName name="TAX" localSheetId="9">#REF!</definedName>
    <definedName name="TAX" localSheetId="10">#REF!</definedName>
    <definedName name="TAX" localSheetId="11">#REF!</definedName>
    <definedName name="TAX" localSheetId="6">#REF!</definedName>
    <definedName name="TAX">#REF!</definedName>
    <definedName name="TAXES_PROPERTY" localSheetId="8">#REF!</definedName>
    <definedName name="TAXES_PROPERTY">#REF!</definedName>
    <definedName name="TAXIMPACT" localSheetId="7">#REF!</definedName>
    <definedName name="TAXIMPACT" localSheetId="8">#REF!</definedName>
    <definedName name="TAXIMPACT" localSheetId="9">#REF!</definedName>
    <definedName name="TAXIMPACT" localSheetId="10">#REF!</definedName>
    <definedName name="TAXIMPACT" localSheetId="11">#REF!</definedName>
    <definedName name="TAXIMPACT" localSheetId="5">#REF!</definedName>
    <definedName name="TAXIMPACT" localSheetId="6">#REF!</definedName>
    <definedName name="TAXIMPACT">#REF!</definedName>
    <definedName name="TEMP" localSheetId="7">#REF!</definedName>
    <definedName name="TEMP" localSheetId="8">#REF!</definedName>
    <definedName name="TEMP" localSheetId="9">#REF!</definedName>
    <definedName name="TEMP" localSheetId="10">#REF!</definedName>
    <definedName name="TEMP" localSheetId="11">#REF!</definedName>
    <definedName name="TEMP" localSheetId="5">#REF!</definedName>
    <definedName name="TEMP" localSheetId="6">#REF!</definedName>
    <definedName name="TEMP">#REF!</definedName>
    <definedName name="Temp_2" localSheetId="4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4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_DIFF" localSheetId="7">#REF!</definedName>
    <definedName name="TEMP_DIFF" localSheetId="8">#REF!</definedName>
    <definedName name="TEMP_DIFF" localSheetId="9">#REF!</definedName>
    <definedName name="TEMP_DIFF" localSheetId="10">#REF!</definedName>
    <definedName name="TEMP_DIFF" localSheetId="11">#REF!</definedName>
    <definedName name="TEMP_DIFF" localSheetId="5">#REF!</definedName>
    <definedName name="TEMP_DIFF" localSheetId="6">#REF!</definedName>
    <definedName name="TEMP_DIFF">#REF!</definedName>
    <definedName name="term_index">"Analytics - Termination'!$H$12"</definedName>
    <definedName name="term_reasons">"Analytics - Termination'!$C$33:$C$41"</definedName>
    <definedName name="TEST" localSheetId="8">#REF!</definedName>
    <definedName name="TEST">#REF!</definedName>
    <definedName name="TEST0" localSheetId="7">#REF!</definedName>
    <definedName name="TEST0" localSheetId="8">#REF!</definedName>
    <definedName name="TEST0" localSheetId="9">#REF!</definedName>
    <definedName name="TEST0">#REF!</definedName>
    <definedName name="TEST1" localSheetId="7">#REF!</definedName>
    <definedName name="TEST1" localSheetId="8">#REF!</definedName>
    <definedName name="TEST1" localSheetId="9">#REF!</definedName>
    <definedName name="TEST1">#REF!</definedName>
    <definedName name="TEST10" localSheetId="7">#REF!</definedName>
    <definedName name="TEST10" localSheetId="8">#REF!</definedName>
    <definedName name="TEST10" localSheetId="9">#REF!</definedName>
    <definedName name="TEST10">#REF!</definedName>
    <definedName name="TEST11" localSheetId="7">#REF!</definedName>
    <definedName name="TEST11" localSheetId="8">#REF!</definedName>
    <definedName name="TEST11" localSheetId="9">#REF!</definedName>
    <definedName name="TEST11">#REF!</definedName>
    <definedName name="TEST12" localSheetId="7">#REF!</definedName>
    <definedName name="TEST12" localSheetId="8">#REF!</definedName>
    <definedName name="TEST12" localSheetId="9">#REF!</definedName>
    <definedName name="TEST12">#REF!</definedName>
    <definedName name="TEST13" localSheetId="7">#REF!</definedName>
    <definedName name="TEST13" localSheetId="8">#REF!</definedName>
    <definedName name="TEST13" localSheetId="9">#REF!</definedName>
    <definedName name="TEST13">#REF!</definedName>
    <definedName name="TEST14" localSheetId="7">#REF!</definedName>
    <definedName name="TEST14" localSheetId="8">#REF!</definedName>
    <definedName name="TEST14" localSheetId="9">#REF!</definedName>
    <definedName name="TEST14">#REF!</definedName>
    <definedName name="TEST15" localSheetId="7">#REF!</definedName>
    <definedName name="TEST15" localSheetId="8">#REF!</definedName>
    <definedName name="TEST15" localSheetId="9">#REF!</definedName>
    <definedName name="TEST15">#REF!</definedName>
    <definedName name="TEST16" localSheetId="7">#REF!</definedName>
    <definedName name="TEST16" localSheetId="8">#REF!</definedName>
    <definedName name="TEST16" localSheetId="9">#REF!</definedName>
    <definedName name="TEST16">#REF!</definedName>
    <definedName name="TEST17" localSheetId="7">#REF!</definedName>
    <definedName name="TEST17" localSheetId="8">#REF!</definedName>
    <definedName name="TEST17" localSheetId="9">#REF!</definedName>
    <definedName name="TEST17">#REF!</definedName>
    <definedName name="TEST18" localSheetId="7">#REF!</definedName>
    <definedName name="TEST18" localSheetId="8">#REF!</definedName>
    <definedName name="TEST18" localSheetId="9">#REF!</definedName>
    <definedName name="TEST18">#REF!</definedName>
    <definedName name="TEST19" localSheetId="7">#REF!</definedName>
    <definedName name="TEST19" localSheetId="8">#REF!</definedName>
    <definedName name="TEST19" localSheetId="9">#REF!</definedName>
    <definedName name="TEST19">#REF!</definedName>
    <definedName name="TEST2" localSheetId="7">#REF!</definedName>
    <definedName name="TEST2" localSheetId="8">#REF!</definedName>
    <definedName name="TEST2" localSheetId="9">#REF!</definedName>
    <definedName name="TEST2">#REF!</definedName>
    <definedName name="TEST20" localSheetId="7">#REF!</definedName>
    <definedName name="TEST20" localSheetId="8">#REF!</definedName>
    <definedName name="TEST20" localSheetId="9">#REF!</definedName>
    <definedName name="TEST20">#REF!</definedName>
    <definedName name="TEST21" localSheetId="7">#REF!</definedName>
    <definedName name="TEST21" localSheetId="8">#REF!</definedName>
    <definedName name="TEST21" localSheetId="9">#REF!</definedName>
    <definedName name="TEST21">#REF!</definedName>
    <definedName name="TEST22" localSheetId="7">#REF!</definedName>
    <definedName name="TEST22" localSheetId="8">#REF!</definedName>
    <definedName name="TEST22" localSheetId="9">#REF!</definedName>
    <definedName name="TEST22">#REF!</definedName>
    <definedName name="TEST3" localSheetId="7">#REF!</definedName>
    <definedName name="TEST3" localSheetId="8">#REF!</definedName>
    <definedName name="TEST3" localSheetId="9">#REF!</definedName>
    <definedName name="TEST3">#REF!</definedName>
    <definedName name="TEST4" localSheetId="7">#REF!</definedName>
    <definedName name="TEST4" localSheetId="8">#REF!</definedName>
    <definedName name="TEST4" localSheetId="9">#REF!</definedName>
    <definedName name="TEST4">#REF!</definedName>
    <definedName name="TEST5" localSheetId="7">#REF!</definedName>
    <definedName name="TEST5" localSheetId="8">#REF!</definedName>
    <definedName name="TEST5" localSheetId="9">#REF!</definedName>
    <definedName name="TEST5">#REF!</definedName>
    <definedName name="TEST6" localSheetId="7">#REF!</definedName>
    <definedName name="TEST6" localSheetId="8">#REF!</definedName>
    <definedName name="TEST6" localSheetId="9">#REF!</definedName>
    <definedName name="TEST6">#REF!</definedName>
    <definedName name="TEST7" localSheetId="7">#REF!</definedName>
    <definedName name="TEST7" localSheetId="8">#REF!</definedName>
    <definedName name="TEST7" localSheetId="9">#REF!</definedName>
    <definedName name="TEST7">#REF!</definedName>
    <definedName name="TEST8" localSheetId="7">#REF!</definedName>
    <definedName name="TEST8" localSheetId="8">#REF!</definedName>
    <definedName name="TEST8" localSheetId="9">#REF!</definedName>
    <definedName name="TEST8">#REF!</definedName>
    <definedName name="TEST9" localSheetId="7">#REF!</definedName>
    <definedName name="TEST9" localSheetId="8">#REF!</definedName>
    <definedName name="TEST9" localSheetId="9">#REF!</definedName>
    <definedName name="TEST9">#REF!</definedName>
    <definedName name="TESTHKEY" localSheetId="7">#REF!</definedName>
    <definedName name="TESTHKEY" localSheetId="8">#REF!</definedName>
    <definedName name="TESTHKEY" localSheetId="9">#REF!</definedName>
    <definedName name="TESTHKEY">#REF!</definedName>
    <definedName name="TESTKEYS" localSheetId="7">#REF!</definedName>
    <definedName name="TESTKEYS" localSheetId="8">#REF!</definedName>
    <definedName name="TESTKEYS" localSheetId="9">#REF!</definedName>
    <definedName name="TESTKEYS">#REF!</definedName>
    <definedName name="TESTVKEY" localSheetId="7">#REF!</definedName>
    <definedName name="TESTVKEY" localSheetId="8">#REF!</definedName>
    <definedName name="TESTVKEY" localSheetId="9">#REF!</definedName>
    <definedName name="TESTVKEY">#REF!</definedName>
    <definedName name="THE_DALLES_BID">'[3]BID COST BREAKDOWN'!#REF!</definedName>
    <definedName name="title">[43]TITLE!$B$5</definedName>
    <definedName name="Total_Installation_Costs_per_Meter">#REF!</definedName>
    <definedName name="total41500" localSheetId="7">#REF!</definedName>
    <definedName name="total41500" localSheetId="8">#REF!</definedName>
    <definedName name="total41500" localSheetId="9">#REF!</definedName>
    <definedName name="total41500" localSheetId="10">#REF!</definedName>
    <definedName name="total41500">#REF!</definedName>
    <definedName name="Towers">'[8]Input Sheet'!$B$33:$B$35</definedName>
    <definedName name="TRANS" localSheetId="7">#REF!</definedName>
    <definedName name="TRANS" localSheetId="8">#REF!</definedName>
    <definedName name="TRANS" localSheetId="9">#REF!</definedName>
    <definedName name="TRANS" localSheetId="10">#REF!</definedName>
    <definedName name="TRANS">#REF!</definedName>
    <definedName name="TransitionPeriod">[14]Input!$B$11</definedName>
    <definedName name="TRANSTOTAL" localSheetId="8">#REF!</definedName>
    <definedName name="TRANSTOTAL">#REF!</definedName>
    <definedName name="tristan">#REF!</definedName>
    <definedName name="UNBILLED_Bths" localSheetId="7">#REF!</definedName>
    <definedName name="UNBILLED_Bths" localSheetId="8">#REF!</definedName>
    <definedName name="UNBILLED_Bths" localSheetId="9">#REF!</definedName>
    <definedName name="UNBILLED_Bths" localSheetId="10">#REF!</definedName>
    <definedName name="UNBILLED_Bths" localSheetId="11">#REF!</definedName>
    <definedName name="UNBILLED_Bths" localSheetId="5">#REF!</definedName>
    <definedName name="UNBILLED_Bths" localSheetId="6">#REF!</definedName>
    <definedName name="UNBILLED_Bths">#REF!</definedName>
    <definedName name="UNBILLED_Busd" localSheetId="7">#REF!</definedName>
    <definedName name="UNBILLED_Busd" localSheetId="8">#REF!</definedName>
    <definedName name="UNBILLED_Busd" localSheetId="9">#REF!</definedName>
    <definedName name="UNBILLED_Busd" localSheetId="10">#REF!</definedName>
    <definedName name="UNBILLED_Busd" localSheetId="11">#REF!</definedName>
    <definedName name="UNBILLED_Busd" localSheetId="5">#REF!</definedName>
    <definedName name="UNBILLED_Busd" localSheetId="6">#REF!</definedName>
    <definedName name="UNBILLED_Busd">#REF!</definedName>
    <definedName name="UPDATE" localSheetId="8">#REF!</definedName>
    <definedName name="UPDATE">#REF!</definedName>
    <definedName name="ValidGroups" localSheetId="8">[44]Groups!$E$1:$E$20</definedName>
    <definedName name="ValidGroups" localSheetId="10">[44]Groups!$E$1:$E$20</definedName>
    <definedName name="ValidGroups">[45]Groups!$E$1:$E$20</definedName>
    <definedName name="VCT">'[3]BID COST BREAKDOWN'!#REF!</definedName>
    <definedName name="Version" localSheetId="7">#REF!</definedName>
    <definedName name="Version" localSheetId="8">#REF!</definedName>
    <definedName name="Version" localSheetId="9">#REF!</definedName>
    <definedName name="Version" localSheetId="10">#REF!</definedName>
    <definedName name="Version" localSheetId="11">#REF!</definedName>
    <definedName name="Version" localSheetId="5">#REF!</definedName>
    <definedName name="Version" localSheetId="6">#REF!</definedName>
    <definedName name="Version" localSheetId="4">#REF!</definedName>
    <definedName name="Version">#REF!</definedName>
    <definedName name="VOL_S_OR" localSheetId="7">#REF!</definedName>
    <definedName name="VOL_S_OR" localSheetId="8">#REF!</definedName>
    <definedName name="VOL_S_OR" localSheetId="9">#REF!</definedName>
    <definedName name="VOL_S_OR" localSheetId="10">#REF!</definedName>
    <definedName name="VOL_S_OR" localSheetId="11">#REF!</definedName>
    <definedName name="VOL_S_OR" localSheetId="5">#REF!</definedName>
    <definedName name="VOL_S_OR" localSheetId="6">[46]VOL_S!#REF!</definedName>
    <definedName name="VOL_S_OR">[47]VOL_S!#REF!</definedName>
    <definedName name="VOL_S_SYS" localSheetId="7">#REF!</definedName>
    <definedName name="VOL_S_SYS" localSheetId="8">#REF!</definedName>
    <definedName name="VOL_S_SYS" localSheetId="9">#REF!</definedName>
    <definedName name="VOL_S_SYS" localSheetId="10">#REF!</definedName>
    <definedName name="VOL_S_SYS" localSheetId="11">#REF!</definedName>
    <definedName name="VOL_S_SYS" localSheetId="5">#REF!</definedName>
    <definedName name="VOL_S_SYS" localSheetId="6">[46]VOL_S!#REF!</definedName>
    <definedName name="VOL_S_SYS">[47]VOL_S!#REF!</definedName>
    <definedName name="VOL_S_WA" localSheetId="7">#REF!</definedName>
    <definedName name="VOL_S_WA" localSheetId="8">#REF!</definedName>
    <definedName name="VOL_S_WA" localSheetId="9">#REF!</definedName>
    <definedName name="VOL_S_WA" localSheetId="10">#REF!</definedName>
    <definedName name="VOL_S_WA" localSheetId="11">#REF!</definedName>
    <definedName name="VOL_S_WA" localSheetId="5">#REF!</definedName>
    <definedName name="VOL_S_WA" localSheetId="6">[46]VOL_S!#REF!</definedName>
    <definedName name="VOL_S_WA">[47]VOL_S!#REF!</definedName>
    <definedName name="VOLCLASSTRANS" localSheetId="7">#REF!</definedName>
    <definedName name="VOLCLASSTRANS" localSheetId="8">#REF!</definedName>
    <definedName name="VOLCLASSTRANS" localSheetId="9">#REF!</definedName>
    <definedName name="VOLCLASSTRANS" localSheetId="10">#REF!</definedName>
    <definedName name="VOLCLASSTRANS">#REF!</definedName>
    <definedName name="VOLSOURCETRANS" localSheetId="8">#REF!</definedName>
    <definedName name="VOLSOURCETRANS">#REF!</definedName>
    <definedName name="WA_210.1">#REF!</definedName>
    <definedName name="WA_INTRATE" localSheetId="7">'[48]191420'!$F$1</definedName>
    <definedName name="WA_INTRATE" localSheetId="8">'[48]191420'!$F$1</definedName>
    <definedName name="WA_INTRATE" localSheetId="9">'[48]191420'!$F$1</definedName>
    <definedName name="WA_INTRATE" localSheetId="10">'[48]191420'!$F$1</definedName>
    <definedName name="WA_INTRATE" localSheetId="11">'[48]191420'!$F$1</definedName>
    <definedName name="WA_INTRATE" localSheetId="5">[49]Interest!$E$4</definedName>
    <definedName name="WA_INTRATE" localSheetId="6">'[48]191420'!$F$1</definedName>
    <definedName name="WA_INTRATE">[50]Interest!$E$4</definedName>
    <definedName name="wa_revsens" localSheetId="4">'[51]General Inputs'!$E$10</definedName>
    <definedName name="wa_revsens">#REF!</definedName>
    <definedName name="WACWVOL" localSheetId="7">'[30]Pipeline Charges:Wacog'!$B$38:$E$605</definedName>
    <definedName name="WACWVOL" localSheetId="8">'[30]Pipeline Charges:Wacog'!$B$38:$E$605</definedName>
    <definedName name="WACWVOL" localSheetId="9">'[30]Pipeline Charges:Wacog'!$B$38:$E$605</definedName>
    <definedName name="WACWVOL" localSheetId="10">'[30]Pipeline Charges:Wacog'!$B$38:$E$605</definedName>
    <definedName name="WACWVOL" localSheetId="11">'[30]Pipeline Charges:Wacog'!$B$38:$E$605</definedName>
    <definedName name="WACWVOL" localSheetId="5">'[30]Pipeline Charges:Wacog'!$B$38:$E$605</definedName>
    <definedName name="WACWVOL" localSheetId="6">'[30]Pipeline Charges:Wacog'!$B$38:$E$605</definedName>
    <definedName name="WACWVOL">'[31]Pipeline Charges:Wacog'!$B$38:$E$605</definedName>
    <definedName name="wcomp00" localSheetId="7">#REF!</definedName>
    <definedName name="wcomp00" localSheetId="8">#REF!</definedName>
    <definedName name="wcomp00" localSheetId="9">#REF!</definedName>
    <definedName name="wcomp00" localSheetId="10">#REF!</definedName>
    <definedName name="wcomp00">#REF!</definedName>
    <definedName name="WFACTORYR3" localSheetId="7">#REF!</definedName>
    <definedName name="WFACTORYR3" localSheetId="8">#REF!</definedName>
    <definedName name="WFACTORYR3" localSheetId="9">#REF!</definedName>
    <definedName name="WFACTORYR3" localSheetId="10">#REF!</definedName>
    <definedName name="WFACTORYR3" localSheetId="11">#REF!</definedName>
    <definedName name="WFACTORYR3" localSheetId="5">#REF!</definedName>
    <definedName name="WFACTORYR3" localSheetId="6">#REF!</definedName>
    <definedName name="WFACTORYR3">#REF!</definedName>
    <definedName name="WFACTORYR4" localSheetId="7">#REF!</definedName>
    <definedName name="WFACTORYR4" localSheetId="8">#REF!</definedName>
    <definedName name="WFACTORYR4" localSheetId="9">#REF!</definedName>
    <definedName name="WFACTORYR4" localSheetId="10">#REF!</definedName>
    <definedName name="WFACTORYR4" localSheetId="11">#REF!</definedName>
    <definedName name="WFACTORYR4" localSheetId="5">#REF!</definedName>
    <definedName name="WFACTORYR4" localSheetId="6">#REF!</definedName>
    <definedName name="WFACTORYR4">#REF!</definedName>
    <definedName name="Wood_Fixture_Install">'[3]BID COST BREAKDOWN'!#REF!</definedName>
    <definedName name="Work" localSheetId="8">#REF!</definedName>
    <definedName name="Work" localSheetId="10">#REF!</definedName>
    <definedName name="Work" localSheetId="11">#REF!</definedName>
    <definedName name="Work">#REF!</definedName>
    <definedName name="wrn.Executive._.Reports." localSheetId="4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Financials." localSheetId="4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Inv_Summary." localSheetId="4" hidden="1">{"Entire Spreadsheet",#N/A,FALSE,"ACCTLIST";"Invoices",#N/A,FALSE,"ACCTLIST"}</definedName>
    <definedName name="wrn.Inv_Summary." hidden="1">{"Entire Spreadsheet",#N/A,FALSE,"ACCTLIST";"Invoices",#N/A,FALSE,"ACCTLIST"}</definedName>
    <definedName name="wrn.Jury." localSheetId="4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Long._.Report." localSheetId="4" hidden="1">{#N/A,#N/A,TRUE,"Cover";#N/A,#N/A,TRUE,"Header (ld)";#N/A,#N/A,TRUE,"T&amp;O By Region";#N/A,#N/A,TRUE,"Region Charts ";#N/A,#N/A,TRUE,"T&amp;O London";#N/A,#N/A,TRUE,"AD Report";#N/A,#N/A,TRUE,"Var by OU"}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Rate._.Reports." localSheetId="4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localSheetId="4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hort._.Report." localSheetId="4" hidden="1">{#N/A,#N/A,TRUE,"Cover";#N/A,#N/A,TRUE,"Header (eu)";#N/A,#N/A,TRUE,"Region Charts";#N/A,#N/A,TRUE,"T&amp;O By Region";#N/A,#N/A,TRUE,"AD Report"}</definedName>
    <definedName name="wrn.Short._.Report." hidden="1">{#N/A,#N/A,TRUE,"Cover";#N/A,#N/A,TRUE,"Header (eu)";#N/A,#N/A,TRUE,"Region Charts";#N/A,#N/A,TRUE,"T&amp;O By Region";#N/A,#N/A,TRUE,"AD Report"}</definedName>
    <definedName name="wrn.Staffing." localSheetId="4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4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4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upplemental._.Information." localSheetId="4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s" localSheetId="4" hidden="1">{#N/A,#N/A,FALSE,"Assessment";#N/A,#N/A,FALSE,"Staffing";#N/A,#N/A,FALSE,"Hires";#N/A,#N/A,FALSE,"Assumptions"}</definedName>
    <definedName name="wrs" hidden="1">{#N/A,#N/A,FALSE,"Assessment";#N/A,#N/A,FALSE,"Staffing";#N/A,#N/A,FALSE,"Hires";#N/A,#N/A,FALSE,"Assumptions"}</definedName>
    <definedName name="WS3A2">#N/A</definedName>
    <definedName name="XLDW_VER" hidden="1">"Office 2000 2.0 with Query Builder"</definedName>
    <definedName name="Year" localSheetId="7">[39]CONTROL!$F$7</definedName>
    <definedName name="Year" localSheetId="8">[39]CONTROL!$F$7</definedName>
    <definedName name="Year" localSheetId="9">[39]CONTROL!$F$7</definedName>
    <definedName name="Year" localSheetId="10">[39]CONTROL!$F$7</definedName>
    <definedName name="Year" localSheetId="11">[39]CONTROL!$F$7</definedName>
    <definedName name="Year" localSheetId="5">[39]CONTROL!$F$7</definedName>
    <definedName name="Year" localSheetId="6">[39]CONTROL!$F$7</definedName>
    <definedName name="Year">[40]CONTROL!$F$7</definedName>
    <definedName name="YEAR_INPUT" localSheetId="7">#REF!</definedName>
    <definedName name="YEAR_INPUT" localSheetId="8">#REF!</definedName>
    <definedName name="YEAR_INPUT" localSheetId="9">#REF!</definedName>
    <definedName name="YEAR_INPUT" localSheetId="10">#REF!</definedName>
    <definedName name="YEAR_INPUT">#REF!</definedName>
    <definedName name="YTD" localSheetId="7">#REF!,#REF!,#REF!</definedName>
    <definedName name="YTD" localSheetId="8">#REF!,#REF!,#REF!</definedName>
    <definedName name="YTD" localSheetId="9">#REF!,#REF!,#REF!</definedName>
    <definedName name="YTD" localSheetId="10">#REF!,#REF!,#REF!</definedName>
    <definedName name="YTD">#REF!,#REF!,#REF!</definedName>
    <definedName name="YTD_VACATION" localSheetId="7">[32]MAIN!#REF!</definedName>
    <definedName name="YTD_VACATION" localSheetId="8">[32]MAIN!#REF!</definedName>
    <definedName name="YTD_VACATION" localSheetId="9">[32]MAIN!#REF!</definedName>
    <definedName name="YTD_VACATION" localSheetId="10">[32]MAIN!#REF!</definedName>
    <definedName name="YTD_VACATION">[32]MAIN!#REF!</definedName>
    <definedName name="YTDDEGREE" localSheetId="7">#REF!</definedName>
    <definedName name="YTDDEGREE" localSheetId="8">#REF!</definedName>
    <definedName name="YTDDEGREE" localSheetId="9">#REF!</definedName>
    <definedName name="YTDDEGREE" localSheetId="10">#REF!</definedName>
    <definedName name="YTDDEGREE">#REF!</definedName>
    <definedName name="YTDDEL" localSheetId="7">#REF!</definedName>
    <definedName name="YTDDEL" localSheetId="8">#REF!</definedName>
    <definedName name="YTDDEL" localSheetId="9">#REF!</definedName>
    <definedName name="YTDDEL" localSheetId="10">#REF!</definedName>
    <definedName name="YTDDEL">#REF!</definedName>
    <definedName name="YTDTRANSPO" localSheetId="7">#REF!</definedName>
    <definedName name="YTDTRANSPO" localSheetId="8">#REF!</definedName>
    <definedName name="YTDTRANSPO" localSheetId="9">#REF!</definedName>
    <definedName name="YTDTRANSPO" localSheetId="10">#REF!</definedName>
    <definedName name="YTDTRANSPO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5" i="19" l="1"/>
  <c r="AG95" i="19" s="1"/>
  <c r="AU94" i="19"/>
  <c r="AS94" i="19"/>
  <c r="AM94" i="19"/>
  <c r="AL94" i="19"/>
  <c r="AI94" i="19"/>
  <c r="AJ94" i="19" s="1"/>
  <c r="AK94" i="19" s="1"/>
  <c r="AG94" i="19"/>
  <c r="AH94" i="19" s="1"/>
  <c r="AF94" i="19"/>
  <c r="AR94" i="19" s="1"/>
  <c r="AC94" i="19"/>
  <c r="AD94" i="19" s="1"/>
  <c r="AE94" i="19" s="1"/>
  <c r="AB94" i="19"/>
  <c r="AA94" i="19"/>
  <c r="Z94" i="19"/>
  <c r="W94" i="19"/>
  <c r="T94" i="19"/>
  <c r="U94" i="19" s="1"/>
  <c r="R94" i="19"/>
  <c r="S94" i="19" s="1"/>
  <c r="Q94" i="19"/>
  <c r="N94" i="19"/>
  <c r="O94" i="19" s="1"/>
  <c r="M94" i="19"/>
  <c r="BB34" i="19" s="1"/>
  <c r="L94" i="19"/>
  <c r="J94" i="19"/>
  <c r="I94" i="19"/>
  <c r="X94" i="19" s="1"/>
  <c r="Y94" i="19" s="1"/>
  <c r="D94" i="19"/>
  <c r="AV93" i="19"/>
  <c r="AU93" i="19"/>
  <c r="AL93" i="19"/>
  <c r="AS93" i="19" s="1"/>
  <c r="AT93" i="19" s="1"/>
  <c r="AI93" i="19"/>
  <c r="AF93" i="19"/>
  <c r="AR93" i="19" s="1"/>
  <c r="AC93" i="19"/>
  <c r="AQ93" i="19" s="1"/>
  <c r="Z93" i="19"/>
  <c r="W93" i="19"/>
  <c r="X93" i="19" s="1"/>
  <c r="T93" i="19"/>
  <c r="Q93" i="19"/>
  <c r="N93" i="19"/>
  <c r="O93" i="19" s="1"/>
  <c r="L93" i="19"/>
  <c r="J93" i="19"/>
  <c r="I93" i="19"/>
  <c r="D93" i="19"/>
  <c r="AS92" i="19"/>
  <c r="AR92" i="19"/>
  <c r="AQ92" i="19"/>
  <c r="AU91" i="19"/>
  <c r="AL91" i="19"/>
  <c r="AS91" i="19" s="1"/>
  <c r="AI91" i="19"/>
  <c r="AF91" i="19"/>
  <c r="AR91" i="19" s="1"/>
  <c r="AC91" i="19"/>
  <c r="AQ91" i="19" s="1"/>
  <c r="Z91" i="19"/>
  <c r="W91" i="19"/>
  <c r="T91" i="19"/>
  <c r="Q91" i="19"/>
  <c r="N91" i="19"/>
  <c r="L91" i="19"/>
  <c r="D91" i="19"/>
  <c r="AU90" i="19"/>
  <c r="AR90" i="19"/>
  <c r="AQ90" i="19"/>
  <c r="AL90" i="19"/>
  <c r="AS90" i="19" s="1"/>
  <c r="AT90" i="19" s="1"/>
  <c r="AI90" i="19"/>
  <c r="AF90" i="19"/>
  <c r="AC90" i="19"/>
  <c r="Z90" i="19"/>
  <c r="W90" i="19"/>
  <c r="T90" i="19"/>
  <c r="Q90" i="19"/>
  <c r="N90" i="19"/>
  <c r="L90" i="19"/>
  <c r="D90" i="19"/>
  <c r="AU89" i="19"/>
  <c r="AS89" i="19"/>
  <c r="AR89" i="19"/>
  <c r="AL89" i="19"/>
  <c r="AI89" i="19"/>
  <c r="AF89" i="19"/>
  <c r="AC89" i="19"/>
  <c r="Z89" i="19"/>
  <c r="W89" i="19"/>
  <c r="T89" i="19"/>
  <c r="Q89" i="19"/>
  <c r="N89" i="19"/>
  <c r="L89" i="19"/>
  <c r="D89" i="19"/>
  <c r="AU88" i="19"/>
  <c r="AQ88" i="19"/>
  <c r="AL88" i="19"/>
  <c r="AS88" i="19" s="1"/>
  <c r="AI88" i="19"/>
  <c r="AF88" i="19"/>
  <c r="AC88" i="19"/>
  <c r="Z88" i="19"/>
  <c r="W88" i="19"/>
  <c r="T88" i="19"/>
  <c r="Q88" i="19"/>
  <c r="N88" i="19"/>
  <c r="L88" i="19"/>
  <c r="D88" i="19"/>
  <c r="AU87" i="19"/>
  <c r="AS87" i="19"/>
  <c r="AT87" i="19" s="1"/>
  <c r="AL87" i="19"/>
  <c r="AI87" i="19"/>
  <c r="AF87" i="19"/>
  <c r="AR87" i="19" s="1"/>
  <c r="AC87" i="19"/>
  <c r="AQ87" i="19" s="1"/>
  <c r="Z87" i="19"/>
  <c r="W87" i="19"/>
  <c r="T87" i="19"/>
  <c r="Q87" i="19"/>
  <c r="N87" i="19"/>
  <c r="L87" i="19"/>
  <c r="D87" i="19"/>
  <c r="AU86" i="19"/>
  <c r="AQ86" i="19"/>
  <c r="AL86" i="19"/>
  <c r="AS86" i="19" s="1"/>
  <c r="AT86" i="19" s="1"/>
  <c r="AI86" i="19"/>
  <c r="AF86" i="19"/>
  <c r="AR86" i="19" s="1"/>
  <c r="AC86" i="19"/>
  <c r="Z86" i="19"/>
  <c r="W86" i="19"/>
  <c r="T86" i="19"/>
  <c r="Q86" i="19"/>
  <c r="N86" i="19"/>
  <c r="L86" i="19"/>
  <c r="J86" i="19"/>
  <c r="H86" i="19"/>
  <c r="G86" i="19"/>
  <c r="D86" i="19"/>
  <c r="AS85" i="19"/>
  <c r="AR85" i="19"/>
  <c r="AQ85" i="19"/>
  <c r="AD85" i="19"/>
  <c r="U85" i="19"/>
  <c r="BC28" i="19" s="1"/>
  <c r="AU84" i="19"/>
  <c r="AL84" i="19"/>
  <c r="AI84" i="19"/>
  <c r="AF84" i="19"/>
  <c r="AC84" i="19"/>
  <c r="Z84" i="19"/>
  <c r="W84" i="19"/>
  <c r="T84" i="19"/>
  <c r="Q84" i="19"/>
  <c r="N84" i="19"/>
  <c r="L84" i="19"/>
  <c r="AS84" i="19" s="1"/>
  <c r="D84" i="19"/>
  <c r="AU83" i="19"/>
  <c r="AS83" i="19"/>
  <c r="AR83" i="19"/>
  <c r="AL83" i="19"/>
  <c r="AI83" i="19"/>
  <c r="AF83" i="19"/>
  <c r="AC83" i="19"/>
  <c r="AQ83" i="19" s="1"/>
  <c r="Z83" i="19"/>
  <c r="W83" i="19"/>
  <c r="T83" i="19"/>
  <c r="Q83" i="19"/>
  <c r="N83" i="19"/>
  <c r="L83" i="19"/>
  <c r="D83" i="19"/>
  <c r="AU82" i="19"/>
  <c r="AL82" i="19"/>
  <c r="AI82" i="19"/>
  <c r="AF82" i="19"/>
  <c r="AC82" i="19"/>
  <c r="AQ82" i="19" s="1"/>
  <c r="Z82" i="19"/>
  <c r="W82" i="19"/>
  <c r="T82" i="19"/>
  <c r="Q82" i="19"/>
  <c r="N82" i="19"/>
  <c r="L82" i="19"/>
  <c r="AR82" i="19" s="1"/>
  <c r="D82" i="19"/>
  <c r="AU81" i="19"/>
  <c r="AQ81" i="19"/>
  <c r="AL81" i="19"/>
  <c r="AS81" i="19" s="1"/>
  <c r="AT81" i="19" s="1"/>
  <c r="AI81" i="19"/>
  <c r="AF81" i="19"/>
  <c r="AR81" i="19" s="1"/>
  <c r="AC81" i="19"/>
  <c r="Z81" i="19"/>
  <c r="W81" i="19"/>
  <c r="T81" i="19"/>
  <c r="Q81" i="19"/>
  <c r="N81" i="19"/>
  <c r="L81" i="19"/>
  <c r="D81" i="19"/>
  <c r="AU80" i="19"/>
  <c r="AS80" i="19"/>
  <c r="AT80" i="19" s="1"/>
  <c r="AL80" i="19"/>
  <c r="AI80" i="19"/>
  <c r="AF80" i="19"/>
  <c r="AC80" i="19"/>
  <c r="AQ80" i="19" s="1"/>
  <c r="Z80" i="19"/>
  <c r="W80" i="19"/>
  <c r="T80" i="19"/>
  <c r="Q80" i="19"/>
  <c r="N80" i="19"/>
  <c r="L80" i="19"/>
  <c r="AR80" i="19" s="1"/>
  <c r="D80" i="19"/>
  <c r="AU79" i="19"/>
  <c r="AL79" i="19"/>
  <c r="AS79" i="19" s="1"/>
  <c r="AT79" i="19" s="1"/>
  <c r="AI79" i="19"/>
  <c r="AF79" i="19"/>
  <c r="AR79" i="19" s="1"/>
  <c r="AC79" i="19"/>
  <c r="AQ79" i="19" s="1"/>
  <c r="Z79" i="19"/>
  <c r="W79" i="19"/>
  <c r="T79" i="19"/>
  <c r="Q79" i="19"/>
  <c r="N79" i="19"/>
  <c r="L79" i="19"/>
  <c r="J79" i="19"/>
  <c r="H79" i="19"/>
  <c r="G79" i="19"/>
  <c r="I79" i="19" s="1"/>
  <c r="D79" i="19"/>
  <c r="AS78" i="19"/>
  <c r="AR78" i="19"/>
  <c r="AQ78" i="19"/>
  <c r="R78" i="19"/>
  <c r="AU77" i="19"/>
  <c r="AL77" i="19"/>
  <c r="AI77" i="19"/>
  <c r="AF77" i="19"/>
  <c r="AC77" i="19"/>
  <c r="AQ77" i="19" s="1"/>
  <c r="Z77" i="19"/>
  <c r="W77" i="19"/>
  <c r="T77" i="19"/>
  <c r="Q77" i="19"/>
  <c r="N77" i="19"/>
  <c r="L77" i="19"/>
  <c r="AS77" i="19" s="1"/>
  <c r="D77" i="19"/>
  <c r="AU76" i="19"/>
  <c r="AR76" i="19"/>
  <c r="AQ76" i="19"/>
  <c r="AL76" i="19"/>
  <c r="AS76" i="19" s="1"/>
  <c r="AT76" i="19" s="1"/>
  <c r="AI76" i="19"/>
  <c r="AF76" i="19"/>
  <c r="AC76" i="19"/>
  <c r="Z76" i="19"/>
  <c r="W76" i="19"/>
  <c r="T76" i="19"/>
  <c r="Q76" i="19"/>
  <c r="N76" i="19"/>
  <c r="L76" i="19"/>
  <c r="D76" i="19"/>
  <c r="AU75" i="19"/>
  <c r="AS75" i="19"/>
  <c r="AL75" i="19"/>
  <c r="AI75" i="19"/>
  <c r="AF75" i="19"/>
  <c r="AR75" i="19" s="1"/>
  <c r="AC75" i="19"/>
  <c r="AQ75" i="19" s="1"/>
  <c r="Z75" i="19"/>
  <c r="W75" i="19"/>
  <c r="T75" i="19"/>
  <c r="Q75" i="19"/>
  <c r="N75" i="19"/>
  <c r="L75" i="19"/>
  <c r="D75" i="19"/>
  <c r="AU74" i="19"/>
  <c r="AQ74" i="19"/>
  <c r="AL74" i="19"/>
  <c r="AS74" i="19" s="1"/>
  <c r="AI74" i="19"/>
  <c r="AF74" i="19"/>
  <c r="AR74" i="19" s="1"/>
  <c r="AC74" i="19"/>
  <c r="Z74" i="19"/>
  <c r="W74" i="19"/>
  <c r="T74" i="19"/>
  <c r="Q74" i="19"/>
  <c r="N74" i="19"/>
  <c r="L74" i="19"/>
  <c r="D74" i="19"/>
  <c r="AU73" i="19"/>
  <c r="AS73" i="19"/>
  <c r="AL73" i="19"/>
  <c r="AI73" i="19"/>
  <c r="AF73" i="19"/>
  <c r="AR73" i="19" s="1"/>
  <c r="AC73" i="19"/>
  <c r="AQ73" i="19" s="1"/>
  <c r="Z73" i="19"/>
  <c r="W73" i="19"/>
  <c r="T73" i="19"/>
  <c r="Q73" i="19"/>
  <c r="N73" i="19"/>
  <c r="L73" i="19"/>
  <c r="D73" i="19"/>
  <c r="AU72" i="19"/>
  <c r="AL72" i="19"/>
  <c r="AS72" i="19" s="1"/>
  <c r="AI72" i="19"/>
  <c r="AF72" i="19"/>
  <c r="AR72" i="19" s="1"/>
  <c r="AC72" i="19"/>
  <c r="AQ72" i="19" s="1"/>
  <c r="Z72" i="19"/>
  <c r="W72" i="19"/>
  <c r="T72" i="19"/>
  <c r="Q72" i="19"/>
  <c r="N72" i="19"/>
  <c r="L72" i="19"/>
  <c r="J72" i="19"/>
  <c r="H72" i="19"/>
  <c r="I72" i="19" s="1"/>
  <c r="D72" i="19"/>
  <c r="AS71" i="19"/>
  <c r="AT71" i="19" s="1"/>
  <c r="AR71" i="19"/>
  <c r="AQ71" i="19"/>
  <c r="AD71" i="19"/>
  <c r="AU70" i="19"/>
  <c r="AS70" i="19"/>
  <c r="AR70" i="19"/>
  <c r="AL70" i="19"/>
  <c r="AI70" i="19"/>
  <c r="AF70" i="19"/>
  <c r="AC70" i="19"/>
  <c r="AQ70" i="19" s="1"/>
  <c r="Z70" i="19"/>
  <c r="W70" i="19"/>
  <c r="T70" i="19"/>
  <c r="Q70" i="19"/>
  <c r="N70" i="19"/>
  <c r="L70" i="19"/>
  <c r="D70" i="19"/>
  <c r="AU69" i="19"/>
  <c r="AQ69" i="19"/>
  <c r="AL69" i="19"/>
  <c r="AS69" i="19" s="1"/>
  <c r="AT69" i="19" s="1"/>
  <c r="AI69" i="19"/>
  <c r="AF69" i="19"/>
  <c r="AR69" i="19" s="1"/>
  <c r="AC69" i="19"/>
  <c r="Z69" i="19"/>
  <c r="W69" i="19"/>
  <c r="T69" i="19"/>
  <c r="Q69" i="19"/>
  <c r="N69" i="19"/>
  <c r="L69" i="19"/>
  <c r="D69" i="19"/>
  <c r="AU68" i="19"/>
  <c r="AS68" i="19"/>
  <c r="AT68" i="19" s="1"/>
  <c r="AQ68" i="19"/>
  <c r="AL68" i="19"/>
  <c r="AI68" i="19"/>
  <c r="AF68" i="19"/>
  <c r="AR68" i="19" s="1"/>
  <c r="AC68" i="19"/>
  <c r="Z68" i="19"/>
  <c r="W68" i="19"/>
  <c r="T68" i="19"/>
  <c r="Q68" i="19"/>
  <c r="N68" i="19"/>
  <c r="L68" i="19"/>
  <c r="D68" i="19"/>
  <c r="AU67" i="19"/>
  <c r="AT67" i="19"/>
  <c r="AQ67" i="19"/>
  <c r="AL67" i="19"/>
  <c r="AS67" i="19" s="1"/>
  <c r="AI67" i="19"/>
  <c r="AF67" i="19"/>
  <c r="AR67" i="19" s="1"/>
  <c r="AC67" i="19"/>
  <c r="Z67" i="19"/>
  <c r="W67" i="19"/>
  <c r="T67" i="19"/>
  <c r="Q67" i="19"/>
  <c r="N67" i="19"/>
  <c r="L67" i="19"/>
  <c r="D67" i="19"/>
  <c r="AU66" i="19"/>
  <c r="AR66" i="19"/>
  <c r="AQ66" i="19"/>
  <c r="AL66" i="19"/>
  <c r="AS66" i="19" s="1"/>
  <c r="AT66" i="19" s="1"/>
  <c r="AI66" i="19"/>
  <c r="AF66" i="19"/>
  <c r="AC66" i="19"/>
  <c r="Z66" i="19"/>
  <c r="W66" i="19"/>
  <c r="T66" i="19"/>
  <c r="Q66" i="19"/>
  <c r="N66" i="19"/>
  <c r="L66" i="19"/>
  <c r="D66" i="19"/>
  <c r="AU65" i="19"/>
  <c r="AS65" i="19"/>
  <c r="AL65" i="19"/>
  <c r="AI65" i="19"/>
  <c r="AF65" i="19"/>
  <c r="AR65" i="19" s="1"/>
  <c r="AC65" i="19"/>
  <c r="Z65" i="19"/>
  <c r="W65" i="19"/>
  <c r="T65" i="19"/>
  <c r="Q65" i="19"/>
  <c r="N65" i="19"/>
  <c r="L65" i="19"/>
  <c r="J65" i="19"/>
  <c r="H65" i="19"/>
  <c r="I65" i="19" s="1"/>
  <c r="AV71" i="19" s="1"/>
  <c r="D65" i="19"/>
  <c r="AT64" i="19"/>
  <c r="AS64" i="19"/>
  <c r="AR64" i="19"/>
  <c r="AQ64" i="19"/>
  <c r="R64" i="19"/>
  <c r="AU63" i="19"/>
  <c r="AS63" i="19"/>
  <c r="AQ63" i="19"/>
  <c r="AL63" i="19"/>
  <c r="AI63" i="19"/>
  <c r="AF63" i="19"/>
  <c r="AR63" i="19" s="1"/>
  <c r="AC63" i="19"/>
  <c r="Z63" i="19"/>
  <c r="W63" i="19"/>
  <c r="T63" i="19"/>
  <c r="Q63" i="19"/>
  <c r="N63" i="19"/>
  <c r="L63" i="19"/>
  <c r="D63" i="19"/>
  <c r="AU62" i="19"/>
  <c r="AQ62" i="19"/>
  <c r="AL62" i="19"/>
  <c r="AS62" i="19" s="1"/>
  <c r="AT62" i="19" s="1"/>
  <c r="AI62" i="19"/>
  <c r="AF62" i="19"/>
  <c r="AR62" i="19" s="1"/>
  <c r="AC62" i="19"/>
  <c r="Z62" i="19"/>
  <c r="W62" i="19"/>
  <c r="T62" i="19"/>
  <c r="Q62" i="19"/>
  <c r="N62" i="19"/>
  <c r="L62" i="19"/>
  <c r="D62" i="19"/>
  <c r="AU61" i="19"/>
  <c r="AL61" i="19"/>
  <c r="AI61" i="19"/>
  <c r="AF61" i="19"/>
  <c r="AC61" i="19"/>
  <c r="Z61" i="19"/>
  <c r="W61" i="19"/>
  <c r="T61" i="19"/>
  <c r="Q61" i="19"/>
  <c r="N61" i="19"/>
  <c r="L61" i="19"/>
  <c r="AS61" i="19" s="1"/>
  <c r="D61" i="19"/>
  <c r="AU60" i="19"/>
  <c r="AL60" i="19"/>
  <c r="AS60" i="19" s="1"/>
  <c r="AT60" i="19" s="1"/>
  <c r="AI60" i="19"/>
  <c r="AF60" i="19"/>
  <c r="AR60" i="19" s="1"/>
  <c r="AC60" i="19"/>
  <c r="AQ60" i="19" s="1"/>
  <c r="Z60" i="19"/>
  <c r="W60" i="19"/>
  <c r="T60" i="19"/>
  <c r="Q60" i="19"/>
  <c r="N60" i="19"/>
  <c r="L60" i="19"/>
  <c r="D60" i="19"/>
  <c r="AU59" i="19"/>
  <c r="AS59" i="19"/>
  <c r="AR59" i="19"/>
  <c r="AQ59" i="19"/>
  <c r="AL59" i="19"/>
  <c r="AI59" i="19"/>
  <c r="AF59" i="19"/>
  <c r="AC59" i="19"/>
  <c r="Z59" i="19"/>
  <c r="W59" i="19"/>
  <c r="T59" i="19"/>
  <c r="U64" i="19" s="1"/>
  <c r="Q59" i="19"/>
  <c r="N59" i="19"/>
  <c r="L59" i="19"/>
  <c r="D59" i="19"/>
  <c r="AU58" i="19"/>
  <c r="AL58" i="19"/>
  <c r="AI58" i="19"/>
  <c r="AF58" i="19"/>
  <c r="AC58" i="19"/>
  <c r="Z58" i="19"/>
  <c r="W58" i="19"/>
  <c r="T58" i="19"/>
  <c r="Q58" i="19"/>
  <c r="N58" i="19"/>
  <c r="L58" i="19"/>
  <c r="AR58" i="19" s="1"/>
  <c r="J58" i="19"/>
  <c r="I58" i="19"/>
  <c r="AD64" i="19" s="1"/>
  <c r="H58" i="19"/>
  <c r="G58" i="19"/>
  <c r="D58" i="19"/>
  <c r="AT57" i="19"/>
  <c r="AS57" i="19"/>
  <c r="AR57" i="19"/>
  <c r="AQ57" i="19"/>
  <c r="AU56" i="19"/>
  <c r="AL56" i="19"/>
  <c r="AI56" i="19"/>
  <c r="AF56" i="19"/>
  <c r="AC56" i="19"/>
  <c r="Z56" i="19"/>
  <c r="W56" i="19"/>
  <c r="T56" i="19"/>
  <c r="Q56" i="19"/>
  <c r="N56" i="19"/>
  <c r="L56" i="19"/>
  <c r="AQ56" i="19" s="1"/>
  <c r="D56" i="19"/>
  <c r="AU55" i="19"/>
  <c r="AL55" i="19"/>
  <c r="AI55" i="19"/>
  <c r="AF55" i="19"/>
  <c r="AC55" i="19"/>
  <c r="Z55" i="19"/>
  <c r="W55" i="19"/>
  <c r="T55" i="19"/>
  <c r="Q55" i="19"/>
  <c r="N55" i="19"/>
  <c r="L55" i="19"/>
  <c r="D55" i="19"/>
  <c r="AU54" i="19"/>
  <c r="AT54" i="19"/>
  <c r="AS54" i="19"/>
  <c r="AL54" i="19"/>
  <c r="AI54" i="19"/>
  <c r="AF54" i="19"/>
  <c r="AR54" i="19" s="1"/>
  <c r="AC54" i="19"/>
  <c r="AQ54" i="19" s="1"/>
  <c r="Z54" i="19"/>
  <c r="W54" i="19"/>
  <c r="T54" i="19"/>
  <c r="Q54" i="19"/>
  <c r="N54" i="19"/>
  <c r="L54" i="19"/>
  <c r="D54" i="19"/>
  <c r="AU53" i="19"/>
  <c r="AL53" i="19"/>
  <c r="AI53" i="19"/>
  <c r="AF53" i="19"/>
  <c r="AR53" i="19" s="1"/>
  <c r="AC53" i="19"/>
  <c r="Z53" i="19"/>
  <c r="W53" i="19"/>
  <c r="T53" i="19"/>
  <c r="Q53" i="19"/>
  <c r="N53" i="19"/>
  <c r="L53" i="19"/>
  <c r="D53" i="19"/>
  <c r="AU52" i="19"/>
  <c r="AS52" i="19"/>
  <c r="AT52" i="19" s="1"/>
  <c r="AR52" i="19"/>
  <c r="AQ52" i="19"/>
  <c r="AL52" i="19"/>
  <c r="AI52" i="19"/>
  <c r="AF52" i="19"/>
  <c r="AC52" i="19"/>
  <c r="Z52" i="19"/>
  <c r="W52" i="19"/>
  <c r="T52" i="19"/>
  <c r="Q52" i="19"/>
  <c r="N52" i="19"/>
  <c r="L52" i="19"/>
  <c r="D52" i="19"/>
  <c r="AU51" i="19"/>
  <c r="AL51" i="19"/>
  <c r="AI51" i="19"/>
  <c r="AF51" i="19"/>
  <c r="AR51" i="19" s="1"/>
  <c r="AC51" i="19"/>
  <c r="AQ51" i="19" s="1"/>
  <c r="Z51" i="19"/>
  <c r="W51" i="19"/>
  <c r="T51" i="19"/>
  <c r="Q51" i="19"/>
  <c r="N51" i="19"/>
  <c r="L51" i="19"/>
  <c r="AS51" i="19" s="1"/>
  <c r="AT51" i="19" s="1"/>
  <c r="J51" i="19"/>
  <c r="K51" i="19" s="1"/>
  <c r="H51" i="19"/>
  <c r="G51" i="19"/>
  <c r="D51" i="19"/>
  <c r="AT50" i="19"/>
  <c r="AS50" i="19"/>
  <c r="AR50" i="19"/>
  <c r="AQ50" i="19"/>
  <c r="AU49" i="19"/>
  <c r="AS49" i="19"/>
  <c r="AL49" i="19"/>
  <c r="AI49" i="19"/>
  <c r="AF49" i="19"/>
  <c r="AR49" i="19" s="1"/>
  <c r="AC49" i="19"/>
  <c r="AQ49" i="19" s="1"/>
  <c r="Z49" i="19"/>
  <c r="W49" i="19"/>
  <c r="T49" i="19"/>
  <c r="Q49" i="19"/>
  <c r="N49" i="19"/>
  <c r="L49" i="19"/>
  <c r="D49" i="19"/>
  <c r="AU48" i="19"/>
  <c r="AL48" i="19"/>
  <c r="AS48" i="19" s="1"/>
  <c r="AT48" i="19" s="1"/>
  <c r="AI48" i="19"/>
  <c r="AF48" i="19"/>
  <c r="AR48" i="19" s="1"/>
  <c r="AC48" i="19"/>
  <c r="AQ48" i="19" s="1"/>
  <c r="Z48" i="19"/>
  <c r="W48" i="19"/>
  <c r="T48" i="19"/>
  <c r="Q48" i="19"/>
  <c r="N48" i="19"/>
  <c r="L48" i="19"/>
  <c r="D48" i="19"/>
  <c r="AU47" i="19"/>
  <c r="AL47" i="19"/>
  <c r="AS47" i="19" s="1"/>
  <c r="AI47" i="19"/>
  <c r="AF47" i="19"/>
  <c r="AC47" i="19"/>
  <c r="AQ47" i="19" s="1"/>
  <c r="Z47" i="19"/>
  <c r="W47" i="19"/>
  <c r="T47" i="19"/>
  <c r="Q47" i="19"/>
  <c r="N47" i="19"/>
  <c r="L47" i="19"/>
  <c r="AR47" i="19" s="1"/>
  <c r="D47" i="19"/>
  <c r="AU46" i="19"/>
  <c r="AL46" i="19"/>
  <c r="AS46" i="19" s="1"/>
  <c r="AT46" i="19" s="1"/>
  <c r="AI46" i="19"/>
  <c r="AF46" i="19"/>
  <c r="AR46" i="19" s="1"/>
  <c r="AC46" i="19"/>
  <c r="AQ46" i="19" s="1"/>
  <c r="Z46" i="19"/>
  <c r="W46" i="19"/>
  <c r="T46" i="19"/>
  <c r="Q46" i="19"/>
  <c r="N46" i="19"/>
  <c r="L46" i="19"/>
  <c r="D46" i="19"/>
  <c r="AU45" i="19"/>
  <c r="AS45" i="19"/>
  <c r="AR45" i="19"/>
  <c r="AQ45" i="19"/>
  <c r="AL45" i="19"/>
  <c r="AI45" i="19"/>
  <c r="AF45" i="19"/>
  <c r="AC45" i="19"/>
  <c r="Z45" i="19"/>
  <c r="W45" i="19"/>
  <c r="T45" i="19"/>
  <c r="Q45" i="19"/>
  <c r="N45" i="19"/>
  <c r="L45" i="19"/>
  <c r="D45" i="19"/>
  <c r="AU44" i="19"/>
  <c r="AR44" i="19"/>
  <c r="AL44" i="19"/>
  <c r="AI44" i="19"/>
  <c r="AF44" i="19"/>
  <c r="AC44" i="19"/>
  <c r="Z44" i="19"/>
  <c r="W44" i="19"/>
  <c r="T44" i="19"/>
  <c r="Q44" i="19"/>
  <c r="N44" i="19"/>
  <c r="L44" i="19"/>
  <c r="J44" i="19"/>
  <c r="I44" i="19"/>
  <c r="H44" i="19"/>
  <c r="D44" i="19"/>
  <c r="AT43" i="19"/>
  <c r="AS43" i="19"/>
  <c r="AR43" i="19"/>
  <c r="AQ43" i="19"/>
  <c r="AU42" i="19"/>
  <c r="AQ42" i="19"/>
  <c r="AL42" i="19"/>
  <c r="AS42" i="19" s="1"/>
  <c r="AT42" i="19" s="1"/>
  <c r="AI42" i="19"/>
  <c r="AF42" i="19"/>
  <c r="AC42" i="19"/>
  <c r="Z42" i="19"/>
  <c r="W42" i="19"/>
  <c r="T42" i="19"/>
  <c r="Q42" i="19"/>
  <c r="N42" i="19"/>
  <c r="L42" i="19"/>
  <c r="AR42" i="19" s="1"/>
  <c r="D42" i="19"/>
  <c r="AU41" i="19"/>
  <c r="AS41" i="19"/>
  <c r="AL41" i="19"/>
  <c r="AI41" i="19"/>
  <c r="AF41" i="19"/>
  <c r="AC41" i="19"/>
  <c r="Z41" i="19"/>
  <c r="W41" i="19"/>
  <c r="T41" i="19"/>
  <c r="Q41" i="19"/>
  <c r="N41" i="19"/>
  <c r="L41" i="19"/>
  <c r="D41" i="19"/>
  <c r="AU40" i="19"/>
  <c r="AS40" i="19"/>
  <c r="AT40" i="19" s="1"/>
  <c r="AR40" i="19"/>
  <c r="AL40" i="19"/>
  <c r="AI40" i="19"/>
  <c r="AF40" i="19"/>
  <c r="AC40" i="19"/>
  <c r="AQ40" i="19" s="1"/>
  <c r="Z40" i="19"/>
  <c r="W40" i="19"/>
  <c r="T40" i="19"/>
  <c r="Q40" i="19"/>
  <c r="N40" i="19"/>
  <c r="L40" i="19"/>
  <c r="D40" i="19"/>
  <c r="AU39" i="19"/>
  <c r="AL39" i="19"/>
  <c r="AI39" i="19"/>
  <c r="AF39" i="19"/>
  <c r="AC39" i="19"/>
  <c r="Z39" i="19"/>
  <c r="W39" i="19"/>
  <c r="T39" i="19"/>
  <c r="Q39" i="19"/>
  <c r="N39" i="19"/>
  <c r="L39" i="19"/>
  <c r="D39" i="19"/>
  <c r="AU38" i="19"/>
  <c r="AL38" i="19"/>
  <c r="AI38" i="19"/>
  <c r="AF38" i="19"/>
  <c r="AC38" i="19"/>
  <c r="Z38" i="19"/>
  <c r="W38" i="19"/>
  <c r="T38" i="19"/>
  <c r="Q38" i="19"/>
  <c r="N38" i="19"/>
  <c r="L38" i="19"/>
  <c r="AQ38" i="19" s="1"/>
  <c r="D38" i="19"/>
  <c r="AU37" i="19"/>
  <c r="AS37" i="19"/>
  <c r="AL37" i="19"/>
  <c r="AI37" i="19"/>
  <c r="AF37" i="19"/>
  <c r="AR37" i="19" s="1"/>
  <c r="AC37" i="19"/>
  <c r="AQ37" i="19" s="1"/>
  <c r="Z37" i="19"/>
  <c r="W37" i="19"/>
  <c r="T37" i="19"/>
  <c r="Q37" i="19"/>
  <c r="N37" i="19"/>
  <c r="L37" i="19"/>
  <c r="J37" i="19"/>
  <c r="I37" i="19"/>
  <c r="H37" i="19"/>
  <c r="D37" i="19"/>
  <c r="AT36" i="19"/>
  <c r="AS36" i="19"/>
  <c r="AR36" i="19"/>
  <c r="AQ36" i="19"/>
  <c r="AU35" i="19"/>
  <c r="AS35" i="19"/>
  <c r="AR35" i="19"/>
  <c r="AL35" i="19"/>
  <c r="AI35" i="19"/>
  <c r="AF35" i="19"/>
  <c r="AC35" i="19"/>
  <c r="AQ35" i="19" s="1"/>
  <c r="Z35" i="19"/>
  <c r="W35" i="19"/>
  <c r="T35" i="19"/>
  <c r="Q35" i="19"/>
  <c r="N35" i="19"/>
  <c r="L35" i="19"/>
  <c r="D35" i="19"/>
  <c r="AU34" i="19"/>
  <c r="AR34" i="19"/>
  <c r="AQ34" i="19"/>
  <c r="AL34" i="19"/>
  <c r="AS34" i="19" s="1"/>
  <c r="AT34" i="19" s="1"/>
  <c r="AI34" i="19"/>
  <c r="AF34" i="19"/>
  <c r="AC34" i="19"/>
  <c r="Z34" i="19"/>
  <c r="W34" i="19"/>
  <c r="T34" i="19"/>
  <c r="Q34" i="19"/>
  <c r="N34" i="19"/>
  <c r="L34" i="19"/>
  <c r="J34" i="19"/>
  <c r="H34" i="19"/>
  <c r="G34" i="19"/>
  <c r="D34" i="19"/>
  <c r="AS33" i="19"/>
  <c r="AR33" i="19"/>
  <c r="AQ33" i="19"/>
  <c r="AU32" i="19"/>
  <c r="AS32" i="19"/>
  <c r="AT32" i="19" s="1"/>
  <c r="AR32" i="19"/>
  <c r="AQ32" i="19"/>
  <c r="AL32" i="19"/>
  <c r="AI32" i="19"/>
  <c r="AF32" i="19"/>
  <c r="AC32" i="19"/>
  <c r="Z32" i="19"/>
  <c r="W32" i="19"/>
  <c r="T32" i="19"/>
  <c r="Q32" i="19"/>
  <c r="N32" i="19"/>
  <c r="L32" i="19"/>
  <c r="D32" i="19"/>
  <c r="AU31" i="19"/>
  <c r="AS31" i="19"/>
  <c r="AR31" i="19"/>
  <c r="AL31" i="19"/>
  <c r="AI31" i="19"/>
  <c r="AF31" i="19"/>
  <c r="AC31" i="19"/>
  <c r="AQ31" i="19" s="1"/>
  <c r="Z31" i="19"/>
  <c r="W31" i="19"/>
  <c r="T31" i="19"/>
  <c r="Q31" i="19"/>
  <c r="N31" i="19"/>
  <c r="L31" i="19"/>
  <c r="J31" i="19"/>
  <c r="I31" i="19"/>
  <c r="H31" i="19"/>
  <c r="G31" i="19"/>
  <c r="D31" i="19"/>
  <c r="AV30" i="19"/>
  <c r="AS30" i="19"/>
  <c r="AR30" i="19"/>
  <c r="AQ30" i="19"/>
  <c r="AT30" i="19" s="1"/>
  <c r="U30" i="19"/>
  <c r="AU29" i="19"/>
  <c r="AS29" i="19"/>
  <c r="AR29" i="19"/>
  <c r="AQ29" i="19"/>
  <c r="AL29" i="19"/>
  <c r="AI29" i="19"/>
  <c r="AF29" i="19"/>
  <c r="AC29" i="19"/>
  <c r="Z29" i="19"/>
  <c r="W29" i="19"/>
  <c r="T29" i="19"/>
  <c r="Q29" i="19"/>
  <c r="N29" i="19"/>
  <c r="L29" i="19"/>
  <c r="D29" i="19"/>
  <c r="AU28" i="19"/>
  <c r="AR28" i="19"/>
  <c r="AQ28" i="19"/>
  <c r="AL28" i="19"/>
  <c r="AS28" i="19" s="1"/>
  <c r="AT28" i="19" s="1"/>
  <c r="AI28" i="19"/>
  <c r="AF28" i="19"/>
  <c r="AC28" i="19"/>
  <c r="Z28" i="19"/>
  <c r="W28" i="19"/>
  <c r="T28" i="19"/>
  <c r="Q28" i="19"/>
  <c r="N28" i="19"/>
  <c r="L28" i="19"/>
  <c r="J28" i="19"/>
  <c r="H28" i="19"/>
  <c r="I28" i="19" s="1"/>
  <c r="AA30" i="19" s="1"/>
  <c r="D28" i="19"/>
  <c r="BC27" i="19"/>
  <c r="AT27" i="19"/>
  <c r="AS27" i="19"/>
  <c r="AR27" i="19"/>
  <c r="AQ27" i="19"/>
  <c r="AU26" i="19"/>
  <c r="AQ26" i="19"/>
  <c r="AL26" i="19"/>
  <c r="AS26" i="19" s="1"/>
  <c r="AI26" i="19"/>
  <c r="AF26" i="19"/>
  <c r="AR26" i="19" s="1"/>
  <c r="AC26" i="19"/>
  <c r="Z26" i="19"/>
  <c r="W26" i="19"/>
  <c r="T26" i="19"/>
  <c r="Q26" i="19"/>
  <c r="N26" i="19"/>
  <c r="L26" i="19"/>
  <c r="D26" i="19"/>
  <c r="AU25" i="19"/>
  <c r="AQ25" i="19"/>
  <c r="AL25" i="19"/>
  <c r="AI25" i="19"/>
  <c r="AF25" i="19"/>
  <c r="AC25" i="19"/>
  <c r="Z25" i="19"/>
  <c r="W25" i="19"/>
  <c r="T25" i="19"/>
  <c r="Q25" i="19"/>
  <c r="N25" i="19"/>
  <c r="O27" i="19" s="1"/>
  <c r="L25" i="19"/>
  <c r="AR25" i="19" s="1"/>
  <c r="J25" i="19"/>
  <c r="I25" i="19"/>
  <c r="H25" i="19"/>
  <c r="D25" i="19"/>
  <c r="AS24" i="19"/>
  <c r="AT24" i="19" s="1"/>
  <c r="AR24" i="19"/>
  <c r="AQ24" i="19"/>
  <c r="AU23" i="19"/>
  <c r="AQ23" i="19"/>
  <c r="AL23" i="19"/>
  <c r="AS23" i="19" s="1"/>
  <c r="AI23" i="19"/>
  <c r="AF23" i="19"/>
  <c r="AC23" i="19"/>
  <c r="Z23" i="19"/>
  <c r="W23" i="19"/>
  <c r="T23" i="19"/>
  <c r="Q23" i="19"/>
  <c r="N23" i="19"/>
  <c r="L23" i="19"/>
  <c r="D23" i="19"/>
  <c r="AU22" i="19"/>
  <c r="AL22" i="19"/>
  <c r="AS22" i="19" s="1"/>
  <c r="AI22" i="19"/>
  <c r="AF22" i="19"/>
  <c r="AR22" i="19" s="1"/>
  <c r="AC22" i="19"/>
  <c r="AQ22" i="19" s="1"/>
  <c r="AT22" i="19" s="1"/>
  <c r="Z22" i="19"/>
  <c r="W22" i="19"/>
  <c r="T22" i="19"/>
  <c r="Q22" i="19"/>
  <c r="N22" i="19"/>
  <c r="L22" i="19"/>
  <c r="J22" i="19"/>
  <c r="H22" i="19"/>
  <c r="D22" i="19"/>
  <c r="AV21" i="19"/>
  <c r="AS21" i="19"/>
  <c r="AR21" i="19"/>
  <c r="AT21" i="19" s="1"/>
  <c r="AQ21" i="19"/>
  <c r="AU20" i="19"/>
  <c r="AQ20" i="19"/>
  <c r="AL20" i="19"/>
  <c r="AS20" i="19" s="1"/>
  <c r="AI20" i="19"/>
  <c r="AF20" i="19"/>
  <c r="AR20" i="19" s="1"/>
  <c r="AC20" i="19"/>
  <c r="Z20" i="19"/>
  <c r="W20" i="19"/>
  <c r="T20" i="19"/>
  <c r="Q20" i="19"/>
  <c r="R21" i="19" s="1"/>
  <c r="S21" i="19" s="1"/>
  <c r="N20" i="19"/>
  <c r="O21" i="19" s="1"/>
  <c r="P21" i="19" s="1"/>
  <c r="L20" i="19"/>
  <c r="D20" i="19"/>
  <c r="BB19" i="19"/>
  <c r="AU19" i="19"/>
  <c r="AL19" i="19"/>
  <c r="AS19" i="19" s="1"/>
  <c r="AI19" i="19"/>
  <c r="AF19" i="19"/>
  <c r="AC19" i="19"/>
  <c r="AQ19" i="19" s="1"/>
  <c r="Z19" i="19"/>
  <c r="AA21" i="19" s="1"/>
  <c r="AB21" i="19" s="1"/>
  <c r="W19" i="19"/>
  <c r="T19" i="19"/>
  <c r="Q19" i="19"/>
  <c r="N19" i="19"/>
  <c r="L19" i="19"/>
  <c r="M21" i="19" s="1"/>
  <c r="J19" i="19"/>
  <c r="H19" i="19"/>
  <c r="D19" i="19"/>
  <c r="AU18" i="19"/>
  <c r="AL18" i="19"/>
  <c r="AS18" i="19" s="1"/>
  <c r="AI18" i="19"/>
  <c r="AF18" i="19"/>
  <c r="AR18" i="19" s="1"/>
  <c r="AC18" i="19"/>
  <c r="AQ18" i="19" s="1"/>
  <c r="Z18" i="19"/>
  <c r="W18" i="19"/>
  <c r="T18" i="19"/>
  <c r="Q18" i="19"/>
  <c r="N18" i="19"/>
  <c r="L18" i="19"/>
  <c r="J18" i="19"/>
  <c r="H18" i="19"/>
  <c r="D18" i="19"/>
  <c r="AV17" i="19"/>
  <c r="AU17" i="19"/>
  <c r="AS17" i="19"/>
  <c r="AL17" i="19"/>
  <c r="AI17" i="19"/>
  <c r="AF17" i="19"/>
  <c r="AR17" i="19" s="1"/>
  <c r="AC17" i="19"/>
  <c r="AQ17" i="19" s="1"/>
  <c r="Z17" i="19"/>
  <c r="W17" i="19"/>
  <c r="T17" i="19"/>
  <c r="R17" i="19"/>
  <c r="Q17" i="19"/>
  <c r="N17" i="19"/>
  <c r="L17" i="19"/>
  <c r="J17" i="19"/>
  <c r="I17" i="19"/>
  <c r="H17" i="19"/>
  <c r="D17" i="19"/>
  <c r="AV16" i="19"/>
  <c r="AU16" i="19"/>
  <c r="AQ16" i="19"/>
  <c r="AL16" i="19"/>
  <c r="AS16" i="19" s="1"/>
  <c r="AI16" i="19"/>
  <c r="AF16" i="19"/>
  <c r="AC16" i="19"/>
  <c r="Z16" i="19"/>
  <c r="W16" i="19"/>
  <c r="X16" i="19" s="1"/>
  <c r="T16" i="19"/>
  <c r="Q16" i="19"/>
  <c r="N16" i="19"/>
  <c r="L16" i="19"/>
  <c r="J16" i="19"/>
  <c r="H16" i="19"/>
  <c r="I16" i="19" s="1"/>
  <c r="D16" i="19"/>
  <c r="AU15" i="19"/>
  <c r="AQ15" i="19"/>
  <c r="AL15" i="19"/>
  <c r="AI15" i="19"/>
  <c r="AF15" i="19"/>
  <c r="AC15" i="19"/>
  <c r="Z15" i="19"/>
  <c r="W15" i="19"/>
  <c r="T15" i="19"/>
  <c r="Q15" i="19"/>
  <c r="N15" i="19"/>
  <c r="L15" i="19"/>
  <c r="AR15" i="19" s="1"/>
  <c r="J15" i="19"/>
  <c r="H15" i="19"/>
  <c r="I15" i="19" s="1"/>
  <c r="D15" i="19"/>
  <c r="AU14" i="19"/>
  <c r="AL14" i="19"/>
  <c r="AI14" i="19"/>
  <c r="AF14" i="19"/>
  <c r="AD14" i="19"/>
  <c r="AC14" i="19"/>
  <c r="Z14" i="19"/>
  <c r="W14" i="19"/>
  <c r="T14" i="19"/>
  <c r="Q14" i="19"/>
  <c r="N14" i="19"/>
  <c r="L14" i="19"/>
  <c r="AQ14" i="19" s="1"/>
  <c r="J14" i="19"/>
  <c r="I14" i="19"/>
  <c r="AA14" i="19" s="1"/>
  <c r="H14" i="19"/>
  <c r="D14" i="19"/>
  <c r="AU13" i="19"/>
  <c r="AL13" i="19"/>
  <c r="AS13" i="19" s="1"/>
  <c r="AI13" i="19"/>
  <c r="AF13" i="19"/>
  <c r="AC13" i="19"/>
  <c r="AQ13" i="19" s="1"/>
  <c r="Z13" i="19"/>
  <c r="W13" i="19"/>
  <c r="T13" i="19"/>
  <c r="Q13" i="19"/>
  <c r="N13" i="19"/>
  <c r="L13" i="19"/>
  <c r="AR13" i="19" s="1"/>
  <c r="J13" i="19"/>
  <c r="H13" i="19"/>
  <c r="I13" i="19" s="1"/>
  <c r="D13" i="19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" i="19"/>
  <c r="A11" i="19" s="1"/>
  <c r="A12" i="19" s="1"/>
  <c r="AW9" i="19"/>
  <c r="AV9" i="19"/>
  <c r="AD9" i="19"/>
  <c r="AN8" i="19"/>
  <c r="AU8" i="19" s="1"/>
  <c r="AV8" i="19" s="1"/>
  <c r="AW8" i="19" s="1"/>
  <c r="AM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A8" i="19"/>
  <c r="A9" i="19" s="1"/>
  <c r="H4" i="19"/>
  <c r="K19" i="19" s="1"/>
  <c r="H3" i="19"/>
  <c r="I19" i="19" s="1"/>
  <c r="A3" i="19"/>
  <c r="A2" i="19"/>
  <c r="A1" i="19"/>
  <c r="AG21" i="19" l="1"/>
  <c r="AH21" i="19" s="1"/>
  <c r="AM21" i="19"/>
  <c r="AN21" i="19" s="1"/>
  <c r="AG57" i="19"/>
  <c r="AM57" i="19"/>
  <c r="BC22" i="19"/>
  <c r="V64" i="19"/>
  <c r="AV13" i="19"/>
  <c r="R13" i="19"/>
  <c r="O13" i="19"/>
  <c r="AD13" i="19"/>
  <c r="M13" i="19"/>
  <c r="BB13" i="19" s="1"/>
  <c r="U13" i="19"/>
  <c r="X13" i="19"/>
  <c r="Y13" i="19" s="1"/>
  <c r="AJ13" i="19"/>
  <c r="AK13" i="19" s="1"/>
  <c r="AA13" i="19"/>
  <c r="AB13" i="19" s="1"/>
  <c r="AT16" i="19"/>
  <c r="AB14" i="19"/>
  <c r="AV15" i="19"/>
  <c r="R15" i="19"/>
  <c r="X15" i="19"/>
  <c r="AA15" i="19"/>
  <c r="U15" i="19"/>
  <c r="M15" i="19"/>
  <c r="BB15" i="19" s="1"/>
  <c r="K37" i="19"/>
  <c r="M14" i="19"/>
  <c r="BB14" i="19" s="1"/>
  <c r="K18" i="19"/>
  <c r="AR38" i="19"/>
  <c r="AT18" i="19"/>
  <c r="AT33" i="19"/>
  <c r="X50" i="19"/>
  <c r="Y50" i="19" s="1"/>
  <c r="M50" i="19"/>
  <c r="BB32" i="19" s="1"/>
  <c r="AV50" i="19"/>
  <c r="AW50" i="19" s="1"/>
  <c r="AA50" i="19"/>
  <c r="AB50" i="19" s="1"/>
  <c r="O50" i="19"/>
  <c r="P50" i="19" s="1"/>
  <c r="U50" i="19"/>
  <c r="AD50" i="19"/>
  <c r="AE50" i="19" s="1"/>
  <c r="AQ84" i="19"/>
  <c r="AT84" i="19" s="1"/>
  <c r="AJ33" i="19"/>
  <c r="O33" i="19"/>
  <c r="M33" i="19"/>
  <c r="BB21" i="19" s="1"/>
  <c r="AV33" i="19"/>
  <c r="AW33" i="19" s="1"/>
  <c r="U33" i="19"/>
  <c r="X33" i="19"/>
  <c r="Y33" i="19" s="1"/>
  <c r="AD33" i="19"/>
  <c r="AA33" i="19"/>
  <c r="R33" i="19"/>
  <c r="AS38" i="19"/>
  <c r="AJ50" i="19"/>
  <c r="AK50" i="19" s="1"/>
  <c r="K13" i="19"/>
  <c r="AT13" i="19"/>
  <c r="AV14" i="19"/>
  <c r="X17" i="19"/>
  <c r="AD17" i="19"/>
  <c r="AE17" i="19" s="1"/>
  <c r="U17" i="19"/>
  <c r="AJ17" i="19"/>
  <c r="AK17" i="19" s="1"/>
  <c r="O17" i="19"/>
  <c r="P17" i="19" s="1"/>
  <c r="AA17" i="19"/>
  <c r="AB17" i="19" s="1"/>
  <c r="K34" i="19"/>
  <c r="I34" i="19"/>
  <c r="AT92" i="19"/>
  <c r="U16" i="19"/>
  <c r="AD16" i="19"/>
  <c r="O16" i="19"/>
  <c r="M16" i="19"/>
  <c r="BB16" i="19" s="1"/>
  <c r="AJ16" i="19"/>
  <c r="AK16" i="19" s="1"/>
  <c r="AA16" i="19"/>
  <c r="AB16" i="19" s="1"/>
  <c r="AT37" i="19"/>
  <c r="AT73" i="19"/>
  <c r="AD15" i="19"/>
  <c r="AT17" i="19"/>
  <c r="AT23" i="19"/>
  <c r="M43" i="19"/>
  <c r="BB31" i="19" s="1"/>
  <c r="K16" i="19"/>
  <c r="M17" i="19"/>
  <c r="BB17" i="19" s="1"/>
  <c r="AS25" i="19"/>
  <c r="AT25" i="19" s="1"/>
  <c r="U43" i="19"/>
  <c r="AJ43" i="19"/>
  <c r="AK43" i="19" s="1"/>
  <c r="O43" i="19"/>
  <c r="P43" i="19" s="1"/>
  <c r="AA43" i="19"/>
  <c r="AB43" i="19" s="1"/>
  <c r="X43" i="19"/>
  <c r="AV43" i="19"/>
  <c r="AD43" i="19"/>
  <c r="R43" i="19"/>
  <c r="AQ53" i="19"/>
  <c r="AV78" i="19"/>
  <c r="AA78" i="19"/>
  <c r="AJ78" i="19"/>
  <c r="O78" i="19"/>
  <c r="M78" i="19"/>
  <c r="BB24" i="19" s="1"/>
  <c r="AD78" i="19"/>
  <c r="AE78" i="19" s="1"/>
  <c r="X78" i="19"/>
  <c r="Y78" i="19" s="1"/>
  <c r="U78" i="19"/>
  <c r="AT77" i="19"/>
  <c r="AR56" i="19"/>
  <c r="AQ61" i="19"/>
  <c r="K72" i="19"/>
  <c r="AJ14" i="19"/>
  <c r="O14" i="19"/>
  <c r="X14" i="19"/>
  <c r="R14" i="19"/>
  <c r="U14" i="19"/>
  <c r="AJ15" i="19"/>
  <c r="AK15" i="19" s="1"/>
  <c r="S17" i="19"/>
  <c r="X27" i="19"/>
  <c r="M27" i="19"/>
  <c r="BB20" i="19" s="1"/>
  <c r="AV27" i="19"/>
  <c r="AW27" i="19" s="1"/>
  <c r="AA27" i="19"/>
  <c r="AB27" i="19" s="1"/>
  <c r="AJ27" i="19"/>
  <c r="AD27" i="19"/>
  <c r="U27" i="19"/>
  <c r="R27" i="19"/>
  <c r="AS56" i="19"/>
  <c r="AT56" i="19" s="1"/>
  <c r="AR61" i="19"/>
  <c r="AT61" i="19" s="1"/>
  <c r="AJ71" i="19"/>
  <c r="O71" i="19"/>
  <c r="X71" i="19"/>
  <c r="R71" i="19"/>
  <c r="AA71" i="19"/>
  <c r="U71" i="19"/>
  <c r="M71" i="19"/>
  <c r="BB23" i="19" s="1"/>
  <c r="AT78" i="19"/>
  <c r="AT91" i="19"/>
  <c r="R16" i="19"/>
  <c r="R50" i="19"/>
  <c r="S50" i="19" s="1"/>
  <c r="AT63" i="19"/>
  <c r="AT70" i="19"/>
  <c r="AT88" i="19"/>
  <c r="K25" i="19"/>
  <c r="K15" i="19"/>
  <c r="K79" i="19"/>
  <c r="K58" i="19"/>
  <c r="K28" i="19"/>
  <c r="K17" i="19"/>
  <c r="K44" i="19"/>
  <c r="K22" i="19"/>
  <c r="K14" i="19"/>
  <c r="O15" i="19"/>
  <c r="AT47" i="19"/>
  <c r="K65" i="19"/>
  <c r="AT89" i="19"/>
  <c r="BC34" i="19"/>
  <c r="V94" i="19"/>
  <c r="AR19" i="19"/>
  <c r="AT19" i="19" s="1"/>
  <c r="I86" i="19"/>
  <c r="K86" i="19"/>
  <c r="AT45" i="19"/>
  <c r="AT72" i="19"/>
  <c r="AJ30" i="19"/>
  <c r="O30" i="19"/>
  <c r="X30" i="19"/>
  <c r="R30" i="19"/>
  <c r="M30" i="19"/>
  <c r="BB27" i="19" s="1"/>
  <c r="BE27" i="19" s="1"/>
  <c r="X64" i="19"/>
  <c r="M64" i="19"/>
  <c r="BB22" i="19" s="1"/>
  <c r="AV64" i="19"/>
  <c r="AW64" i="19" s="1"/>
  <c r="AA64" i="19"/>
  <c r="AB64" i="19" s="1"/>
  <c r="O64" i="19"/>
  <c r="P64" i="19" s="1"/>
  <c r="AJ64" i="19"/>
  <c r="AK64" i="19" s="1"/>
  <c r="AD30" i="19"/>
  <c r="AE30" i="19" s="1"/>
  <c r="AR39" i="19"/>
  <c r="AT75" i="19"/>
  <c r="AT20" i="19"/>
  <c r="AT31" i="19"/>
  <c r="AT49" i="19"/>
  <c r="AQ55" i="19"/>
  <c r="AT59" i="19"/>
  <c r="AJ85" i="19"/>
  <c r="O85" i="19"/>
  <c r="AV85" i="19"/>
  <c r="AA85" i="19"/>
  <c r="X85" i="19"/>
  <c r="R85" i="19"/>
  <c r="M85" i="19"/>
  <c r="AE85" i="19"/>
  <c r="AW21" i="19"/>
  <c r="AT26" i="19"/>
  <c r="AT29" i="19"/>
  <c r="AS53" i="19"/>
  <c r="I22" i="19"/>
  <c r="AR23" i="19"/>
  <c r="AS44" i="19"/>
  <c r="AS58" i="19"/>
  <c r="AT58" i="19" s="1"/>
  <c r="AQ65" i="19"/>
  <c r="AT65" i="19" s="1"/>
  <c r="AG93" i="19"/>
  <c r="AA93" i="19"/>
  <c r="M93" i="19"/>
  <c r="BB30" i="19" s="1"/>
  <c r="AM93" i="19"/>
  <c r="AJ93" i="19"/>
  <c r="AK93" i="19" s="1"/>
  <c r="U93" i="19"/>
  <c r="AD93" i="19"/>
  <c r="U21" i="19"/>
  <c r="AD21" i="19"/>
  <c r="AE21" i="19" s="1"/>
  <c r="X21" i="19"/>
  <c r="Y21" i="19" s="1"/>
  <c r="AR14" i="19"/>
  <c r="K31" i="19"/>
  <c r="AQ39" i="19"/>
  <c r="I51" i="19"/>
  <c r="AT74" i="19"/>
  <c r="P94" i="19"/>
  <c r="AS82" i="19"/>
  <c r="AT82" i="19" s="1"/>
  <c r="AS39" i="19"/>
  <c r="AQ44" i="19"/>
  <c r="AR55" i="19"/>
  <c r="AQ58" i="19"/>
  <c r="AS15" i="19"/>
  <c r="AT15" i="19" s="1"/>
  <c r="AR16" i="19"/>
  <c r="AR41" i="19"/>
  <c r="AQ89" i="19"/>
  <c r="AR84" i="19"/>
  <c r="AT35" i="19"/>
  <c r="AQ41" i="19"/>
  <c r="AT41" i="19" s="1"/>
  <c r="AR77" i="19"/>
  <c r="AS14" i="19"/>
  <c r="AT14" i="19" s="1"/>
  <c r="I18" i="19"/>
  <c r="AJ21" i="19"/>
  <c r="AK21" i="19" s="1"/>
  <c r="AS55" i="19"/>
  <c r="AT55" i="19" s="1"/>
  <c r="AT83" i="19"/>
  <c r="AT85" i="19"/>
  <c r="AR88" i="19"/>
  <c r="R93" i="19"/>
  <c r="AQ94" i="19"/>
  <c r="AT94" i="19" s="1"/>
  <c r="AV94" i="19"/>
  <c r="BC21" i="19" l="1"/>
  <c r="V33" i="19"/>
  <c r="S85" i="19"/>
  <c r="Y85" i="19"/>
  <c r="V43" i="19"/>
  <c r="BC31" i="19"/>
  <c r="AE71" i="19"/>
  <c r="AB85" i="19"/>
  <c r="AG27" i="19"/>
  <c r="AH27" i="19" s="1"/>
  <c r="AM27" i="19"/>
  <c r="AN27" i="19" s="1"/>
  <c r="AM18" i="19"/>
  <c r="AN18" i="19" s="1"/>
  <c r="AG18" i="19"/>
  <c r="AH18" i="19" s="1"/>
  <c r="M57" i="19"/>
  <c r="BB33" i="19" s="1"/>
  <c r="X57" i="19"/>
  <c r="AA57" i="19"/>
  <c r="R57" i="19"/>
  <c r="AD57" i="19"/>
  <c r="U57" i="19"/>
  <c r="O57" i="19"/>
  <c r="AV57" i="19"/>
  <c r="AJ57" i="19"/>
  <c r="AK33" i="19"/>
  <c r="AK71" i="19"/>
  <c r="AK85" i="19"/>
  <c r="Y64" i="19"/>
  <c r="AM71" i="19"/>
  <c r="AN71" i="19" s="1"/>
  <c r="AG71" i="19"/>
  <c r="AH71" i="19" s="1"/>
  <c r="S14" i="19"/>
  <c r="AB78" i="19"/>
  <c r="BC16" i="19"/>
  <c r="V16" i="19"/>
  <c r="AG43" i="19"/>
  <c r="AH43" i="19" s="1"/>
  <c r="AM43" i="19"/>
  <c r="AN43" i="19" s="1"/>
  <c r="AE13" i="19"/>
  <c r="AV92" i="19"/>
  <c r="AA92" i="19"/>
  <c r="AJ92" i="19"/>
  <c r="O92" i="19"/>
  <c r="M92" i="19"/>
  <c r="BB29" i="19" s="1"/>
  <c r="AD92" i="19"/>
  <c r="AE92" i="19" s="1"/>
  <c r="X92" i="19"/>
  <c r="Y92" i="19" s="1"/>
  <c r="U92" i="19"/>
  <c r="R92" i="19"/>
  <c r="AB93" i="19"/>
  <c r="Y27" i="19"/>
  <c r="P33" i="19"/>
  <c r="BC13" i="19"/>
  <c r="V13" i="19"/>
  <c r="AM30" i="19"/>
  <c r="AN30" i="19" s="1"/>
  <c r="AG30" i="19"/>
  <c r="AH30" i="19" s="1"/>
  <c r="BB28" i="19"/>
  <c r="V85" i="19"/>
  <c r="AG64" i="19"/>
  <c r="AH64" i="19" s="1"/>
  <c r="AM64" i="19"/>
  <c r="AN64" i="19" s="1"/>
  <c r="AM85" i="19"/>
  <c r="AN85" i="19" s="1"/>
  <c r="AG85" i="19"/>
  <c r="AH85" i="19" s="1"/>
  <c r="S71" i="19"/>
  <c r="P27" i="19"/>
  <c r="AH93" i="19"/>
  <c r="P16" i="19"/>
  <c r="AK78" i="19"/>
  <c r="AE16" i="19"/>
  <c r="AT44" i="19"/>
  <c r="Y14" i="19"/>
  <c r="AG13" i="19"/>
  <c r="AH13" i="19" s="1"/>
  <c r="AM13" i="19"/>
  <c r="AN13" i="19" s="1"/>
  <c r="AW16" i="19"/>
  <c r="U24" i="19"/>
  <c r="AJ24" i="19"/>
  <c r="O24" i="19"/>
  <c r="R24" i="19"/>
  <c r="AV24" i="19"/>
  <c r="X24" i="19"/>
  <c r="AD24" i="19"/>
  <c r="AA24" i="19"/>
  <c r="M24" i="19"/>
  <c r="BB26" i="19" s="1"/>
  <c r="P15" i="19"/>
  <c r="P14" i="19"/>
  <c r="BD27" i="19"/>
  <c r="S13" i="19"/>
  <c r="S93" i="19"/>
  <c r="AT53" i="19"/>
  <c r="AM14" i="19"/>
  <c r="AN14" i="19" s="1"/>
  <c r="AG14" i="19"/>
  <c r="AH14" i="19" s="1"/>
  <c r="S27" i="19"/>
  <c r="AK14" i="19"/>
  <c r="AT38" i="19"/>
  <c r="AW13" i="19"/>
  <c r="AG24" i="19"/>
  <c r="AM24" i="19"/>
  <c r="AN24" i="19" s="1"/>
  <c r="V27" i="19"/>
  <c r="BC20" i="19"/>
  <c r="AE43" i="19"/>
  <c r="AE15" i="19"/>
  <c r="U36" i="19"/>
  <c r="AD36" i="19"/>
  <c r="AE36" i="19" s="1"/>
  <c r="X36" i="19"/>
  <c r="AJ36" i="19"/>
  <c r="M36" i="19"/>
  <c r="BB25" i="19" s="1"/>
  <c r="AA36" i="19"/>
  <c r="AB36" i="19" s="1"/>
  <c r="R36" i="19"/>
  <c r="S36" i="19" s="1"/>
  <c r="O36" i="19"/>
  <c r="P36" i="19" s="1"/>
  <c r="AV36" i="19"/>
  <c r="AW36" i="19" s="1"/>
  <c r="S33" i="19"/>
  <c r="Y15" i="19"/>
  <c r="S64" i="19"/>
  <c r="Y16" i="19"/>
  <c r="AE93" i="19"/>
  <c r="AK30" i="19"/>
  <c r="AG50" i="19"/>
  <c r="AH50" i="19" s="1"/>
  <c r="AM50" i="19"/>
  <c r="AN50" i="19" s="1"/>
  <c r="AE27" i="19"/>
  <c r="AW43" i="19"/>
  <c r="P93" i="19"/>
  <c r="AM36" i="19"/>
  <c r="AN36" i="19" s="1"/>
  <c r="AG36" i="19"/>
  <c r="AH36" i="19" s="1"/>
  <c r="AB33" i="19"/>
  <c r="S15" i="19"/>
  <c r="AW30" i="19"/>
  <c r="AT39" i="19"/>
  <c r="AG92" i="19"/>
  <c r="AH92" i="19" s="1"/>
  <c r="AM92" i="19"/>
  <c r="AN92" i="19" s="1"/>
  <c r="V71" i="19"/>
  <c r="BC23" i="19"/>
  <c r="V78" i="19"/>
  <c r="BC24" i="19"/>
  <c r="BE22" i="19"/>
  <c r="BD22" i="19"/>
  <c r="AA18" i="19"/>
  <c r="M18" i="19"/>
  <c r="BB18" i="19" s="1"/>
  <c r="AJ18" i="19"/>
  <c r="AK18" i="19" s="1"/>
  <c r="X18" i="19"/>
  <c r="Y18" i="19" s="1"/>
  <c r="O18" i="19"/>
  <c r="P18" i="19" s="1"/>
  <c r="AD18" i="19"/>
  <c r="AE18" i="19" s="1"/>
  <c r="U18" i="19"/>
  <c r="AV18" i="19"/>
  <c r="AW18" i="19" s="1"/>
  <c r="R18" i="19"/>
  <c r="S18" i="19" s="1"/>
  <c r="AB71" i="19"/>
  <c r="AW71" i="19"/>
  <c r="AM15" i="19"/>
  <c r="AN15" i="19" s="1"/>
  <c r="AG15" i="19"/>
  <c r="AH15" i="19" s="1"/>
  <c r="BC17" i="19"/>
  <c r="V17" i="19"/>
  <c r="Y71" i="19"/>
  <c r="AW85" i="19"/>
  <c r="BD34" i="19"/>
  <c r="BE34" i="19"/>
  <c r="P71" i="19"/>
  <c r="P78" i="19"/>
  <c r="Y17" i="19"/>
  <c r="P85" i="19"/>
  <c r="V14" i="19"/>
  <c r="BC14" i="19"/>
  <c r="AG16" i="19"/>
  <c r="AH16" i="19" s="1"/>
  <c r="AM16" i="19"/>
  <c r="AN16" i="19" s="1"/>
  <c r="AW14" i="19"/>
  <c r="Y93" i="19"/>
  <c r="AG33" i="19"/>
  <c r="AH33" i="19" s="1"/>
  <c r="AM33" i="19"/>
  <c r="AN33" i="19" s="1"/>
  <c r="AE64" i="19"/>
  <c r="AW78" i="19"/>
  <c r="BC32" i="19"/>
  <c r="V50" i="19"/>
  <c r="P13" i="19"/>
  <c r="S30" i="19"/>
  <c r="AB30" i="19"/>
  <c r="V15" i="19"/>
  <c r="BC15" i="19"/>
  <c r="Y30" i="19"/>
  <c r="S16" i="19"/>
  <c r="S43" i="19"/>
  <c r="AB15" i="19"/>
  <c r="AE14" i="19"/>
  <c r="BC19" i="19"/>
  <c r="V21" i="19"/>
  <c r="P30" i="19"/>
  <c r="AM78" i="19"/>
  <c r="AN78" i="19" s="1"/>
  <c r="AG78" i="19"/>
  <c r="AH78" i="19" s="1"/>
  <c r="V93" i="19"/>
  <c r="BC30" i="19"/>
  <c r="AG17" i="19"/>
  <c r="AH17" i="19" s="1"/>
  <c r="AM17" i="19"/>
  <c r="AN17" i="19" s="1"/>
  <c r="AK27" i="19"/>
  <c r="Y43" i="19"/>
  <c r="S78" i="19"/>
  <c r="V30" i="19"/>
  <c r="AE33" i="19"/>
  <c r="AW15" i="19"/>
  <c r="AW17" i="19"/>
  <c r="BE19" i="19" l="1"/>
  <c r="BD19" i="19"/>
  <c r="V18" i="19"/>
  <c r="BC18" i="19"/>
  <c r="AN57" i="19"/>
  <c r="AN102" i="19" s="1"/>
  <c r="AB92" i="19"/>
  <c r="AH24" i="19"/>
  <c r="AH102" i="19" s="1"/>
  <c r="BD23" i="19"/>
  <c r="BE23" i="19"/>
  <c r="V24" i="19"/>
  <c r="BC26" i="19"/>
  <c r="V92" i="19"/>
  <c r="BC29" i="19"/>
  <c r="Y57" i="19"/>
  <c r="BE32" i="19"/>
  <c r="BD32" i="19"/>
  <c r="BE20" i="19"/>
  <c r="BD20" i="19"/>
  <c r="BD28" i="19"/>
  <c r="BE28" i="19"/>
  <c r="AB24" i="19"/>
  <c r="AW92" i="19"/>
  <c r="AE24" i="19"/>
  <c r="AW57" i="19"/>
  <c r="BE13" i="19"/>
  <c r="BD13" i="19"/>
  <c r="BD14" i="19"/>
  <c r="BE14" i="19"/>
  <c r="AW24" i="19"/>
  <c r="BE30" i="19"/>
  <c r="BD30" i="19"/>
  <c r="S24" i="19"/>
  <c r="S102" i="19" s="1"/>
  <c r="AE57" i="19"/>
  <c r="AN3" i="19"/>
  <c r="BD24" i="19"/>
  <c r="BE24" i="19"/>
  <c r="AK36" i="19"/>
  <c r="P24" i="19"/>
  <c r="P102" i="19" s="1"/>
  <c r="BE16" i="19"/>
  <c r="BD16" i="19"/>
  <c r="S57" i="19"/>
  <c r="V36" i="19"/>
  <c r="BC25" i="19"/>
  <c r="P92" i="19"/>
  <c r="AK92" i="19"/>
  <c r="AK57" i="19"/>
  <c r="AE102" i="19"/>
  <c r="BD31" i="19"/>
  <c r="BE31" i="19"/>
  <c r="BE15" i="19"/>
  <c r="BD15" i="19"/>
  <c r="AB18" i="19"/>
  <c r="AB102" i="19" s="1"/>
  <c r="Y24" i="19"/>
  <c r="Y102" i="19" s="1"/>
  <c r="P57" i="19"/>
  <c r="BE17" i="19"/>
  <c r="BD17" i="19"/>
  <c r="V57" i="19"/>
  <c r="BC33" i="19"/>
  <c r="AH57" i="19"/>
  <c r="Y36" i="19"/>
  <c r="AK24" i="19"/>
  <c r="AK102" i="19" s="1"/>
  <c r="S92" i="19"/>
  <c r="AB57" i="19"/>
  <c r="BE21" i="19"/>
  <c r="BD21" i="19"/>
  <c r="BE26" i="19" l="1"/>
  <c r="BD26" i="19"/>
  <c r="BE33" i="19"/>
  <c r="BD33" i="19"/>
  <c r="BE25" i="19"/>
  <c r="BD25" i="19"/>
  <c r="BD18" i="19"/>
  <c r="BE18" i="19"/>
  <c r="BE29" i="19"/>
  <c r="BD29" i="19"/>
  <c r="AF81" i="15"/>
  <c r="AG81" i="15" s="1"/>
  <c r="H80" i="15"/>
  <c r="G80" i="15"/>
  <c r="F80" i="15"/>
  <c r="E80" i="15"/>
  <c r="D80" i="15"/>
  <c r="H79" i="15"/>
  <c r="G79" i="15"/>
  <c r="E79" i="15"/>
  <c r="F79" i="15" s="1"/>
  <c r="D79" i="15"/>
  <c r="E78" i="15"/>
  <c r="D78" i="15"/>
  <c r="E77" i="15"/>
  <c r="D77" i="15"/>
  <c r="E76" i="15"/>
  <c r="D76" i="15"/>
  <c r="E75" i="15"/>
  <c r="D75" i="15"/>
  <c r="E74" i="15"/>
  <c r="D74" i="15"/>
  <c r="H73" i="15"/>
  <c r="G73" i="15"/>
  <c r="E73" i="15"/>
  <c r="D73" i="15"/>
  <c r="F73" i="15" s="1"/>
  <c r="E72" i="15"/>
  <c r="D72" i="15"/>
  <c r="E71" i="15"/>
  <c r="D71" i="15"/>
  <c r="E70" i="15"/>
  <c r="D70" i="15"/>
  <c r="E69" i="15"/>
  <c r="D69" i="15"/>
  <c r="E68" i="15"/>
  <c r="D68" i="15"/>
  <c r="H67" i="15"/>
  <c r="G67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H61" i="15"/>
  <c r="G61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H55" i="15"/>
  <c r="G55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H49" i="15"/>
  <c r="G49" i="15"/>
  <c r="F49" i="15"/>
  <c r="E49" i="15"/>
  <c r="D49" i="15"/>
  <c r="E48" i="15"/>
  <c r="D48" i="15"/>
  <c r="E47" i="15"/>
  <c r="D47" i="15"/>
  <c r="E46" i="15"/>
  <c r="D46" i="15"/>
  <c r="E45" i="15"/>
  <c r="D45" i="15"/>
  <c r="E44" i="15"/>
  <c r="F43" i="15" s="1"/>
  <c r="D44" i="15"/>
  <c r="H43" i="15"/>
  <c r="G43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H37" i="15"/>
  <c r="G37" i="15"/>
  <c r="E37" i="15"/>
  <c r="D37" i="15"/>
  <c r="E36" i="15"/>
  <c r="D36" i="15"/>
  <c r="E35" i="15"/>
  <c r="D35" i="15"/>
  <c r="E34" i="15"/>
  <c r="D34" i="15"/>
  <c r="E33" i="15"/>
  <c r="D33" i="15"/>
  <c r="F31" i="15" s="1"/>
  <c r="E32" i="15"/>
  <c r="D32" i="15"/>
  <c r="H31" i="15"/>
  <c r="G31" i="15"/>
  <c r="E31" i="15"/>
  <c r="D31" i="15"/>
  <c r="E30" i="15"/>
  <c r="D30" i="15"/>
  <c r="H29" i="15"/>
  <c r="G29" i="15"/>
  <c r="E29" i="15"/>
  <c r="D29" i="15"/>
  <c r="E28" i="15"/>
  <c r="D28" i="15"/>
  <c r="H27" i="15"/>
  <c r="G27" i="15"/>
  <c r="E27" i="15"/>
  <c r="D27" i="15"/>
  <c r="E26" i="15"/>
  <c r="D26" i="15"/>
  <c r="H25" i="15"/>
  <c r="G25" i="15"/>
  <c r="E25" i="15"/>
  <c r="D25" i="15"/>
  <c r="E24" i="15"/>
  <c r="D24" i="15"/>
  <c r="H23" i="15"/>
  <c r="G23" i="15"/>
  <c r="E23" i="15"/>
  <c r="D23" i="15"/>
  <c r="E22" i="15"/>
  <c r="D22" i="15"/>
  <c r="H21" i="15"/>
  <c r="G21" i="15"/>
  <c r="E21" i="15"/>
  <c r="D21" i="15"/>
  <c r="E20" i="15"/>
  <c r="D20" i="15"/>
  <c r="F19" i="15" s="1"/>
  <c r="I19" i="15" s="1"/>
  <c r="H19" i="15"/>
  <c r="G19" i="15"/>
  <c r="E19" i="15"/>
  <c r="D19" i="15"/>
  <c r="H18" i="15"/>
  <c r="G18" i="15"/>
  <c r="I18" i="15" s="1"/>
  <c r="E18" i="15"/>
  <c r="D18" i="15"/>
  <c r="F18" i="15" s="1"/>
  <c r="I17" i="15"/>
  <c r="H17" i="15"/>
  <c r="G17" i="15"/>
  <c r="F17" i="15"/>
  <c r="E17" i="15"/>
  <c r="D17" i="15"/>
  <c r="H16" i="15"/>
  <c r="G16" i="15"/>
  <c r="I16" i="15" s="1"/>
  <c r="E16" i="15"/>
  <c r="D16" i="15"/>
  <c r="F16" i="15" s="1"/>
  <c r="H15" i="15"/>
  <c r="G15" i="15"/>
  <c r="E15" i="15"/>
  <c r="D15" i="15"/>
  <c r="F15" i="15" s="1"/>
  <c r="H14" i="15"/>
  <c r="G14" i="15"/>
  <c r="E14" i="15"/>
  <c r="D14" i="15"/>
  <c r="F14" i="15" s="1"/>
  <c r="H13" i="15"/>
  <c r="G13" i="15"/>
  <c r="F13" i="15"/>
  <c r="E13" i="15"/>
  <c r="D13" i="15"/>
  <c r="W10" i="15"/>
  <c r="T10" i="15"/>
  <c r="Q10" i="15"/>
  <c r="N10" i="15"/>
  <c r="L10" i="15"/>
  <c r="K10" i="15"/>
  <c r="AA9" i="15"/>
  <c r="K9" i="15"/>
  <c r="AA8" i="15"/>
  <c r="X8" i="15"/>
  <c r="U8" i="15"/>
  <c r="R8" i="15"/>
  <c r="L8" i="15"/>
  <c r="K8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K7" i="15"/>
  <c r="A3" i="15"/>
  <c r="A2" i="15"/>
  <c r="A1" i="15"/>
  <c r="I13" i="15" l="1"/>
  <c r="F61" i="15"/>
  <c r="F67" i="15"/>
  <c r="I15" i="15"/>
  <c r="D83" i="15"/>
  <c r="F37" i="15"/>
  <c r="F25" i="15"/>
  <c r="I25" i="15" s="1"/>
  <c r="F29" i="15"/>
  <c r="I29" i="15" s="1"/>
  <c r="AA10" i="15"/>
  <c r="F23" i="15"/>
  <c r="I23" i="15" s="1"/>
  <c r="F55" i="15"/>
  <c r="I14" i="15"/>
  <c r="F21" i="15"/>
  <c r="I21" i="15" s="1"/>
  <c r="F27" i="15"/>
  <c r="I27" i="15"/>
  <c r="W83" i="15" l="1"/>
  <c r="X27" i="15" s="1"/>
  <c r="T83" i="15"/>
  <c r="U13" i="15" s="1"/>
  <c r="Q83" i="15"/>
  <c r="K83" i="15"/>
  <c r="L13" i="15" s="1"/>
  <c r="I83" i="15"/>
  <c r="N83" i="15"/>
  <c r="O25" i="15" s="1"/>
  <c r="O27" i="15"/>
  <c r="O23" i="15"/>
  <c r="F83" i="15"/>
  <c r="P26" i="15" l="1"/>
  <c r="P25" i="15"/>
  <c r="AD13" i="15"/>
  <c r="M13" i="15" s="1"/>
  <c r="AF13" i="15" s="1"/>
  <c r="AC13" i="15"/>
  <c r="V13" i="15"/>
  <c r="Y28" i="15"/>
  <c r="Y27" i="15"/>
  <c r="P28" i="15"/>
  <c r="P27" i="15"/>
  <c r="R61" i="15"/>
  <c r="R37" i="15"/>
  <c r="R49" i="15"/>
  <c r="R43" i="15"/>
  <c r="R80" i="15"/>
  <c r="S80" i="15" s="1"/>
  <c r="R67" i="15"/>
  <c r="R73" i="15"/>
  <c r="R17" i="15"/>
  <c r="R31" i="15"/>
  <c r="R79" i="15"/>
  <c r="S79" i="15" s="1"/>
  <c r="R19" i="15"/>
  <c r="R29" i="15"/>
  <c r="R55" i="15"/>
  <c r="R18" i="15"/>
  <c r="R21" i="15"/>
  <c r="R14" i="15"/>
  <c r="R16" i="15"/>
  <c r="S16" i="15" s="1"/>
  <c r="U23" i="15"/>
  <c r="L15" i="15"/>
  <c r="X15" i="15"/>
  <c r="Y15" i="15" s="1"/>
  <c r="R27" i="15"/>
  <c r="U15" i="15"/>
  <c r="V15" i="15" s="1"/>
  <c r="R23" i="15"/>
  <c r="L23" i="15"/>
  <c r="O21" i="15"/>
  <c r="X23" i="15"/>
  <c r="U14" i="15"/>
  <c r="U83" i="15" s="1"/>
  <c r="L27" i="15"/>
  <c r="U27" i="15"/>
  <c r="X14" i="15"/>
  <c r="X21" i="15"/>
  <c r="P23" i="15"/>
  <c r="P24" i="15"/>
  <c r="X55" i="15"/>
  <c r="X67" i="15"/>
  <c r="X43" i="15"/>
  <c r="X31" i="15"/>
  <c r="X16" i="15"/>
  <c r="Y16" i="15" s="1"/>
  <c r="X73" i="15"/>
  <c r="X49" i="15"/>
  <c r="X80" i="15"/>
  <c r="Y80" i="15" s="1"/>
  <c r="X19" i="15"/>
  <c r="X79" i="15"/>
  <c r="Y79" i="15" s="1"/>
  <c r="X17" i="15"/>
  <c r="X18" i="15"/>
  <c r="X61" i="15"/>
  <c r="X29" i="15"/>
  <c r="X37" i="15"/>
  <c r="O14" i="15"/>
  <c r="R13" i="15"/>
  <c r="L25" i="15"/>
  <c r="X13" i="15"/>
  <c r="R25" i="15"/>
  <c r="O13" i="15"/>
  <c r="X25" i="15"/>
  <c r="L43" i="15"/>
  <c r="L31" i="15"/>
  <c r="L16" i="15"/>
  <c r="L18" i="15"/>
  <c r="L49" i="15"/>
  <c r="L79" i="15"/>
  <c r="L37" i="15"/>
  <c r="L61" i="15"/>
  <c r="L19" i="15"/>
  <c r="L73" i="15"/>
  <c r="L29" i="15"/>
  <c r="L21" i="15"/>
  <c r="L14" i="15"/>
  <c r="L55" i="15"/>
  <c r="L17" i="15"/>
  <c r="L80" i="15"/>
  <c r="L67" i="15"/>
  <c r="U61" i="15"/>
  <c r="U80" i="15"/>
  <c r="V80" i="15" s="1"/>
  <c r="U73" i="15"/>
  <c r="U49" i="15"/>
  <c r="U16" i="15"/>
  <c r="V16" i="15" s="1"/>
  <c r="U31" i="15"/>
  <c r="U43" i="15"/>
  <c r="U67" i="15"/>
  <c r="U19" i="15"/>
  <c r="U21" i="15"/>
  <c r="U17" i="15"/>
  <c r="U18" i="15"/>
  <c r="U79" i="15"/>
  <c r="V79" i="15" s="1"/>
  <c r="U29" i="15"/>
  <c r="U37" i="15"/>
  <c r="U55" i="15"/>
  <c r="O67" i="15"/>
  <c r="O43" i="15"/>
  <c r="O80" i="15"/>
  <c r="P80" i="15" s="1"/>
  <c r="O37" i="15"/>
  <c r="O79" i="15"/>
  <c r="P79" i="15" s="1"/>
  <c r="O73" i="15"/>
  <c r="O15" i="15"/>
  <c r="P15" i="15" s="1"/>
  <c r="O55" i="15"/>
  <c r="O18" i="15"/>
  <c r="O49" i="15"/>
  <c r="O16" i="15"/>
  <c r="P16" i="15" s="1"/>
  <c r="O31" i="15"/>
  <c r="O19" i="15"/>
  <c r="O17" i="15"/>
  <c r="O29" i="15"/>
  <c r="O61" i="15"/>
  <c r="R15" i="15"/>
  <c r="S15" i="15" s="1"/>
  <c r="U25" i="15"/>
  <c r="AD80" i="15" l="1"/>
  <c r="M80" i="15" s="1"/>
  <c r="AF80" i="15" s="1"/>
  <c r="AG80" i="15" s="1"/>
  <c r="AC80" i="15"/>
  <c r="S22" i="15"/>
  <c r="S21" i="15"/>
  <c r="U97" i="15"/>
  <c r="V18" i="15"/>
  <c r="AD27" i="15"/>
  <c r="AC27" i="15"/>
  <c r="AC28" i="15" s="1"/>
  <c r="O97" i="15"/>
  <c r="P18" i="15"/>
  <c r="P56" i="15"/>
  <c r="P57" i="15"/>
  <c r="P55" i="15"/>
  <c r="P59" i="15"/>
  <c r="P60" i="15"/>
  <c r="P58" i="15"/>
  <c r="O94" i="15"/>
  <c r="P13" i="15"/>
  <c r="O83" i="15"/>
  <c r="S30" i="15"/>
  <c r="S29" i="15"/>
  <c r="V20" i="15"/>
  <c r="V19" i="15"/>
  <c r="AD21" i="15"/>
  <c r="AC21" i="15"/>
  <c r="AC22" i="15" s="1"/>
  <c r="S26" i="15"/>
  <c r="S25" i="15"/>
  <c r="Y76" i="15"/>
  <c r="Y77" i="15"/>
  <c r="Y75" i="15"/>
  <c r="Y78" i="15"/>
  <c r="Y74" i="15"/>
  <c r="Y73" i="15"/>
  <c r="P22" i="15"/>
  <c r="P21" i="15"/>
  <c r="S20" i="15"/>
  <c r="S19" i="15"/>
  <c r="P74" i="15"/>
  <c r="P73" i="15"/>
  <c r="P75" i="15"/>
  <c r="P76" i="15"/>
  <c r="P78" i="15"/>
  <c r="P77" i="15"/>
  <c r="V71" i="15"/>
  <c r="V72" i="15"/>
  <c r="V68" i="15"/>
  <c r="V69" i="15"/>
  <c r="V67" i="15"/>
  <c r="V70" i="15"/>
  <c r="AC29" i="15"/>
  <c r="AC30" i="15" s="1"/>
  <c r="AD29" i="15"/>
  <c r="X83" i="15"/>
  <c r="X94" i="15"/>
  <c r="Y13" i="15"/>
  <c r="AC23" i="15"/>
  <c r="AC24" i="15" s="1"/>
  <c r="AD23" i="15"/>
  <c r="U94" i="15"/>
  <c r="AD17" i="15"/>
  <c r="M17" i="15" s="1"/>
  <c r="AF17" i="15" s="1"/>
  <c r="AG17" i="15" s="1"/>
  <c r="L96" i="15"/>
  <c r="AC17" i="15"/>
  <c r="U96" i="15"/>
  <c r="V17" i="15"/>
  <c r="Y54" i="15"/>
  <c r="Y52" i="15"/>
  <c r="Y53" i="15"/>
  <c r="Y51" i="15"/>
  <c r="Y50" i="15"/>
  <c r="Y49" i="15"/>
  <c r="S17" i="15"/>
  <c r="R96" i="15"/>
  <c r="V28" i="15"/>
  <c r="V27" i="15"/>
  <c r="AC43" i="15"/>
  <c r="AC44" i="15" s="1"/>
  <c r="AC45" i="15" s="1"/>
  <c r="AC46" i="15" s="1"/>
  <c r="AC47" i="15" s="1"/>
  <c r="AC48" i="15" s="1"/>
  <c r="AD43" i="15"/>
  <c r="Y25" i="15"/>
  <c r="Y26" i="15"/>
  <c r="V14" i="15"/>
  <c r="U95" i="15"/>
  <c r="AC14" i="15"/>
  <c r="L95" i="15"/>
  <c r="AD14" i="15"/>
  <c r="M14" i="15" s="1"/>
  <c r="AF14" i="15" s="1"/>
  <c r="AG14" i="15" s="1"/>
  <c r="AC73" i="15"/>
  <c r="AC74" i="15" s="1"/>
  <c r="AC75" i="15" s="1"/>
  <c r="AC76" i="15" s="1"/>
  <c r="AC77" i="15" s="1"/>
  <c r="AC78" i="15" s="1"/>
  <c r="AD73" i="15"/>
  <c r="Y35" i="15"/>
  <c r="Y33" i="15"/>
  <c r="Y31" i="15"/>
  <c r="Y34" i="15"/>
  <c r="Y36" i="15"/>
  <c r="Y32" i="15"/>
  <c r="S34" i="15"/>
  <c r="S32" i="15"/>
  <c r="S31" i="15"/>
  <c r="S35" i="15"/>
  <c r="S33" i="15"/>
  <c r="S36" i="15"/>
  <c r="V25" i="15"/>
  <c r="V26" i="15"/>
  <c r="AD19" i="15"/>
  <c r="AC19" i="15"/>
  <c r="AC20" i="15" s="1"/>
  <c r="O95" i="15"/>
  <c r="P14" i="15"/>
  <c r="S28" i="15"/>
  <c r="S27" i="15"/>
  <c r="P47" i="15"/>
  <c r="P48" i="15"/>
  <c r="P44" i="15"/>
  <c r="P45" i="15"/>
  <c r="P43" i="15"/>
  <c r="P46" i="15"/>
  <c r="V52" i="15"/>
  <c r="V53" i="15"/>
  <c r="V54" i="15"/>
  <c r="V49" i="15"/>
  <c r="V51" i="15"/>
  <c r="V50" i="15"/>
  <c r="Y39" i="15"/>
  <c r="Y37" i="15"/>
  <c r="Y41" i="15"/>
  <c r="Y42" i="15"/>
  <c r="Y40" i="15"/>
  <c r="Y38" i="15"/>
  <c r="Y57" i="15"/>
  <c r="Y58" i="15"/>
  <c r="Y56" i="15"/>
  <c r="Y59" i="15"/>
  <c r="Y55" i="15"/>
  <c r="Y60" i="15"/>
  <c r="L83" i="15"/>
  <c r="P70" i="15"/>
  <c r="P71" i="15"/>
  <c r="P72" i="15"/>
  <c r="P69" i="15"/>
  <c r="P67" i="15"/>
  <c r="P68" i="15"/>
  <c r="AD79" i="15"/>
  <c r="M79" i="15" s="1"/>
  <c r="AF79" i="15" s="1"/>
  <c r="AG79" i="15" s="1"/>
  <c r="AC79" i="15"/>
  <c r="Y29" i="15"/>
  <c r="Y30" i="15"/>
  <c r="AD15" i="15"/>
  <c r="M15" i="15" s="1"/>
  <c r="AF15" i="15" s="1"/>
  <c r="AG15" i="15" s="1"/>
  <c r="AC15" i="15"/>
  <c r="AG13" i="15"/>
  <c r="P17" i="15"/>
  <c r="O96" i="15"/>
  <c r="V56" i="15"/>
  <c r="V57" i="15"/>
  <c r="V58" i="15"/>
  <c r="V60" i="15"/>
  <c r="V55" i="15"/>
  <c r="V59" i="15"/>
  <c r="AD49" i="15"/>
  <c r="AC49" i="15"/>
  <c r="AC50" i="15" s="1"/>
  <c r="AC51" i="15" s="1"/>
  <c r="AC52" i="15" s="1"/>
  <c r="AC53" i="15" s="1"/>
  <c r="AC54" i="15" s="1"/>
  <c r="Y61" i="15"/>
  <c r="Y62" i="15"/>
  <c r="Y66" i="15"/>
  <c r="Y64" i="15"/>
  <c r="Y65" i="15"/>
  <c r="Y63" i="15"/>
  <c r="V23" i="15"/>
  <c r="V24" i="15"/>
  <c r="S47" i="15"/>
  <c r="S48" i="15"/>
  <c r="S45" i="15"/>
  <c r="S43" i="15"/>
  <c r="S46" i="15"/>
  <c r="S44" i="15"/>
  <c r="L94" i="15"/>
  <c r="L98" i="15" s="1"/>
  <c r="L99" i="15" s="1"/>
  <c r="AC31" i="15"/>
  <c r="AC32" i="15" s="1"/>
  <c r="AC33" i="15" s="1"/>
  <c r="AC34" i="15" s="1"/>
  <c r="AC35" i="15" s="1"/>
  <c r="AC36" i="15" s="1"/>
  <c r="AD31" i="15"/>
  <c r="S66" i="15"/>
  <c r="S62" i="15"/>
  <c r="S64" i="15"/>
  <c r="S65" i="15"/>
  <c r="S61" i="15"/>
  <c r="S63" i="15"/>
  <c r="P51" i="15"/>
  <c r="P52" i="15"/>
  <c r="P53" i="15"/>
  <c r="P49" i="15"/>
  <c r="P50" i="15"/>
  <c r="P54" i="15"/>
  <c r="Y19" i="15"/>
  <c r="Y20" i="15"/>
  <c r="R97" i="15"/>
  <c r="S18" i="15"/>
  <c r="AD55" i="15"/>
  <c r="AC55" i="15"/>
  <c r="AC56" i="15" s="1"/>
  <c r="AC57" i="15" s="1"/>
  <c r="AC58" i="15" s="1"/>
  <c r="AC59" i="15" s="1"/>
  <c r="AC60" i="15" s="1"/>
  <c r="S57" i="15"/>
  <c r="S56" i="15"/>
  <c r="S55" i="15"/>
  <c r="S59" i="15"/>
  <c r="S58" i="15"/>
  <c r="S60" i="15"/>
  <c r="V22" i="15"/>
  <c r="V21" i="15"/>
  <c r="Y23" i="15"/>
  <c r="Y24" i="15"/>
  <c r="V48" i="15"/>
  <c r="V45" i="15"/>
  <c r="V43" i="15"/>
  <c r="V46" i="15"/>
  <c r="V44" i="15"/>
  <c r="V47" i="15"/>
  <c r="AC25" i="15"/>
  <c r="AC26" i="15" s="1"/>
  <c r="AD25" i="15"/>
  <c r="V33" i="15"/>
  <c r="V34" i="15"/>
  <c r="V36" i="15"/>
  <c r="V31" i="15"/>
  <c r="V32" i="15"/>
  <c r="V35" i="15"/>
  <c r="S13" i="15"/>
  <c r="R83" i="15"/>
  <c r="R94" i="15"/>
  <c r="Y43" i="15"/>
  <c r="Y48" i="15"/>
  <c r="Y45" i="15"/>
  <c r="Y46" i="15"/>
  <c r="Y44" i="15"/>
  <c r="Y47" i="15"/>
  <c r="AC61" i="15"/>
  <c r="AC62" i="15" s="1"/>
  <c r="AC63" i="15" s="1"/>
  <c r="AC64" i="15" s="1"/>
  <c r="AC65" i="15" s="1"/>
  <c r="AC66" i="15" s="1"/>
  <c r="AD61" i="15"/>
  <c r="Y72" i="15"/>
  <c r="Y71" i="15"/>
  <c r="Y69" i="15"/>
  <c r="Y67" i="15"/>
  <c r="Y70" i="15"/>
  <c r="Y68" i="15"/>
  <c r="S75" i="15"/>
  <c r="S76" i="15"/>
  <c r="S74" i="15"/>
  <c r="S73" i="15"/>
  <c r="S78" i="15"/>
  <c r="S77" i="15"/>
  <c r="P66" i="15"/>
  <c r="P63" i="15"/>
  <c r="P62" i="15"/>
  <c r="P64" i="15"/>
  <c r="P61" i="15"/>
  <c r="P65" i="15"/>
  <c r="AC37" i="15"/>
  <c r="AC38" i="15" s="1"/>
  <c r="AC39" i="15" s="1"/>
  <c r="AC40" i="15" s="1"/>
  <c r="AC41" i="15" s="1"/>
  <c r="AC42" i="15" s="1"/>
  <c r="AD37" i="15"/>
  <c r="S71" i="15"/>
  <c r="S72" i="15"/>
  <c r="S70" i="15"/>
  <c r="S69" i="15"/>
  <c r="S67" i="15"/>
  <c r="S68" i="15"/>
  <c r="P29" i="15"/>
  <c r="P30" i="15"/>
  <c r="V75" i="15"/>
  <c r="V76" i="15"/>
  <c r="V77" i="15"/>
  <c r="V73" i="15"/>
  <c r="V78" i="15"/>
  <c r="V74" i="15"/>
  <c r="P19" i="15"/>
  <c r="P20" i="15"/>
  <c r="V38" i="15"/>
  <c r="V41" i="15"/>
  <c r="V39" i="15"/>
  <c r="V42" i="15"/>
  <c r="V37" i="15"/>
  <c r="V40" i="15"/>
  <c r="V61" i="15"/>
  <c r="V62" i="15"/>
  <c r="V64" i="15"/>
  <c r="V66" i="15"/>
  <c r="V65" i="15"/>
  <c r="V63" i="15"/>
  <c r="L97" i="15"/>
  <c r="AC18" i="15"/>
  <c r="AD18" i="15"/>
  <c r="M18" i="15" s="1"/>
  <c r="AF18" i="15" s="1"/>
  <c r="AG18" i="15" s="1"/>
  <c r="Y18" i="15"/>
  <c r="X97" i="15"/>
  <c r="Y22" i="15"/>
  <c r="Y21" i="15"/>
  <c r="S52" i="15"/>
  <c r="S53" i="15"/>
  <c r="S51" i="15"/>
  <c r="S54" i="15"/>
  <c r="S49" i="15"/>
  <c r="S50" i="15"/>
  <c r="S23" i="15"/>
  <c r="S24" i="15"/>
  <c r="P40" i="15"/>
  <c r="P41" i="15"/>
  <c r="P42" i="15"/>
  <c r="P37" i="15"/>
  <c r="P39" i="15"/>
  <c r="P38" i="15"/>
  <c r="P32" i="15"/>
  <c r="P33" i="15"/>
  <c r="P36" i="15"/>
  <c r="P35" i="15"/>
  <c r="P34" i="15"/>
  <c r="P31" i="15"/>
  <c r="V30" i="15"/>
  <c r="V29" i="15"/>
  <c r="AC67" i="15"/>
  <c r="AC68" i="15" s="1"/>
  <c r="AC69" i="15" s="1"/>
  <c r="AC70" i="15" s="1"/>
  <c r="AC71" i="15" s="1"/>
  <c r="AC72" i="15" s="1"/>
  <c r="AD67" i="15"/>
  <c r="AC16" i="15"/>
  <c r="AD16" i="15"/>
  <c r="M16" i="15" s="1"/>
  <c r="AF16" i="15" s="1"/>
  <c r="AG16" i="15" s="1"/>
  <c r="X96" i="15"/>
  <c r="Y17" i="15"/>
  <c r="Y14" i="15"/>
  <c r="X95" i="15"/>
  <c r="R95" i="15"/>
  <c r="S14" i="15"/>
  <c r="S38" i="15"/>
  <c r="S37" i="15"/>
  <c r="S41" i="15"/>
  <c r="S39" i="15"/>
  <c r="S40" i="15"/>
  <c r="S42" i="15"/>
  <c r="AD62" i="15" l="1"/>
  <c r="M61" i="15"/>
  <c r="AF61" i="15" s="1"/>
  <c r="AG61" i="15" s="1"/>
  <c r="M19" i="15"/>
  <c r="AF19" i="15" s="1"/>
  <c r="AG19" i="15" s="1"/>
  <c r="AD20" i="15"/>
  <c r="M20" i="15" s="1"/>
  <c r="AF20" i="15" s="1"/>
  <c r="AG20" i="15" s="1"/>
  <c r="AD50" i="15"/>
  <c r="M49" i="15"/>
  <c r="AF49" i="15" s="1"/>
  <c r="AG49" i="15" s="1"/>
  <c r="X98" i="15"/>
  <c r="X99" i="15" s="1"/>
  <c r="AD22" i="15"/>
  <c r="M22" i="15" s="1"/>
  <c r="AF22" i="15" s="1"/>
  <c r="AG22" i="15" s="1"/>
  <c r="M21" i="15"/>
  <c r="AF21" i="15" s="1"/>
  <c r="AG21" i="15" s="1"/>
  <c r="AD26" i="15"/>
  <c r="M26" i="15" s="1"/>
  <c r="AF26" i="15" s="1"/>
  <c r="AG26" i="15" s="1"/>
  <c r="M25" i="15"/>
  <c r="AF25" i="15" s="1"/>
  <c r="AG25" i="15" s="1"/>
  <c r="AD30" i="15"/>
  <c r="M30" i="15" s="1"/>
  <c r="AF30" i="15" s="1"/>
  <c r="AG30" i="15" s="1"/>
  <c r="M29" i="15"/>
  <c r="AF29" i="15" s="1"/>
  <c r="AG29" i="15" s="1"/>
  <c r="AD24" i="15"/>
  <c r="M24" i="15" s="1"/>
  <c r="AF24" i="15" s="1"/>
  <c r="AG24" i="15" s="1"/>
  <c r="M23" i="15"/>
  <c r="AF23" i="15" s="1"/>
  <c r="AG23" i="15" s="1"/>
  <c r="AD74" i="15"/>
  <c r="M73" i="15"/>
  <c r="AF73" i="15" s="1"/>
  <c r="AG73" i="15" s="1"/>
  <c r="AD38" i="15"/>
  <c r="M37" i="15"/>
  <c r="AF37" i="15" s="1"/>
  <c r="AG37" i="15" s="1"/>
  <c r="R98" i="15"/>
  <c r="R99" i="15" s="1"/>
  <c r="AD56" i="15"/>
  <c r="M55" i="15"/>
  <c r="AF55" i="15" s="1"/>
  <c r="AG55" i="15" s="1"/>
  <c r="O98" i="15"/>
  <c r="O99" i="15" s="1"/>
  <c r="AD68" i="15"/>
  <c r="M67" i="15"/>
  <c r="AF67" i="15" s="1"/>
  <c r="AG67" i="15" s="1"/>
  <c r="AD28" i="15"/>
  <c r="M28" i="15" s="1"/>
  <c r="AF28" i="15" s="1"/>
  <c r="AG28" i="15" s="1"/>
  <c r="M27" i="15"/>
  <c r="AF27" i="15" s="1"/>
  <c r="AG27" i="15" s="1"/>
  <c r="AD44" i="15"/>
  <c r="M43" i="15"/>
  <c r="AF43" i="15" s="1"/>
  <c r="AG43" i="15" s="1"/>
  <c r="AD32" i="15"/>
  <c r="M31" i="15"/>
  <c r="AF31" i="15" s="1"/>
  <c r="AG31" i="15" s="1"/>
  <c r="U98" i="15"/>
  <c r="U99" i="15" s="1"/>
  <c r="AD57" i="15" l="1"/>
  <c r="M56" i="15"/>
  <c r="AF56" i="15" s="1"/>
  <c r="AG56" i="15" s="1"/>
  <c r="M50" i="15"/>
  <c r="AF50" i="15" s="1"/>
  <c r="AG50" i="15" s="1"/>
  <c r="AD51" i="15"/>
  <c r="AD45" i="15"/>
  <c r="M44" i="15"/>
  <c r="AF44" i="15" s="1"/>
  <c r="AG44" i="15" s="1"/>
  <c r="AD33" i="15"/>
  <c r="M32" i="15"/>
  <c r="AF32" i="15" s="1"/>
  <c r="AG32" i="15" s="1"/>
  <c r="M74" i="15"/>
  <c r="AF74" i="15" s="1"/>
  <c r="AG74" i="15" s="1"/>
  <c r="AD75" i="15"/>
  <c r="AD69" i="15"/>
  <c r="M68" i="15"/>
  <c r="AF68" i="15" s="1"/>
  <c r="AG68" i="15" s="1"/>
  <c r="AD39" i="15"/>
  <c r="M38" i="15"/>
  <c r="AF38" i="15" s="1"/>
  <c r="AG38" i="15" s="1"/>
  <c r="AD63" i="15"/>
  <c r="M62" i="15"/>
  <c r="AF62" i="15" s="1"/>
  <c r="AG62" i="15" s="1"/>
  <c r="M69" i="15" l="1"/>
  <c r="AF69" i="15" s="1"/>
  <c r="AG69" i="15" s="1"/>
  <c r="AD70" i="15"/>
  <c r="AD40" i="15"/>
  <c r="M39" i="15"/>
  <c r="AF39" i="15" s="1"/>
  <c r="AG39" i="15" s="1"/>
  <c r="AD34" i="15"/>
  <c r="M33" i="15"/>
  <c r="AF33" i="15" s="1"/>
  <c r="AD76" i="15"/>
  <c r="M75" i="15"/>
  <c r="AF75" i="15" s="1"/>
  <c r="AG75" i="15" s="1"/>
  <c r="AD46" i="15"/>
  <c r="M45" i="15"/>
  <c r="AF45" i="15" s="1"/>
  <c r="AG45" i="15" s="1"/>
  <c r="M51" i="15"/>
  <c r="AF51" i="15" s="1"/>
  <c r="AG51" i="15" s="1"/>
  <c r="AD52" i="15"/>
  <c r="AD64" i="15"/>
  <c r="M63" i="15"/>
  <c r="AF63" i="15" s="1"/>
  <c r="AG63" i="15" s="1"/>
  <c r="AD58" i="15"/>
  <c r="M57" i="15"/>
  <c r="AF57" i="15" s="1"/>
  <c r="AG57" i="15" s="1"/>
  <c r="M46" i="15" l="1"/>
  <c r="AF46" i="15" s="1"/>
  <c r="AG46" i="15" s="1"/>
  <c r="AD47" i="15"/>
  <c r="AD53" i="15"/>
  <c r="M52" i="15"/>
  <c r="AF52" i="15" s="1"/>
  <c r="AG52" i="15" s="1"/>
  <c r="AD65" i="15"/>
  <c r="M64" i="15"/>
  <c r="AF64" i="15" s="1"/>
  <c r="AG64" i="15" s="1"/>
  <c r="AD77" i="15"/>
  <c r="M76" i="15"/>
  <c r="AF76" i="15" s="1"/>
  <c r="AG76" i="15" s="1"/>
  <c r="M34" i="15"/>
  <c r="AF34" i="15" s="1"/>
  <c r="AG34" i="15" s="1"/>
  <c r="AD35" i="15"/>
  <c r="AD41" i="15"/>
  <c r="M40" i="15"/>
  <c r="AF40" i="15" s="1"/>
  <c r="AG40" i="15" s="1"/>
  <c r="M70" i="15"/>
  <c r="AF70" i="15" s="1"/>
  <c r="AG70" i="15" s="1"/>
  <c r="AD71" i="15"/>
  <c r="AG33" i="15"/>
  <c r="AD59" i="15"/>
  <c r="M58" i="15"/>
  <c r="AF58" i="15" s="1"/>
  <c r="AG58" i="15" s="1"/>
  <c r="AD42" i="15" l="1"/>
  <c r="M42" i="15" s="1"/>
  <c r="AF42" i="15" s="1"/>
  <c r="AG42" i="15" s="1"/>
  <c r="M41" i="15"/>
  <c r="AF41" i="15" s="1"/>
  <c r="AG41" i="15" s="1"/>
  <c r="AD36" i="15"/>
  <c r="M36" i="15" s="1"/>
  <c r="AF36" i="15" s="1"/>
  <c r="AG36" i="15" s="1"/>
  <c r="M35" i="15"/>
  <c r="AF35" i="15" s="1"/>
  <c r="AD72" i="15"/>
  <c r="M72" i="15" s="1"/>
  <c r="AF72" i="15" s="1"/>
  <c r="AG72" i="15" s="1"/>
  <c r="M71" i="15"/>
  <c r="AF71" i="15" s="1"/>
  <c r="AG71" i="15" s="1"/>
  <c r="AD60" i="15"/>
  <c r="M60" i="15" s="1"/>
  <c r="AF60" i="15" s="1"/>
  <c r="AG60" i="15" s="1"/>
  <c r="M59" i="15"/>
  <c r="AF59" i="15" s="1"/>
  <c r="AG59" i="15" s="1"/>
  <c r="AD54" i="15"/>
  <c r="M54" i="15" s="1"/>
  <c r="AF54" i="15" s="1"/>
  <c r="AG54" i="15" s="1"/>
  <c r="M53" i="15"/>
  <c r="AF53" i="15" s="1"/>
  <c r="AG53" i="15" s="1"/>
  <c r="AD48" i="15"/>
  <c r="M48" i="15" s="1"/>
  <c r="AF48" i="15" s="1"/>
  <c r="AG48" i="15" s="1"/>
  <c r="M47" i="15"/>
  <c r="AF47" i="15" s="1"/>
  <c r="AG47" i="15" s="1"/>
  <c r="AD78" i="15"/>
  <c r="M78" i="15" s="1"/>
  <c r="AF78" i="15" s="1"/>
  <c r="AG78" i="15" s="1"/>
  <c r="M77" i="15"/>
  <c r="AF77" i="15" s="1"/>
  <c r="AG77" i="15" s="1"/>
  <c r="M65" i="15"/>
  <c r="AF65" i="15" s="1"/>
  <c r="AG65" i="15" s="1"/>
  <c r="AD66" i="15"/>
  <c r="M66" i="15" s="1"/>
  <c r="AF66" i="15" s="1"/>
  <c r="AG66" i="15" s="1"/>
  <c r="AG35" i="15" l="1"/>
  <c r="AF83" i="15"/>
  <c r="AG83" i="15" l="1"/>
  <c r="AF84" i="15"/>
  <c r="AG84" i="15" s="1"/>
  <c r="D57" i="14" l="1"/>
  <c r="E56" i="14"/>
  <c r="E57" i="14" s="1"/>
  <c r="C56" i="14"/>
  <c r="D54" i="14"/>
  <c r="E53" i="14"/>
  <c r="E54" i="14" s="1"/>
  <c r="C53" i="14"/>
  <c r="C54" i="14" s="1"/>
  <c r="G50" i="14"/>
  <c r="E50" i="14"/>
  <c r="D50" i="14"/>
  <c r="D51" i="14" s="1"/>
  <c r="C50" i="14"/>
  <c r="E47" i="14"/>
  <c r="D47" i="14"/>
  <c r="D48" i="14" s="1"/>
  <c r="C47" i="14"/>
  <c r="E46" i="14"/>
  <c r="C46" i="14"/>
  <c r="E43" i="14"/>
  <c r="E44" i="14" s="1"/>
  <c r="D43" i="14"/>
  <c r="D44" i="14" s="1"/>
  <c r="C43" i="14"/>
  <c r="C44" i="14" s="1"/>
  <c r="F42" i="14"/>
  <c r="E39" i="14"/>
  <c r="E40" i="14" s="1"/>
  <c r="D39" i="14"/>
  <c r="D40" i="14" s="1"/>
  <c r="C39" i="14"/>
  <c r="C40" i="14" s="1"/>
  <c r="F38" i="14"/>
  <c r="C33" i="14"/>
  <c r="F33" i="14" s="1"/>
  <c r="Q32" i="14"/>
  <c r="O32" i="14"/>
  <c r="E32" i="14"/>
  <c r="D32" i="14"/>
  <c r="D34" i="14" s="1"/>
  <c r="C32" i="14"/>
  <c r="F32" i="14" s="1"/>
  <c r="Q31" i="14"/>
  <c r="O31" i="14"/>
  <c r="E31" i="14"/>
  <c r="E34" i="14" s="1"/>
  <c r="C31" i="14"/>
  <c r="E28" i="14"/>
  <c r="D28" i="14"/>
  <c r="D29" i="14" s="1"/>
  <c r="C28" i="14"/>
  <c r="E27" i="14"/>
  <c r="C27" i="14"/>
  <c r="C29" i="14" s="1"/>
  <c r="D23" i="14"/>
  <c r="C23" i="14"/>
  <c r="E22" i="14"/>
  <c r="E24" i="14" s="1"/>
  <c r="D22" i="14"/>
  <c r="D24" i="14" s="1"/>
  <c r="C22" i="14"/>
  <c r="C24" i="14" s="1"/>
  <c r="E19" i="14"/>
  <c r="D19" i="14"/>
  <c r="D20" i="14" s="1"/>
  <c r="C19" i="14"/>
  <c r="E18" i="14"/>
  <c r="E20" i="14" s="1"/>
  <c r="C18" i="14"/>
  <c r="E15" i="14"/>
  <c r="D15" i="14"/>
  <c r="D16" i="14" s="1"/>
  <c r="C15" i="14"/>
  <c r="E14" i="14"/>
  <c r="C14" i="14"/>
  <c r="F14" i="14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F50" i="14" l="1"/>
  <c r="E16" i="14"/>
  <c r="E29" i="14"/>
  <c r="E48" i="14"/>
  <c r="E51" i="14" s="1"/>
  <c r="F18" i="14"/>
  <c r="F28" i="14"/>
  <c r="F19" i="14"/>
  <c r="F20" i="14" s="1"/>
  <c r="G20" i="14" s="1"/>
  <c r="H20" i="14" s="1"/>
  <c r="J20" i="14" s="1"/>
  <c r="F31" i="14"/>
  <c r="F23" i="14"/>
  <c r="F27" i="14"/>
  <c r="F29" i="14" s="1"/>
  <c r="G29" i="14" s="1"/>
  <c r="H29" i="14" s="1"/>
  <c r="J29" i="14" s="1"/>
  <c r="F56" i="14"/>
  <c r="F57" i="14" s="1"/>
  <c r="H57" i="14" s="1"/>
  <c r="J57" i="14" s="1"/>
  <c r="F46" i="14"/>
  <c r="C16" i="14"/>
  <c r="F47" i="14"/>
  <c r="C34" i="14"/>
  <c r="D60" i="14"/>
  <c r="E60" i="14"/>
  <c r="A42" i="14"/>
  <c r="A43" i="14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F34" i="14"/>
  <c r="F22" i="14"/>
  <c r="F24" i="14" s="1"/>
  <c r="F15" i="14"/>
  <c r="F16" i="14" s="1"/>
  <c r="F43" i="14"/>
  <c r="F44" i="14" s="1"/>
  <c r="C20" i="14"/>
  <c r="F53" i="14"/>
  <c r="F54" i="14" s="1"/>
  <c r="H54" i="14" s="1"/>
  <c r="J54" i="14" s="1"/>
  <c r="C57" i="14"/>
  <c r="F39" i="14"/>
  <c r="F40" i="14" s="1"/>
  <c r="C48" i="14"/>
  <c r="C51" i="14" s="1"/>
  <c r="F48" i="14" l="1"/>
  <c r="F51" i="14" s="1"/>
  <c r="C60" i="14"/>
  <c r="G44" i="14"/>
  <c r="H44" i="14" s="1"/>
  <c r="J44" i="14" s="1"/>
  <c r="G16" i="14"/>
  <c r="H16" i="14" s="1"/>
  <c r="J16" i="14" s="1"/>
  <c r="G34" i="14"/>
  <c r="H34" i="14" s="1"/>
  <c r="G40" i="14"/>
  <c r="H40" i="14" s="1"/>
  <c r="J40" i="14" s="1"/>
  <c r="G48" i="14"/>
  <c r="H48" i="14" s="1"/>
  <c r="J48" i="14" s="1"/>
  <c r="G24" i="14"/>
  <c r="H24" i="14" s="1"/>
  <c r="J24" i="14" s="1"/>
  <c r="G51" i="14" l="1"/>
  <c r="H51" i="14" s="1"/>
  <c r="J51" i="14" s="1"/>
  <c r="F60" i="14"/>
  <c r="J34" i="14"/>
  <c r="G60" i="14" l="1"/>
  <c r="H60" i="14"/>
  <c r="M31" i="14"/>
  <c r="M32" i="14" s="1"/>
  <c r="J60" i="14"/>
  <c r="F22" i="13" l="1"/>
  <c r="B22" i="13"/>
  <c r="H15" i="13"/>
  <c r="H12" i="13"/>
  <c r="F12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3" i="13"/>
  <c r="D225" i="10" l="1"/>
  <c r="F224" i="10"/>
  <c r="F225" i="10" s="1"/>
  <c r="D224" i="10"/>
  <c r="H214" i="10"/>
  <c r="G214" i="10"/>
  <c r="F210" i="10"/>
  <c r="H201" i="10"/>
  <c r="G201" i="10"/>
  <c r="A187" i="10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H175" i="10"/>
  <c r="G175" i="10"/>
  <c r="G169" i="10"/>
  <c r="H169" i="10" s="1"/>
  <c r="I168" i="10"/>
  <c r="H168" i="10"/>
  <c r="G168" i="10"/>
  <c r="H167" i="10"/>
  <c r="G167" i="10"/>
  <c r="H166" i="10"/>
  <c r="G166" i="10"/>
  <c r="G165" i="10"/>
  <c r="H165" i="10" s="1"/>
  <c r="A165" i="10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H164" i="10"/>
  <c r="G164" i="10"/>
  <c r="D225" i="9"/>
  <c r="D224" i="9"/>
  <c r="D219" i="9"/>
  <c r="G214" i="9"/>
  <c r="I214" i="9" s="1"/>
  <c r="G201" i="9"/>
  <c r="I201" i="9" s="1"/>
  <c r="I175" i="9"/>
  <c r="G175" i="9"/>
  <c r="A175" i="9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173" i="9"/>
  <c r="A174" i="9" s="1"/>
  <c r="J168" i="9"/>
  <c r="G168" i="9"/>
  <c r="I168" i="9" s="1"/>
  <c r="A168" i="9"/>
  <c r="A169" i="9" s="1"/>
  <c r="A170" i="9" s="1"/>
  <c r="A171" i="9" s="1"/>
  <c r="A172" i="9" s="1"/>
  <c r="I167" i="9"/>
  <c r="G167" i="9"/>
  <c r="I166" i="9"/>
  <c r="G166" i="9"/>
  <c r="G165" i="9"/>
  <c r="I165" i="9" s="1"/>
  <c r="A165" i="9"/>
  <c r="A166" i="9" s="1"/>
  <c r="A167" i="9" s="1"/>
  <c r="G164" i="9"/>
  <c r="I164" i="9" s="1"/>
  <c r="H187" i="8"/>
  <c r="H178" i="8"/>
  <c r="H177" i="8"/>
  <c r="H174" i="8"/>
  <c r="H161" i="8"/>
  <c r="B145" i="8"/>
  <c r="B146" i="8" s="1"/>
  <c r="B147" i="8" s="1"/>
  <c r="B148" i="8" s="1"/>
  <c r="A145" i="8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B138" i="8"/>
  <c r="B139" i="8" s="1"/>
  <c r="B140" i="8" s="1"/>
  <c r="B141" i="8" s="1"/>
  <c r="B142" i="8" s="1"/>
  <c r="B143" i="8" s="1"/>
  <c r="B144" i="8" s="1"/>
  <c r="B137" i="8"/>
  <c r="B130" i="8"/>
  <c r="B131" i="8" s="1"/>
  <c r="B132" i="8" s="1"/>
  <c r="B133" i="8" s="1"/>
  <c r="B134" i="8" s="1"/>
  <c r="B135" i="8" s="1"/>
  <c r="B127" i="8"/>
  <c r="B128" i="8" s="1"/>
  <c r="B129" i="8" s="1"/>
  <c r="B124" i="8"/>
  <c r="B125" i="8" s="1"/>
  <c r="B126" i="8" s="1"/>
  <c r="B104" i="8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A104" i="8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G103" i="8"/>
  <c r="H103" i="8" s="1"/>
  <c r="I103" i="8" s="1"/>
  <c r="D225" i="7"/>
  <c r="D224" i="7"/>
  <c r="D219" i="7"/>
  <c r="G214" i="7"/>
  <c r="I214" i="7" s="1"/>
  <c r="D208" i="7"/>
  <c r="G201" i="7"/>
  <c r="I201" i="7" s="1"/>
  <c r="A177" i="7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G175" i="7"/>
  <c r="I175" i="7" s="1"/>
  <c r="G168" i="7"/>
  <c r="I168" i="7" s="1"/>
  <c r="J168" i="7" s="1"/>
  <c r="G167" i="7"/>
  <c r="I167" i="7" s="1"/>
  <c r="G166" i="7"/>
  <c r="I166" i="7" s="1"/>
  <c r="G165" i="7"/>
  <c r="I165" i="7" s="1"/>
  <c r="A165" i="7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I164" i="7"/>
  <c r="G164" i="7"/>
  <c r="J200" i="6"/>
  <c r="I200" i="6"/>
  <c r="D193" i="6"/>
  <c r="I187" i="6"/>
  <c r="I178" i="6"/>
  <c r="I177" i="6"/>
  <c r="I174" i="6"/>
  <c r="I161" i="6"/>
  <c r="B147" i="6"/>
  <c r="B148" i="6" s="1"/>
  <c r="B142" i="6"/>
  <c r="B143" i="6" s="1"/>
  <c r="B144" i="6" s="1"/>
  <c r="B145" i="6" s="1"/>
  <c r="B146" i="6" s="1"/>
  <c r="B139" i="6"/>
  <c r="B140" i="6" s="1"/>
  <c r="B141" i="6" s="1"/>
  <c r="B137" i="6"/>
  <c r="B138" i="6" s="1"/>
  <c r="B127" i="6"/>
  <c r="B128" i="6" s="1"/>
  <c r="B129" i="6" s="1"/>
  <c r="B130" i="6" s="1"/>
  <c r="B131" i="6" s="1"/>
  <c r="B132" i="6" s="1"/>
  <c r="B133" i="6" s="1"/>
  <c r="B134" i="6" s="1"/>
  <c r="B135" i="6" s="1"/>
  <c r="B126" i="6"/>
  <c r="B124" i="6"/>
  <c r="B125" i="6" s="1"/>
  <c r="A118" i="6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108" i="6"/>
  <c r="A109" i="6" s="1"/>
  <c r="A110" i="6" s="1"/>
  <c r="A111" i="6" s="1"/>
  <c r="A112" i="6" s="1"/>
  <c r="A113" i="6" s="1"/>
  <c r="A114" i="6" s="1"/>
  <c r="A115" i="6" s="1"/>
  <c r="A116" i="6" s="1"/>
  <c r="A117" i="6" s="1"/>
  <c r="B106" i="6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A106" i="6"/>
  <c r="A107" i="6" s="1"/>
  <c r="B105" i="6"/>
  <c r="A105" i="6"/>
  <c r="B104" i="6"/>
  <c r="A104" i="6"/>
  <c r="G103" i="6"/>
  <c r="I103" i="6" s="1"/>
  <c r="J103" i="6" s="1"/>
  <c r="F101" i="5"/>
  <c r="F102" i="5" s="1"/>
  <c r="F103" i="5" s="1"/>
  <c r="E88" i="5"/>
  <c r="F81" i="5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79" i="5"/>
  <c r="F80" i="5" s="1"/>
  <c r="F78" i="5"/>
  <c r="F77" i="5"/>
  <c r="F75" i="5"/>
  <c r="A74" i="5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73" i="5"/>
  <c r="F72" i="5"/>
  <c r="F73" i="5" s="1"/>
  <c r="F74" i="5" s="1"/>
  <c r="H71" i="5"/>
  <c r="I71" i="5" s="1"/>
  <c r="G71" i="5"/>
  <c r="D78" i="4"/>
  <c r="D77" i="4"/>
  <c r="H67" i="4"/>
  <c r="G67" i="4"/>
  <c r="H54" i="4"/>
  <c r="G54" i="4"/>
  <c r="D49" i="4"/>
  <c r="H41" i="4"/>
  <c r="G41" i="4"/>
  <c r="D34" i="4"/>
  <c r="G28" i="4"/>
  <c r="H28" i="4" s="1"/>
  <c r="I28" i="4" s="1"/>
  <c r="G29" i="4" s="1"/>
  <c r="H29" i="4" s="1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H20" i="4"/>
  <c r="H19" i="4"/>
  <c r="H18" i="4"/>
  <c r="H17" i="4"/>
  <c r="B17" i="4"/>
  <c r="B18" i="4" s="1"/>
  <c r="B19" i="4" s="1"/>
  <c r="B20" i="4" s="1"/>
  <c r="B21" i="4" s="1"/>
  <c r="I16" i="4"/>
  <c r="I17" i="4" s="1"/>
  <c r="I18" i="4" s="1"/>
  <c r="I19" i="4" s="1"/>
  <c r="I20" i="4" s="1"/>
  <c r="H16" i="4"/>
  <c r="B16" i="4"/>
  <c r="I15" i="4"/>
  <c r="H15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84" i="4" l="1"/>
  <c r="A83" i="4"/>
  <c r="A85" i="4" s="1"/>
  <c r="G104" i="6"/>
  <c r="I104" i="6" s="1"/>
  <c r="J104" i="6" s="1"/>
  <c r="E21" i="4"/>
  <c r="H21" i="4" s="1"/>
  <c r="I21" i="4" s="1"/>
  <c r="A213" i="7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8" i="7"/>
  <c r="A229" i="7" s="1"/>
  <c r="A230" i="7" s="1"/>
  <c r="J169" i="7"/>
  <c r="G169" i="7"/>
  <c r="I169" i="7" s="1"/>
  <c r="J169" i="9"/>
  <c r="G169" i="9"/>
  <c r="I169" i="9" s="1"/>
  <c r="I29" i="4"/>
  <c r="G201" i="6"/>
  <c r="I201" i="6" s="1"/>
  <c r="J201" i="6"/>
  <c r="G72" i="5"/>
  <c r="H72" i="5" s="1"/>
  <c r="I72" i="5" s="1"/>
  <c r="G104" i="8"/>
  <c r="H104" i="8" s="1"/>
  <c r="I104" i="8"/>
  <c r="I169" i="10"/>
  <c r="I73" i="5" l="1"/>
  <c r="G73" i="5"/>
  <c r="H73" i="5" s="1"/>
  <c r="G105" i="6"/>
  <c r="I105" i="6" s="1"/>
  <c r="J105" i="6" s="1"/>
  <c r="G105" i="8"/>
  <c r="H105" i="8" s="1"/>
  <c r="I105" i="8" s="1"/>
  <c r="G202" i="6"/>
  <c r="I202" i="6" s="1"/>
  <c r="J202" i="6" s="1"/>
  <c r="I30" i="4"/>
  <c r="G30" i="4"/>
  <c r="H30" i="4" s="1"/>
  <c r="G170" i="10"/>
  <c r="H170" i="10" s="1"/>
  <c r="I170" i="10" s="1"/>
  <c r="J170" i="7"/>
  <c r="G170" i="7"/>
  <c r="I170" i="7" s="1"/>
  <c r="G170" i="9"/>
  <c r="I170" i="9" s="1"/>
  <c r="J170" i="9" s="1"/>
  <c r="J203" i="6" l="1"/>
  <c r="G203" i="6"/>
  <c r="I203" i="6" s="1"/>
  <c r="G171" i="9"/>
  <c r="I171" i="9" s="1"/>
  <c r="J171" i="9" s="1"/>
  <c r="G171" i="10"/>
  <c r="H171" i="10" s="1"/>
  <c r="I171" i="10" s="1"/>
  <c r="G106" i="8"/>
  <c r="H106" i="8" s="1"/>
  <c r="I106" i="8" s="1"/>
  <c r="G106" i="6"/>
  <c r="I106" i="6" s="1"/>
  <c r="J106" i="6" s="1"/>
  <c r="G31" i="4"/>
  <c r="H31" i="4" s="1"/>
  <c r="I31" i="4" s="1"/>
  <c r="G171" i="7"/>
  <c r="I171" i="7" s="1"/>
  <c r="J171" i="7" s="1"/>
  <c r="G74" i="5"/>
  <c r="H74" i="5" s="1"/>
  <c r="I74" i="5" s="1"/>
  <c r="G75" i="5" l="1"/>
  <c r="H75" i="5" s="1"/>
  <c r="I75" i="5" s="1"/>
  <c r="G32" i="4"/>
  <c r="H32" i="4" s="1"/>
  <c r="I32" i="4" s="1"/>
  <c r="G172" i="7"/>
  <c r="I172" i="7" s="1"/>
  <c r="J172" i="7" s="1"/>
  <c r="G107" i="6"/>
  <c r="I107" i="6" s="1"/>
  <c r="J107" i="6" s="1"/>
  <c r="G107" i="8"/>
  <c r="H107" i="8" s="1"/>
  <c r="I107" i="8" s="1"/>
  <c r="G172" i="9"/>
  <c r="I172" i="9" s="1"/>
  <c r="J172" i="9" s="1"/>
  <c r="G172" i="10"/>
  <c r="H172" i="10" s="1"/>
  <c r="I172" i="10" s="1"/>
  <c r="G204" i="6"/>
  <c r="I204" i="6" s="1"/>
  <c r="J204" i="6"/>
  <c r="G108" i="8" l="1"/>
  <c r="H108" i="8" s="1"/>
  <c r="I108" i="8" s="1"/>
  <c r="G173" i="7"/>
  <c r="I173" i="7" s="1"/>
  <c r="J173" i="7"/>
  <c r="G173" i="9"/>
  <c r="I173" i="9" s="1"/>
  <c r="J173" i="9" s="1"/>
  <c r="G33" i="4"/>
  <c r="H33" i="4" s="1"/>
  <c r="I33" i="4" s="1"/>
  <c r="G173" i="10"/>
  <c r="H173" i="10" s="1"/>
  <c r="I173" i="10" s="1"/>
  <c r="G108" i="6"/>
  <c r="I108" i="6" s="1"/>
  <c r="J108" i="6" s="1"/>
  <c r="G76" i="5"/>
  <c r="H76" i="5" s="1"/>
  <c r="I76" i="5" s="1"/>
  <c r="G205" i="6"/>
  <c r="I205" i="6" s="1"/>
  <c r="J205" i="6"/>
  <c r="G109" i="6" l="1"/>
  <c r="I109" i="6" s="1"/>
  <c r="J109" i="6" s="1"/>
  <c r="G174" i="10"/>
  <c r="H174" i="10" s="1"/>
  <c r="I174" i="10" s="1"/>
  <c r="I175" i="10" s="1"/>
  <c r="G34" i="4"/>
  <c r="H34" i="4" s="1"/>
  <c r="I34" i="4" s="1"/>
  <c r="G77" i="5"/>
  <c r="H77" i="5" s="1"/>
  <c r="I77" i="5"/>
  <c r="G174" i="9"/>
  <c r="I174" i="9" s="1"/>
  <c r="J174" i="9"/>
  <c r="J175" i="9" s="1"/>
  <c r="G109" i="8"/>
  <c r="H109" i="8" s="1"/>
  <c r="I109" i="8" s="1"/>
  <c r="G174" i="7"/>
  <c r="I174" i="7" s="1"/>
  <c r="J174" i="7" s="1"/>
  <c r="J175" i="7" s="1"/>
  <c r="G206" i="6"/>
  <c r="I206" i="6" s="1"/>
  <c r="J206" i="6" s="1"/>
  <c r="J176" i="7" l="1"/>
  <c r="G176" i="7"/>
  <c r="I176" i="7" s="1"/>
  <c r="G207" i="6"/>
  <c r="I207" i="6" s="1"/>
  <c r="J207" i="6" s="1"/>
  <c r="G110" i="8"/>
  <c r="H110" i="8" s="1"/>
  <c r="I110" i="8" s="1"/>
  <c r="G35" i="4"/>
  <c r="H35" i="4" s="1"/>
  <c r="I35" i="4" s="1"/>
  <c r="G176" i="10"/>
  <c r="H176" i="10" s="1"/>
  <c r="I176" i="10" s="1"/>
  <c r="J110" i="6"/>
  <c r="G110" i="6"/>
  <c r="I110" i="6" s="1"/>
  <c r="J176" i="9"/>
  <c r="G176" i="9"/>
  <c r="I176" i="9" s="1"/>
  <c r="G78" i="5"/>
  <c r="H78" i="5" s="1"/>
  <c r="I78" i="5" s="1"/>
  <c r="I177" i="10" l="1"/>
  <c r="G177" i="10"/>
  <c r="H177" i="10" s="1"/>
  <c r="G36" i="4"/>
  <c r="H36" i="4" s="1"/>
  <c r="I36" i="4" s="1"/>
  <c r="G79" i="5"/>
  <c r="H79" i="5" s="1"/>
  <c r="I79" i="5" s="1"/>
  <c r="G111" i="8"/>
  <c r="H111" i="8" s="1"/>
  <c r="I111" i="8"/>
  <c r="G208" i="6"/>
  <c r="I208" i="6" s="1"/>
  <c r="J208" i="6" s="1"/>
  <c r="G177" i="9"/>
  <c r="I177" i="9" s="1"/>
  <c r="J177" i="9" s="1"/>
  <c r="G111" i="6"/>
  <c r="I111" i="6" s="1"/>
  <c r="J111" i="6"/>
  <c r="J177" i="7"/>
  <c r="G177" i="7"/>
  <c r="I177" i="7" s="1"/>
  <c r="G80" i="5" l="1"/>
  <c r="H80" i="5" s="1"/>
  <c r="I80" i="5" s="1"/>
  <c r="G178" i="9"/>
  <c r="I178" i="9" s="1"/>
  <c r="J178" i="9" s="1"/>
  <c r="G209" i="6"/>
  <c r="I209" i="6" s="1"/>
  <c r="J209" i="6"/>
  <c r="G37" i="4"/>
  <c r="H37" i="4" s="1"/>
  <c r="I37" i="4" s="1"/>
  <c r="G112" i="8"/>
  <c r="H112" i="8" s="1"/>
  <c r="I112" i="8" s="1"/>
  <c r="G178" i="7"/>
  <c r="I178" i="7" s="1"/>
  <c r="J178" i="7" s="1"/>
  <c r="G112" i="6"/>
  <c r="I112" i="6" s="1"/>
  <c r="J112" i="6" s="1"/>
  <c r="I178" i="10"/>
  <c r="G178" i="10"/>
  <c r="H178" i="10" s="1"/>
  <c r="G113" i="8" l="1"/>
  <c r="H113" i="8" s="1"/>
  <c r="I113" i="8" s="1"/>
  <c r="G81" i="5"/>
  <c r="H81" i="5" s="1"/>
  <c r="I81" i="5" s="1"/>
  <c r="G113" i="6"/>
  <c r="I113" i="6" s="1"/>
  <c r="J113" i="6" s="1"/>
  <c r="G179" i="7"/>
  <c r="I179" i="7" s="1"/>
  <c r="J179" i="7"/>
  <c r="G38" i="4"/>
  <c r="H38" i="4" s="1"/>
  <c r="I38" i="4" s="1"/>
  <c r="G179" i="9"/>
  <c r="I179" i="9" s="1"/>
  <c r="J179" i="9" s="1"/>
  <c r="G210" i="6"/>
  <c r="I210" i="6" s="1"/>
  <c r="J210" i="6" s="1"/>
  <c r="G179" i="10"/>
  <c r="H179" i="10" s="1"/>
  <c r="I179" i="10" s="1"/>
  <c r="G114" i="8" l="1"/>
  <c r="H114" i="8" s="1"/>
  <c r="I114" i="8" s="1"/>
  <c r="J180" i="9"/>
  <c r="G180" i="9"/>
  <c r="I180" i="9" s="1"/>
  <c r="G180" i="10"/>
  <c r="H180" i="10" s="1"/>
  <c r="I180" i="10"/>
  <c r="G211" i="6"/>
  <c r="I211" i="6" s="1"/>
  <c r="J211" i="6" s="1"/>
  <c r="G39" i="4"/>
  <c r="H39" i="4" s="1"/>
  <c r="I39" i="4" s="1"/>
  <c r="G114" i="6"/>
  <c r="I114" i="6" s="1"/>
  <c r="J114" i="6" s="1"/>
  <c r="G82" i="5"/>
  <c r="H82" i="5" s="1"/>
  <c r="I82" i="5" s="1"/>
  <c r="G180" i="7"/>
  <c r="I180" i="7" s="1"/>
  <c r="J180" i="7"/>
  <c r="G115" i="6" l="1"/>
  <c r="I115" i="6" s="1"/>
  <c r="J115" i="6" s="1"/>
  <c r="G40" i="4"/>
  <c r="H40" i="4" s="1"/>
  <c r="I40" i="4" s="1"/>
  <c r="I41" i="4" s="1"/>
  <c r="G115" i="8"/>
  <c r="H115" i="8" s="1"/>
  <c r="I115" i="8"/>
  <c r="G83" i="5"/>
  <c r="H83" i="5" s="1"/>
  <c r="I83" i="5" s="1"/>
  <c r="G212" i="6"/>
  <c r="I212" i="6" s="1"/>
  <c r="J212" i="6" s="1"/>
  <c r="G181" i="10"/>
  <c r="H181" i="10" s="1"/>
  <c r="I181" i="10"/>
  <c r="G181" i="9"/>
  <c r="I181" i="9" s="1"/>
  <c r="J181" i="9"/>
  <c r="G181" i="7"/>
  <c r="I181" i="7" s="1"/>
  <c r="J181" i="7" s="1"/>
  <c r="G213" i="6" l="1"/>
  <c r="I213" i="6" s="1"/>
  <c r="J213" i="6" s="1"/>
  <c r="G84" i="5"/>
  <c r="H84" i="5" s="1"/>
  <c r="I84" i="5" s="1"/>
  <c r="G116" i="6"/>
  <c r="I116" i="6" s="1"/>
  <c r="J116" i="6"/>
  <c r="J182" i="7"/>
  <c r="G182" i="7"/>
  <c r="I182" i="7" s="1"/>
  <c r="G42" i="4"/>
  <c r="H42" i="4" s="1"/>
  <c r="I42" i="4" s="1"/>
  <c r="G182" i="9"/>
  <c r="I182" i="9" s="1"/>
  <c r="J182" i="9"/>
  <c r="G182" i="10"/>
  <c r="H182" i="10" s="1"/>
  <c r="I182" i="10" s="1"/>
  <c r="G116" i="8"/>
  <c r="H116" i="8" s="1"/>
  <c r="I116" i="8" s="1"/>
  <c r="G43" i="4" l="1"/>
  <c r="H43" i="4" s="1"/>
  <c r="I43" i="4"/>
  <c r="G183" i="10"/>
  <c r="H183" i="10" s="1"/>
  <c r="I183" i="10" s="1"/>
  <c r="G85" i="5"/>
  <c r="H85" i="5" s="1"/>
  <c r="I85" i="5" s="1"/>
  <c r="G117" i="8"/>
  <c r="H117" i="8" s="1"/>
  <c r="I117" i="8" s="1"/>
  <c r="G214" i="6"/>
  <c r="I214" i="6" s="1"/>
  <c r="J214" i="6" s="1"/>
  <c r="G183" i="7"/>
  <c r="I183" i="7" s="1"/>
  <c r="J183" i="7" s="1"/>
  <c r="G117" i="6"/>
  <c r="I117" i="6" s="1"/>
  <c r="J117" i="6" s="1"/>
  <c r="G183" i="9"/>
  <c r="I183" i="9" s="1"/>
  <c r="J183" i="9" s="1"/>
  <c r="G118" i="8" l="1"/>
  <c r="H118" i="8" s="1"/>
  <c r="I118" i="8" s="1"/>
  <c r="G184" i="7"/>
  <c r="I184" i="7" s="1"/>
  <c r="J184" i="7" s="1"/>
  <c r="G86" i="5"/>
  <c r="H86" i="5" s="1"/>
  <c r="I86" i="5"/>
  <c r="G184" i="9"/>
  <c r="I184" i="9" s="1"/>
  <c r="J184" i="9" s="1"/>
  <c r="G118" i="6"/>
  <c r="I118" i="6" s="1"/>
  <c r="J118" i="6" s="1"/>
  <c r="G215" i="6"/>
  <c r="I215" i="6" s="1"/>
  <c r="J215" i="6" s="1"/>
  <c r="G184" i="10"/>
  <c r="H184" i="10" s="1"/>
  <c r="I184" i="10" s="1"/>
  <c r="G44" i="4"/>
  <c r="H44" i="4" s="1"/>
  <c r="I44" i="4" s="1"/>
  <c r="G45" i="4" l="1"/>
  <c r="H45" i="4" s="1"/>
  <c r="I45" i="4" s="1"/>
  <c r="G185" i="9"/>
  <c r="I185" i="9" s="1"/>
  <c r="J185" i="9"/>
  <c r="G216" i="6"/>
  <c r="I216" i="6" s="1"/>
  <c r="J216" i="6" s="1"/>
  <c r="G185" i="7"/>
  <c r="I185" i="7" s="1"/>
  <c r="J185" i="7" s="1"/>
  <c r="I185" i="10"/>
  <c r="G185" i="10"/>
  <c r="H185" i="10" s="1"/>
  <c r="G119" i="6"/>
  <c r="I119" i="6" s="1"/>
  <c r="J119" i="6" s="1"/>
  <c r="G119" i="8"/>
  <c r="H119" i="8" s="1"/>
  <c r="I119" i="8" s="1"/>
  <c r="G87" i="5"/>
  <c r="H87" i="5" s="1"/>
  <c r="I87" i="5" s="1"/>
  <c r="G120" i="6" l="1"/>
  <c r="I120" i="6" s="1"/>
  <c r="J120" i="6"/>
  <c r="G186" i="7"/>
  <c r="I186" i="7" s="1"/>
  <c r="J186" i="7" s="1"/>
  <c r="G88" i="5"/>
  <c r="H88" i="5" s="1"/>
  <c r="I88" i="5"/>
  <c r="G120" i="8"/>
  <c r="H120" i="8" s="1"/>
  <c r="I120" i="8" s="1"/>
  <c r="G217" i="6"/>
  <c r="I217" i="6" s="1"/>
  <c r="J217" i="6"/>
  <c r="G46" i="4"/>
  <c r="H46" i="4" s="1"/>
  <c r="I46" i="4" s="1"/>
  <c r="G186" i="9"/>
  <c r="I186" i="9" s="1"/>
  <c r="J186" i="9" s="1"/>
  <c r="G186" i="10"/>
  <c r="H186" i="10" s="1"/>
  <c r="I186" i="10" s="1"/>
  <c r="G187" i="9" l="1"/>
  <c r="I187" i="9" s="1"/>
  <c r="J187" i="9" s="1"/>
  <c r="G47" i="4"/>
  <c r="H47" i="4" s="1"/>
  <c r="I47" i="4" s="1"/>
  <c r="G121" i="8"/>
  <c r="H121" i="8" s="1"/>
  <c r="I121" i="8" s="1"/>
  <c r="G187" i="10"/>
  <c r="H187" i="10" s="1"/>
  <c r="I187" i="10" s="1"/>
  <c r="G187" i="7"/>
  <c r="I187" i="7" s="1"/>
  <c r="J187" i="7" s="1"/>
  <c r="G218" i="6"/>
  <c r="I218" i="6" s="1"/>
  <c r="J218" i="6" s="1"/>
  <c r="G89" i="5"/>
  <c r="H89" i="5" s="1"/>
  <c r="I89" i="5"/>
  <c r="G121" i="6"/>
  <c r="I121" i="6" s="1"/>
  <c r="J121" i="6" s="1"/>
  <c r="G122" i="6" l="1"/>
  <c r="I122" i="6" s="1"/>
  <c r="J122" i="6" s="1"/>
  <c r="G122" i="8"/>
  <c r="H122" i="8" s="1"/>
  <c r="I122" i="8" s="1"/>
  <c r="G48" i="4"/>
  <c r="H48" i="4" s="1"/>
  <c r="I48" i="4" s="1"/>
  <c r="J219" i="6"/>
  <c r="G219" i="6"/>
  <c r="I219" i="6" s="1"/>
  <c r="J188" i="7"/>
  <c r="G188" i="7"/>
  <c r="I188" i="7" s="1"/>
  <c r="G188" i="10"/>
  <c r="H188" i="10" s="1"/>
  <c r="I188" i="10"/>
  <c r="G188" i="9"/>
  <c r="I188" i="9" s="1"/>
  <c r="J188" i="9" s="1"/>
  <c r="G90" i="5"/>
  <c r="H90" i="5" s="1"/>
  <c r="I90" i="5" s="1"/>
  <c r="G49" i="4" l="1"/>
  <c r="H49" i="4" s="1"/>
  <c r="I49" i="4" s="1"/>
  <c r="G189" i="9"/>
  <c r="I189" i="9" s="1"/>
  <c r="J189" i="9"/>
  <c r="G123" i="8"/>
  <c r="H123" i="8" s="1"/>
  <c r="I123" i="8"/>
  <c r="G91" i="5"/>
  <c r="H91" i="5" s="1"/>
  <c r="I91" i="5" s="1"/>
  <c r="G123" i="6"/>
  <c r="I123" i="6" s="1"/>
  <c r="J123" i="6" s="1"/>
  <c r="G189" i="7"/>
  <c r="I189" i="7" s="1"/>
  <c r="J189" i="7" s="1"/>
  <c r="G220" i="6"/>
  <c r="I220" i="6" s="1"/>
  <c r="J220" i="6"/>
  <c r="G189" i="10"/>
  <c r="H189" i="10" s="1"/>
  <c r="I189" i="10"/>
  <c r="I92" i="5" l="1"/>
  <c r="G92" i="5"/>
  <c r="H92" i="5" s="1"/>
  <c r="G50" i="4"/>
  <c r="H50" i="4" s="1"/>
  <c r="I50" i="4"/>
  <c r="G124" i="6"/>
  <c r="I124" i="6" s="1"/>
  <c r="J124" i="6" s="1"/>
  <c r="G190" i="7"/>
  <c r="I190" i="7" s="1"/>
  <c r="J190" i="7" s="1"/>
  <c r="G124" i="8"/>
  <c r="H124" i="8" s="1"/>
  <c r="I124" i="8" s="1"/>
  <c r="G221" i="6"/>
  <c r="I221" i="6" s="1"/>
  <c r="J221" i="6" s="1"/>
  <c r="I190" i="10"/>
  <c r="G190" i="10"/>
  <c r="H190" i="10" s="1"/>
  <c r="J190" i="9"/>
  <c r="G190" i="9"/>
  <c r="I190" i="9" s="1"/>
  <c r="G191" i="7" l="1"/>
  <c r="I191" i="7" s="1"/>
  <c r="J191" i="7" s="1"/>
  <c r="G125" i="8"/>
  <c r="H125" i="8" s="1"/>
  <c r="I125" i="8" s="1"/>
  <c r="J222" i="6"/>
  <c r="G222" i="6"/>
  <c r="I222" i="6" s="1"/>
  <c r="G125" i="6"/>
  <c r="I125" i="6" s="1"/>
  <c r="J125" i="6"/>
  <c r="G191" i="10"/>
  <c r="H191" i="10" s="1"/>
  <c r="I191" i="10" s="1"/>
  <c r="G51" i="4"/>
  <c r="H51" i="4" s="1"/>
  <c r="I51" i="4" s="1"/>
  <c r="G191" i="9"/>
  <c r="I191" i="9" s="1"/>
  <c r="J191" i="9" s="1"/>
  <c r="G93" i="5"/>
  <c r="H93" i="5" s="1"/>
  <c r="I93" i="5" s="1"/>
  <c r="G192" i="10" l="1"/>
  <c r="H192" i="10" s="1"/>
  <c r="I192" i="10" s="1"/>
  <c r="G52" i="4"/>
  <c r="H52" i="4" s="1"/>
  <c r="I52" i="4" s="1"/>
  <c r="G94" i="5"/>
  <c r="H94" i="5" s="1"/>
  <c r="I94" i="5" s="1"/>
  <c r="G126" i="8"/>
  <c r="H126" i="8" s="1"/>
  <c r="I126" i="8" s="1"/>
  <c r="G192" i="9"/>
  <c r="I192" i="9" s="1"/>
  <c r="J192" i="9"/>
  <c r="G192" i="7"/>
  <c r="I192" i="7" s="1"/>
  <c r="J192" i="7" s="1"/>
  <c r="G223" i="6"/>
  <c r="I223" i="6" s="1"/>
  <c r="J223" i="6" s="1"/>
  <c r="G126" i="6"/>
  <c r="I126" i="6" s="1"/>
  <c r="J126" i="6" s="1"/>
  <c r="G193" i="7" l="1"/>
  <c r="I193" i="7" s="1"/>
  <c r="J193" i="7"/>
  <c r="G127" i="6"/>
  <c r="I127" i="6" s="1"/>
  <c r="J127" i="6" s="1"/>
  <c r="G95" i="5"/>
  <c r="H95" i="5" s="1"/>
  <c r="I95" i="5" s="1"/>
  <c r="G53" i="4"/>
  <c r="H53" i="4" s="1"/>
  <c r="I53" i="4" s="1"/>
  <c r="I54" i="4" s="1"/>
  <c r="G127" i="8"/>
  <c r="H127" i="8" s="1"/>
  <c r="I127" i="8" s="1"/>
  <c r="G193" i="10"/>
  <c r="H193" i="10" s="1"/>
  <c r="I193" i="10" s="1"/>
  <c r="G193" i="9"/>
  <c r="I193" i="9" s="1"/>
  <c r="J193" i="9"/>
  <c r="G194" i="10" l="1"/>
  <c r="H194" i="10" s="1"/>
  <c r="I194" i="10" s="1"/>
  <c r="G128" i="8"/>
  <c r="H128" i="8" s="1"/>
  <c r="I128" i="8"/>
  <c r="G96" i="5"/>
  <c r="H96" i="5" s="1"/>
  <c r="I96" i="5" s="1"/>
  <c r="G128" i="6"/>
  <c r="I128" i="6" s="1"/>
  <c r="J128" i="6" s="1"/>
  <c r="G194" i="9"/>
  <c r="I194" i="9" s="1"/>
  <c r="J194" i="9" s="1"/>
  <c r="G55" i="4"/>
  <c r="H55" i="4" s="1"/>
  <c r="I55" i="4" s="1"/>
  <c r="G194" i="7"/>
  <c r="I194" i="7" s="1"/>
  <c r="J194" i="7" s="1"/>
  <c r="G195" i="7" l="1"/>
  <c r="I195" i="7" s="1"/>
  <c r="J195" i="7" s="1"/>
  <c r="G195" i="9"/>
  <c r="I195" i="9" s="1"/>
  <c r="J195" i="9"/>
  <c r="G129" i="6"/>
  <c r="I129" i="6" s="1"/>
  <c r="J129" i="6" s="1"/>
  <c r="G97" i="5"/>
  <c r="H97" i="5" s="1"/>
  <c r="I97" i="5" s="1"/>
  <c r="G195" i="10"/>
  <c r="H195" i="10" s="1"/>
  <c r="I195" i="10"/>
  <c r="G56" i="4"/>
  <c r="H56" i="4" s="1"/>
  <c r="I56" i="4" s="1"/>
  <c r="G129" i="8"/>
  <c r="H129" i="8" s="1"/>
  <c r="I129" i="8"/>
  <c r="G57" i="4" l="1"/>
  <c r="H57" i="4" s="1"/>
  <c r="I57" i="4" s="1"/>
  <c r="I98" i="5"/>
  <c r="G98" i="5"/>
  <c r="H98" i="5" s="1"/>
  <c r="G130" i="6"/>
  <c r="I130" i="6" s="1"/>
  <c r="J130" i="6"/>
  <c r="G196" i="7"/>
  <c r="I196" i="7" s="1"/>
  <c r="J196" i="7" s="1"/>
  <c r="G196" i="10"/>
  <c r="H196" i="10" s="1"/>
  <c r="I196" i="10" s="1"/>
  <c r="G130" i="8"/>
  <c r="H130" i="8" s="1"/>
  <c r="I130" i="8" s="1"/>
  <c r="G196" i="9"/>
  <c r="I196" i="9" s="1"/>
  <c r="J196" i="9" s="1"/>
  <c r="G197" i="10" l="1"/>
  <c r="H197" i="10" s="1"/>
  <c r="I197" i="10" s="1"/>
  <c r="G197" i="9"/>
  <c r="I197" i="9" s="1"/>
  <c r="J197" i="9" s="1"/>
  <c r="J197" i="7"/>
  <c r="G197" i="7"/>
  <c r="I197" i="7" s="1"/>
  <c r="G131" i="8"/>
  <c r="H131" i="8" s="1"/>
  <c r="I131" i="8" s="1"/>
  <c r="G58" i="4"/>
  <c r="H58" i="4" s="1"/>
  <c r="I58" i="4" s="1"/>
  <c r="G131" i="6"/>
  <c r="I131" i="6" s="1"/>
  <c r="J131" i="6" s="1"/>
  <c r="G99" i="5"/>
  <c r="H99" i="5" s="1"/>
  <c r="I99" i="5" s="1"/>
  <c r="G132" i="8" l="1"/>
  <c r="H132" i="8" s="1"/>
  <c r="I132" i="8"/>
  <c r="G132" i="6"/>
  <c r="I132" i="6" s="1"/>
  <c r="J132" i="6" s="1"/>
  <c r="G59" i="4"/>
  <c r="H59" i="4" s="1"/>
  <c r="I59" i="4" s="1"/>
  <c r="J198" i="9"/>
  <c r="J201" i="9"/>
  <c r="G198" i="9"/>
  <c r="I198" i="9" s="1"/>
  <c r="G100" i="5"/>
  <c r="H100" i="5" s="1"/>
  <c r="I100" i="5" s="1"/>
  <c r="G198" i="10"/>
  <c r="H198" i="10" s="1"/>
  <c r="I198" i="10" s="1"/>
  <c r="J201" i="7"/>
  <c r="G198" i="7"/>
  <c r="I198" i="7" s="1"/>
  <c r="J198" i="7" s="1"/>
  <c r="G199" i="10" l="1"/>
  <c r="H199" i="10" s="1"/>
  <c r="I199" i="10" s="1"/>
  <c r="G199" i="7"/>
  <c r="I199" i="7" s="1"/>
  <c r="J199" i="7" s="1"/>
  <c r="G60" i="4"/>
  <c r="H60" i="4" s="1"/>
  <c r="I60" i="4" s="1"/>
  <c r="I101" i="5"/>
  <c r="G101" i="5"/>
  <c r="H101" i="5" s="1"/>
  <c r="G133" i="6"/>
  <c r="I133" i="6" s="1"/>
  <c r="J133" i="6" s="1"/>
  <c r="G202" i="7"/>
  <c r="I202" i="7" s="1"/>
  <c r="J202" i="7" s="1"/>
  <c r="G199" i="9"/>
  <c r="I199" i="9" s="1"/>
  <c r="J199" i="9"/>
  <c r="G202" i="9"/>
  <c r="I202" i="9" s="1"/>
  <c r="J202" i="9"/>
  <c r="G133" i="8"/>
  <c r="H133" i="8" s="1"/>
  <c r="I133" i="8" s="1"/>
  <c r="G134" i="6" l="1"/>
  <c r="I134" i="6" s="1"/>
  <c r="J134" i="6" s="1"/>
  <c r="I134" i="8"/>
  <c r="G134" i="8"/>
  <c r="H134" i="8" s="1"/>
  <c r="G200" i="7"/>
  <c r="I200" i="7" s="1"/>
  <c r="J200" i="7"/>
  <c r="G203" i="7"/>
  <c r="I203" i="7" s="1"/>
  <c r="J203" i="7" s="1"/>
  <c r="G61" i="4"/>
  <c r="H61" i="4" s="1"/>
  <c r="I61" i="4" s="1"/>
  <c r="G200" i="10"/>
  <c r="H200" i="10" s="1"/>
  <c r="I200" i="10" s="1"/>
  <c r="I201" i="10" s="1"/>
  <c r="G200" i="9"/>
  <c r="I200" i="9" s="1"/>
  <c r="J200" i="9" s="1"/>
  <c r="G102" i="5"/>
  <c r="H102" i="5" s="1"/>
  <c r="I102" i="5"/>
  <c r="G203" i="9"/>
  <c r="I203" i="9" s="1"/>
  <c r="J203" i="9" s="1"/>
  <c r="G62" i="4" l="1"/>
  <c r="H62" i="4" s="1"/>
  <c r="I62" i="4" s="1"/>
  <c r="G204" i="7"/>
  <c r="I204" i="7" s="1"/>
  <c r="J204" i="7" s="1"/>
  <c r="G204" i="9"/>
  <c r="I204" i="9" s="1"/>
  <c r="J204" i="9" s="1"/>
  <c r="G202" i="10"/>
  <c r="H202" i="10" s="1"/>
  <c r="I202" i="10"/>
  <c r="G135" i="6"/>
  <c r="I135" i="6" s="1"/>
  <c r="J135" i="6" s="1"/>
  <c r="G135" i="8"/>
  <c r="H135" i="8" s="1"/>
  <c r="I135" i="8"/>
  <c r="G103" i="5"/>
  <c r="H103" i="5" s="1"/>
  <c r="I103" i="5" s="1"/>
  <c r="G104" i="5" l="1"/>
  <c r="H104" i="5" s="1"/>
  <c r="I104" i="5" s="1"/>
  <c r="G136" i="6"/>
  <c r="I136" i="6" s="1"/>
  <c r="J136" i="6" s="1"/>
  <c r="G205" i="9"/>
  <c r="I205" i="9" s="1"/>
  <c r="J205" i="9" s="1"/>
  <c r="G205" i="7"/>
  <c r="I205" i="7" s="1"/>
  <c r="J205" i="7"/>
  <c r="G63" i="4"/>
  <c r="H63" i="4" s="1"/>
  <c r="I63" i="4" s="1"/>
  <c r="G203" i="10"/>
  <c r="H203" i="10" s="1"/>
  <c r="I203" i="10" s="1"/>
  <c r="G136" i="8"/>
  <c r="H136" i="8" s="1"/>
  <c r="I136" i="8"/>
  <c r="G64" i="4" l="1"/>
  <c r="H64" i="4" s="1"/>
  <c r="I64" i="4" s="1"/>
  <c r="G206" i="9"/>
  <c r="I206" i="9" s="1"/>
  <c r="J206" i="9" s="1"/>
  <c r="G137" i="6"/>
  <c r="I137" i="6" s="1"/>
  <c r="J137" i="6" s="1"/>
  <c r="G204" i="10"/>
  <c r="H204" i="10" s="1"/>
  <c r="I204" i="10" s="1"/>
  <c r="G105" i="5"/>
  <c r="H105" i="5" s="1"/>
  <c r="I105" i="5"/>
  <c r="G137" i="8"/>
  <c r="H137" i="8" s="1"/>
  <c r="I137" i="8" s="1"/>
  <c r="G206" i="7"/>
  <c r="I206" i="7" s="1"/>
  <c r="J206" i="7"/>
  <c r="G138" i="8" l="1"/>
  <c r="H138" i="8" s="1"/>
  <c r="I138" i="8" s="1"/>
  <c r="G138" i="6"/>
  <c r="I138" i="6" s="1"/>
  <c r="J138" i="6" s="1"/>
  <c r="G207" i="9"/>
  <c r="I207" i="9" s="1"/>
  <c r="J207" i="9" s="1"/>
  <c r="G205" i="10"/>
  <c r="H205" i="10" s="1"/>
  <c r="I205" i="10" s="1"/>
  <c r="G65" i="4"/>
  <c r="H65" i="4" s="1"/>
  <c r="I65" i="4" s="1"/>
  <c r="G106" i="5"/>
  <c r="H106" i="5" s="1"/>
  <c r="I106" i="5" s="1"/>
  <c r="G207" i="7"/>
  <c r="I207" i="7" s="1"/>
  <c r="J207" i="7" s="1"/>
  <c r="G66" i="4" l="1"/>
  <c r="H66" i="4" s="1"/>
  <c r="I66" i="4" s="1"/>
  <c r="I67" i="4" s="1"/>
  <c r="G208" i="9"/>
  <c r="I208" i="9" s="1"/>
  <c r="J208" i="9" s="1"/>
  <c r="G208" i="7"/>
  <c r="I208" i="7" s="1"/>
  <c r="J208" i="7" s="1"/>
  <c r="J139" i="6"/>
  <c r="G139" i="6"/>
  <c r="I139" i="6" s="1"/>
  <c r="G107" i="5"/>
  <c r="H107" i="5" s="1"/>
  <c r="I107" i="5" s="1"/>
  <c r="G206" i="10"/>
  <c r="H206" i="10" s="1"/>
  <c r="I206" i="10" s="1"/>
  <c r="G139" i="8"/>
  <c r="H139" i="8" s="1"/>
  <c r="I139" i="8" s="1"/>
  <c r="G140" i="8" l="1"/>
  <c r="H140" i="8" s="1"/>
  <c r="I140" i="8"/>
  <c r="G207" i="10"/>
  <c r="H207" i="10" s="1"/>
  <c r="I207" i="10"/>
  <c r="G108" i="5"/>
  <c r="H108" i="5" s="1"/>
  <c r="I108" i="5" s="1"/>
  <c r="G209" i="7"/>
  <c r="I209" i="7" s="1"/>
  <c r="J209" i="7" s="1"/>
  <c r="G209" i="9"/>
  <c r="I209" i="9" s="1"/>
  <c r="J209" i="9"/>
  <c r="G68" i="4"/>
  <c r="H68" i="4" s="1"/>
  <c r="I68" i="4" s="1"/>
  <c r="G140" i="6"/>
  <c r="I140" i="6" s="1"/>
  <c r="J140" i="6"/>
  <c r="G210" i="7" l="1"/>
  <c r="I210" i="7" s="1"/>
  <c r="J210" i="7" s="1"/>
  <c r="G109" i="5"/>
  <c r="H109" i="5" s="1"/>
  <c r="I109" i="5"/>
  <c r="G210" i="9"/>
  <c r="I210" i="9" s="1"/>
  <c r="J210" i="9"/>
  <c r="G141" i="6"/>
  <c r="I141" i="6" s="1"/>
  <c r="J141" i="6" s="1"/>
  <c r="G69" i="4"/>
  <c r="H69" i="4" s="1"/>
  <c r="I69" i="4" s="1"/>
  <c r="G208" i="10"/>
  <c r="H208" i="10" s="1"/>
  <c r="I208" i="10"/>
  <c r="I141" i="8"/>
  <c r="G141" i="8"/>
  <c r="H141" i="8" s="1"/>
  <c r="J142" i="6" l="1"/>
  <c r="G142" i="6"/>
  <c r="I142" i="6" s="1"/>
  <c r="G70" i="4"/>
  <c r="H70" i="4" s="1"/>
  <c r="I70" i="4" s="1"/>
  <c r="G142" i="8"/>
  <c r="H142" i="8" s="1"/>
  <c r="I142" i="8" s="1"/>
  <c r="G211" i="9"/>
  <c r="I211" i="9" s="1"/>
  <c r="J211" i="9" s="1"/>
  <c r="G211" i="7"/>
  <c r="I211" i="7" s="1"/>
  <c r="J211" i="7" s="1"/>
  <c r="G209" i="10"/>
  <c r="H209" i="10" s="1"/>
  <c r="I209" i="10"/>
  <c r="G110" i="5"/>
  <c r="H110" i="5" s="1"/>
  <c r="I110" i="5"/>
  <c r="G212" i="9" l="1"/>
  <c r="I212" i="9" s="1"/>
  <c r="J212" i="9" s="1"/>
  <c r="G212" i="7"/>
  <c r="I212" i="7" s="1"/>
  <c r="J212" i="7" s="1"/>
  <c r="G143" i="8"/>
  <c r="H143" i="8" s="1"/>
  <c r="I143" i="8"/>
  <c r="G71" i="4"/>
  <c r="H71" i="4" s="1"/>
  <c r="I71" i="4" s="1"/>
  <c r="G111" i="5"/>
  <c r="H111" i="5" s="1"/>
  <c r="I111" i="5" s="1"/>
  <c r="G210" i="10"/>
  <c r="H210" i="10" s="1"/>
  <c r="I210" i="10" s="1"/>
  <c r="G143" i="6"/>
  <c r="I143" i="6" s="1"/>
  <c r="J143" i="6" s="1"/>
  <c r="G144" i="6" l="1"/>
  <c r="I144" i="6" s="1"/>
  <c r="J144" i="6"/>
  <c r="G112" i="5"/>
  <c r="H112" i="5" s="1"/>
  <c r="I112" i="5" s="1"/>
  <c r="G72" i="4"/>
  <c r="H72" i="4" s="1"/>
  <c r="I72" i="4" s="1"/>
  <c r="G213" i="9"/>
  <c r="I213" i="9" s="1"/>
  <c r="J213" i="9" s="1"/>
  <c r="J214" i="9" s="1"/>
  <c r="G211" i="10"/>
  <c r="H211" i="10" s="1"/>
  <c r="I211" i="10" s="1"/>
  <c r="G213" i="7"/>
  <c r="I213" i="7" s="1"/>
  <c r="J213" i="7" s="1"/>
  <c r="J214" i="7" s="1"/>
  <c r="G144" i="8"/>
  <c r="H144" i="8" s="1"/>
  <c r="I144" i="8" s="1"/>
  <c r="G145" i="8" l="1"/>
  <c r="H145" i="8" s="1"/>
  <c r="I145" i="8" s="1"/>
  <c r="G212" i="10"/>
  <c r="H212" i="10" s="1"/>
  <c r="I212" i="10" s="1"/>
  <c r="G215" i="9"/>
  <c r="I215" i="9" s="1"/>
  <c r="J215" i="9" s="1"/>
  <c r="G215" i="7"/>
  <c r="I215" i="7" s="1"/>
  <c r="J215" i="7" s="1"/>
  <c r="G73" i="4"/>
  <c r="H73" i="4" s="1"/>
  <c r="I73" i="4" s="1"/>
  <c r="G113" i="5"/>
  <c r="H113" i="5" s="1"/>
  <c r="I113" i="5" s="1"/>
  <c r="G145" i="6"/>
  <c r="I145" i="6" s="1"/>
  <c r="J145" i="6" s="1"/>
  <c r="G114" i="5" l="1"/>
  <c r="H114" i="5" s="1"/>
  <c r="I114" i="5"/>
  <c r="G213" i="10"/>
  <c r="H213" i="10" s="1"/>
  <c r="I213" i="10"/>
  <c r="I214" i="10" s="1"/>
  <c r="G146" i="6"/>
  <c r="I146" i="6" s="1"/>
  <c r="J146" i="6" s="1"/>
  <c r="G216" i="9"/>
  <c r="I216" i="9" s="1"/>
  <c r="J216" i="9" s="1"/>
  <c r="G146" i="8"/>
  <c r="H146" i="8" s="1"/>
  <c r="I146" i="8" s="1"/>
  <c r="G74" i="4"/>
  <c r="H74" i="4" s="1"/>
  <c r="I74" i="4" s="1"/>
  <c r="G216" i="7"/>
  <c r="I216" i="7" s="1"/>
  <c r="J216" i="7" s="1"/>
  <c r="G217" i="7" l="1"/>
  <c r="I217" i="7" s="1"/>
  <c r="J217" i="7" s="1"/>
  <c r="G147" i="6"/>
  <c r="I147" i="6" s="1"/>
  <c r="J147" i="6" s="1"/>
  <c r="G147" i="8"/>
  <c r="H147" i="8" s="1"/>
  <c r="I147" i="8"/>
  <c r="G217" i="9"/>
  <c r="I217" i="9" s="1"/>
  <c r="J217" i="9" s="1"/>
  <c r="G75" i="4"/>
  <c r="H75" i="4" s="1"/>
  <c r="I75" i="4" s="1"/>
  <c r="G215" i="10"/>
  <c r="H215" i="10" s="1"/>
  <c r="I215" i="10" s="1"/>
  <c r="G115" i="5"/>
  <c r="H115" i="5" s="1"/>
  <c r="I115" i="5" s="1"/>
  <c r="G116" i="5" l="1"/>
  <c r="H116" i="5" s="1"/>
  <c r="I116" i="5" s="1"/>
  <c r="G218" i="9"/>
  <c r="I218" i="9" s="1"/>
  <c r="J218" i="9" s="1"/>
  <c r="G216" i="10"/>
  <c r="H216" i="10" s="1"/>
  <c r="I216" i="10" s="1"/>
  <c r="G76" i="4"/>
  <c r="H76" i="4" s="1"/>
  <c r="I76" i="4" s="1"/>
  <c r="G148" i="6"/>
  <c r="I148" i="6" s="1"/>
  <c r="J148" i="6" s="1"/>
  <c r="G148" i="8"/>
  <c r="H148" i="8" s="1"/>
  <c r="I148" i="8" s="1"/>
  <c r="G218" i="7"/>
  <c r="I218" i="7" s="1"/>
  <c r="J218" i="7"/>
  <c r="G149" i="6" l="1"/>
  <c r="I149" i="6" s="1"/>
  <c r="J149" i="6" s="1"/>
  <c r="G149" i="8"/>
  <c r="H149" i="8" s="1"/>
  <c r="I149" i="8" s="1"/>
  <c r="G77" i="4"/>
  <c r="H77" i="4" s="1"/>
  <c r="I77" i="4" s="1"/>
  <c r="G217" i="10"/>
  <c r="H217" i="10" s="1"/>
  <c r="I217" i="10"/>
  <c r="G219" i="9"/>
  <c r="I219" i="9" s="1"/>
  <c r="J219" i="9" s="1"/>
  <c r="G117" i="5"/>
  <c r="H117" i="5" s="1"/>
  <c r="I117" i="5" s="1"/>
  <c r="G219" i="7"/>
  <c r="I219" i="7" s="1"/>
  <c r="J219" i="7" s="1"/>
  <c r="G220" i="9" l="1"/>
  <c r="I220" i="9" s="1"/>
  <c r="J220" i="9" s="1"/>
  <c r="G118" i="5"/>
  <c r="H118" i="5" s="1"/>
  <c r="I118" i="5" s="1"/>
  <c r="G150" i="8"/>
  <c r="H150" i="8" s="1"/>
  <c r="I150" i="8" s="1"/>
  <c r="G220" i="7"/>
  <c r="I220" i="7" s="1"/>
  <c r="J220" i="7" s="1"/>
  <c r="G78" i="4"/>
  <c r="H78" i="4" s="1"/>
  <c r="I78" i="4" s="1"/>
  <c r="G150" i="6"/>
  <c r="I150" i="6" s="1"/>
  <c r="J150" i="6" s="1"/>
  <c r="G218" i="10"/>
  <c r="H218" i="10" s="1"/>
  <c r="I218" i="10" s="1"/>
  <c r="G219" i="10" l="1"/>
  <c r="H219" i="10" s="1"/>
  <c r="I219" i="10" s="1"/>
  <c r="G151" i="8"/>
  <c r="H151" i="8" s="1"/>
  <c r="I151" i="8" s="1"/>
  <c r="G151" i="6"/>
  <c r="I151" i="6" s="1"/>
  <c r="J151" i="6"/>
  <c r="G119" i="5"/>
  <c r="H119" i="5" s="1"/>
  <c r="I119" i="5" s="1"/>
  <c r="G221" i="7"/>
  <c r="I221" i="7" s="1"/>
  <c r="J221" i="7" s="1"/>
  <c r="G221" i="9"/>
  <c r="I221" i="9" s="1"/>
  <c r="J221" i="9" s="1"/>
  <c r="G120" i="5" l="1"/>
  <c r="H120" i="5" s="1"/>
  <c r="I120" i="5" s="1"/>
  <c r="G222" i="9"/>
  <c r="I222" i="9" s="1"/>
  <c r="J222" i="9" s="1"/>
  <c r="G152" i="8"/>
  <c r="H152" i="8" s="1"/>
  <c r="I152" i="8" s="1"/>
  <c r="G222" i="7"/>
  <c r="I222" i="7" s="1"/>
  <c r="J222" i="7" s="1"/>
  <c r="G220" i="10"/>
  <c r="H220" i="10" s="1"/>
  <c r="I220" i="10" s="1"/>
  <c r="G152" i="6"/>
  <c r="I152" i="6" s="1"/>
  <c r="J152" i="6" s="1"/>
  <c r="G223" i="7" l="1"/>
  <c r="I223" i="7" s="1"/>
  <c r="J223" i="7" s="1"/>
  <c r="G221" i="10"/>
  <c r="H221" i="10" s="1"/>
  <c r="I221" i="10" s="1"/>
  <c r="I153" i="8"/>
  <c r="G153" i="8"/>
  <c r="H153" i="8" s="1"/>
  <c r="G153" i="6"/>
  <c r="I153" i="6" s="1"/>
  <c r="J153" i="6" s="1"/>
  <c r="G121" i="5"/>
  <c r="H121" i="5" s="1"/>
  <c r="I121" i="5" s="1"/>
  <c r="G223" i="9"/>
  <c r="I223" i="9" s="1"/>
  <c r="J223" i="9"/>
  <c r="G154" i="6" l="1"/>
  <c r="I154" i="6" s="1"/>
  <c r="J154" i="6" s="1"/>
  <c r="G222" i="10"/>
  <c r="H222" i="10" s="1"/>
  <c r="I222" i="10" s="1"/>
  <c r="G122" i="5"/>
  <c r="H122" i="5" s="1"/>
  <c r="I122" i="5" s="1"/>
  <c r="G224" i="7"/>
  <c r="I224" i="7" s="1"/>
  <c r="J224" i="7" s="1"/>
  <c r="G154" i="8"/>
  <c r="H154" i="8" s="1"/>
  <c r="I154" i="8"/>
  <c r="G224" i="9"/>
  <c r="I224" i="9" s="1"/>
  <c r="J224" i="9" s="1"/>
  <c r="G225" i="9" l="1"/>
  <c r="I225" i="9" s="1"/>
  <c r="J225" i="9" s="1"/>
  <c r="G123" i="5"/>
  <c r="H123" i="5" s="1"/>
  <c r="I123" i="5" s="1"/>
  <c r="G225" i="7"/>
  <c r="I225" i="7" s="1"/>
  <c r="J225" i="7" s="1"/>
  <c r="G223" i="10"/>
  <c r="H223" i="10" s="1"/>
  <c r="I223" i="10" s="1"/>
  <c r="G155" i="6"/>
  <c r="I155" i="6" s="1"/>
  <c r="J155" i="6"/>
  <c r="I155" i="8"/>
  <c r="G155" i="8"/>
  <c r="H155" i="8" s="1"/>
  <c r="G224" i="10" l="1"/>
  <c r="H224" i="10" s="1"/>
  <c r="I224" i="10" s="1"/>
  <c r="G156" i="8"/>
  <c r="H156" i="8" s="1"/>
  <c r="I156" i="8" s="1"/>
  <c r="G156" i="6"/>
  <c r="I156" i="6" s="1"/>
  <c r="J156" i="6" s="1"/>
  <c r="G157" i="6" l="1"/>
  <c r="I157" i="6" s="1"/>
  <c r="J157" i="6" s="1"/>
  <c r="G157" i="8"/>
  <c r="H157" i="8" s="1"/>
  <c r="I157" i="8" s="1"/>
  <c r="G225" i="10"/>
  <c r="H225" i="10" s="1"/>
  <c r="I225" i="10" s="1"/>
  <c r="G158" i="8" l="1"/>
  <c r="H158" i="8" s="1"/>
  <c r="I158" i="8" s="1"/>
  <c r="G158" i="6"/>
  <c r="I158" i="6" s="1"/>
  <c r="J158" i="6" s="1"/>
  <c r="G159" i="6" l="1"/>
  <c r="I159" i="6" s="1"/>
  <c r="J159" i="6" s="1"/>
  <c r="G159" i="8"/>
  <c r="H159" i="8" s="1"/>
  <c r="I159" i="8" s="1"/>
  <c r="G160" i="8" l="1"/>
  <c r="H160" i="8" s="1"/>
  <c r="I160" i="8" s="1"/>
  <c r="I161" i="8" s="1"/>
  <c r="G160" i="6"/>
  <c r="I160" i="6" s="1"/>
  <c r="J160" i="6" s="1"/>
  <c r="J161" i="6" s="1"/>
  <c r="G162" i="6" l="1"/>
  <c r="I162" i="6" s="1"/>
  <c r="J162" i="6" s="1"/>
  <c r="G162" i="8"/>
  <c r="H162" i="8" s="1"/>
  <c r="I162" i="8" s="1"/>
  <c r="I163" i="8" l="1"/>
  <c r="G163" i="8"/>
  <c r="H163" i="8" s="1"/>
  <c r="G163" i="6"/>
  <c r="I163" i="6" s="1"/>
  <c r="J163" i="6"/>
  <c r="G164" i="6" l="1"/>
  <c r="I164" i="6" s="1"/>
  <c r="J164" i="6" s="1"/>
  <c r="G164" i="8"/>
  <c r="H164" i="8" s="1"/>
  <c r="I164" i="8" s="1"/>
  <c r="G165" i="8" l="1"/>
  <c r="H165" i="8" s="1"/>
  <c r="I165" i="8" s="1"/>
  <c r="G165" i="6"/>
  <c r="I165" i="6" s="1"/>
  <c r="J165" i="6" s="1"/>
  <c r="G166" i="6" l="1"/>
  <c r="I166" i="6" s="1"/>
  <c r="J166" i="6"/>
  <c r="G166" i="8"/>
  <c r="H166" i="8" s="1"/>
  <c r="I166" i="8" s="1"/>
  <c r="I167" i="8" l="1"/>
  <c r="G167" i="8"/>
  <c r="H167" i="8" s="1"/>
  <c r="G167" i="6"/>
  <c r="I167" i="6" s="1"/>
  <c r="J167" i="6" s="1"/>
  <c r="G168" i="6" l="1"/>
  <c r="I168" i="6" s="1"/>
  <c r="J168" i="6" s="1"/>
  <c r="G168" i="8"/>
  <c r="H168" i="8" s="1"/>
  <c r="I168" i="8" s="1"/>
  <c r="G169" i="8" l="1"/>
  <c r="H169" i="8" s="1"/>
  <c r="I169" i="8"/>
  <c r="G169" i="6"/>
  <c r="I169" i="6" s="1"/>
  <c r="J169" i="6"/>
  <c r="G170" i="6" l="1"/>
  <c r="I170" i="6" s="1"/>
  <c r="J170" i="6"/>
  <c r="G170" i="8"/>
  <c r="H170" i="8" s="1"/>
  <c r="I170" i="8"/>
  <c r="G171" i="8" l="1"/>
  <c r="H171" i="8" s="1"/>
  <c r="I171" i="8" s="1"/>
  <c r="G171" i="6"/>
  <c r="I171" i="6" s="1"/>
  <c r="J171" i="6"/>
  <c r="I172" i="8" l="1"/>
  <c r="G172" i="8"/>
  <c r="H172" i="8" s="1"/>
  <c r="G172" i="6"/>
  <c r="I172" i="6" s="1"/>
  <c r="J172" i="6" s="1"/>
  <c r="G173" i="6" l="1"/>
  <c r="I173" i="6" s="1"/>
  <c r="J173" i="6" s="1"/>
  <c r="J174" i="6" s="1"/>
  <c r="G173" i="8"/>
  <c r="H173" i="8" s="1"/>
  <c r="I173" i="8" s="1"/>
  <c r="I174" i="8" s="1"/>
  <c r="G175" i="8" l="1"/>
  <c r="H175" i="8" s="1"/>
  <c r="I175" i="8" s="1"/>
  <c r="G175" i="6"/>
  <c r="I175" i="6" s="1"/>
  <c r="J175" i="6" s="1"/>
  <c r="G176" i="8" l="1"/>
  <c r="H176" i="8" s="1"/>
  <c r="I176" i="8" s="1"/>
  <c r="I177" i="8" s="1"/>
  <c r="I178" i="8" s="1"/>
  <c r="G176" i="6"/>
  <c r="I176" i="6" s="1"/>
  <c r="J176" i="6" s="1"/>
  <c r="J177" i="6" s="1"/>
  <c r="J178" i="6" s="1"/>
  <c r="G179" i="8" l="1"/>
  <c r="H179" i="8" s="1"/>
  <c r="I179" i="8" s="1"/>
  <c r="G179" i="6"/>
  <c r="I179" i="6" s="1"/>
  <c r="J179" i="6" s="1"/>
  <c r="G180" i="6" l="1"/>
  <c r="I180" i="6" s="1"/>
  <c r="J180" i="6" s="1"/>
  <c r="G180" i="8"/>
  <c r="H180" i="8" s="1"/>
  <c r="I180" i="8" s="1"/>
  <c r="G181" i="6" l="1"/>
  <c r="I181" i="6" s="1"/>
  <c r="J181" i="6"/>
  <c r="G181" i="8"/>
  <c r="H181" i="8" s="1"/>
  <c r="I181" i="8" s="1"/>
  <c r="G182" i="8" l="1"/>
  <c r="H182" i="8" s="1"/>
  <c r="I182" i="8" s="1"/>
  <c r="G182" i="6"/>
  <c r="I182" i="6" s="1"/>
  <c r="J182" i="6" s="1"/>
  <c r="G183" i="6" l="1"/>
  <c r="I183" i="6" s="1"/>
  <c r="J183" i="6" s="1"/>
  <c r="G183" i="8"/>
  <c r="H183" i="8" s="1"/>
  <c r="I183" i="8" s="1"/>
  <c r="G184" i="6" l="1"/>
  <c r="I184" i="6" s="1"/>
  <c r="J184" i="6" s="1"/>
  <c r="G184" i="8"/>
  <c r="H184" i="8" s="1"/>
  <c r="I184" i="8" s="1"/>
  <c r="I185" i="8" l="1"/>
  <c r="G185" i="8"/>
  <c r="H185" i="8" s="1"/>
  <c r="G185" i="6"/>
  <c r="I185" i="6" s="1"/>
  <c r="J185" i="6" s="1"/>
  <c r="G186" i="6" l="1"/>
  <c r="I186" i="6" s="1"/>
  <c r="J186" i="6" s="1"/>
  <c r="J187" i="6" s="1"/>
  <c r="G186" i="8"/>
  <c r="H186" i="8" s="1"/>
  <c r="I186" i="8" s="1"/>
  <c r="I187" i="8" s="1"/>
  <c r="G188" i="6" l="1"/>
  <c r="I188" i="6" s="1"/>
  <c r="J188" i="6" s="1"/>
  <c r="G188" i="8"/>
  <c r="H188" i="8" s="1"/>
  <c r="I188" i="8" s="1"/>
  <c r="G189" i="8" l="1"/>
  <c r="H189" i="8" s="1"/>
  <c r="I189" i="8" s="1"/>
  <c r="G189" i="6"/>
  <c r="I189" i="6" s="1"/>
  <c r="J189" i="6" s="1"/>
  <c r="G190" i="6" l="1"/>
  <c r="I190" i="6" s="1"/>
  <c r="J190" i="6" s="1"/>
  <c r="G190" i="8"/>
  <c r="H190" i="8" s="1"/>
  <c r="I190" i="8" s="1"/>
  <c r="G191" i="8" l="1"/>
  <c r="H191" i="8" s="1"/>
  <c r="I191" i="8" s="1"/>
  <c r="G191" i="6"/>
  <c r="I191" i="6" s="1"/>
  <c r="J191" i="6"/>
  <c r="G192" i="8" l="1"/>
  <c r="H192" i="8" s="1"/>
  <c r="I192" i="8"/>
  <c r="G192" i="6"/>
  <c r="I192" i="6" s="1"/>
  <c r="J192" i="6" s="1"/>
  <c r="G193" i="6" l="1"/>
  <c r="I193" i="6" s="1"/>
  <c r="J193" i="6" s="1"/>
  <c r="G193" i="8"/>
  <c r="H193" i="8" s="1"/>
  <c r="I193" i="8" s="1"/>
  <c r="G194" i="8" l="1"/>
  <c r="H194" i="8" s="1"/>
  <c r="I194" i="8" s="1"/>
  <c r="G194" i="6"/>
  <c r="I194" i="6" s="1"/>
  <c r="J194" i="6" s="1"/>
  <c r="G195" i="6" l="1"/>
  <c r="I195" i="6" s="1"/>
  <c r="J195" i="6" s="1"/>
  <c r="G195" i="8"/>
  <c r="H195" i="8" s="1"/>
  <c r="I195" i="8" s="1"/>
  <c r="G196" i="8" l="1"/>
  <c r="H196" i="8" s="1"/>
  <c r="I196" i="8" s="1"/>
  <c r="G196" i="6"/>
  <c r="I196" i="6" s="1"/>
  <c r="J196" i="6" s="1"/>
  <c r="G197" i="6" l="1"/>
  <c r="I197" i="6" s="1"/>
  <c r="J197" i="6" s="1"/>
  <c r="G197" i="8"/>
  <c r="H197" i="8" s="1"/>
  <c r="I197" i="8" s="1"/>
  <c r="G198" i="8" l="1"/>
  <c r="H198" i="8" s="1"/>
  <c r="I198" i="8" s="1"/>
  <c r="G198" i="6"/>
  <c r="I198" i="6" s="1"/>
  <c r="J198" i="6" s="1"/>
  <c r="G199" i="6" s="1"/>
  <c r="I199" i="6" s="1"/>
  <c r="G199" i="8" l="1"/>
  <c r="H199" i="8" s="1"/>
  <c r="I199" i="8"/>
  <c r="G200" i="8" l="1"/>
  <c r="H200" i="8" s="1"/>
  <c r="I200" i="8" s="1"/>
  <c r="G201" i="8" l="1"/>
  <c r="H201" i="8" s="1"/>
  <c r="I201" i="8" s="1"/>
  <c r="G202" i="8" l="1"/>
  <c r="H202" i="8" s="1"/>
  <c r="I202" i="8" s="1"/>
  <c r="G203" i="8" l="1"/>
  <c r="H203" i="8" s="1"/>
  <c r="I203" i="8" s="1"/>
  <c r="G204" i="8" l="1"/>
  <c r="H204" i="8" s="1"/>
  <c r="I204" i="8" s="1"/>
  <c r="G205" i="8" l="1"/>
  <c r="H205" i="8" s="1"/>
  <c r="I205" i="8" s="1"/>
  <c r="G206" i="8" l="1"/>
  <c r="H206" i="8" s="1"/>
  <c r="I206" i="8"/>
  <c r="G207" i="8" l="1"/>
  <c r="H207" i="8" s="1"/>
  <c r="I207" i="8" s="1"/>
  <c r="G208" i="8" l="1"/>
  <c r="H208" i="8" s="1"/>
  <c r="I208" i="8" s="1"/>
  <c r="G209" i="8" l="1"/>
  <c r="H209" i="8" s="1"/>
  <c r="I209" i="8" s="1"/>
  <c r="G210" i="8" l="1"/>
  <c r="H210" i="8" s="1"/>
  <c r="I210" i="8"/>
  <c r="G211" i="8" l="1"/>
  <c r="H211" i="8" s="1"/>
  <c r="I211" i="8" s="1"/>
  <c r="G212" i="8" l="1"/>
  <c r="H212" i="8" s="1"/>
  <c r="I212" i="8" s="1"/>
  <c r="G213" i="8" l="1"/>
  <c r="H213" i="8" s="1"/>
  <c r="I213" i="8"/>
  <c r="G214" i="8" l="1"/>
  <c r="H214" i="8" s="1"/>
  <c r="I214" i="8" s="1"/>
  <c r="G215" i="8" l="1"/>
  <c r="H215" i="8" s="1"/>
  <c r="I215" i="8" s="1"/>
  <c r="G216" i="8" l="1"/>
  <c r="H216" i="8" s="1"/>
  <c r="I216" i="8" s="1"/>
  <c r="G217" i="8" l="1"/>
  <c r="H217" i="8" s="1"/>
  <c r="I217" i="8" s="1"/>
  <c r="G218" i="8" l="1"/>
  <c r="H218" i="8" s="1"/>
  <c r="I218" i="8" s="1"/>
  <c r="G219" i="8" l="1"/>
  <c r="H219" i="8" s="1"/>
  <c r="I219" i="8" s="1"/>
  <c r="G220" i="8" l="1"/>
  <c r="H220" i="8" s="1"/>
  <c r="I220" i="8" s="1"/>
  <c r="G221" i="8" l="1"/>
  <c r="H221" i="8" s="1"/>
  <c r="I221" i="8" s="1"/>
  <c r="G222" i="8" l="1"/>
  <c r="H222" i="8" s="1"/>
  <c r="I222" i="8" s="1"/>
  <c r="G223" i="8" l="1"/>
  <c r="H223" i="8" s="1"/>
  <c r="I223" i="8" s="1"/>
  <c r="V83" i="3" l="1"/>
  <c r="AF81" i="3"/>
  <c r="AE81" i="3"/>
  <c r="AD81" i="3"/>
  <c r="AC81" i="3"/>
  <c r="AB81" i="3"/>
  <c r="AA81" i="3"/>
  <c r="AG81" i="3" s="1"/>
  <c r="AK80" i="3"/>
  <c r="D80" i="3"/>
  <c r="M80" i="3" s="1"/>
  <c r="AK79" i="3"/>
  <c r="S79" i="3"/>
  <c r="D79" i="3"/>
  <c r="G79" i="3" s="1"/>
  <c r="AK78" i="3"/>
  <c r="D78" i="3"/>
  <c r="AK77" i="3"/>
  <c r="D77" i="3"/>
  <c r="P77" i="3" s="1"/>
  <c r="AK76" i="3"/>
  <c r="S76" i="3"/>
  <c r="P76" i="3"/>
  <c r="D76" i="3"/>
  <c r="J76" i="3" s="1"/>
  <c r="AK75" i="3"/>
  <c r="D75" i="3"/>
  <c r="S75" i="3" s="1"/>
  <c r="AK74" i="3"/>
  <c r="D74" i="3"/>
  <c r="G74" i="3" s="1"/>
  <c r="AK73" i="3"/>
  <c r="D73" i="3"/>
  <c r="S73" i="3" s="1"/>
  <c r="AK72" i="3"/>
  <c r="D72" i="3"/>
  <c r="G72" i="3" s="1"/>
  <c r="AK71" i="3"/>
  <c r="D71" i="3"/>
  <c r="AK70" i="3"/>
  <c r="D70" i="3"/>
  <c r="P70" i="3" s="1"/>
  <c r="AK69" i="3"/>
  <c r="D69" i="3"/>
  <c r="G69" i="3" s="1"/>
  <c r="AK68" i="3"/>
  <c r="D68" i="3"/>
  <c r="S68" i="3" s="1"/>
  <c r="AK67" i="3"/>
  <c r="D67" i="3"/>
  <c r="P67" i="3" s="1"/>
  <c r="AK66" i="3"/>
  <c r="S66" i="3"/>
  <c r="P66" i="3"/>
  <c r="D66" i="3"/>
  <c r="M66" i="3" s="1"/>
  <c r="AK65" i="3"/>
  <c r="D65" i="3"/>
  <c r="G65" i="3" s="1"/>
  <c r="AK64" i="3"/>
  <c r="D64" i="3"/>
  <c r="AK63" i="3"/>
  <c r="S63" i="3"/>
  <c r="D63" i="3"/>
  <c r="P63" i="3" s="1"/>
  <c r="AK62" i="3"/>
  <c r="D62" i="3"/>
  <c r="S62" i="3" s="1"/>
  <c r="AK61" i="3"/>
  <c r="S61" i="3"/>
  <c r="P61" i="3"/>
  <c r="D61" i="3"/>
  <c r="M61" i="3" s="1"/>
  <c r="AK60" i="3"/>
  <c r="G60" i="3"/>
  <c r="D60" i="3"/>
  <c r="AK59" i="3"/>
  <c r="M59" i="3"/>
  <c r="J59" i="3"/>
  <c r="G59" i="3"/>
  <c r="D59" i="3"/>
  <c r="S59" i="3" s="1"/>
  <c r="AK58" i="3"/>
  <c r="D58" i="3"/>
  <c r="G58" i="3" s="1"/>
  <c r="AK57" i="3"/>
  <c r="D57" i="3"/>
  <c r="P57" i="3" s="1"/>
  <c r="AK56" i="3"/>
  <c r="S56" i="3"/>
  <c r="M56" i="3"/>
  <c r="D56" i="3"/>
  <c r="P56" i="3" s="1"/>
  <c r="AK55" i="3"/>
  <c r="D55" i="3"/>
  <c r="S55" i="3" s="1"/>
  <c r="AK54" i="3"/>
  <c r="S54" i="3"/>
  <c r="P54" i="3"/>
  <c r="M54" i="3"/>
  <c r="D54" i="3"/>
  <c r="J54" i="3" s="1"/>
  <c r="AK53" i="3"/>
  <c r="D53" i="3"/>
  <c r="AK52" i="3"/>
  <c r="D52" i="3"/>
  <c r="S52" i="3" s="1"/>
  <c r="AK51" i="3"/>
  <c r="S51" i="3"/>
  <c r="J51" i="3"/>
  <c r="D51" i="3"/>
  <c r="G51" i="3" s="1"/>
  <c r="AK50" i="3"/>
  <c r="S50" i="3"/>
  <c r="D50" i="3"/>
  <c r="P50" i="3" s="1"/>
  <c r="AK49" i="3"/>
  <c r="S49" i="3"/>
  <c r="M49" i="3"/>
  <c r="J49" i="3"/>
  <c r="G49" i="3"/>
  <c r="D49" i="3"/>
  <c r="P49" i="3" s="1"/>
  <c r="AK48" i="3"/>
  <c r="J48" i="3"/>
  <c r="D48" i="3"/>
  <c r="S48" i="3" s="1"/>
  <c r="AK47" i="3"/>
  <c r="S47" i="3"/>
  <c r="P47" i="3"/>
  <c r="M47" i="3"/>
  <c r="J47" i="3"/>
  <c r="G47" i="3"/>
  <c r="D47" i="3"/>
  <c r="AK46" i="3"/>
  <c r="D46" i="3"/>
  <c r="S46" i="3" s="1"/>
  <c r="AK45" i="3"/>
  <c r="D45" i="3"/>
  <c r="S45" i="3" s="1"/>
  <c r="AK44" i="3"/>
  <c r="S44" i="3"/>
  <c r="P44" i="3"/>
  <c r="D44" i="3"/>
  <c r="G44" i="3" s="1"/>
  <c r="AK43" i="3"/>
  <c r="P43" i="3"/>
  <c r="G43" i="3"/>
  <c r="D43" i="3"/>
  <c r="S43" i="3" s="1"/>
  <c r="AK42" i="3"/>
  <c r="S42" i="3"/>
  <c r="M42" i="3"/>
  <c r="J42" i="3"/>
  <c r="D42" i="3"/>
  <c r="P42" i="3" s="1"/>
  <c r="AK41" i="3"/>
  <c r="J41" i="3"/>
  <c r="D41" i="3"/>
  <c r="S41" i="3" s="1"/>
  <c r="AK40" i="3"/>
  <c r="S40" i="3"/>
  <c r="P40" i="3"/>
  <c r="M40" i="3"/>
  <c r="J40" i="3"/>
  <c r="G40" i="3"/>
  <c r="D40" i="3"/>
  <c r="AK39" i="3"/>
  <c r="D39" i="3"/>
  <c r="S39" i="3" s="1"/>
  <c r="AK38" i="3"/>
  <c r="D38" i="3"/>
  <c r="G38" i="3" s="1"/>
  <c r="AK37" i="3"/>
  <c r="D37" i="3"/>
  <c r="P37" i="3" s="1"/>
  <c r="AK36" i="3"/>
  <c r="M36" i="3"/>
  <c r="D36" i="3"/>
  <c r="G36" i="3" s="1"/>
  <c r="AK35" i="3"/>
  <c r="D35" i="3"/>
  <c r="P35" i="3" s="1"/>
  <c r="AK34" i="3"/>
  <c r="S34" i="3"/>
  <c r="J34" i="3"/>
  <c r="G34" i="3"/>
  <c r="D34" i="3"/>
  <c r="P34" i="3" s="1"/>
  <c r="AK33" i="3"/>
  <c r="D33" i="3"/>
  <c r="S33" i="3" s="1"/>
  <c r="AK32" i="3"/>
  <c r="P32" i="3"/>
  <c r="D32" i="3"/>
  <c r="S32" i="3" s="1"/>
  <c r="AK31" i="3"/>
  <c r="D31" i="3"/>
  <c r="S31" i="3" s="1"/>
  <c r="AK30" i="3"/>
  <c r="G30" i="3"/>
  <c r="D30" i="3"/>
  <c r="AK29" i="3"/>
  <c r="M29" i="3"/>
  <c r="G29" i="3"/>
  <c r="D29" i="3"/>
  <c r="S29" i="3" s="1"/>
  <c r="AK28" i="3"/>
  <c r="D28" i="3"/>
  <c r="J28" i="3" s="1"/>
  <c r="AK27" i="3"/>
  <c r="S27" i="3"/>
  <c r="D27" i="3"/>
  <c r="P27" i="3" s="1"/>
  <c r="AK26" i="3"/>
  <c r="D26" i="3"/>
  <c r="M26" i="3" s="1"/>
  <c r="AK25" i="3"/>
  <c r="D25" i="3"/>
  <c r="M25" i="3" s="1"/>
  <c r="AK24" i="3"/>
  <c r="S24" i="3"/>
  <c r="P24" i="3"/>
  <c r="M24" i="3"/>
  <c r="J24" i="3"/>
  <c r="G24" i="3"/>
  <c r="D24" i="3"/>
  <c r="AK23" i="3"/>
  <c r="D23" i="3"/>
  <c r="S23" i="3" s="1"/>
  <c r="AK22" i="3"/>
  <c r="J22" i="3"/>
  <c r="D22" i="3"/>
  <c r="AK21" i="3"/>
  <c r="D21" i="3"/>
  <c r="S21" i="3" s="1"/>
  <c r="AK20" i="3"/>
  <c r="P20" i="3"/>
  <c r="J20" i="3"/>
  <c r="G20" i="3"/>
  <c r="D20" i="3"/>
  <c r="S20" i="3" s="1"/>
  <c r="AK19" i="3"/>
  <c r="M19" i="3"/>
  <c r="G19" i="3"/>
  <c r="D19" i="3"/>
  <c r="S19" i="3" s="1"/>
  <c r="AK18" i="3"/>
  <c r="D18" i="3"/>
  <c r="S18" i="3" s="1"/>
  <c r="AK17" i="3"/>
  <c r="W17" i="3"/>
  <c r="AF17" i="3" s="1"/>
  <c r="D17" i="3"/>
  <c r="AK16" i="3"/>
  <c r="W16" i="3"/>
  <c r="D16" i="3"/>
  <c r="AF16" i="3" s="1"/>
  <c r="AK15" i="3"/>
  <c r="W15" i="3"/>
  <c r="D15" i="3"/>
  <c r="AF15" i="3" s="1"/>
  <c r="AK14" i="3"/>
  <c r="W14" i="3"/>
  <c r="D14" i="3"/>
  <c r="S14" i="3" s="1"/>
  <c r="AK13" i="3"/>
  <c r="M13" i="3"/>
  <c r="J13" i="3"/>
  <c r="G13" i="3"/>
  <c r="D13" i="3"/>
  <c r="AF13" i="3" s="1"/>
  <c r="V10" i="3"/>
  <c r="U10" i="3"/>
  <c r="S10" i="3"/>
  <c r="P10" i="3"/>
  <c r="M10" i="3"/>
  <c r="J10" i="3"/>
  <c r="G10" i="3"/>
  <c r="R9" i="3"/>
  <c r="O9" i="3"/>
  <c r="L9" i="3"/>
  <c r="I9" i="3"/>
  <c r="F9" i="3"/>
  <c r="Y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" i="3"/>
  <c r="O7" i="3"/>
  <c r="L7" i="3"/>
  <c r="I7" i="3"/>
  <c r="F7" i="3"/>
  <c r="A2" i="3"/>
  <c r="A1" i="3"/>
  <c r="AJ97" i="2"/>
  <c r="AG97" i="2"/>
  <c r="AJ96" i="2"/>
  <c r="AG96" i="2"/>
  <c r="AJ95" i="2"/>
  <c r="AG95" i="2"/>
  <c r="AJ94" i="2"/>
  <c r="AG94" i="2"/>
  <c r="AG98" i="2" s="1"/>
  <c r="AG99" i="2" s="1"/>
  <c r="AJ83" i="2"/>
  <c r="AG83" i="2"/>
  <c r="BG81" i="2"/>
  <c r="BF81" i="2"/>
  <c r="BE81" i="2"/>
  <c r="BD81" i="2"/>
  <c r="BC81" i="2"/>
  <c r="BB81" i="2"/>
  <c r="BA81" i="2"/>
  <c r="AZ81" i="2"/>
  <c r="AY81" i="2"/>
  <c r="AX81" i="2"/>
  <c r="BE80" i="2"/>
  <c r="K80" i="2"/>
  <c r="J80" i="2"/>
  <c r="G80" i="2"/>
  <c r="F80" i="2"/>
  <c r="E80" i="2"/>
  <c r="D80" i="2"/>
  <c r="BD80" i="2" s="1"/>
  <c r="K79" i="2"/>
  <c r="J79" i="2"/>
  <c r="G79" i="2"/>
  <c r="F79" i="2"/>
  <c r="E79" i="2"/>
  <c r="D79" i="2"/>
  <c r="BE78" i="2"/>
  <c r="G78" i="2"/>
  <c r="F78" i="2"/>
  <c r="E78" i="2"/>
  <c r="D78" i="2"/>
  <c r="BD78" i="2" s="1"/>
  <c r="G77" i="2"/>
  <c r="F77" i="2"/>
  <c r="E77" i="2"/>
  <c r="H77" i="2" s="1"/>
  <c r="D77" i="2"/>
  <c r="G76" i="2"/>
  <c r="F76" i="2"/>
  <c r="E76" i="2"/>
  <c r="H76" i="2" s="1"/>
  <c r="D76" i="2"/>
  <c r="BD76" i="2" s="1"/>
  <c r="BE75" i="2"/>
  <c r="G75" i="2"/>
  <c r="F75" i="2"/>
  <c r="E75" i="2"/>
  <c r="D75" i="2"/>
  <c r="BD75" i="2" s="1"/>
  <c r="G74" i="2"/>
  <c r="F74" i="2"/>
  <c r="E74" i="2"/>
  <c r="D74" i="2"/>
  <c r="BE74" i="2" s="1"/>
  <c r="K73" i="2"/>
  <c r="J73" i="2"/>
  <c r="G73" i="2"/>
  <c r="F73" i="2"/>
  <c r="E73" i="2"/>
  <c r="D73" i="2"/>
  <c r="G72" i="2"/>
  <c r="F72" i="2"/>
  <c r="E72" i="2"/>
  <c r="H72" i="2" s="1"/>
  <c r="D72" i="2"/>
  <c r="BE72" i="2" s="1"/>
  <c r="BE71" i="2"/>
  <c r="G71" i="2"/>
  <c r="F71" i="2"/>
  <c r="E71" i="2"/>
  <c r="D71" i="2"/>
  <c r="BD71" i="2" s="1"/>
  <c r="G70" i="2"/>
  <c r="F70" i="2"/>
  <c r="E70" i="2"/>
  <c r="D70" i="2"/>
  <c r="BE70" i="2" s="1"/>
  <c r="G69" i="2"/>
  <c r="F69" i="2"/>
  <c r="E69" i="2"/>
  <c r="D69" i="2"/>
  <c r="BE69" i="2" s="1"/>
  <c r="BD68" i="2"/>
  <c r="H68" i="2"/>
  <c r="G68" i="2"/>
  <c r="F68" i="2"/>
  <c r="E68" i="2"/>
  <c r="D68" i="2"/>
  <c r="BE68" i="2" s="1"/>
  <c r="K67" i="2"/>
  <c r="J67" i="2"/>
  <c r="G67" i="2"/>
  <c r="F67" i="2"/>
  <c r="E67" i="2"/>
  <c r="D67" i="2"/>
  <c r="G66" i="2"/>
  <c r="F66" i="2"/>
  <c r="E66" i="2"/>
  <c r="D66" i="2"/>
  <c r="G65" i="2"/>
  <c r="F65" i="2"/>
  <c r="E65" i="2"/>
  <c r="H65" i="2" s="1"/>
  <c r="D65" i="2"/>
  <c r="G64" i="2"/>
  <c r="F64" i="2"/>
  <c r="E64" i="2"/>
  <c r="H64" i="2" s="1"/>
  <c r="D64" i="2"/>
  <c r="BE63" i="2"/>
  <c r="BD63" i="2"/>
  <c r="G63" i="2"/>
  <c r="F63" i="2"/>
  <c r="H63" i="2" s="1"/>
  <c r="E63" i="2"/>
  <c r="D63" i="2"/>
  <c r="G62" i="2"/>
  <c r="F62" i="2"/>
  <c r="E62" i="2"/>
  <c r="D62" i="2"/>
  <c r="K61" i="2"/>
  <c r="J61" i="2"/>
  <c r="G61" i="2"/>
  <c r="F61" i="2"/>
  <c r="E61" i="2"/>
  <c r="D61" i="2"/>
  <c r="BE60" i="2"/>
  <c r="BD60" i="2"/>
  <c r="G60" i="2"/>
  <c r="F60" i="2"/>
  <c r="E60" i="2"/>
  <c r="D60" i="2"/>
  <c r="G59" i="2"/>
  <c r="F59" i="2"/>
  <c r="H59" i="2" s="1"/>
  <c r="E59" i="2"/>
  <c r="D59" i="2"/>
  <c r="G58" i="2"/>
  <c r="F58" i="2"/>
  <c r="E58" i="2"/>
  <c r="D58" i="2"/>
  <c r="BE57" i="2"/>
  <c r="BD57" i="2"/>
  <c r="G57" i="2"/>
  <c r="F57" i="2"/>
  <c r="E57" i="2"/>
  <c r="D57" i="2"/>
  <c r="G56" i="2"/>
  <c r="F56" i="2"/>
  <c r="E56" i="2"/>
  <c r="D56" i="2"/>
  <c r="BE56" i="2" s="1"/>
  <c r="K55" i="2"/>
  <c r="J55" i="2"/>
  <c r="G55" i="2"/>
  <c r="F55" i="2"/>
  <c r="E55" i="2"/>
  <c r="D55" i="2"/>
  <c r="BE54" i="2"/>
  <c r="G54" i="2"/>
  <c r="F54" i="2"/>
  <c r="E54" i="2"/>
  <c r="D54" i="2"/>
  <c r="BD54" i="2" s="1"/>
  <c r="G53" i="2"/>
  <c r="F53" i="2"/>
  <c r="E53" i="2"/>
  <c r="D53" i="2"/>
  <c r="BE53" i="2" s="1"/>
  <c r="G52" i="2"/>
  <c r="F52" i="2"/>
  <c r="E52" i="2"/>
  <c r="D52" i="2"/>
  <c r="BE51" i="2"/>
  <c r="G51" i="2"/>
  <c r="F51" i="2"/>
  <c r="H51" i="2" s="1"/>
  <c r="E51" i="2"/>
  <c r="D51" i="2"/>
  <c r="BD51" i="2" s="1"/>
  <c r="G50" i="2"/>
  <c r="F50" i="2"/>
  <c r="H50" i="2" s="1"/>
  <c r="E50" i="2"/>
  <c r="D50" i="2"/>
  <c r="BE50" i="2" s="1"/>
  <c r="BD49" i="2"/>
  <c r="K49" i="2"/>
  <c r="J49" i="2"/>
  <c r="G49" i="2"/>
  <c r="F49" i="2"/>
  <c r="H49" i="2" s="1"/>
  <c r="E49" i="2"/>
  <c r="D49" i="2"/>
  <c r="BE49" i="2" s="1"/>
  <c r="G48" i="2"/>
  <c r="F48" i="2"/>
  <c r="E48" i="2"/>
  <c r="H48" i="2" s="1"/>
  <c r="D48" i="2"/>
  <c r="BE48" i="2" s="1"/>
  <c r="BE47" i="2"/>
  <c r="BD47" i="2"/>
  <c r="H47" i="2"/>
  <c r="G47" i="2"/>
  <c r="F47" i="2"/>
  <c r="E47" i="2"/>
  <c r="D47" i="2"/>
  <c r="G46" i="2"/>
  <c r="F46" i="2"/>
  <c r="E46" i="2"/>
  <c r="H46" i="2" s="1"/>
  <c r="D46" i="2"/>
  <c r="BE45" i="2"/>
  <c r="BD45" i="2"/>
  <c r="G45" i="2"/>
  <c r="F45" i="2"/>
  <c r="E45" i="2"/>
  <c r="D45" i="2"/>
  <c r="H44" i="2"/>
  <c r="G44" i="2"/>
  <c r="F44" i="2"/>
  <c r="E44" i="2"/>
  <c r="D44" i="2"/>
  <c r="BD44" i="2" s="1"/>
  <c r="BE43" i="2"/>
  <c r="BD43" i="2"/>
  <c r="K43" i="2"/>
  <c r="J43" i="2"/>
  <c r="G43" i="2"/>
  <c r="F43" i="2"/>
  <c r="E43" i="2"/>
  <c r="D43" i="2"/>
  <c r="G42" i="2"/>
  <c r="F42" i="2"/>
  <c r="E42" i="2"/>
  <c r="D42" i="2"/>
  <c r="BE42" i="2" s="1"/>
  <c r="G41" i="2"/>
  <c r="F41" i="2"/>
  <c r="E41" i="2"/>
  <c r="H41" i="2" s="1"/>
  <c r="D41" i="2"/>
  <c r="BE40" i="2"/>
  <c r="G40" i="2"/>
  <c r="F40" i="2"/>
  <c r="E40" i="2"/>
  <c r="D40" i="2"/>
  <c r="BD40" i="2" s="1"/>
  <c r="BD39" i="2"/>
  <c r="G39" i="2"/>
  <c r="F39" i="2"/>
  <c r="E39" i="2"/>
  <c r="H39" i="2" s="1"/>
  <c r="D39" i="2"/>
  <c r="BE39" i="2" s="1"/>
  <c r="G38" i="2"/>
  <c r="F38" i="2"/>
  <c r="E38" i="2"/>
  <c r="H38" i="2" s="1"/>
  <c r="D38" i="2"/>
  <c r="BE38" i="2" s="1"/>
  <c r="K37" i="2"/>
  <c r="J37" i="2"/>
  <c r="G37" i="2"/>
  <c r="F37" i="2"/>
  <c r="H37" i="2" s="1"/>
  <c r="E37" i="2"/>
  <c r="D37" i="2"/>
  <c r="BD37" i="2" s="1"/>
  <c r="G36" i="2"/>
  <c r="F36" i="2"/>
  <c r="E36" i="2"/>
  <c r="H36" i="2" s="1"/>
  <c r="D36" i="2"/>
  <c r="BE36" i="2" s="1"/>
  <c r="G35" i="2"/>
  <c r="F35" i="2"/>
  <c r="E35" i="2"/>
  <c r="D35" i="2"/>
  <c r="G34" i="2"/>
  <c r="F34" i="2"/>
  <c r="E34" i="2"/>
  <c r="D34" i="2"/>
  <c r="BE34" i="2" s="1"/>
  <c r="BE33" i="2"/>
  <c r="BD33" i="2"/>
  <c r="G33" i="2"/>
  <c r="F33" i="2"/>
  <c r="E33" i="2"/>
  <c r="D33" i="2"/>
  <c r="G32" i="2"/>
  <c r="F32" i="2"/>
  <c r="H32" i="2" s="1"/>
  <c r="E32" i="2"/>
  <c r="D32" i="2"/>
  <c r="K31" i="2"/>
  <c r="J31" i="2"/>
  <c r="G31" i="2"/>
  <c r="F31" i="2"/>
  <c r="E31" i="2"/>
  <c r="D31" i="2"/>
  <c r="BD31" i="2" s="1"/>
  <c r="G30" i="2"/>
  <c r="F30" i="2"/>
  <c r="E30" i="2"/>
  <c r="D30" i="2"/>
  <c r="BE29" i="2"/>
  <c r="K29" i="2"/>
  <c r="J29" i="2"/>
  <c r="G29" i="2"/>
  <c r="F29" i="2"/>
  <c r="E29" i="2"/>
  <c r="D29" i="2"/>
  <c r="BD29" i="2" s="1"/>
  <c r="G28" i="2"/>
  <c r="F28" i="2"/>
  <c r="E28" i="2"/>
  <c r="H28" i="2" s="1"/>
  <c r="D28" i="2"/>
  <c r="BD28" i="2" s="1"/>
  <c r="K27" i="2"/>
  <c r="J27" i="2"/>
  <c r="G27" i="2"/>
  <c r="F27" i="2"/>
  <c r="H27" i="2" s="1"/>
  <c r="E27" i="2"/>
  <c r="D27" i="2"/>
  <c r="BD27" i="2" s="1"/>
  <c r="G26" i="2"/>
  <c r="F26" i="2"/>
  <c r="E26" i="2"/>
  <c r="D26" i="2"/>
  <c r="BE25" i="2"/>
  <c r="BD25" i="2"/>
  <c r="K25" i="2"/>
  <c r="J25" i="2"/>
  <c r="H25" i="2"/>
  <c r="G25" i="2"/>
  <c r="F25" i="2"/>
  <c r="E25" i="2"/>
  <c r="D25" i="2"/>
  <c r="G24" i="2"/>
  <c r="F24" i="2"/>
  <c r="H24" i="2" s="1"/>
  <c r="E24" i="2"/>
  <c r="D24" i="2"/>
  <c r="BD24" i="2" s="1"/>
  <c r="BE23" i="2"/>
  <c r="K23" i="2"/>
  <c r="J23" i="2"/>
  <c r="G23" i="2"/>
  <c r="F23" i="2"/>
  <c r="E23" i="2"/>
  <c r="D23" i="2"/>
  <c r="BD23" i="2" s="1"/>
  <c r="G22" i="2"/>
  <c r="F22" i="2"/>
  <c r="E22" i="2"/>
  <c r="H22" i="2" s="1"/>
  <c r="D22" i="2"/>
  <c r="BE22" i="2" s="1"/>
  <c r="BD21" i="2"/>
  <c r="K21" i="2"/>
  <c r="J21" i="2"/>
  <c r="G21" i="2"/>
  <c r="F21" i="2"/>
  <c r="E21" i="2"/>
  <c r="D21" i="2"/>
  <c r="BE21" i="2" s="1"/>
  <c r="G20" i="2"/>
  <c r="F20" i="2"/>
  <c r="E20" i="2"/>
  <c r="D20" i="2"/>
  <c r="BD20" i="2" s="1"/>
  <c r="K19" i="2"/>
  <c r="J19" i="2"/>
  <c r="G19" i="2"/>
  <c r="F19" i="2"/>
  <c r="E19" i="2"/>
  <c r="D19" i="2"/>
  <c r="BE19" i="2" s="1"/>
  <c r="K18" i="2"/>
  <c r="J18" i="2"/>
  <c r="G18" i="2"/>
  <c r="F18" i="2"/>
  <c r="E18" i="2"/>
  <c r="D18" i="2"/>
  <c r="BE18" i="2" s="1"/>
  <c r="K17" i="2"/>
  <c r="J17" i="2"/>
  <c r="G17" i="2"/>
  <c r="F17" i="2"/>
  <c r="E17" i="2"/>
  <c r="H17" i="2" s="1"/>
  <c r="D17" i="2"/>
  <c r="BD16" i="2"/>
  <c r="K16" i="2"/>
  <c r="J16" i="2"/>
  <c r="G16" i="2"/>
  <c r="F16" i="2"/>
  <c r="E16" i="2"/>
  <c r="D16" i="2"/>
  <c r="BE16" i="2" s="1"/>
  <c r="BE15" i="2"/>
  <c r="K15" i="2"/>
  <c r="J15" i="2"/>
  <c r="I15" i="2"/>
  <c r="L15" i="2" s="1"/>
  <c r="G15" i="2"/>
  <c r="F15" i="2"/>
  <c r="E15" i="2"/>
  <c r="H15" i="2" s="1"/>
  <c r="D15" i="2"/>
  <c r="BD15" i="2" s="1"/>
  <c r="K14" i="2"/>
  <c r="J14" i="2"/>
  <c r="G14" i="2"/>
  <c r="F14" i="2"/>
  <c r="E14" i="2"/>
  <c r="H14" i="2" s="1"/>
  <c r="I14" i="2" s="1"/>
  <c r="L14" i="2" s="1"/>
  <c r="D14" i="2"/>
  <c r="BE14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BE13" i="2"/>
  <c r="BD13" i="2"/>
  <c r="K13" i="2"/>
  <c r="J13" i="2"/>
  <c r="H13" i="2"/>
  <c r="I13" i="2" s="1"/>
  <c r="G13" i="2"/>
  <c r="F13" i="2"/>
  <c r="E13" i="2"/>
  <c r="D13" i="2"/>
  <c r="AR10" i="2"/>
  <c r="AO10" i="2"/>
  <c r="AM10" i="2"/>
  <c r="AG10" i="2"/>
  <c r="AF10" i="2"/>
  <c r="AD10" i="2"/>
  <c r="AA10" i="2"/>
  <c r="X10" i="2"/>
  <c r="U10" i="2"/>
  <c r="R10" i="2"/>
  <c r="O10" i="2"/>
  <c r="A10" i="2"/>
  <c r="A11" i="2" s="1"/>
  <c r="A12" i="2" s="1"/>
  <c r="A13" i="2" s="1"/>
  <c r="AV9" i="2"/>
  <c r="AL9" i="2"/>
  <c r="AL10" i="2" s="1"/>
  <c r="AI9" i="2"/>
  <c r="AI10" i="2" s="1"/>
  <c r="AF9" i="2"/>
  <c r="AC9" i="2"/>
  <c r="Z9" i="2"/>
  <c r="W9" i="2"/>
  <c r="T9" i="2"/>
  <c r="Q9" i="2"/>
  <c r="N9" i="2"/>
  <c r="N10" i="2" s="1"/>
  <c r="A9" i="2"/>
  <c r="AS8" i="2"/>
  <c r="AP8" i="2"/>
  <c r="AM8" i="2"/>
  <c r="AL8" i="2"/>
  <c r="AJ8" i="2"/>
  <c r="AI8" i="2"/>
  <c r="AG8" i="2"/>
  <c r="AF8" i="2"/>
  <c r="AD8" i="2"/>
  <c r="AA8" i="2"/>
  <c r="X8" i="2"/>
  <c r="U8" i="2"/>
  <c r="T8" i="2"/>
  <c r="R8" i="2"/>
  <c r="O8" i="2"/>
  <c r="N8" i="2"/>
  <c r="A8" i="2"/>
  <c r="AL7" i="2"/>
  <c r="AJ7" i="2"/>
  <c r="AC7" i="2"/>
  <c r="Z7" i="2"/>
  <c r="W7" i="2"/>
  <c r="T7" i="2"/>
  <c r="Q7" i="2"/>
  <c r="N7" i="2"/>
  <c r="R4" i="2"/>
  <c r="X4" i="2" s="1"/>
  <c r="AA4" i="2" s="1"/>
  <c r="A3" i="2"/>
  <c r="A2" i="2"/>
  <c r="A1" i="2"/>
  <c r="J16" i="3" l="1"/>
  <c r="P16" i="3"/>
  <c r="G35" i="3"/>
  <c r="J38" i="3"/>
  <c r="H30" i="2"/>
  <c r="BE37" i="2"/>
  <c r="H60" i="2"/>
  <c r="H43" i="2"/>
  <c r="H55" i="2"/>
  <c r="M28" i="3"/>
  <c r="G33" i="3"/>
  <c r="G52" i="3"/>
  <c r="J80" i="3"/>
  <c r="BD19" i="2"/>
  <c r="H31" i="2"/>
  <c r="H53" i="2"/>
  <c r="H58" i="2"/>
  <c r="H61" i="2"/>
  <c r="H69" i="2"/>
  <c r="P13" i="3"/>
  <c r="G23" i="3"/>
  <c r="P28" i="3"/>
  <c r="G31" i="3"/>
  <c r="J33" i="3"/>
  <c r="S35" i="3"/>
  <c r="M38" i="3"/>
  <c r="G45" i="3"/>
  <c r="J52" i="3"/>
  <c r="G57" i="3"/>
  <c r="P59" i="3"/>
  <c r="G62" i="3"/>
  <c r="G67" i="3"/>
  <c r="M69" i="3"/>
  <c r="M72" i="3"/>
  <c r="G77" i="3"/>
  <c r="P80" i="3"/>
  <c r="H45" i="2"/>
  <c r="J69" i="3"/>
  <c r="H74" i="2"/>
  <c r="S13" i="3"/>
  <c r="J23" i="3"/>
  <c r="S28" i="3"/>
  <c r="J31" i="3"/>
  <c r="M33" i="3"/>
  <c r="P38" i="3"/>
  <c r="J45" i="3"/>
  <c r="M52" i="3"/>
  <c r="G55" i="3"/>
  <c r="J57" i="3"/>
  <c r="J62" i="3"/>
  <c r="J65" i="3"/>
  <c r="J67" i="3"/>
  <c r="P69" i="3"/>
  <c r="P72" i="3"/>
  <c r="G75" i="3"/>
  <c r="M77" i="3"/>
  <c r="S80" i="3"/>
  <c r="BD36" i="2"/>
  <c r="BD38" i="2"/>
  <c r="M23" i="3"/>
  <c r="P26" i="3"/>
  <c r="M31" i="3"/>
  <c r="P33" i="3"/>
  <c r="S38" i="3"/>
  <c r="J43" i="3"/>
  <c r="M45" i="3"/>
  <c r="J50" i="3"/>
  <c r="P52" i="3"/>
  <c r="J55" i="3"/>
  <c r="S57" i="3"/>
  <c r="M62" i="3"/>
  <c r="M65" i="3"/>
  <c r="S69" i="3"/>
  <c r="S72" i="3"/>
  <c r="J75" i="3"/>
  <c r="S77" i="3"/>
  <c r="H52" i="2"/>
  <c r="H40" i="2"/>
  <c r="H71" i="2"/>
  <c r="H16" i="2"/>
  <c r="I16" i="2" s="1"/>
  <c r="L16" i="2" s="1"/>
  <c r="H18" i="2"/>
  <c r="I18" i="2" s="1"/>
  <c r="L18" i="2" s="1"/>
  <c r="H20" i="2"/>
  <c r="BE24" i="2"/>
  <c r="H56" i="2"/>
  <c r="BD69" i="2"/>
  <c r="M20" i="3"/>
  <c r="P23" i="3"/>
  <c r="S26" i="3"/>
  <c r="P31" i="3"/>
  <c r="J36" i="3"/>
  <c r="G41" i="3"/>
  <c r="M43" i="3"/>
  <c r="P45" i="3"/>
  <c r="G48" i="3"/>
  <c r="M50" i="3"/>
  <c r="M55" i="3"/>
  <c r="P62" i="3"/>
  <c r="P65" i="3"/>
  <c r="M75" i="3"/>
  <c r="BD22" i="2"/>
  <c r="H29" i="2"/>
  <c r="I29" i="2" s="1"/>
  <c r="H34" i="2"/>
  <c r="BD48" i="2"/>
  <c r="H54" i="2"/>
  <c r="BD74" i="2"/>
  <c r="P55" i="3"/>
  <c r="S65" i="3"/>
  <c r="P75" i="3"/>
  <c r="I27" i="2"/>
  <c r="BE31" i="2"/>
  <c r="I49" i="2"/>
  <c r="L49" i="2" s="1"/>
  <c r="BD56" i="2"/>
  <c r="J29" i="3"/>
  <c r="P36" i="3"/>
  <c r="J39" i="3"/>
  <c r="M41" i="3"/>
  <c r="M48" i="3"/>
  <c r="J58" i="3"/>
  <c r="G68" i="3"/>
  <c r="G70" i="3"/>
  <c r="G73" i="3"/>
  <c r="BD34" i="2"/>
  <c r="H42" i="2"/>
  <c r="I37" i="2" s="1"/>
  <c r="L37" i="2" s="1"/>
  <c r="H62" i="2"/>
  <c r="H70" i="2"/>
  <c r="BD72" i="2"/>
  <c r="G27" i="3"/>
  <c r="S36" i="3"/>
  <c r="M39" i="3"/>
  <c r="P41" i="3"/>
  <c r="P48" i="3"/>
  <c r="M58" i="3"/>
  <c r="J68" i="3"/>
  <c r="J70" i="3"/>
  <c r="J73" i="3"/>
  <c r="H23" i="2"/>
  <c r="I23" i="2" s="1"/>
  <c r="L23" i="2" s="1"/>
  <c r="H75" i="2"/>
  <c r="H78" i="2"/>
  <c r="H80" i="2"/>
  <c r="I80" i="2" s="1"/>
  <c r="L80" i="2" s="1"/>
  <c r="G18" i="3"/>
  <c r="J27" i="3"/>
  <c r="P29" i="3"/>
  <c r="G32" i="3"/>
  <c r="P39" i="3"/>
  <c r="G46" i="3"/>
  <c r="P58" i="3"/>
  <c r="G61" i="3"/>
  <c r="G63" i="3"/>
  <c r="G66" i="3"/>
  <c r="M68" i="3"/>
  <c r="M70" i="3"/>
  <c r="M73" i="3"/>
  <c r="J79" i="3"/>
  <c r="J72" i="3"/>
  <c r="J18" i="3"/>
  <c r="M27" i="3"/>
  <c r="J32" i="3"/>
  <c r="M34" i="3"/>
  <c r="J44" i="3"/>
  <c r="M51" i="3"/>
  <c r="G54" i="3"/>
  <c r="G56" i="3"/>
  <c r="S58" i="3"/>
  <c r="J61" i="3"/>
  <c r="J63" i="3"/>
  <c r="J66" i="3"/>
  <c r="P68" i="3"/>
  <c r="S70" i="3"/>
  <c r="P73" i="3"/>
  <c r="G76" i="3"/>
  <c r="M79" i="3"/>
  <c r="H33" i="2"/>
  <c r="T10" i="2"/>
  <c r="H19" i="2"/>
  <c r="I19" i="2" s="1"/>
  <c r="L19" i="2" s="1"/>
  <c r="BE27" i="2"/>
  <c r="BD42" i="2"/>
  <c r="BE44" i="2"/>
  <c r="BD70" i="2"/>
  <c r="H73" i="2"/>
  <c r="I73" i="2" s="1"/>
  <c r="L73" i="2" s="1"/>
  <c r="M32" i="3"/>
  <c r="M44" i="3"/>
  <c r="P51" i="3"/>
  <c r="J56" i="3"/>
  <c r="M63" i="3"/>
  <c r="M76" i="3"/>
  <c r="P79" i="3"/>
  <c r="S53" i="3"/>
  <c r="M53" i="3"/>
  <c r="G53" i="3"/>
  <c r="J53" i="3"/>
  <c r="P64" i="3"/>
  <c r="S64" i="3"/>
  <c r="G64" i="3"/>
  <c r="P71" i="3"/>
  <c r="S71" i="3"/>
  <c r="M71" i="3"/>
  <c r="J71" i="3"/>
  <c r="G37" i="3"/>
  <c r="S37" i="3"/>
  <c r="M37" i="3"/>
  <c r="J64" i="3"/>
  <c r="G71" i="3"/>
  <c r="P14" i="3"/>
  <c r="M14" i="3"/>
  <c r="AF14" i="3"/>
  <c r="J14" i="3"/>
  <c r="G14" i="3"/>
  <c r="S25" i="3"/>
  <c r="J25" i="3"/>
  <c r="G25" i="3"/>
  <c r="P53" i="3"/>
  <c r="P25" i="3"/>
  <c r="J37" i="3"/>
  <c r="M64" i="3"/>
  <c r="P78" i="3"/>
  <c r="S78" i="3"/>
  <c r="M78" i="3"/>
  <c r="J78" i="3"/>
  <c r="G78" i="3"/>
  <c r="M17" i="3"/>
  <c r="J17" i="3"/>
  <c r="G17" i="3"/>
  <c r="S17" i="3"/>
  <c r="S22" i="3"/>
  <c r="P22" i="3"/>
  <c r="M22" i="3"/>
  <c r="G22" i="3"/>
  <c r="W18" i="3"/>
  <c r="G16" i="3"/>
  <c r="S16" i="3"/>
  <c r="M16" i="3"/>
  <c r="P17" i="3"/>
  <c r="S30" i="3"/>
  <c r="P30" i="3"/>
  <c r="M30" i="3"/>
  <c r="J30" i="3"/>
  <c r="S60" i="3"/>
  <c r="M60" i="3"/>
  <c r="P60" i="3"/>
  <c r="J60" i="3"/>
  <c r="S15" i="3"/>
  <c r="P15" i="3"/>
  <c r="M15" i="3"/>
  <c r="G15" i="3"/>
  <c r="J15" i="3"/>
  <c r="P21" i="3"/>
  <c r="M21" i="3"/>
  <c r="J21" i="3"/>
  <c r="G21" i="3"/>
  <c r="J19" i="3"/>
  <c r="M57" i="3"/>
  <c r="S67" i="3"/>
  <c r="M67" i="3"/>
  <c r="P19" i="3"/>
  <c r="S74" i="3"/>
  <c r="M74" i="3"/>
  <c r="M18" i="3"/>
  <c r="G26" i="3"/>
  <c r="J35" i="3"/>
  <c r="J46" i="3"/>
  <c r="J74" i="3"/>
  <c r="G28" i="3"/>
  <c r="M35" i="3"/>
  <c r="M46" i="3"/>
  <c r="P74" i="3"/>
  <c r="D83" i="3"/>
  <c r="P18" i="3"/>
  <c r="J26" i="3"/>
  <c r="G39" i="3"/>
  <c r="G42" i="3"/>
  <c r="P46" i="3"/>
  <c r="G50" i="3"/>
  <c r="J77" i="3"/>
  <c r="G80" i="3"/>
  <c r="BE17" i="2"/>
  <c r="BD17" i="2"/>
  <c r="D83" i="2"/>
  <c r="BE77" i="2"/>
  <c r="BD77" i="2"/>
  <c r="L27" i="2"/>
  <c r="BE55" i="2"/>
  <c r="BD55" i="2"/>
  <c r="BD64" i="2"/>
  <c r="BE64" i="2"/>
  <c r="BE79" i="2"/>
  <c r="BD79" i="2"/>
  <c r="H21" i="2"/>
  <c r="I21" i="2" s="1"/>
  <c r="L21" i="2" s="1"/>
  <c r="L13" i="2"/>
  <c r="BD59" i="2"/>
  <c r="BE59" i="2"/>
  <c r="BD66" i="2"/>
  <c r="BE66" i="2"/>
  <c r="I31" i="2"/>
  <c r="L31" i="2" s="1"/>
  <c r="I43" i="2"/>
  <c r="L43" i="2" s="1"/>
  <c r="L29" i="2"/>
  <c r="BD18" i="2"/>
  <c r="H26" i="2"/>
  <c r="I25" i="2" s="1"/>
  <c r="L25" i="2" s="1"/>
  <c r="BD67" i="2"/>
  <c r="BE67" i="2"/>
  <c r="BE76" i="2"/>
  <c r="BD14" i="2"/>
  <c r="BD62" i="2"/>
  <c r="BE62" i="2"/>
  <c r="AJ98" i="2"/>
  <c r="AJ99" i="2" s="1"/>
  <c r="BD61" i="2"/>
  <c r="BE61" i="2"/>
  <c r="BE28" i="2"/>
  <c r="I17" i="2"/>
  <c r="L17" i="2" s="1"/>
  <c r="BE20" i="2"/>
  <c r="BD30" i="2"/>
  <c r="BE30" i="2"/>
  <c r="BE65" i="2"/>
  <c r="BD65" i="2"/>
  <c r="BE26" i="2"/>
  <c r="BD26" i="2"/>
  <c r="BD52" i="2"/>
  <c r="BE52" i="2"/>
  <c r="BE73" i="2"/>
  <c r="BD73" i="2"/>
  <c r="BE35" i="2"/>
  <c r="BD35" i="2"/>
  <c r="BE32" i="2"/>
  <c r="BD32" i="2"/>
  <c r="H35" i="2"/>
  <c r="BE41" i="2"/>
  <c r="BD41" i="2"/>
  <c r="BD53" i="2"/>
  <c r="BE58" i="2"/>
  <c r="BD58" i="2"/>
  <c r="BE46" i="2"/>
  <c r="BD46" i="2"/>
  <c r="BD50" i="2"/>
  <c r="H67" i="2"/>
  <c r="H79" i="2"/>
  <c r="I79" i="2" s="1"/>
  <c r="L79" i="2" s="1"/>
  <c r="H66" i="2"/>
  <c r="I61" i="2" s="1"/>
  <c r="L61" i="2" s="1"/>
  <c r="H57" i="2"/>
  <c r="BE83" i="2" l="1"/>
  <c r="M83" i="3"/>
  <c r="J83" i="3"/>
  <c r="P83" i="3"/>
  <c r="I55" i="2"/>
  <c r="L55" i="2" s="1"/>
  <c r="G83" i="3"/>
  <c r="I67" i="2"/>
  <c r="L67" i="2" s="1"/>
  <c r="L83" i="2" s="1"/>
  <c r="S83" i="3"/>
  <c r="W19" i="3"/>
  <c r="AF18" i="3"/>
  <c r="BD83" i="2"/>
  <c r="BD84" i="2" s="1"/>
  <c r="W83" i="2"/>
  <c r="AI83" i="2"/>
  <c r="AF83" i="2"/>
  <c r="Z83" i="2"/>
  <c r="I83" i="2"/>
  <c r="AO83" i="2" l="1"/>
  <c r="N83" i="2"/>
  <c r="AL83" i="2"/>
  <c r="AM67" i="2" s="1"/>
  <c r="Q83" i="2"/>
  <c r="T83" i="2"/>
  <c r="U29" i="2" s="1"/>
  <c r="AR83" i="2"/>
  <c r="AS29" i="2" s="1"/>
  <c r="AT30" i="2" s="1"/>
  <c r="AC83" i="2"/>
  <c r="W20" i="3"/>
  <c r="AF19" i="3"/>
  <c r="V29" i="2"/>
  <c r="AZ29" i="2" s="1"/>
  <c r="V30" i="2"/>
  <c r="AZ30" i="2" s="1"/>
  <c r="AT29" i="2"/>
  <c r="AS61" i="2"/>
  <c r="U23" i="2"/>
  <c r="U25" i="2"/>
  <c r="AS67" i="2"/>
  <c r="U79" i="2"/>
  <c r="V79" i="2" s="1"/>
  <c r="AZ79" i="2" s="1"/>
  <c r="AP27" i="2"/>
  <c r="AP23" i="2"/>
  <c r="U49" i="2"/>
  <c r="AP25" i="2"/>
  <c r="U61" i="2"/>
  <c r="AS23" i="2"/>
  <c r="AP67" i="2"/>
  <c r="O19" i="2"/>
  <c r="O17" i="2"/>
  <c r="O80" i="2"/>
  <c r="P80" i="2" s="1"/>
  <c r="AX80" i="2" s="1"/>
  <c r="O43" i="2"/>
  <c r="O27" i="2"/>
  <c r="O79" i="2"/>
  <c r="P79" i="2" s="1"/>
  <c r="AX79" i="2" s="1"/>
  <c r="O14" i="2"/>
  <c r="O16" i="2"/>
  <c r="P16" i="2" s="1"/>
  <c r="AX16" i="2" s="1"/>
  <c r="U73" i="2"/>
  <c r="O37" i="2"/>
  <c r="O55" i="2"/>
  <c r="AP61" i="2"/>
  <c r="U18" i="2"/>
  <c r="AS55" i="2"/>
  <c r="U21" i="2"/>
  <c r="U31" i="2"/>
  <c r="AS14" i="2"/>
  <c r="AS80" i="2"/>
  <c r="AT80" i="2" s="1"/>
  <c r="AS19" i="2"/>
  <c r="AS13" i="2"/>
  <c r="AS27" i="2"/>
  <c r="AP14" i="2"/>
  <c r="AP13" i="2"/>
  <c r="AP18" i="2"/>
  <c r="AP15" i="2"/>
  <c r="AQ15" i="2" s="1"/>
  <c r="AP49" i="2"/>
  <c r="AP19" i="2"/>
  <c r="AP80" i="2"/>
  <c r="AQ80" i="2" s="1"/>
  <c r="AP16" i="2"/>
  <c r="AQ16" i="2" s="1"/>
  <c r="AP29" i="2"/>
  <c r="AP17" i="2"/>
  <c r="AS25" i="2"/>
  <c r="AM13" i="2"/>
  <c r="AM15" i="2"/>
  <c r="AN15" i="2" s="1"/>
  <c r="BF15" i="2" s="1"/>
  <c r="AM27" i="2"/>
  <c r="AM16" i="2"/>
  <c r="AN16" i="2" s="1"/>
  <c r="BF16" i="2" s="1"/>
  <c r="AM80" i="2"/>
  <c r="AN80" i="2" s="1"/>
  <c r="BF80" i="2" s="1"/>
  <c r="AM14" i="2"/>
  <c r="AM43" i="2"/>
  <c r="AM49" i="2"/>
  <c r="AM19" i="2"/>
  <c r="O67" i="2"/>
  <c r="AM29" i="2"/>
  <c r="AS49" i="2"/>
  <c r="U19" i="2"/>
  <c r="U80" i="2"/>
  <c r="V80" i="2" s="1"/>
  <c r="AZ80" i="2" s="1"/>
  <c r="U13" i="2"/>
  <c r="U27" i="2"/>
  <c r="U15" i="2"/>
  <c r="V15" i="2" s="1"/>
  <c r="AZ15" i="2" s="1"/>
  <c r="U43" i="2"/>
  <c r="AS43" i="2"/>
  <c r="O31" i="2"/>
  <c r="O61" i="2"/>
  <c r="AN71" i="2" l="1"/>
  <c r="BF71" i="2" s="1"/>
  <c r="AN69" i="2"/>
  <c r="BF69" i="2" s="1"/>
  <c r="AN68" i="2"/>
  <c r="BF68" i="2" s="1"/>
  <c r="AN67" i="2"/>
  <c r="BF67" i="2" s="1"/>
  <c r="AN72" i="2"/>
  <c r="BF72" i="2" s="1"/>
  <c r="AN70" i="2"/>
  <c r="BF70" i="2" s="1"/>
  <c r="AS73" i="2"/>
  <c r="AT78" i="2" s="1"/>
  <c r="AS37" i="2"/>
  <c r="AT41" i="2" s="1"/>
  <c r="U67" i="2"/>
  <c r="AM17" i="2"/>
  <c r="AN17" i="2" s="1"/>
  <c r="BF17" i="2" s="1"/>
  <c r="AM18" i="2"/>
  <c r="AM83" i="2" s="1"/>
  <c r="AM23" i="2"/>
  <c r="AM25" i="2"/>
  <c r="AM31" i="2"/>
  <c r="AM37" i="2"/>
  <c r="AM79" i="2"/>
  <c r="AN79" i="2" s="1"/>
  <c r="BF79" i="2" s="1"/>
  <c r="AM55" i="2"/>
  <c r="O25" i="2"/>
  <c r="O18" i="2"/>
  <c r="O21" i="2"/>
  <c r="O23" i="2"/>
  <c r="O49" i="2"/>
  <c r="O29" i="2"/>
  <c r="O73" i="2"/>
  <c r="U55" i="2"/>
  <c r="V59" i="2" s="1"/>
  <c r="AZ59" i="2" s="1"/>
  <c r="U37" i="2"/>
  <c r="U83" i="2" s="1"/>
  <c r="AP37" i="2"/>
  <c r="AP73" i="2"/>
  <c r="AP43" i="2"/>
  <c r="AP31" i="2"/>
  <c r="AP79" i="2"/>
  <c r="AQ79" i="2" s="1"/>
  <c r="AP21" i="2"/>
  <c r="AS17" i="2"/>
  <c r="U16" i="2"/>
  <c r="V16" i="2" s="1"/>
  <c r="AZ16" i="2" s="1"/>
  <c r="AS15" i="2"/>
  <c r="AT15" i="2" s="1"/>
  <c r="AM21" i="2"/>
  <c r="AN21" i="2" s="1"/>
  <c r="BF21" i="2" s="1"/>
  <c r="U14" i="2"/>
  <c r="AS16" i="2"/>
  <c r="AT16" i="2" s="1"/>
  <c r="O13" i="2"/>
  <c r="O83" i="2" s="1"/>
  <c r="AS21" i="2"/>
  <c r="AT21" i="2" s="1"/>
  <c r="AM73" i="2"/>
  <c r="AM61" i="2"/>
  <c r="AM96" i="2" s="1"/>
  <c r="AS18" i="2"/>
  <c r="O15" i="2"/>
  <c r="P15" i="2" s="1"/>
  <c r="AX15" i="2" s="1"/>
  <c r="U17" i="2"/>
  <c r="AS31" i="2"/>
  <c r="AT31" i="2" s="1"/>
  <c r="AS79" i="2"/>
  <c r="AT79" i="2" s="1"/>
  <c r="AP55" i="2"/>
  <c r="AF20" i="3"/>
  <c r="W21" i="3"/>
  <c r="V19" i="2"/>
  <c r="AZ19" i="2" s="1"/>
  <c r="V20" i="2"/>
  <c r="AZ20" i="2" s="1"/>
  <c r="AT34" i="2"/>
  <c r="AT33" i="2"/>
  <c r="AT32" i="2"/>
  <c r="AT36" i="2"/>
  <c r="V17" i="2"/>
  <c r="AZ17" i="2" s="1"/>
  <c r="AT19" i="2"/>
  <c r="AT20" i="2"/>
  <c r="AQ24" i="2"/>
  <c r="AQ23" i="2"/>
  <c r="AN27" i="2"/>
  <c r="BF27" i="2" s="1"/>
  <c r="AN28" i="2"/>
  <c r="BF28" i="2" s="1"/>
  <c r="V26" i="2"/>
  <c r="AZ26" i="2" s="1"/>
  <c r="V25" i="2"/>
  <c r="AZ25" i="2" s="1"/>
  <c r="P64" i="2"/>
  <c r="AX64" i="2" s="1"/>
  <c r="P66" i="2"/>
  <c r="AX66" i="2" s="1"/>
  <c r="P62" i="2"/>
  <c r="AX62" i="2" s="1"/>
  <c r="P63" i="2"/>
  <c r="AX63" i="2" s="1"/>
  <c r="P65" i="2"/>
  <c r="AX65" i="2" s="1"/>
  <c r="P61" i="2"/>
  <c r="AX61" i="2" s="1"/>
  <c r="P28" i="2"/>
  <c r="AX28" i="2" s="1"/>
  <c r="P27" i="2"/>
  <c r="AX27" i="2" s="1"/>
  <c r="AN29" i="2"/>
  <c r="BF29" i="2" s="1"/>
  <c r="AN30" i="2"/>
  <c r="BF30" i="2" s="1"/>
  <c r="AT25" i="2"/>
  <c r="AT26" i="2"/>
  <c r="AQ64" i="2"/>
  <c r="AQ65" i="2"/>
  <c r="AQ62" i="2"/>
  <c r="AQ61" i="2"/>
  <c r="AQ63" i="2"/>
  <c r="AQ66" i="2"/>
  <c r="V64" i="2"/>
  <c r="AZ64" i="2" s="1"/>
  <c r="V66" i="2"/>
  <c r="AZ66" i="2" s="1"/>
  <c r="V65" i="2"/>
  <c r="AZ65" i="2" s="1"/>
  <c r="V63" i="2"/>
  <c r="AZ63" i="2" s="1"/>
  <c r="V61" i="2"/>
  <c r="AZ61" i="2" s="1"/>
  <c r="V62" i="2"/>
  <c r="AZ62" i="2" s="1"/>
  <c r="AT68" i="2"/>
  <c r="AT72" i="2"/>
  <c r="AT69" i="2"/>
  <c r="AT70" i="2"/>
  <c r="AT71" i="2"/>
  <c r="AT67" i="2"/>
  <c r="AT13" i="2"/>
  <c r="AS94" i="2"/>
  <c r="O96" i="2"/>
  <c r="P17" i="2"/>
  <c r="AX17" i="2" s="1"/>
  <c r="P20" i="2"/>
  <c r="AX20" i="2" s="1"/>
  <c r="P19" i="2"/>
  <c r="AX19" i="2" s="1"/>
  <c r="AT38" i="2"/>
  <c r="AT42" i="2"/>
  <c r="AT40" i="2"/>
  <c r="AT39" i="2"/>
  <c r="V37" i="2"/>
  <c r="AZ37" i="2" s="1"/>
  <c r="V41" i="2"/>
  <c r="AZ41" i="2" s="1"/>
  <c r="AT51" i="2"/>
  <c r="AT54" i="2"/>
  <c r="AT50" i="2"/>
  <c r="AT49" i="2"/>
  <c r="AT53" i="2"/>
  <c r="AT52" i="2"/>
  <c r="P44" i="2"/>
  <c r="AX44" i="2" s="1"/>
  <c r="P46" i="2"/>
  <c r="AX46" i="2" s="1"/>
  <c r="P48" i="2"/>
  <c r="AX48" i="2" s="1"/>
  <c r="P43" i="2"/>
  <c r="AX43" i="2" s="1"/>
  <c r="P45" i="2"/>
  <c r="AX45" i="2" s="1"/>
  <c r="P47" i="2"/>
  <c r="AX47" i="2" s="1"/>
  <c r="AT17" i="2"/>
  <c r="AQ26" i="2"/>
  <c r="AQ25" i="2"/>
  <c r="AT62" i="2"/>
  <c r="AT66" i="2"/>
  <c r="AT61" i="2"/>
  <c r="AT64" i="2"/>
  <c r="AT63" i="2"/>
  <c r="AT65" i="2"/>
  <c r="AN19" i="2"/>
  <c r="BF19" i="2" s="1"/>
  <c r="AN20" i="2"/>
  <c r="BF20" i="2" s="1"/>
  <c r="AQ54" i="2"/>
  <c r="AQ51" i="2"/>
  <c r="AQ49" i="2"/>
  <c r="AQ50" i="2"/>
  <c r="AQ53" i="2"/>
  <c r="AQ52" i="2"/>
  <c r="V36" i="2"/>
  <c r="AZ36" i="2" s="1"/>
  <c r="V32" i="2"/>
  <c r="AZ32" i="2" s="1"/>
  <c r="V33" i="2"/>
  <c r="AZ33" i="2" s="1"/>
  <c r="V34" i="2"/>
  <c r="AZ34" i="2" s="1"/>
  <c r="V31" i="2"/>
  <c r="AZ31" i="2" s="1"/>
  <c r="V35" i="2"/>
  <c r="AZ35" i="2" s="1"/>
  <c r="V70" i="2"/>
  <c r="AZ70" i="2" s="1"/>
  <c r="V67" i="2"/>
  <c r="AZ67" i="2" s="1"/>
  <c r="V69" i="2"/>
  <c r="AZ69" i="2" s="1"/>
  <c r="V68" i="2"/>
  <c r="AZ68" i="2" s="1"/>
  <c r="V71" i="2"/>
  <c r="AZ71" i="2" s="1"/>
  <c r="V72" i="2"/>
  <c r="AZ72" i="2" s="1"/>
  <c r="V24" i="2"/>
  <c r="AZ24" i="2" s="1"/>
  <c r="V23" i="2"/>
  <c r="AZ23" i="2" s="1"/>
  <c r="V21" i="2"/>
  <c r="AZ21" i="2" s="1"/>
  <c r="V22" i="2"/>
  <c r="AZ22" i="2" s="1"/>
  <c r="V14" i="2"/>
  <c r="AZ14" i="2" s="1"/>
  <c r="AT60" i="2"/>
  <c r="AT57" i="2"/>
  <c r="AT56" i="2"/>
  <c r="AT58" i="2"/>
  <c r="AT55" i="2"/>
  <c r="AT59" i="2"/>
  <c r="P14" i="2"/>
  <c r="AX14" i="2" s="1"/>
  <c r="O95" i="2"/>
  <c r="AQ27" i="2"/>
  <c r="AQ28" i="2"/>
  <c r="AP94" i="2"/>
  <c r="AQ13" i="2"/>
  <c r="AS95" i="2"/>
  <c r="AT14" i="2"/>
  <c r="U97" i="2"/>
  <c r="V18" i="2"/>
  <c r="AZ18" i="2" s="1"/>
  <c r="AM94" i="2"/>
  <c r="AN13" i="2"/>
  <c r="BF13" i="2" s="1"/>
  <c r="AQ14" i="2"/>
  <c r="AP95" i="2"/>
  <c r="AT24" i="2"/>
  <c r="AT23" i="2"/>
  <c r="P68" i="2"/>
  <c r="AX68" i="2" s="1"/>
  <c r="P67" i="2"/>
  <c r="AX67" i="2" s="1"/>
  <c r="P72" i="2"/>
  <c r="AX72" i="2" s="1"/>
  <c r="P71" i="2"/>
  <c r="AX71" i="2" s="1"/>
  <c r="P69" i="2"/>
  <c r="AX69" i="2" s="1"/>
  <c r="P70" i="2"/>
  <c r="AX70" i="2" s="1"/>
  <c r="AP96" i="2"/>
  <c r="AQ17" i="2"/>
  <c r="P58" i="2"/>
  <c r="AX58" i="2" s="1"/>
  <c r="P55" i="2"/>
  <c r="AX55" i="2" s="1"/>
  <c r="P59" i="2"/>
  <c r="AX59" i="2" s="1"/>
  <c r="P56" i="2"/>
  <c r="AX56" i="2" s="1"/>
  <c r="P60" i="2"/>
  <c r="AX60" i="2" s="1"/>
  <c r="P57" i="2"/>
  <c r="AX57" i="2" s="1"/>
  <c r="AN77" i="2"/>
  <c r="BF77" i="2" s="1"/>
  <c r="AN73" i="2"/>
  <c r="BF73" i="2" s="1"/>
  <c r="AN74" i="2"/>
  <c r="BF74" i="2" s="1"/>
  <c r="AN78" i="2"/>
  <c r="BF78" i="2" s="1"/>
  <c r="AN76" i="2"/>
  <c r="BF76" i="2" s="1"/>
  <c r="AN75" i="2"/>
  <c r="BF75" i="2" s="1"/>
  <c r="AQ29" i="2"/>
  <c r="AQ30" i="2"/>
  <c r="P37" i="2"/>
  <c r="AX37" i="2" s="1"/>
  <c r="P41" i="2"/>
  <c r="AX41" i="2" s="1"/>
  <c r="P38" i="2"/>
  <c r="AX38" i="2" s="1"/>
  <c r="P39" i="2"/>
  <c r="AX39" i="2" s="1"/>
  <c r="P42" i="2"/>
  <c r="AX42" i="2" s="1"/>
  <c r="P40" i="2"/>
  <c r="AX40" i="2" s="1"/>
  <c r="P35" i="2"/>
  <c r="AX35" i="2" s="1"/>
  <c r="P34" i="2"/>
  <c r="AX34" i="2" s="1"/>
  <c r="P36" i="2"/>
  <c r="AX36" i="2" s="1"/>
  <c r="P33" i="2"/>
  <c r="AX33" i="2" s="1"/>
  <c r="P31" i="2"/>
  <c r="AX31" i="2" s="1"/>
  <c r="P32" i="2"/>
  <c r="AX32" i="2" s="1"/>
  <c r="V28" i="2"/>
  <c r="AZ28" i="2" s="1"/>
  <c r="V27" i="2"/>
  <c r="AZ27" i="2" s="1"/>
  <c r="AN50" i="2"/>
  <c r="BF50" i="2" s="1"/>
  <c r="AN54" i="2"/>
  <c r="BF54" i="2" s="1"/>
  <c r="AN51" i="2"/>
  <c r="BF51" i="2" s="1"/>
  <c r="AN53" i="2"/>
  <c r="BF53" i="2" s="1"/>
  <c r="AN49" i="2"/>
  <c r="BF49" i="2" s="1"/>
  <c r="AN52" i="2"/>
  <c r="BF52" i="2" s="1"/>
  <c r="V76" i="2"/>
  <c r="AZ76" i="2" s="1"/>
  <c r="V78" i="2"/>
  <c r="AZ78" i="2" s="1"/>
  <c r="V74" i="2"/>
  <c r="AZ74" i="2" s="1"/>
  <c r="V77" i="2"/>
  <c r="AZ77" i="2" s="1"/>
  <c r="V75" i="2"/>
  <c r="AZ75" i="2" s="1"/>
  <c r="V73" i="2"/>
  <c r="AZ73" i="2" s="1"/>
  <c r="AQ71" i="2"/>
  <c r="AQ72" i="2"/>
  <c r="AQ68" i="2"/>
  <c r="AQ70" i="2"/>
  <c r="AQ67" i="2"/>
  <c r="AQ69" i="2"/>
  <c r="AT48" i="2"/>
  <c r="AT45" i="2"/>
  <c r="AT47" i="2"/>
  <c r="AT46" i="2"/>
  <c r="AT44" i="2"/>
  <c r="AT43" i="2"/>
  <c r="U94" i="2"/>
  <c r="V13" i="2"/>
  <c r="AZ13" i="2" s="1"/>
  <c r="AN46" i="2"/>
  <c r="BF46" i="2" s="1"/>
  <c r="AN44" i="2"/>
  <c r="BF44" i="2" s="1"/>
  <c r="AN48" i="2"/>
  <c r="BF48" i="2" s="1"/>
  <c r="AN47" i="2"/>
  <c r="BF47" i="2" s="1"/>
  <c r="AN45" i="2"/>
  <c r="BF45" i="2" s="1"/>
  <c r="AN43" i="2"/>
  <c r="BF43" i="2" s="1"/>
  <c r="AS97" i="2"/>
  <c r="AT18" i="2"/>
  <c r="V60" i="2"/>
  <c r="AZ60" i="2" s="1"/>
  <c r="AT73" i="2"/>
  <c r="AT74" i="2"/>
  <c r="AT77" i="2"/>
  <c r="AT76" i="2"/>
  <c r="AT75" i="2"/>
  <c r="AP97" i="2"/>
  <c r="AQ18" i="2"/>
  <c r="V47" i="2"/>
  <c r="AZ47" i="2" s="1"/>
  <c r="V44" i="2"/>
  <c r="AZ44" i="2" s="1"/>
  <c r="V43" i="2"/>
  <c r="AZ43" i="2" s="1"/>
  <c r="V48" i="2"/>
  <c r="AZ48" i="2" s="1"/>
  <c r="V45" i="2"/>
  <c r="AZ45" i="2" s="1"/>
  <c r="V46" i="2"/>
  <c r="AZ46" i="2" s="1"/>
  <c r="AN14" i="2"/>
  <c r="BF14" i="2" s="1"/>
  <c r="AQ19" i="2"/>
  <c r="AQ20" i="2"/>
  <c r="AT27" i="2"/>
  <c r="AT28" i="2"/>
  <c r="V53" i="2"/>
  <c r="AZ53" i="2" s="1"/>
  <c r="V50" i="2"/>
  <c r="AZ50" i="2" s="1"/>
  <c r="V49" i="2"/>
  <c r="AZ49" i="2" s="1"/>
  <c r="V52" i="2"/>
  <c r="AZ52" i="2" s="1"/>
  <c r="V54" i="2"/>
  <c r="AZ54" i="2" s="1"/>
  <c r="V51" i="2"/>
  <c r="AZ51" i="2" s="1"/>
  <c r="AQ76" i="2" l="1"/>
  <c r="AQ74" i="2"/>
  <c r="AQ77" i="2"/>
  <c r="AQ73" i="2"/>
  <c r="AQ78" i="2"/>
  <c r="AQ75" i="2"/>
  <c r="AN32" i="2"/>
  <c r="BF32" i="2" s="1"/>
  <c r="AN35" i="2"/>
  <c r="BF35" i="2" s="1"/>
  <c r="AN31" i="2"/>
  <c r="BF31" i="2" s="1"/>
  <c r="AN36" i="2"/>
  <c r="BF36" i="2" s="1"/>
  <c r="AN33" i="2"/>
  <c r="BF33" i="2" s="1"/>
  <c r="BF83" i="2" s="1"/>
  <c r="BF84" i="2" s="1"/>
  <c r="AN34" i="2"/>
  <c r="BF34" i="2" s="1"/>
  <c r="AS96" i="2"/>
  <c r="AS98" i="2" s="1"/>
  <c r="AS99" i="2" s="1"/>
  <c r="V42" i="2"/>
  <c r="AZ42" i="2" s="1"/>
  <c r="AQ42" i="2"/>
  <c r="AQ37" i="2"/>
  <c r="AQ41" i="2"/>
  <c r="AQ39" i="2"/>
  <c r="AQ38" i="2"/>
  <c r="AQ40" i="2"/>
  <c r="AN26" i="2"/>
  <c r="BF26" i="2" s="1"/>
  <c r="AN25" i="2"/>
  <c r="BF25" i="2" s="1"/>
  <c r="AN24" i="2"/>
  <c r="BF24" i="2" s="1"/>
  <c r="AN23" i="2"/>
  <c r="BF23" i="2" s="1"/>
  <c r="V40" i="2"/>
  <c r="AZ40" i="2" s="1"/>
  <c r="P75" i="2"/>
  <c r="AX75" i="2" s="1"/>
  <c r="P76" i="2"/>
  <c r="AX76" i="2" s="1"/>
  <c r="P78" i="2"/>
  <c r="AX78" i="2" s="1"/>
  <c r="P74" i="2"/>
  <c r="AX74" i="2" s="1"/>
  <c r="P77" i="2"/>
  <c r="AX77" i="2" s="1"/>
  <c r="P73" i="2"/>
  <c r="AX73" i="2" s="1"/>
  <c r="V38" i="2"/>
  <c r="AZ38" i="2" s="1"/>
  <c r="P29" i="2"/>
  <c r="AX29" i="2" s="1"/>
  <c r="P30" i="2"/>
  <c r="AX30" i="2" s="1"/>
  <c r="AN62" i="2"/>
  <c r="BF62" i="2" s="1"/>
  <c r="P54" i="2"/>
  <c r="AX54" i="2" s="1"/>
  <c r="P51" i="2"/>
  <c r="AX51" i="2" s="1"/>
  <c r="P49" i="2"/>
  <c r="AX49" i="2" s="1"/>
  <c r="P53" i="2"/>
  <c r="AX53" i="2" s="1"/>
  <c r="P52" i="2"/>
  <c r="AX52" i="2" s="1"/>
  <c r="P50" i="2"/>
  <c r="AX50" i="2" s="1"/>
  <c r="V39" i="2"/>
  <c r="AZ39" i="2" s="1"/>
  <c r="AN66" i="2"/>
  <c r="BF66" i="2" s="1"/>
  <c r="P23" i="2"/>
  <c r="AX23" i="2" s="1"/>
  <c r="P24" i="2"/>
  <c r="AX24" i="2" s="1"/>
  <c r="AN64" i="2"/>
  <c r="BF64" i="2" s="1"/>
  <c r="P13" i="2"/>
  <c r="AX13" i="2" s="1"/>
  <c r="AQ59" i="2"/>
  <c r="AQ57" i="2"/>
  <c r="AQ55" i="2"/>
  <c r="AQ58" i="2"/>
  <c r="AQ60" i="2"/>
  <c r="AQ56" i="2"/>
  <c r="P22" i="2"/>
  <c r="AX22" i="2" s="1"/>
  <c r="P21" i="2"/>
  <c r="AX21" i="2" s="1"/>
  <c r="AX83" i="2" s="1"/>
  <c r="AM97" i="2"/>
  <c r="AM98" i="2" s="1"/>
  <c r="AM99" i="2" s="1"/>
  <c r="AN18" i="2"/>
  <c r="BF18" i="2" s="1"/>
  <c r="U95" i="2"/>
  <c r="U98" i="2" s="1"/>
  <c r="U99" i="2" s="1"/>
  <c r="AN63" i="2"/>
  <c r="BF63" i="2" s="1"/>
  <c r="O94" i="2"/>
  <c r="O97" i="2"/>
  <c r="P18" i="2"/>
  <c r="AX18" i="2" s="1"/>
  <c r="AT22" i="2"/>
  <c r="V58" i="2"/>
  <c r="AZ58" i="2" s="1"/>
  <c r="AN61" i="2"/>
  <c r="BF61" i="2" s="1"/>
  <c r="AQ22" i="2"/>
  <c r="AQ21" i="2"/>
  <c r="P26" i="2"/>
  <c r="AX26" i="2" s="1"/>
  <c r="P25" i="2"/>
  <c r="AX25" i="2" s="1"/>
  <c r="V57" i="2"/>
  <c r="AZ57" i="2" s="1"/>
  <c r="V55" i="2"/>
  <c r="AZ55" i="2" s="1"/>
  <c r="AN65" i="2"/>
  <c r="BF65" i="2" s="1"/>
  <c r="U96" i="2"/>
  <c r="AN57" i="2"/>
  <c r="BF57" i="2" s="1"/>
  <c r="AN58" i="2"/>
  <c r="BF58" i="2" s="1"/>
  <c r="AN55" i="2"/>
  <c r="BF55" i="2" s="1"/>
  <c r="AN56" i="2"/>
  <c r="BF56" i="2" s="1"/>
  <c r="AN60" i="2"/>
  <c r="BF60" i="2" s="1"/>
  <c r="AN59" i="2"/>
  <c r="BF59" i="2" s="1"/>
  <c r="V56" i="2"/>
  <c r="AZ56" i="2" s="1"/>
  <c r="AP98" i="2"/>
  <c r="AP99" i="2" s="1"/>
  <c r="AT37" i="2"/>
  <c r="AT35" i="2"/>
  <c r="AQ31" i="2"/>
  <c r="AQ36" i="2"/>
  <c r="AQ32" i="2"/>
  <c r="AQ33" i="2"/>
  <c r="AQ34" i="2"/>
  <c r="AQ35" i="2"/>
  <c r="AP83" i="2"/>
  <c r="AN22" i="2"/>
  <c r="BF22" i="2" s="1"/>
  <c r="AM95" i="2"/>
  <c r="AS83" i="2"/>
  <c r="AQ44" i="2"/>
  <c r="AQ45" i="2"/>
  <c r="AQ48" i="2"/>
  <c r="AQ46" i="2"/>
  <c r="AQ47" i="2"/>
  <c r="AQ43" i="2"/>
  <c r="AN42" i="2"/>
  <c r="BF42" i="2" s="1"/>
  <c r="AN38" i="2"/>
  <c r="BF38" i="2" s="1"/>
  <c r="AN39" i="2"/>
  <c r="BF39" i="2" s="1"/>
  <c r="AN40" i="2"/>
  <c r="BF40" i="2" s="1"/>
  <c r="AN37" i="2"/>
  <c r="BF37" i="2" s="1"/>
  <c r="AN41" i="2"/>
  <c r="BF41" i="2" s="1"/>
  <c r="AF21" i="3"/>
  <c r="W22" i="3"/>
  <c r="AZ83" i="2"/>
  <c r="AZ84" i="2" s="1"/>
  <c r="O98" i="2" l="1"/>
  <c r="O99" i="2" s="1"/>
  <c r="W23" i="3"/>
  <c r="AF22" i="3"/>
  <c r="AX84" i="2"/>
  <c r="AF23" i="3" l="1"/>
  <c r="W24" i="3"/>
  <c r="W25" i="3" l="1"/>
  <c r="AF24" i="3"/>
  <c r="W26" i="3" l="1"/>
  <c r="AF25" i="3"/>
  <c r="AF26" i="3" l="1"/>
  <c r="W27" i="3"/>
  <c r="W28" i="3" l="1"/>
  <c r="AF27" i="3"/>
  <c r="AF28" i="3" l="1"/>
  <c r="W29" i="3"/>
  <c r="AF29" i="3" l="1"/>
  <c r="W30" i="3"/>
  <c r="AF30" i="3" l="1"/>
  <c r="W31" i="3"/>
  <c r="W32" i="3" l="1"/>
  <c r="AF31" i="3"/>
  <c r="Q8" i="2"/>
  <c r="AC8" i="2"/>
  <c r="AC10" i="2" s="1"/>
  <c r="Z8" i="2"/>
  <c r="Z10" i="2" s="1"/>
  <c r="AD17" i="2" l="1"/>
  <c r="AE17" i="2" s="1"/>
  <c r="BC17" i="2" s="1"/>
  <c r="AD13" i="2"/>
  <c r="AD23" i="2"/>
  <c r="AD67" i="2"/>
  <c r="AD19" i="2"/>
  <c r="AD79" i="2"/>
  <c r="AE79" i="2" s="1"/>
  <c r="BC79" i="2" s="1"/>
  <c r="AD16" i="2"/>
  <c r="AE16" i="2" s="1"/>
  <c r="BC16" i="2" s="1"/>
  <c r="AD21" i="2"/>
  <c r="AD25" i="2"/>
  <c r="AD27" i="2"/>
  <c r="AD61" i="2"/>
  <c r="AD31" i="2"/>
  <c r="AD55" i="2"/>
  <c r="AD37" i="2"/>
  <c r="AD15" i="2"/>
  <c r="AE15" i="2" s="1"/>
  <c r="BC15" i="2" s="1"/>
  <c r="AD80" i="2"/>
  <c r="AE80" i="2" s="1"/>
  <c r="BC80" i="2" s="1"/>
  <c r="AD43" i="2"/>
  <c r="AD18" i="2"/>
  <c r="AD14" i="2"/>
  <c r="AD49" i="2"/>
  <c r="AD29" i="2"/>
  <c r="AD73" i="2"/>
  <c r="AA37" i="2"/>
  <c r="AA13" i="2"/>
  <c r="AA21" i="2"/>
  <c r="AA18" i="2"/>
  <c r="AA73" i="2"/>
  <c r="AA16" i="2"/>
  <c r="AB16" i="2" s="1"/>
  <c r="BB16" i="2" s="1"/>
  <c r="AA67" i="2"/>
  <c r="AA25" i="2"/>
  <c r="AA31" i="2"/>
  <c r="AA61" i="2"/>
  <c r="AA49" i="2"/>
  <c r="AA23" i="2"/>
  <c r="AA79" i="2"/>
  <c r="AB79" i="2" s="1"/>
  <c r="BB79" i="2" s="1"/>
  <c r="AA14" i="2"/>
  <c r="AA43" i="2"/>
  <c r="AA15" i="2"/>
  <c r="AB15" i="2" s="1"/>
  <c r="BB15" i="2" s="1"/>
  <c r="AA29" i="2"/>
  <c r="AA17" i="2"/>
  <c r="AA27" i="2"/>
  <c r="AA19" i="2"/>
  <c r="AA55" i="2"/>
  <c r="AA80" i="2"/>
  <c r="AB80" i="2" s="1"/>
  <c r="BB80" i="2" s="1"/>
  <c r="Q10" i="2"/>
  <c r="W33" i="3"/>
  <c r="AF32" i="3"/>
  <c r="AB19" i="2" l="1"/>
  <c r="BB19" i="2" s="1"/>
  <c r="AB20" i="2"/>
  <c r="BB20" i="2" s="1"/>
  <c r="AB76" i="2"/>
  <c r="BB76" i="2" s="1"/>
  <c r="AB77" i="2"/>
  <c r="BB77" i="2" s="1"/>
  <c r="AB74" i="2"/>
  <c r="BB74" i="2" s="1"/>
  <c r="AB73" i="2"/>
  <c r="BB73" i="2" s="1"/>
  <c r="AB75" i="2"/>
  <c r="BB75" i="2" s="1"/>
  <c r="AB78" i="2"/>
  <c r="BB78" i="2" s="1"/>
  <c r="AA96" i="2"/>
  <c r="AB17" i="2"/>
  <c r="BB17" i="2" s="1"/>
  <c r="AB30" i="2"/>
  <c r="BB30" i="2" s="1"/>
  <c r="AB29" i="2"/>
  <c r="BB29" i="2" s="1"/>
  <c r="AB13" i="2"/>
  <c r="BB13" i="2" s="1"/>
  <c r="AA83" i="2"/>
  <c r="AA94" i="2"/>
  <c r="AB47" i="2"/>
  <c r="BB47" i="2" s="1"/>
  <c r="AB48" i="2"/>
  <c r="BB48" i="2" s="1"/>
  <c r="AB45" i="2"/>
  <c r="BB45" i="2" s="1"/>
  <c r="AB46" i="2"/>
  <c r="BB46" i="2" s="1"/>
  <c r="AB44" i="2"/>
  <c r="BB44" i="2" s="1"/>
  <c r="AB43" i="2"/>
  <c r="BB43" i="2" s="1"/>
  <c r="AE25" i="2"/>
  <c r="BC25" i="2" s="1"/>
  <c r="AE26" i="2"/>
  <c r="BC26" i="2" s="1"/>
  <c r="AE30" i="2"/>
  <c r="BC30" i="2" s="1"/>
  <c r="AE29" i="2"/>
  <c r="BC29" i="2" s="1"/>
  <c r="AB28" i="2"/>
  <c r="BB28" i="2" s="1"/>
  <c r="AB27" i="2"/>
  <c r="BB27" i="2" s="1"/>
  <c r="AB21" i="2"/>
  <c r="BB21" i="2" s="1"/>
  <c r="AB22" i="2"/>
  <c r="BB22" i="2" s="1"/>
  <c r="AB14" i="2"/>
  <c r="BB14" i="2" s="1"/>
  <c r="AA95" i="2"/>
  <c r="AE63" i="2"/>
  <c r="BC63" i="2" s="1"/>
  <c r="AE66" i="2"/>
  <c r="BC66" i="2" s="1"/>
  <c r="AE65" i="2"/>
  <c r="BC65" i="2" s="1"/>
  <c r="AE61" i="2"/>
  <c r="BC61" i="2" s="1"/>
  <c r="AE64" i="2"/>
  <c r="BC64" i="2" s="1"/>
  <c r="AE62" i="2"/>
  <c r="BC62" i="2" s="1"/>
  <c r="AE20" i="2"/>
  <c r="BC20" i="2" s="1"/>
  <c r="AE19" i="2"/>
  <c r="BC19" i="2" s="1"/>
  <c r="AE35" i="2"/>
  <c r="BC35" i="2" s="1"/>
  <c r="AE36" i="2"/>
  <c r="BC36" i="2" s="1"/>
  <c r="AE32" i="2"/>
  <c r="BC32" i="2" s="1"/>
  <c r="AE34" i="2"/>
  <c r="BC34" i="2" s="1"/>
  <c r="AE31" i="2"/>
  <c r="BC31" i="2" s="1"/>
  <c r="AE33" i="2"/>
  <c r="BC33" i="2" s="1"/>
  <c r="AE76" i="2"/>
  <c r="BC76" i="2" s="1"/>
  <c r="AE73" i="2"/>
  <c r="BC73" i="2" s="1"/>
  <c r="AE77" i="2"/>
  <c r="BC77" i="2" s="1"/>
  <c r="AE74" i="2"/>
  <c r="BC74" i="2" s="1"/>
  <c r="AE75" i="2"/>
  <c r="BC75" i="2" s="1"/>
  <c r="AE78" i="2"/>
  <c r="BC78" i="2" s="1"/>
  <c r="AE68" i="2"/>
  <c r="BC68" i="2" s="1"/>
  <c r="AE72" i="2"/>
  <c r="BC72" i="2" s="1"/>
  <c r="AE70" i="2"/>
  <c r="BC70" i="2" s="1"/>
  <c r="AE67" i="2"/>
  <c r="BC67" i="2" s="1"/>
  <c r="AE69" i="2"/>
  <c r="BC69" i="2" s="1"/>
  <c r="AE71" i="2"/>
  <c r="BC71" i="2" s="1"/>
  <c r="AE38" i="2"/>
  <c r="BC38" i="2" s="1"/>
  <c r="AE39" i="2"/>
  <c r="BC39" i="2" s="1"/>
  <c r="AE40" i="2"/>
  <c r="BC40" i="2" s="1"/>
  <c r="AE41" i="2"/>
  <c r="BC41" i="2" s="1"/>
  <c r="AE42" i="2"/>
  <c r="BC42" i="2" s="1"/>
  <c r="AE37" i="2"/>
  <c r="BC37" i="2" s="1"/>
  <c r="AB18" i="2"/>
  <c r="BB18" i="2" s="1"/>
  <c r="AA97" i="2"/>
  <c r="AB38" i="2"/>
  <c r="BB38" i="2" s="1"/>
  <c r="AB40" i="2"/>
  <c r="BB40" i="2" s="1"/>
  <c r="AB41" i="2"/>
  <c r="BB41" i="2" s="1"/>
  <c r="AB42" i="2"/>
  <c r="BB42" i="2" s="1"/>
  <c r="AB37" i="2"/>
  <c r="BB37" i="2" s="1"/>
  <c r="AB39" i="2"/>
  <c r="BB39" i="2" s="1"/>
  <c r="AE24" i="2"/>
  <c r="BC24" i="2" s="1"/>
  <c r="AE23" i="2"/>
  <c r="BC23" i="2" s="1"/>
  <c r="AB24" i="2"/>
  <c r="BB24" i="2" s="1"/>
  <c r="AB23" i="2"/>
  <c r="BB23" i="2" s="1"/>
  <c r="AB53" i="2"/>
  <c r="BB53" i="2" s="1"/>
  <c r="AB50" i="2"/>
  <c r="BB50" i="2" s="1"/>
  <c r="AB54" i="2"/>
  <c r="BB54" i="2" s="1"/>
  <c r="AB51" i="2"/>
  <c r="BB51" i="2" s="1"/>
  <c r="AB52" i="2"/>
  <c r="BB52" i="2" s="1"/>
  <c r="AB49" i="2"/>
  <c r="BB49" i="2" s="1"/>
  <c r="AE13" i="2"/>
  <c r="BC13" i="2" s="1"/>
  <c r="AD94" i="2"/>
  <c r="AD98" i="2" s="1"/>
  <c r="AD83" i="2"/>
  <c r="AE59" i="2"/>
  <c r="BC59" i="2" s="1"/>
  <c r="AE55" i="2"/>
  <c r="BC55" i="2" s="1"/>
  <c r="AE56" i="2"/>
  <c r="BC56" i="2" s="1"/>
  <c r="AE57" i="2"/>
  <c r="BC57" i="2" s="1"/>
  <c r="AE60" i="2"/>
  <c r="BC60" i="2" s="1"/>
  <c r="AE58" i="2"/>
  <c r="BC58" i="2" s="1"/>
  <c r="AD96" i="2"/>
  <c r="AE27" i="2"/>
  <c r="BC27" i="2" s="1"/>
  <c r="AE28" i="2"/>
  <c r="BC28" i="2" s="1"/>
  <c r="AE21" i="2"/>
  <c r="BC21" i="2" s="1"/>
  <c r="AE22" i="2"/>
  <c r="BC22" i="2" s="1"/>
  <c r="AE50" i="2"/>
  <c r="BC50" i="2" s="1"/>
  <c r="AE49" i="2"/>
  <c r="BC49" i="2" s="1"/>
  <c r="AE53" i="2"/>
  <c r="BC53" i="2" s="1"/>
  <c r="AE52" i="2"/>
  <c r="BC52" i="2" s="1"/>
  <c r="AE51" i="2"/>
  <c r="BC51" i="2" s="1"/>
  <c r="AE54" i="2"/>
  <c r="BC54" i="2" s="1"/>
  <c r="AD95" i="2"/>
  <c r="AE14" i="2"/>
  <c r="BC14" i="2" s="1"/>
  <c r="AB64" i="2"/>
  <c r="BB64" i="2" s="1"/>
  <c r="AB63" i="2"/>
  <c r="BB63" i="2" s="1"/>
  <c r="AB65" i="2"/>
  <c r="BB65" i="2" s="1"/>
  <c r="AB62" i="2"/>
  <c r="BB62" i="2" s="1"/>
  <c r="AB61" i="2"/>
  <c r="BB61" i="2" s="1"/>
  <c r="AB66" i="2"/>
  <c r="BB66" i="2" s="1"/>
  <c r="AE18" i="2"/>
  <c r="BC18" i="2" s="1"/>
  <c r="AD97" i="2"/>
  <c r="R67" i="2"/>
  <c r="R31" i="2"/>
  <c r="R73" i="2"/>
  <c r="R79" i="2"/>
  <c r="S79" i="2" s="1"/>
  <c r="AY79" i="2" s="1"/>
  <c r="R19" i="2"/>
  <c r="R37" i="2"/>
  <c r="R27" i="2"/>
  <c r="R21" i="2"/>
  <c r="R80" i="2"/>
  <c r="S80" i="2" s="1"/>
  <c r="AY80" i="2" s="1"/>
  <c r="R61" i="2"/>
  <c r="R16" i="2"/>
  <c r="S16" i="2" s="1"/>
  <c r="AY16" i="2" s="1"/>
  <c r="R49" i="2"/>
  <c r="R25" i="2"/>
  <c r="R29" i="2"/>
  <c r="R43" i="2"/>
  <c r="R23" i="2"/>
  <c r="R17" i="2"/>
  <c r="R18" i="2"/>
  <c r="R14" i="2"/>
  <c r="R15" i="2"/>
  <c r="S15" i="2" s="1"/>
  <c r="AY15" i="2" s="1"/>
  <c r="R55" i="2"/>
  <c r="R13" i="2"/>
  <c r="AB31" i="2"/>
  <c r="BB31" i="2" s="1"/>
  <c r="AB35" i="2"/>
  <c r="BB35" i="2" s="1"/>
  <c r="AB36" i="2"/>
  <c r="BB36" i="2" s="1"/>
  <c r="AB34" i="2"/>
  <c r="BB34" i="2" s="1"/>
  <c r="AB32" i="2"/>
  <c r="BB32" i="2" s="1"/>
  <c r="AB33" i="2"/>
  <c r="BB33" i="2" s="1"/>
  <c r="AE48" i="2"/>
  <c r="BC48" i="2" s="1"/>
  <c r="AE47" i="2"/>
  <c r="BC47" i="2" s="1"/>
  <c r="AE46" i="2"/>
  <c r="BC46" i="2" s="1"/>
  <c r="AE45" i="2"/>
  <c r="BC45" i="2" s="1"/>
  <c r="AE43" i="2"/>
  <c r="BC43" i="2" s="1"/>
  <c r="AE44" i="2"/>
  <c r="BC44" i="2" s="1"/>
  <c r="AB26" i="2"/>
  <c r="BB26" i="2" s="1"/>
  <c r="AB25" i="2"/>
  <c r="BB25" i="2" s="1"/>
  <c r="AB57" i="2"/>
  <c r="BB57" i="2" s="1"/>
  <c r="AB55" i="2"/>
  <c r="BB55" i="2" s="1"/>
  <c r="AB56" i="2"/>
  <c r="BB56" i="2" s="1"/>
  <c r="AB60" i="2"/>
  <c r="BB60" i="2" s="1"/>
  <c r="AB59" i="2"/>
  <c r="BB59" i="2" s="1"/>
  <c r="AB58" i="2"/>
  <c r="BB58" i="2" s="1"/>
  <c r="AB68" i="2"/>
  <c r="BB68" i="2" s="1"/>
  <c r="AB70" i="2"/>
  <c r="BB70" i="2" s="1"/>
  <c r="AB67" i="2"/>
  <c r="BB67" i="2" s="1"/>
  <c r="AB69" i="2"/>
  <c r="BB69" i="2" s="1"/>
  <c r="AB72" i="2"/>
  <c r="BB72" i="2" s="1"/>
  <c r="AB71" i="2"/>
  <c r="BB71" i="2" s="1"/>
  <c r="W34" i="3"/>
  <c r="AF33" i="3"/>
  <c r="S29" i="2" l="1"/>
  <c r="AY29" i="2" s="1"/>
  <c r="S30" i="2"/>
  <c r="AY30" i="2" s="1"/>
  <c r="S25" i="2"/>
  <c r="AY25" i="2" s="1"/>
  <c r="S26" i="2"/>
  <c r="AY26" i="2" s="1"/>
  <c r="BB83" i="2"/>
  <c r="BB84" i="2" s="1"/>
  <c r="S58" i="2"/>
  <c r="AY58" i="2" s="1"/>
  <c r="S55" i="2"/>
  <c r="AY55" i="2" s="1"/>
  <c r="S57" i="2"/>
  <c r="AY57" i="2" s="1"/>
  <c r="S59" i="2"/>
  <c r="AY59" i="2" s="1"/>
  <c r="S56" i="2"/>
  <c r="AY56" i="2" s="1"/>
  <c r="S60" i="2"/>
  <c r="AY60" i="2" s="1"/>
  <c r="S27" i="2"/>
  <c r="AY27" i="2" s="1"/>
  <c r="S28" i="2"/>
  <c r="AY28" i="2" s="1"/>
  <c r="S63" i="2"/>
  <c r="AY63" i="2" s="1"/>
  <c r="S61" i="2"/>
  <c r="AY61" i="2" s="1"/>
  <c r="S66" i="2"/>
  <c r="AY66" i="2" s="1"/>
  <c r="S64" i="2"/>
  <c r="AY64" i="2" s="1"/>
  <c r="S65" i="2"/>
  <c r="AY65" i="2" s="1"/>
  <c r="S62" i="2"/>
  <c r="AY62" i="2" s="1"/>
  <c r="S39" i="2"/>
  <c r="AY39" i="2" s="1"/>
  <c r="S38" i="2"/>
  <c r="AY38" i="2" s="1"/>
  <c r="S42" i="2"/>
  <c r="AY42" i="2" s="1"/>
  <c r="S40" i="2"/>
  <c r="AY40" i="2" s="1"/>
  <c r="S37" i="2"/>
  <c r="AY37" i="2" s="1"/>
  <c r="S41" i="2"/>
  <c r="AY41" i="2" s="1"/>
  <c r="R95" i="2"/>
  <c r="S14" i="2"/>
  <c r="AY14" i="2" s="1"/>
  <c r="S20" i="2"/>
  <c r="AY20" i="2" s="1"/>
  <c r="S19" i="2"/>
  <c r="AY19" i="2" s="1"/>
  <c r="BC83" i="2"/>
  <c r="BC84" i="2" s="1"/>
  <c r="S13" i="2"/>
  <c r="AY13" i="2" s="1"/>
  <c r="R94" i="2"/>
  <c r="R83" i="2"/>
  <c r="R97" i="2"/>
  <c r="S18" i="2"/>
  <c r="AY18" i="2" s="1"/>
  <c r="S21" i="2"/>
  <c r="AY21" i="2" s="1"/>
  <c r="S22" i="2"/>
  <c r="AY22" i="2" s="1"/>
  <c r="S17" i="2"/>
  <c r="AY17" i="2" s="1"/>
  <c r="R96" i="2"/>
  <c r="S76" i="2"/>
  <c r="AY76" i="2" s="1"/>
  <c r="S77" i="2"/>
  <c r="AY77" i="2" s="1"/>
  <c r="S78" i="2"/>
  <c r="AY78" i="2" s="1"/>
  <c r="S73" i="2"/>
  <c r="AY73" i="2" s="1"/>
  <c r="S75" i="2"/>
  <c r="AY75" i="2" s="1"/>
  <c r="S74" i="2"/>
  <c r="AY74" i="2" s="1"/>
  <c r="AD99" i="2"/>
  <c r="S23" i="2"/>
  <c r="AY23" i="2" s="1"/>
  <c r="S24" i="2"/>
  <c r="AY24" i="2" s="1"/>
  <c r="S52" i="2"/>
  <c r="AY52" i="2" s="1"/>
  <c r="S49" i="2"/>
  <c r="AY49" i="2" s="1"/>
  <c r="S54" i="2"/>
  <c r="AY54" i="2" s="1"/>
  <c r="S53" i="2"/>
  <c r="AY53" i="2" s="1"/>
  <c r="S51" i="2"/>
  <c r="AY51" i="2" s="1"/>
  <c r="S50" i="2"/>
  <c r="AY50" i="2" s="1"/>
  <c r="S36" i="2"/>
  <c r="AY36" i="2" s="1"/>
  <c r="S31" i="2"/>
  <c r="AY31" i="2" s="1"/>
  <c r="S35" i="2"/>
  <c r="AY35" i="2" s="1"/>
  <c r="S32" i="2"/>
  <c r="AY32" i="2" s="1"/>
  <c r="S33" i="2"/>
  <c r="AY33" i="2" s="1"/>
  <c r="S34" i="2"/>
  <c r="AY34" i="2" s="1"/>
  <c r="S43" i="2"/>
  <c r="AY43" i="2" s="1"/>
  <c r="S45" i="2"/>
  <c r="AY45" i="2" s="1"/>
  <c r="S48" i="2"/>
  <c r="AY48" i="2" s="1"/>
  <c r="S44" i="2"/>
  <c r="AY44" i="2" s="1"/>
  <c r="S46" i="2"/>
  <c r="AY46" i="2" s="1"/>
  <c r="S47" i="2"/>
  <c r="AY47" i="2" s="1"/>
  <c r="S71" i="2"/>
  <c r="AY71" i="2" s="1"/>
  <c r="S70" i="2"/>
  <c r="AY70" i="2" s="1"/>
  <c r="S67" i="2"/>
  <c r="AY67" i="2" s="1"/>
  <c r="S69" i="2"/>
  <c r="AY69" i="2" s="1"/>
  <c r="S68" i="2"/>
  <c r="AY68" i="2" s="1"/>
  <c r="S72" i="2"/>
  <c r="AY72" i="2" s="1"/>
  <c r="AA98" i="2"/>
  <c r="AA99" i="2" s="1"/>
  <c r="W35" i="3"/>
  <c r="AF34" i="3"/>
  <c r="R98" i="2" l="1"/>
  <c r="R99" i="2" s="1"/>
  <c r="AY83" i="2"/>
  <c r="W36" i="3"/>
  <c r="AF35" i="3"/>
  <c r="AY84" i="2" l="1"/>
  <c r="W37" i="3"/>
  <c r="AF36" i="3"/>
  <c r="W38" i="3" l="1"/>
  <c r="AF37" i="3"/>
  <c r="AF38" i="3" l="1"/>
  <c r="W39" i="3"/>
  <c r="W40" i="3" l="1"/>
  <c r="AF39" i="3"/>
  <c r="AF40" i="3" l="1"/>
  <c r="W41" i="3"/>
  <c r="AF41" i="3" l="1"/>
  <c r="W42" i="3"/>
  <c r="W43" i="3" l="1"/>
  <c r="AF42" i="3"/>
  <c r="W44" i="3" l="1"/>
  <c r="AF43" i="3"/>
  <c r="W45" i="3" l="1"/>
  <c r="AF44" i="3"/>
  <c r="AF45" i="3" l="1"/>
  <c r="W46" i="3"/>
  <c r="AF46" i="3" l="1"/>
  <c r="W47" i="3"/>
  <c r="AF47" i="3" l="1"/>
  <c r="W48" i="3"/>
  <c r="AF48" i="3" l="1"/>
  <c r="W49" i="3"/>
  <c r="W50" i="3" l="1"/>
  <c r="AF49" i="3"/>
  <c r="W51" i="3" l="1"/>
  <c r="AF50" i="3"/>
  <c r="AF51" i="3" l="1"/>
  <c r="W52" i="3"/>
  <c r="AF52" i="3" l="1"/>
  <c r="W53" i="3"/>
  <c r="AF53" i="3" l="1"/>
  <c r="W54" i="3"/>
  <c r="AF54" i="3" l="1"/>
  <c r="W55" i="3"/>
  <c r="AF55" i="3" l="1"/>
  <c r="W56" i="3"/>
  <c r="W57" i="3" l="1"/>
  <c r="AF56" i="3"/>
  <c r="W58" i="3" l="1"/>
  <c r="AF57" i="3"/>
  <c r="W59" i="3" l="1"/>
  <c r="AF58" i="3"/>
  <c r="AF59" i="3" l="1"/>
  <c r="W60" i="3"/>
  <c r="AF60" i="3" l="1"/>
  <c r="W61" i="3"/>
  <c r="AF61" i="3" l="1"/>
  <c r="W62" i="3"/>
  <c r="AF62" i="3" l="1"/>
  <c r="W63" i="3"/>
  <c r="W64" i="3" l="1"/>
  <c r="AF63" i="3"/>
  <c r="W65" i="3" l="1"/>
  <c r="AF64" i="3"/>
  <c r="W66" i="3" l="1"/>
  <c r="AF65" i="3"/>
  <c r="AF66" i="3" l="1"/>
  <c r="W67" i="3"/>
  <c r="AF67" i="3" l="1"/>
  <c r="W68" i="3"/>
  <c r="AF68" i="3" l="1"/>
  <c r="W69" i="3"/>
  <c r="AF69" i="3" l="1"/>
  <c r="W70" i="3"/>
  <c r="W71" i="3" l="1"/>
  <c r="AF70" i="3"/>
  <c r="W72" i="3" l="1"/>
  <c r="AF71" i="3"/>
  <c r="W73" i="3" l="1"/>
  <c r="AF72" i="3"/>
  <c r="W74" i="3" l="1"/>
  <c r="AF73" i="3"/>
  <c r="W75" i="3" l="1"/>
  <c r="AF74" i="3"/>
  <c r="W76" i="3" l="1"/>
  <c r="AF75" i="3"/>
  <c r="AF76" i="3" l="1"/>
  <c r="W77" i="3"/>
  <c r="W78" i="3" l="1"/>
  <c r="AF77" i="3"/>
  <c r="W79" i="3" l="1"/>
  <c r="AF78" i="3"/>
  <c r="W80" i="3" l="1"/>
  <c r="AF79" i="3"/>
  <c r="AF80" i="3" l="1"/>
  <c r="AF83" i="3" s="1"/>
  <c r="L8" i="3" l="1"/>
  <c r="L10" i="3" s="1"/>
  <c r="N83" i="3" s="1"/>
  <c r="I8" i="3"/>
  <c r="I10" i="3" s="1"/>
  <c r="K83" i="3" s="1"/>
  <c r="K45" i="3" l="1"/>
  <c r="AB45" i="3" s="1"/>
  <c r="K39" i="3"/>
  <c r="AB39" i="3" s="1"/>
  <c r="K72" i="3"/>
  <c r="AB72" i="3" s="1"/>
  <c r="K31" i="3"/>
  <c r="AB31" i="3" s="1"/>
  <c r="K25" i="3"/>
  <c r="AB25" i="3" s="1"/>
  <c r="K26" i="3"/>
  <c r="AB26" i="3" s="1"/>
  <c r="K28" i="3"/>
  <c r="AB28" i="3" s="1"/>
  <c r="K51" i="3"/>
  <c r="AB51" i="3" s="1"/>
  <c r="K27" i="3"/>
  <c r="AB27" i="3" s="1"/>
  <c r="K43" i="3"/>
  <c r="AB43" i="3" s="1"/>
  <c r="K60" i="3"/>
  <c r="AB60" i="3" s="1"/>
  <c r="K59" i="3"/>
  <c r="AB59" i="3" s="1"/>
  <c r="K53" i="3"/>
  <c r="AB53" i="3" s="1"/>
  <c r="K77" i="3"/>
  <c r="AB77" i="3" s="1"/>
  <c r="K32" i="3"/>
  <c r="AB32" i="3" s="1"/>
  <c r="K38" i="3"/>
  <c r="AB38" i="3" s="1"/>
  <c r="K20" i="3"/>
  <c r="AB20" i="3" s="1"/>
  <c r="K30" i="3"/>
  <c r="AB30" i="3" s="1"/>
  <c r="K68" i="3"/>
  <c r="AB68" i="3" s="1"/>
  <c r="K37" i="3"/>
  <c r="AB37" i="3" s="1"/>
  <c r="K66" i="3"/>
  <c r="AB66" i="3" s="1"/>
  <c r="K52" i="3"/>
  <c r="AB52" i="3" s="1"/>
  <c r="K13" i="3"/>
  <c r="AB13" i="3" s="1"/>
  <c r="K76" i="3"/>
  <c r="AB76" i="3" s="1"/>
  <c r="K70" i="3"/>
  <c r="AB70" i="3" s="1"/>
  <c r="K79" i="3"/>
  <c r="AB79" i="3" s="1"/>
  <c r="K67" i="3"/>
  <c r="AB67" i="3" s="1"/>
  <c r="K24" i="3"/>
  <c r="AB24" i="3" s="1"/>
  <c r="K21" i="3"/>
  <c r="AB21" i="3" s="1"/>
  <c r="K46" i="3"/>
  <c r="AB46" i="3" s="1"/>
  <c r="K69" i="3"/>
  <c r="AB69" i="3" s="1"/>
  <c r="K63" i="3"/>
  <c r="AB63" i="3" s="1"/>
  <c r="K78" i="3"/>
  <c r="AB78" i="3" s="1"/>
  <c r="K75" i="3"/>
  <c r="AB75" i="3" s="1"/>
  <c r="K16" i="3"/>
  <c r="AB16" i="3" s="1"/>
  <c r="K56" i="3"/>
  <c r="AB56" i="3" s="1"/>
  <c r="K71" i="3"/>
  <c r="AB71" i="3" s="1"/>
  <c r="K65" i="3"/>
  <c r="AB65" i="3" s="1"/>
  <c r="K34" i="3"/>
  <c r="AB34" i="3" s="1"/>
  <c r="K62" i="3"/>
  <c r="AB62" i="3" s="1"/>
  <c r="K55" i="3"/>
  <c r="AB55" i="3" s="1"/>
  <c r="K49" i="3"/>
  <c r="AB49" i="3" s="1"/>
  <c r="K64" i="3"/>
  <c r="AB64" i="3" s="1"/>
  <c r="K18" i="3"/>
  <c r="AB18" i="3" s="1"/>
  <c r="K22" i="3"/>
  <c r="AB22" i="3" s="1"/>
  <c r="K35" i="3"/>
  <c r="AB35" i="3" s="1"/>
  <c r="K17" i="3"/>
  <c r="AB17" i="3" s="1"/>
  <c r="K80" i="3"/>
  <c r="AB80" i="3" s="1"/>
  <c r="K74" i="3"/>
  <c r="AB74" i="3" s="1"/>
  <c r="K47" i="3"/>
  <c r="AB47" i="3" s="1"/>
  <c r="K54" i="3"/>
  <c r="AB54" i="3" s="1"/>
  <c r="K48" i="3"/>
  <c r="AB48" i="3" s="1"/>
  <c r="K42" i="3"/>
  <c r="AB42" i="3" s="1"/>
  <c r="K57" i="3"/>
  <c r="AB57" i="3" s="1"/>
  <c r="K40" i="3"/>
  <c r="AB40" i="3" s="1"/>
  <c r="K58" i="3"/>
  <c r="AB58" i="3" s="1"/>
  <c r="K41" i="3"/>
  <c r="AB41" i="3" s="1"/>
  <c r="K50" i="3"/>
  <c r="AB50" i="3" s="1"/>
  <c r="K19" i="3"/>
  <c r="AB19" i="3" s="1"/>
  <c r="K61" i="3"/>
  <c r="AB61" i="3" s="1"/>
  <c r="K33" i="3"/>
  <c r="AB33" i="3" s="1"/>
  <c r="K23" i="3"/>
  <c r="AB23" i="3" s="1"/>
  <c r="K36" i="3"/>
  <c r="AB36" i="3" s="1"/>
  <c r="K73" i="3"/>
  <c r="AB73" i="3" s="1"/>
  <c r="K44" i="3"/>
  <c r="AB44" i="3" s="1"/>
  <c r="K29" i="3"/>
  <c r="AB29" i="3" s="1"/>
  <c r="K15" i="3"/>
  <c r="AB15" i="3" s="1"/>
  <c r="K14" i="3"/>
  <c r="AB14" i="3" s="1"/>
  <c r="N80" i="3"/>
  <c r="AC80" i="3" s="1"/>
  <c r="N67" i="3"/>
  <c r="AC67" i="3" s="1"/>
  <c r="N29" i="3"/>
  <c r="AC29" i="3" s="1"/>
  <c r="N30" i="3"/>
  <c r="AC30" i="3" s="1"/>
  <c r="N40" i="3"/>
  <c r="AC40" i="3" s="1"/>
  <c r="N66" i="3"/>
  <c r="AC66" i="3" s="1"/>
  <c r="N75" i="3"/>
  <c r="AC75" i="3" s="1"/>
  <c r="N69" i="3"/>
  <c r="AC69" i="3" s="1"/>
  <c r="N19" i="3"/>
  <c r="AC19" i="3" s="1"/>
  <c r="N77" i="3"/>
  <c r="AC77" i="3" s="1"/>
  <c r="N14" i="3"/>
  <c r="AC14" i="3" s="1"/>
  <c r="N62" i="3"/>
  <c r="AC62" i="3" s="1"/>
  <c r="N76" i="3"/>
  <c r="AC76" i="3" s="1"/>
  <c r="N49" i="3"/>
  <c r="AC49" i="3" s="1"/>
  <c r="N17" i="3"/>
  <c r="AC17" i="3" s="1"/>
  <c r="N36" i="3"/>
  <c r="AC36" i="3" s="1"/>
  <c r="N73" i="3"/>
  <c r="AC73" i="3" s="1"/>
  <c r="N60" i="3"/>
  <c r="AC60" i="3" s="1"/>
  <c r="N22" i="3"/>
  <c r="AC22" i="3" s="1"/>
  <c r="N18" i="3"/>
  <c r="AC18" i="3" s="1"/>
  <c r="N24" i="3"/>
  <c r="AC24" i="3" s="1"/>
  <c r="N53" i="3"/>
  <c r="AC53" i="3" s="1"/>
  <c r="N65" i="3"/>
  <c r="AC65" i="3" s="1"/>
  <c r="N35" i="3"/>
  <c r="AC35" i="3" s="1"/>
  <c r="N72" i="3"/>
  <c r="AC72" i="3" s="1"/>
  <c r="N41" i="3"/>
  <c r="AC41" i="3" s="1"/>
  <c r="N23" i="3"/>
  <c r="AC23" i="3" s="1"/>
  <c r="N63" i="3"/>
  <c r="AC63" i="3" s="1"/>
  <c r="N34" i="3"/>
  <c r="AC34" i="3" s="1"/>
  <c r="N50" i="3"/>
  <c r="AC50" i="3" s="1"/>
  <c r="N59" i="3"/>
  <c r="AC59" i="3" s="1"/>
  <c r="N46" i="3"/>
  <c r="AC46" i="3" s="1"/>
  <c r="N68" i="3"/>
  <c r="AC68" i="3" s="1"/>
  <c r="N44" i="3"/>
  <c r="AC44" i="3" s="1"/>
  <c r="N15" i="3"/>
  <c r="AC15" i="3" s="1"/>
  <c r="N52" i="3"/>
  <c r="AC52" i="3" s="1"/>
  <c r="N61" i="3"/>
  <c r="AC61" i="3" s="1"/>
  <c r="N37" i="3"/>
  <c r="AC37" i="3" s="1"/>
  <c r="N57" i="3"/>
  <c r="AC57" i="3" s="1"/>
  <c r="N26" i="3"/>
  <c r="AC26" i="3" s="1"/>
  <c r="N74" i="3"/>
  <c r="AC74" i="3" s="1"/>
  <c r="N39" i="3"/>
  <c r="AC39" i="3" s="1"/>
  <c r="N45" i="3"/>
  <c r="AC45" i="3" s="1"/>
  <c r="N32" i="3"/>
  <c r="AC32" i="3" s="1"/>
  <c r="N54" i="3"/>
  <c r="AC54" i="3" s="1"/>
  <c r="N27" i="3"/>
  <c r="AC27" i="3" s="1"/>
  <c r="N33" i="3"/>
  <c r="AC33" i="3" s="1"/>
  <c r="N16" i="3"/>
  <c r="AC16" i="3" s="1"/>
  <c r="N28" i="3"/>
  <c r="AC28" i="3" s="1"/>
  <c r="N70" i="3"/>
  <c r="AC70" i="3" s="1"/>
  <c r="N56" i="3"/>
  <c r="AC56" i="3" s="1"/>
  <c r="N38" i="3"/>
  <c r="AC38" i="3" s="1"/>
  <c r="N25" i="3"/>
  <c r="AC25" i="3" s="1"/>
  <c r="N47" i="3"/>
  <c r="AC47" i="3" s="1"/>
  <c r="N58" i="3"/>
  <c r="AC58" i="3" s="1"/>
  <c r="N21" i="3"/>
  <c r="AC21" i="3" s="1"/>
  <c r="N31" i="3"/>
  <c r="AC31" i="3" s="1"/>
  <c r="N78" i="3"/>
  <c r="AC78" i="3" s="1"/>
  <c r="N48" i="3"/>
  <c r="AC48" i="3" s="1"/>
  <c r="N20" i="3"/>
  <c r="AC20" i="3" s="1"/>
  <c r="N71" i="3"/>
  <c r="AC71" i="3" s="1"/>
  <c r="N64" i="3"/>
  <c r="AC64" i="3" s="1"/>
  <c r="N79" i="3"/>
  <c r="AC79" i="3" s="1"/>
  <c r="N13" i="3"/>
  <c r="AC13" i="3" s="1"/>
  <c r="N43" i="3"/>
  <c r="AC43" i="3" s="1"/>
  <c r="N42" i="3"/>
  <c r="AC42" i="3" s="1"/>
  <c r="N51" i="3"/>
  <c r="AC51" i="3" s="1"/>
  <c r="N55" i="3"/>
  <c r="AC55" i="3" s="1"/>
  <c r="AB83" i="3" l="1"/>
  <c r="AB84" i="3" s="1"/>
  <c r="AC83" i="3"/>
  <c r="AC84" i="3" s="1"/>
  <c r="O8" i="3" l="1"/>
  <c r="O10" i="3" l="1"/>
  <c r="Q83" i="3" s="1"/>
  <c r="R8" i="3"/>
  <c r="R10" i="3" s="1"/>
  <c r="T83" i="3" s="1"/>
  <c r="T57" i="3" l="1"/>
  <c r="AE57" i="3" s="1"/>
  <c r="T51" i="3"/>
  <c r="AE51" i="3" s="1"/>
  <c r="T77" i="3"/>
  <c r="AE77" i="3" s="1"/>
  <c r="T56" i="3"/>
  <c r="AE56" i="3" s="1"/>
  <c r="T42" i="3"/>
  <c r="AE42" i="3" s="1"/>
  <c r="T22" i="3"/>
  <c r="AE22" i="3" s="1"/>
  <c r="T66" i="3"/>
  <c r="AE66" i="3" s="1"/>
  <c r="T33" i="3"/>
  <c r="AE33" i="3" s="1"/>
  <c r="T39" i="3"/>
  <c r="AE39" i="3" s="1"/>
  <c r="T73" i="3"/>
  <c r="AE73" i="3" s="1"/>
  <c r="T35" i="3"/>
  <c r="AE35" i="3" s="1"/>
  <c r="T21" i="3"/>
  <c r="AE21" i="3" s="1"/>
  <c r="T50" i="3"/>
  <c r="AE50" i="3" s="1"/>
  <c r="T44" i="3"/>
  <c r="AE44" i="3" s="1"/>
  <c r="T27" i="3"/>
  <c r="AE27" i="3" s="1"/>
  <c r="T52" i="3"/>
  <c r="AE52" i="3" s="1"/>
  <c r="T15" i="3"/>
  <c r="AE15" i="3" s="1"/>
  <c r="T31" i="3"/>
  <c r="AE31" i="3" s="1"/>
  <c r="T59" i="3"/>
  <c r="AE59" i="3" s="1"/>
  <c r="T29" i="3"/>
  <c r="AE29" i="3" s="1"/>
  <c r="T64" i="3"/>
  <c r="AE64" i="3" s="1"/>
  <c r="T75" i="3"/>
  <c r="AE75" i="3" s="1"/>
  <c r="T37" i="3"/>
  <c r="AE37" i="3" s="1"/>
  <c r="T36" i="3"/>
  <c r="AE36" i="3" s="1"/>
  <c r="T63" i="3"/>
  <c r="AE63" i="3" s="1"/>
  <c r="T79" i="3"/>
  <c r="AE79" i="3" s="1"/>
  <c r="T28" i="3"/>
  <c r="AE28" i="3" s="1"/>
  <c r="T72" i="3"/>
  <c r="AE72" i="3" s="1"/>
  <c r="T71" i="3"/>
  <c r="AE71" i="3" s="1"/>
  <c r="T58" i="3"/>
  <c r="AE58" i="3" s="1"/>
  <c r="T68" i="3"/>
  <c r="AE68" i="3" s="1"/>
  <c r="T30" i="3"/>
  <c r="AE30" i="3" s="1"/>
  <c r="T70" i="3"/>
  <c r="AE70" i="3" s="1"/>
  <c r="T17" i="3"/>
  <c r="AE17" i="3" s="1"/>
  <c r="T61" i="3"/>
  <c r="AE61" i="3" s="1"/>
  <c r="T41" i="3"/>
  <c r="AE41" i="3" s="1"/>
  <c r="T45" i="3"/>
  <c r="AE45" i="3" s="1"/>
  <c r="T43" i="3"/>
  <c r="AE43" i="3" s="1"/>
  <c r="T14" i="3"/>
  <c r="AE14" i="3" s="1"/>
  <c r="T13" i="3"/>
  <c r="AE13" i="3" s="1"/>
  <c r="T74" i="3"/>
  <c r="AE74" i="3" s="1"/>
  <c r="T23" i="3"/>
  <c r="AE23" i="3" s="1"/>
  <c r="T38" i="3"/>
  <c r="AE38" i="3" s="1"/>
  <c r="T67" i="3"/>
  <c r="AE67" i="3" s="1"/>
  <c r="T54" i="3"/>
  <c r="AE54" i="3" s="1"/>
  <c r="T76" i="3"/>
  <c r="AE76" i="3" s="1"/>
  <c r="T34" i="3"/>
  <c r="AE34" i="3" s="1"/>
  <c r="T18" i="3"/>
  <c r="AE18" i="3" s="1"/>
  <c r="T53" i="3"/>
  <c r="AE53" i="3" s="1"/>
  <c r="T16" i="3"/>
  <c r="AE16" i="3" s="1"/>
  <c r="T26" i="3"/>
  <c r="AE26" i="3" s="1"/>
  <c r="T20" i="3"/>
  <c r="AE20" i="3" s="1"/>
  <c r="T60" i="3"/>
  <c r="AE60" i="3" s="1"/>
  <c r="T47" i="3"/>
  <c r="AE47" i="3" s="1"/>
  <c r="T69" i="3"/>
  <c r="AE69" i="3" s="1"/>
  <c r="T19" i="3"/>
  <c r="AE19" i="3" s="1"/>
  <c r="T24" i="3"/>
  <c r="AE24" i="3" s="1"/>
  <c r="T40" i="3"/>
  <c r="AE40" i="3" s="1"/>
  <c r="T62" i="3"/>
  <c r="AE62" i="3" s="1"/>
  <c r="T25" i="3"/>
  <c r="AE25" i="3" s="1"/>
  <c r="T49" i="3"/>
  <c r="AE49" i="3" s="1"/>
  <c r="T55" i="3"/>
  <c r="AE55" i="3" s="1"/>
  <c r="T48" i="3"/>
  <c r="AE48" i="3" s="1"/>
  <c r="T46" i="3"/>
  <c r="AE46" i="3" s="1"/>
  <c r="T32" i="3"/>
  <c r="AE32" i="3" s="1"/>
  <c r="T78" i="3"/>
  <c r="AE78" i="3" s="1"/>
  <c r="T65" i="3"/>
  <c r="AE65" i="3" s="1"/>
  <c r="T80" i="3"/>
  <c r="AE80" i="3" s="1"/>
  <c r="Q63" i="3"/>
  <c r="AD63" i="3" s="1"/>
  <c r="Q57" i="3"/>
  <c r="AD57" i="3" s="1"/>
  <c r="Q72" i="3"/>
  <c r="AD72" i="3" s="1"/>
  <c r="Q32" i="3"/>
  <c r="AD32" i="3" s="1"/>
  <c r="Q30" i="3"/>
  <c r="AD30" i="3" s="1"/>
  <c r="Q49" i="3"/>
  <c r="AD49" i="3" s="1"/>
  <c r="Q58" i="3"/>
  <c r="AD58" i="3" s="1"/>
  <c r="Q22" i="3"/>
  <c r="AD22" i="3" s="1"/>
  <c r="Q23" i="3"/>
  <c r="AD23" i="3" s="1"/>
  <c r="Q44" i="3"/>
  <c r="AD44" i="3" s="1"/>
  <c r="Q20" i="3"/>
  <c r="AD20" i="3" s="1"/>
  <c r="Q13" i="3"/>
  <c r="AD13" i="3" s="1"/>
  <c r="Q78" i="3"/>
  <c r="AD78" i="3" s="1"/>
  <c r="Q14" i="3"/>
  <c r="AD14" i="3" s="1"/>
  <c r="Q79" i="3"/>
  <c r="AD79" i="3" s="1"/>
  <c r="Q56" i="3"/>
  <c r="AD56" i="3" s="1"/>
  <c r="Q50" i="3"/>
  <c r="AD50" i="3" s="1"/>
  <c r="Q65" i="3"/>
  <c r="AD65" i="3" s="1"/>
  <c r="Q27" i="3"/>
  <c r="AD27" i="3" s="1"/>
  <c r="Q48" i="3"/>
  <c r="AD48" i="3" s="1"/>
  <c r="Q29" i="3"/>
  <c r="AD29" i="3" s="1"/>
  <c r="Q59" i="3"/>
  <c r="AD59" i="3" s="1"/>
  <c r="Q46" i="3"/>
  <c r="AD46" i="3" s="1"/>
  <c r="Q24" i="3"/>
  <c r="AD24" i="3" s="1"/>
  <c r="Q21" i="3"/>
  <c r="AD21" i="3" s="1"/>
  <c r="Q64" i="3"/>
  <c r="AD64" i="3" s="1"/>
  <c r="Q39" i="3"/>
  <c r="AD39" i="3" s="1"/>
  <c r="Q43" i="3"/>
  <c r="AD43" i="3" s="1"/>
  <c r="Q47" i="3"/>
  <c r="AD47" i="3" s="1"/>
  <c r="Q40" i="3"/>
  <c r="AD40" i="3" s="1"/>
  <c r="Q15" i="3"/>
  <c r="AD15" i="3" s="1"/>
  <c r="Q71" i="3"/>
  <c r="AD71" i="3" s="1"/>
  <c r="Q70" i="3"/>
  <c r="AD70" i="3" s="1"/>
  <c r="Q42" i="3"/>
  <c r="AD42" i="3" s="1"/>
  <c r="Q36" i="3"/>
  <c r="AD36" i="3" s="1"/>
  <c r="Q51" i="3"/>
  <c r="AD51" i="3" s="1"/>
  <c r="Q19" i="3"/>
  <c r="AD19" i="3" s="1"/>
  <c r="Q52" i="3"/>
  <c r="AD52" i="3" s="1"/>
  <c r="Q35" i="3"/>
  <c r="AD35" i="3" s="1"/>
  <c r="Q62" i="3"/>
  <c r="AD62" i="3" s="1"/>
  <c r="Q80" i="3"/>
  <c r="AD80" i="3" s="1"/>
  <c r="Q34" i="3"/>
  <c r="AD34" i="3" s="1"/>
  <c r="Q31" i="3"/>
  <c r="AD31" i="3" s="1"/>
  <c r="Q77" i="3"/>
  <c r="AD77" i="3" s="1"/>
  <c r="Q28" i="3"/>
  <c r="AD28" i="3" s="1"/>
  <c r="Q75" i="3"/>
  <c r="AD75" i="3" s="1"/>
  <c r="Q76" i="3"/>
  <c r="AD76" i="3" s="1"/>
  <c r="Q37" i="3"/>
  <c r="AD37" i="3" s="1"/>
  <c r="Q16" i="3"/>
  <c r="AD16" i="3" s="1"/>
  <c r="Q38" i="3"/>
  <c r="AD38" i="3" s="1"/>
  <c r="Q17" i="3"/>
  <c r="AD17" i="3" s="1"/>
  <c r="Q53" i="3"/>
  <c r="AD53" i="3" s="1"/>
  <c r="Q33" i="3"/>
  <c r="AD33" i="3" s="1"/>
  <c r="Q74" i="3"/>
  <c r="AD74" i="3" s="1"/>
  <c r="Q68" i="3"/>
  <c r="AD68" i="3" s="1"/>
  <c r="Q73" i="3"/>
  <c r="AD73" i="3" s="1"/>
  <c r="Q25" i="3"/>
  <c r="AD25" i="3" s="1"/>
  <c r="Q18" i="3"/>
  <c r="AD18" i="3" s="1"/>
  <c r="Q67" i="3"/>
  <c r="AD67" i="3" s="1"/>
  <c r="Q61" i="3"/>
  <c r="AD61" i="3" s="1"/>
  <c r="Q55" i="3"/>
  <c r="AD55" i="3" s="1"/>
  <c r="Q41" i="3"/>
  <c r="AD41" i="3" s="1"/>
  <c r="Q54" i="3"/>
  <c r="AD54" i="3" s="1"/>
  <c r="Q69" i="3"/>
  <c r="AD69" i="3" s="1"/>
  <c r="Q66" i="3"/>
  <c r="AD66" i="3" s="1"/>
  <c r="Q60" i="3"/>
  <c r="AD60" i="3" s="1"/>
  <c r="Q45" i="3"/>
  <c r="AD45" i="3" s="1"/>
  <c r="Q26" i="3"/>
  <c r="AD26" i="3" s="1"/>
  <c r="AE83" i="3" l="1"/>
  <c r="AE84" i="3" s="1"/>
  <c r="AD83" i="3"/>
  <c r="AD84" i="3" s="1"/>
  <c r="W8" i="2" l="1"/>
  <c r="W10" i="2" l="1"/>
  <c r="AV8" i="2"/>
  <c r="X23" i="2" l="1"/>
  <c r="X37" i="2"/>
  <c r="X61" i="2"/>
  <c r="X31" i="2"/>
  <c r="X79" i="2"/>
  <c r="Y79" i="2" s="1"/>
  <c r="BA79" i="2" s="1"/>
  <c r="BG79" i="2" s="1"/>
  <c r="X67" i="2"/>
  <c r="X17" i="2"/>
  <c r="X25" i="2"/>
  <c r="X21" i="2"/>
  <c r="X73" i="2"/>
  <c r="X13" i="2"/>
  <c r="X43" i="2"/>
  <c r="X55" i="2"/>
  <c r="X29" i="2"/>
  <c r="X16" i="2"/>
  <c r="Y16" i="2" s="1"/>
  <c r="BA16" i="2" s="1"/>
  <c r="BG16" i="2" s="1"/>
  <c r="X49" i="2"/>
  <c r="X15" i="2"/>
  <c r="Y15" i="2" s="1"/>
  <c r="BA15" i="2" s="1"/>
  <c r="BG15" i="2" s="1"/>
  <c r="X80" i="2"/>
  <c r="Y80" i="2" s="1"/>
  <c r="BA80" i="2" s="1"/>
  <c r="BG80" i="2" s="1"/>
  <c r="X14" i="2"/>
  <c r="X18" i="2"/>
  <c r="X27" i="2"/>
  <c r="X19" i="2"/>
  <c r="AV10" i="2"/>
  <c r="Y30" i="2" l="1"/>
  <c r="BA30" i="2" s="1"/>
  <c r="BG30" i="2" s="1"/>
  <c r="Y29" i="2"/>
  <c r="BA29" i="2" s="1"/>
  <c r="BG29" i="2" s="1"/>
  <c r="Y21" i="2"/>
  <c r="BA21" i="2" s="1"/>
  <c r="BG21" i="2" s="1"/>
  <c r="Y22" i="2"/>
  <c r="BA22" i="2" s="1"/>
  <c r="BG22" i="2" s="1"/>
  <c r="Y47" i="2"/>
  <c r="BA47" i="2" s="1"/>
  <c r="BG47" i="2" s="1"/>
  <c r="Y44" i="2"/>
  <c r="BA44" i="2" s="1"/>
  <c r="BG44" i="2" s="1"/>
  <c r="Y46" i="2"/>
  <c r="BA46" i="2" s="1"/>
  <c r="BG46" i="2" s="1"/>
  <c r="Y43" i="2"/>
  <c r="BA43" i="2" s="1"/>
  <c r="BG43" i="2" s="1"/>
  <c r="Y48" i="2"/>
  <c r="BA48" i="2" s="1"/>
  <c r="BG48" i="2" s="1"/>
  <c r="Y45" i="2"/>
  <c r="BA45" i="2" s="1"/>
  <c r="BG45" i="2" s="1"/>
  <c r="X97" i="2"/>
  <c r="Y18" i="2"/>
  <c r="BA18" i="2" s="1"/>
  <c r="BG18" i="2" s="1"/>
  <c r="Y20" i="2"/>
  <c r="BA20" i="2" s="1"/>
  <c r="BG20" i="2" s="1"/>
  <c r="Y19" i="2"/>
  <c r="BA19" i="2" s="1"/>
  <c r="BG19" i="2" s="1"/>
  <c r="Y27" i="2"/>
  <c r="BA27" i="2" s="1"/>
  <c r="BG27" i="2" s="1"/>
  <c r="Y28" i="2"/>
  <c r="BA28" i="2" s="1"/>
  <c r="BG28" i="2" s="1"/>
  <c r="Y67" i="2"/>
  <c r="BA67" i="2" s="1"/>
  <c r="BG67" i="2" s="1"/>
  <c r="Y69" i="2"/>
  <c r="BA69" i="2" s="1"/>
  <c r="BG69" i="2" s="1"/>
  <c r="Y68" i="2"/>
  <c r="BA68" i="2" s="1"/>
  <c r="BG68" i="2" s="1"/>
  <c r="Y70" i="2"/>
  <c r="BA70" i="2" s="1"/>
  <c r="BG70" i="2" s="1"/>
  <c r="Y72" i="2"/>
  <c r="BA72" i="2" s="1"/>
  <c r="BG72" i="2" s="1"/>
  <c r="Y71" i="2"/>
  <c r="BA71" i="2" s="1"/>
  <c r="BG71" i="2" s="1"/>
  <c r="X83" i="2"/>
  <c r="Y14" i="2"/>
  <c r="BA14" i="2" s="1"/>
  <c r="X95" i="2"/>
  <c r="Y32" i="2"/>
  <c r="BA32" i="2" s="1"/>
  <c r="BG32" i="2" s="1"/>
  <c r="Y36" i="2"/>
  <c r="BA36" i="2" s="1"/>
  <c r="BG36" i="2" s="1"/>
  <c r="Y34" i="2"/>
  <c r="BA34" i="2" s="1"/>
  <c r="BG34" i="2" s="1"/>
  <c r="Y31" i="2"/>
  <c r="BA31" i="2" s="1"/>
  <c r="BG31" i="2" s="1"/>
  <c r="Y35" i="2"/>
  <c r="BA35" i="2" s="1"/>
  <c r="BG35" i="2" s="1"/>
  <c r="Y33" i="2"/>
  <c r="BA33" i="2" s="1"/>
  <c r="BG33" i="2" s="1"/>
  <c r="Y13" i="2"/>
  <c r="BA13" i="2" s="1"/>
  <c r="BG13" i="2" s="1"/>
  <c r="X94" i="2"/>
  <c r="Y61" i="2"/>
  <c r="BA61" i="2" s="1"/>
  <c r="BG61" i="2" s="1"/>
  <c r="Y64" i="2"/>
  <c r="BA64" i="2" s="1"/>
  <c r="BG64" i="2" s="1"/>
  <c r="Y65" i="2"/>
  <c r="BA65" i="2" s="1"/>
  <c r="BG65" i="2" s="1"/>
  <c r="Y66" i="2"/>
  <c r="BA66" i="2" s="1"/>
  <c r="BG66" i="2" s="1"/>
  <c r="Y62" i="2"/>
  <c r="BA62" i="2" s="1"/>
  <c r="BG62" i="2" s="1"/>
  <c r="Y63" i="2"/>
  <c r="BA63" i="2" s="1"/>
  <c r="BG63" i="2" s="1"/>
  <c r="Y58" i="2"/>
  <c r="BA58" i="2" s="1"/>
  <c r="BG58" i="2" s="1"/>
  <c r="Y60" i="2"/>
  <c r="BA60" i="2" s="1"/>
  <c r="BG60" i="2" s="1"/>
  <c r="Y55" i="2"/>
  <c r="BA55" i="2" s="1"/>
  <c r="BG55" i="2" s="1"/>
  <c r="Y56" i="2"/>
  <c r="BA56" i="2" s="1"/>
  <c r="BG56" i="2" s="1"/>
  <c r="Y59" i="2"/>
  <c r="BA59" i="2" s="1"/>
  <c r="BG59" i="2" s="1"/>
  <c r="Y57" i="2"/>
  <c r="BA57" i="2" s="1"/>
  <c r="BG57" i="2" s="1"/>
  <c r="Y42" i="2"/>
  <c r="BA42" i="2" s="1"/>
  <c r="BG42" i="2" s="1"/>
  <c r="Y37" i="2"/>
  <c r="BA37" i="2" s="1"/>
  <c r="BG37" i="2" s="1"/>
  <c r="Y39" i="2"/>
  <c r="BA39" i="2" s="1"/>
  <c r="BG39" i="2" s="1"/>
  <c r="Y38" i="2"/>
  <c r="BA38" i="2" s="1"/>
  <c r="BG38" i="2" s="1"/>
  <c r="Y41" i="2"/>
  <c r="BA41" i="2" s="1"/>
  <c r="BG41" i="2" s="1"/>
  <c r="Y40" i="2"/>
  <c r="BA40" i="2" s="1"/>
  <c r="BG40" i="2" s="1"/>
  <c r="Y76" i="2"/>
  <c r="BA76" i="2" s="1"/>
  <c r="BG76" i="2" s="1"/>
  <c r="Y73" i="2"/>
  <c r="BA73" i="2" s="1"/>
  <c r="BG73" i="2" s="1"/>
  <c r="Y78" i="2"/>
  <c r="BA78" i="2" s="1"/>
  <c r="BG78" i="2" s="1"/>
  <c r="Y77" i="2"/>
  <c r="BA77" i="2" s="1"/>
  <c r="BG77" i="2" s="1"/>
  <c r="Y75" i="2"/>
  <c r="BA75" i="2" s="1"/>
  <c r="BG75" i="2" s="1"/>
  <c r="Y74" i="2"/>
  <c r="BA74" i="2" s="1"/>
  <c r="BG74" i="2" s="1"/>
  <c r="Y25" i="2"/>
  <c r="BA25" i="2" s="1"/>
  <c r="BG25" i="2" s="1"/>
  <c r="Y26" i="2"/>
  <c r="BA26" i="2" s="1"/>
  <c r="BG26" i="2" s="1"/>
  <c r="Y17" i="2"/>
  <c r="BA17" i="2" s="1"/>
  <c r="BG17" i="2" s="1"/>
  <c r="X96" i="2"/>
  <c r="Y53" i="2"/>
  <c r="BA53" i="2" s="1"/>
  <c r="BG53" i="2" s="1"/>
  <c r="Y52" i="2"/>
  <c r="BA52" i="2" s="1"/>
  <c r="BG52" i="2" s="1"/>
  <c r="Y51" i="2"/>
  <c r="BA51" i="2" s="1"/>
  <c r="BG51" i="2" s="1"/>
  <c r="Y49" i="2"/>
  <c r="BA49" i="2" s="1"/>
  <c r="BG49" i="2" s="1"/>
  <c r="Y54" i="2"/>
  <c r="BA54" i="2" s="1"/>
  <c r="BG54" i="2" s="1"/>
  <c r="Y50" i="2"/>
  <c r="BA50" i="2" s="1"/>
  <c r="BG50" i="2" s="1"/>
  <c r="Y24" i="2"/>
  <c r="BA24" i="2" s="1"/>
  <c r="BG24" i="2" s="1"/>
  <c r="Y23" i="2"/>
  <c r="BA23" i="2" s="1"/>
  <c r="BG23" i="2" s="1"/>
  <c r="X98" i="2" l="1"/>
  <c r="X99" i="2" s="1"/>
  <c r="BA83" i="2"/>
  <c r="BG14" i="2"/>
  <c r="BA84" i="2" l="1"/>
  <c r="BG84" i="2" s="1"/>
  <c r="BG83" i="2"/>
  <c r="F8" i="3" l="1"/>
  <c r="F10" i="3" l="1"/>
  <c r="Y8" i="3"/>
  <c r="Y10" i="3" l="1"/>
  <c r="H83" i="3"/>
  <c r="H37" i="3" l="1"/>
  <c r="H31" i="3"/>
  <c r="H23" i="3"/>
  <c r="H22" i="3"/>
  <c r="H43" i="3"/>
  <c r="H34" i="3"/>
  <c r="H80" i="3"/>
  <c r="H75" i="3"/>
  <c r="H59" i="3"/>
  <c r="H45" i="3"/>
  <c r="H44" i="3"/>
  <c r="H30" i="3"/>
  <c r="H77" i="3"/>
  <c r="H13" i="3"/>
  <c r="H15" i="3"/>
  <c r="H61" i="3"/>
  <c r="H35" i="3"/>
  <c r="H71" i="3"/>
  <c r="H51" i="3"/>
  <c r="H76" i="3"/>
  <c r="H70" i="3"/>
  <c r="H33" i="3"/>
  <c r="H19" i="3"/>
  <c r="H54" i="3"/>
  <c r="H40" i="3"/>
  <c r="H67" i="3"/>
  <c r="H38" i="3"/>
  <c r="H69" i="3"/>
  <c r="H63" i="3"/>
  <c r="H24" i="3"/>
  <c r="H27" i="3"/>
  <c r="H29" i="3"/>
  <c r="H65" i="3"/>
  <c r="H53" i="3"/>
  <c r="H64" i="3"/>
  <c r="H62" i="3"/>
  <c r="H56" i="3"/>
  <c r="H26" i="3"/>
  <c r="H25" i="3"/>
  <c r="H20" i="3"/>
  <c r="H74" i="3"/>
  <c r="H39" i="3"/>
  <c r="H36" i="3"/>
  <c r="H55" i="3"/>
  <c r="H49" i="3"/>
  <c r="H17" i="3"/>
  <c r="H16" i="3"/>
  <c r="H14" i="3"/>
  <c r="H78" i="3"/>
  <c r="H57" i="3"/>
  <c r="H60" i="3"/>
  <c r="H32" i="3"/>
  <c r="H48" i="3"/>
  <c r="H42" i="3"/>
  <c r="H47" i="3"/>
  <c r="H50" i="3"/>
  <c r="H72" i="3"/>
  <c r="H58" i="3"/>
  <c r="H41" i="3"/>
  <c r="H68" i="3"/>
  <c r="H79" i="3"/>
  <c r="H73" i="3"/>
  <c r="H28" i="3"/>
  <c r="H21" i="3"/>
  <c r="H18" i="3"/>
  <c r="H66" i="3"/>
  <c r="H52" i="3"/>
  <c r="H46" i="3"/>
  <c r="AA39" i="3" l="1"/>
  <c r="AG39" i="3" s="1"/>
  <c r="AI39" i="3"/>
  <c r="AA47" i="3"/>
  <c r="AG47" i="3" s="1"/>
  <c r="AI47" i="3"/>
  <c r="AA74" i="3"/>
  <c r="AG74" i="3" s="1"/>
  <c r="AI74" i="3"/>
  <c r="AA38" i="3"/>
  <c r="AG38" i="3" s="1"/>
  <c r="AI38" i="3"/>
  <c r="AA77" i="3"/>
  <c r="AG77" i="3" s="1"/>
  <c r="AI77" i="3"/>
  <c r="AA46" i="3"/>
  <c r="AG46" i="3" s="1"/>
  <c r="AI46" i="3"/>
  <c r="AA42" i="3"/>
  <c r="AG42" i="3" s="1"/>
  <c r="AI42" i="3"/>
  <c r="AA20" i="3"/>
  <c r="AG20" i="3" s="1"/>
  <c r="AI20" i="3"/>
  <c r="AA67" i="3"/>
  <c r="AG67" i="3" s="1"/>
  <c r="AI67" i="3"/>
  <c r="AA30" i="3"/>
  <c r="AG30" i="3" s="1"/>
  <c r="AI30" i="3"/>
  <c r="AA69" i="3"/>
  <c r="AG69" i="3" s="1"/>
  <c r="AI69" i="3"/>
  <c r="AA48" i="3"/>
  <c r="AG48" i="3" s="1"/>
  <c r="AI48" i="3"/>
  <c r="AA44" i="3"/>
  <c r="AG44" i="3" s="1"/>
  <c r="AI44" i="3"/>
  <c r="AA66" i="3"/>
  <c r="AG66" i="3" s="1"/>
  <c r="AI66" i="3"/>
  <c r="AA32" i="3"/>
  <c r="AG32" i="3" s="1"/>
  <c r="AI32" i="3"/>
  <c r="AA45" i="3"/>
  <c r="AG45" i="3" s="1"/>
  <c r="AI45" i="3"/>
  <c r="AA57" i="3"/>
  <c r="AG57" i="3" s="1"/>
  <c r="AI57" i="3"/>
  <c r="AA28" i="3"/>
  <c r="AG28" i="3" s="1"/>
  <c r="AI28" i="3"/>
  <c r="AA80" i="3"/>
  <c r="AG80" i="3" s="1"/>
  <c r="AI80" i="3"/>
  <c r="AA73" i="3"/>
  <c r="AG73" i="3" s="1"/>
  <c r="AI73" i="3"/>
  <c r="AA14" i="3"/>
  <c r="AG14" i="3" s="1"/>
  <c r="AI14" i="3"/>
  <c r="AA53" i="3"/>
  <c r="AG53" i="3" s="1"/>
  <c r="AI53" i="3"/>
  <c r="AA76" i="3"/>
  <c r="AG76" i="3" s="1"/>
  <c r="AI76" i="3"/>
  <c r="AA34" i="3"/>
  <c r="AG34" i="3" s="1"/>
  <c r="AI34" i="3"/>
  <c r="AA50" i="3"/>
  <c r="AG50" i="3" s="1"/>
  <c r="AI50" i="3"/>
  <c r="AA13" i="3"/>
  <c r="AI13" i="3"/>
  <c r="AA40" i="3"/>
  <c r="AG40" i="3" s="1"/>
  <c r="AI40" i="3"/>
  <c r="AA19" i="3"/>
  <c r="AG19" i="3" s="1"/>
  <c r="AI19" i="3"/>
  <c r="AA79" i="3"/>
  <c r="AG79" i="3" s="1"/>
  <c r="AI79" i="3"/>
  <c r="AA16" i="3"/>
  <c r="AG16" i="3" s="1"/>
  <c r="AI16" i="3"/>
  <c r="AA65" i="3"/>
  <c r="AG65" i="3" s="1"/>
  <c r="AI65" i="3"/>
  <c r="AA51" i="3"/>
  <c r="AG51" i="3" s="1"/>
  <c r="AI51" i="3"/>
  <c r="AA43" i="3"/>
  <c r="AG43" i="3" s="1"/>
  <c r="AI43" i="3"/>
  <c r="AA75" i="3"/>
  <c r="AG75" i="3" s="1"/>
  <c r="AI75" i="3"/>
  <c r="AA64" i="3"/>
  <c r="AG64" i="3" s="1"/>
  <c r="AI64" i="3"/>
  <c r="AA68" i="3"/>
  <c r="AG68" i="3" s="1"/>
  <c r="AI68" i="3"/>
  <c r="AA17" i="3"/>
  <c r="AG17" i="3" s="1"/>
  <c r="AI17" i="3"/>
  <c r="AA29" i="3"/>
  <c r="AG29" i="3" s="1"/>
  <c r="AI29" i="3"/>
  <c r="AA71" i="3"/>
  <c r="AG71" i="3" s="1"/>
  <c r="AI71" i="3"/>
  <c r="AA22" i="3"/>
  <c r="AG22" i="3" s="1"/>
  <c r="AI22" i="3"/>
  <c r="AA52" i="3"/>
  <c r="AG52" i="3" s="1"/>
  <c r="AI52" i="3"/>
  <c r="AA25" i="3"/>
  <c r="AG25" i="3" s="1"/>
  <c r="AI25" i="3"/>
  <c r="AA26" i="3"/>
  <c r="AG26" i="3" s="1"/>
  <c r="AI26" i="3"/>
  <c r="AA62" i="3"/>
  <c r="AG62" i="3" s="1"/>
  <c r="AI62" i="3"/>
  <c r="AA70" i="3"/>
  <c r="AG70" i="3" s="1"/>
  <c r="AI70" i="3"/>
  <c r="AA41" i="3"/>
  <c r="AG41" i="3" s="1"/>
  <c r="AI41" i="3"/>
  <c r="AA49" i="3"/>
  <c r="AG49" i="3" s="1"/>
  <c r="AI49" i="3"/>
  <c r="AA27" i="3"/>
  <c r="AG27" i="3" s="1"/>
  <c r="AI27" i="3"/>
  <c r="AA35" i="3"/>
  <c r="AG35" i="3" s="1"/>
  <c r="AI35" i="3"/>
  <c r="AA23" i="3"/>
  <c r="AG23" i="3" s="1"/>
  <c r="AI23" i="3"/>
  <c r="AA18" i="3"/>
  <c r="AG18" i="3" s="1"/>
  <c r="AI18" i="3"/>
  <c r="AA60" i="3"/>
  <c r="AG60" i="3" s="1"/>
  <c r="AI60" i="3"/>
  <c r="AA56" i="3"/>
  <c r="AG56" i="3" s="1"/>
  <c r="AI56" i="3"/>
  <c r="AA59" i="3"/>
  <c r="AG59" i="3" s="1"/>
  <c r="AI59" i="3"/>
  <c r="AA33" i="3"/>
  <c r="AG33" i="3" s="1"/>
  <c r="AI33" i="3"/>
  <c r="AA58" i="3"/>
  <c r="AG58" i="3" s="1"/>
  <c r="AI58" i="3"/>
  <c r="AA55" i="3"/>
  <c r="AG55" i="3" s="1"/>
  <c r="AI55" i="3"/>
  <c r="AA24" i="3"/>
  <c r="AG24" i="3" s="1"/>
  <c r="AI24" i="3"/>
  <c r="AA61" i="3"/>
  <c r="AG61" i="3" s="1"/>
  <c r="AI61" i="3"/>
  <c r="AA31" i="3"/>
  <c r="AG31" i="3" s="1"/>
  <c r="AI31" i="3"/>
  <c r="AA54" i="3"/>
  <c r="AG54" i="3" s="1"/>
  <c r="AI54" i="3"/>
  <c r="AA21" i="3"/>
  <c r="AG21" i="3" s="1"/>
  <c r="AI21" i="3"/>
  <c r="AA78" i="3"/>
  <c r="AG78" i="3" s="1"/>
  <c r="AI78" i="3"/>
  <c r="AA72" i="3"/>
  <c r="AG72" i="3" s="1"/>
  <c r="AI72" i="3"/>
  <c r="AA36" i="3"/>
  <c r="AG36" i="3" s="1"/>
  <c r="AI36" i="3"/>
  <c r="AA63" i="3"/>
  <c r="AG63" i="3" s="1"/>
  <c r="AI63" i="3"/>
  <c r="AA15" i="3"/>
  <c r="AG15" i="3" s="1"/>
  <c r="AI15" i="3"/>
  <c r="AA37" i="3"/>
  <c r="AG37" i="3" s="1"/>
  <c r="AI37" i="3"/>
  <c r="AA83" i="3" l="1"/>
  <c r="AG13" i="3"/>
  <c r="AJ13" i="3"/>
  <c r="AL13" i="3" s="1"/>
  <c r="AA84" i="3" l="1"/>
  <c r="AG84" i="3" s="1"/>
  <c r="AG83" i="3"/>
  <c r="AJ34" i="3"/>
  <c r="AL34" i="3" s="1"/>
  <c r="AJ23" i="3"/>
  <c r="AL23" i="3" s="1"/>
  <c r="AJ55" i="3"/>
  <c r="AL55" i="3" s="1"/>
  <c r="AJ60" i="3"/>
  <c r="AL60" i="3" s="1"/>
  <c r="AJ40" i="3"/>
  <c r="AL40" i="3" s="1"/>
  <c r="AJ72" i="3"/>
  <c r="AL72" i="3" s="1"/>
  <c r="AJ44" i="3"/>
  <c r="AL44" i="3" s="1"/>
  <c r="AJ79" i="3"/>
  <c r="AL79" i="3" s="1"/>
  <c r="AJ17" i="3"/>
  <c r="AL17" i="3" s="1"/>
  <c r="AJ37" i="3"/>
  <c r="AL37" i="3" s="1"/>
  <c r="AJ14" i="3"/>
  <c r="AL14" i="3" s="1"/>
  <c r="AJ25" i="3"/>
  <c r="AL25" i="3" s="1"/>
  <c r="AJ39" i="3"/>
  <c r="AL39" i="3" s="1"/>
  <c r="AJ63" i="3"/>
  <c r="AL63" i="3" s="1"/>
  <c r="AJ57" i="3"/>
  <c r="AL57" i="3" s="1"/>
  <c r="AJ80" i="3"/>
  <c r="AL80" i="3" s="1"/>
  <c r="AJ26" i="3"/>
  <c r="AL26" i="3" s="1"/>
  <c r="AJ20" i="3"/>
  <c r="AL20" i="3" s="1"/>
  <c r="AJ71" i="3"/>
  <c r="AL71" i="3" s="1"/>
  <c r="AJ43" i="3"/>
  <c r="AL43" i="3" s="1"/>
  <c r="AJ27" i="3"/>
  <c r="AL27" i="3" s="1"/>
  <c r="AJ65" i="3"/>
  <c r="AL65" i="3" s="1"/>
  <c r="AJ56" i="3"/>
  <c r="AL56" i="3" s="1"/>
  <c r="AJ62" i="3"/>
  <c r="AL62" i="3" s="1"/>
  <c r="AJ15" i="3"/>
  <c r="AL15" i="3" s="1"/>
  <c r="AJ68" i="3"/>
  <c r="AL68" i="3" s="1"/>
  <c r="AJ67" i="3"/>
  <c r="AL67" i="3" s="1"/>
  <c r="AJ21" i="3"/>
  <c r="AL21" i="3" s="1"/>
  <c r="AJ61" i="3"/>
  <c r="AL61" i="3" s="1"/>
  <c r="AJ33" i="3"/>
  <c r="AL33" i="3" s="1"/>
  <c r="AJ32" i="3"/>
  <c r="AL32" i="3" s="1"/>
  <c r="AJ70" i="3"/>
  <c r="AL70" i="3" s="1"/>
  <c r="AJ46" i="3"/>
  <c r="AL46" i="3" s="1"/>
  <c r="AJ38" i="3"/>
  <c r="AL38" i="3" s="1"/>
  <c r="AJ64" i="3"/>
  <c r="AL64" i="3" s="1"/>
  <c r="AJ45" i="3"/>
  <c r="AL45" i="3" s="1"/>
  <c r="AJ18" i="3"/>
  <c r="AL18" i="3" s="1"/>
  <c r="AJ35" i="3"/>
  <c r="AL35" i="3" s="1"/>
  <c r="AJ28" i="3"/>
  <c r="AL28" i="3" s="1"/>
  <c r="AJ42" i="3" l="1"/>
  <c r="AL42" i="3" s="1"/>
  <c r="AJ41" i="3"/>
  <c r="AL41" i="3" s="1"/>
  <c r="AJ50" i="3"/>
  <c r="AL50" i="3" s="1"/>
  <c r="AJ74" i="3"/>
  <c r="AL74" i="3" s="1"/>
  <c r="AJ52" i="3"/>
  <c r="AL52" i="3" s="1"/>
  <c r="AJ29" i="3"/>
  <c r="AL29" i="3" s="1"/>
  <c r="AJ31" i="3"/>
  <c r="AL31" i="3" s="1"/>
  <c r="AJ54" i="3"/>
  <c r="AL54" i="3" s="1"/>
  <c r="AJ76" i="3"/>
  <c r="AL76" i="3" s="1"/>
  <c r="AJ24" i="3"/>
  <c r="AL24" i="3" s="1"/>
  <c r="AJ58" i="3"/>
  <c r="AL58" i="3" s="1"/>
  <c r="AJ47" i="3"/>
  <c r="AL47" i="3" s="1"/>
  <c r="AJ53" i="3"/>
  <c r="AL53" i="3" s="1"/>
  <c r="AJ59" i="3"/>
  <c r="AL59" i="3" s="1"/>
  <c r="AJ30" i="3"/>
  <c r="AL30" i="3" s="1"/>
  <c r="AJ48" i="3"/>
  <c r="AL48" i="3" s="1"/>
  <c r="AJ49" i="3"/>
  <c r="AL49" i="3" s="1"/>
  <c r="AJ16" i="3"/>
  <c r="AL16" i="3" s="1"/>
  <c r="AJ36" i="3"/>
  <c r="AL36" i="3" s="1"/>
  <c r="AJ77" i="3"/>
  <c r="AL77" i="3" s="1"/>
  <c r="AJ75" i="3"/>
  <c r="AL75" i="3" s="1"/>
  <c r="AJ51" i="3"/>
  <c r="AL51" i="3" s="1"/>
  <c r="AJ22" i="3"/>
  <c r="AL22" i="3" s="1"/>
  <c r="AJ66" i="3"/>
  <c r="AL66" i="3" s="1"/>
  <c r="AJ69" i="3"/>
  <c r="AL69" i="3" s="1"/>
  <c r="AJ78" i="3"/>
  <c r="AL78" i="3" s="1"/>
  <c r="AJ73" i="3"/>
  <c r="AL73" i="3" s="1"/>
  <c r="AJ19" i="3"/>
  <c r="AL19" i="3" s="1"/>
  <c r="F15" i="13" l="1"/>
  <c r="F18" i="13" s="1"/>
  <c r="F2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McFarlane, Courtney</author>
  </authors>
  <commentList>
    <comment ref="G11" authorId="0" shapeId="0" xr:uid="{C125823D-7AE2-4D58-85E9-7DA0874FF46C}">
      <text>
        <r>
          <rPr>
            <b/>
            <sz val="9"/>
            <color indexed="81"/>
            <rFont val="Tahoma"/>
            <family val="2"/>
          </rPr>
          <t>McFarlane, Courtney:</t>
        </r>
        <r>
          <rPr>
            <sz val="9"/>
            <color indexed="81"/>
            <rFont val="Tahoma"/>
            <family val="2"/>
          </rPr>
          <t xml:space="preserve">
Q3 FERC Rate</t>
        </r>
      </text>
    </comment>
  </commentList>
</comments>
</file>

<file path=xl/sharedStrings.xml><?xml version="1.0" encoding="utf-8"?>
<sst xmlns="http://schemas.openxmlformats.org/spreadsheetml/2006/main" count="1358" uniqueCount="354">
  <si>
    <t>Calculation of Increments Allocated on the EQUAL PERCENTAGE OF MARGIN BASIS</t>
  </si>
  <si>
    <t>25-26 PGA Revenues</t>
  </si>
  <si>
    <t xml:space="preserve">FORECAST </t>
  </si>
  <si>
    <t>DEFERRAL - Gas Actg</t>
  </si>
  <si>
    <t>HISTORICAL - Calculation</t>
  </si>
  <si>
    <t>Copy and Pasted from July ECRM</t>
  </si>
  <si>
    <t>Billing</t>
  </si>
  <si>
    <t>WACOG &amp;</t>
  </si>
  <si>
    <t>Temps from</t>
  </si>
  <si>
    <t>ECRM</t>
  </si>
  <si>
    <t>Future Use</t>
  </si>
  <si>
    <t>Total Equal % of Margin</t>
  </si>
  <si>
    <t>PGA</t>
  </si>
  <si>
    <t>Rate from</t>
  </si>
  <si>
    <t>Demand from</t>
  </si>
  <si>
    <t>Temporary</t>
  </si>
  <si>
    <t>Proposed Amount:</t>
  </si>
  <si>
    <t>Volumes page,</t>
  </si>
  <si>
    <t>Rates page,</t>
  </si>
  <si>
    <t>Increment  page,</t>
  </si>
  <si>
    <t>MARGIN</t>
  </si>
  <si>
    <t>Volumetric</t>
  </si>
  <si>
    <t>Customer</t>
  </si>
  <si>
    <t>Total</t>
  </si>
  <si>
    <t>Revenue Sensitive Multiplier:</t>
  </si>
  <si>
    <t>add revenue sensitive factor</t>
  </si>
  <si>
    <t>rev sensitive factor is built in</t>
  </si>
  <si>
    <t>Column D</t>
  </si>
  <si>
    <t>Column A</t>
  </si>
  <si>
    <t>Column B+C+D</t>
  </si>
  <si>
    <t>Rate</t>
  </si>
  <si>
    <t>Margin</t>
  </si>
  <si>
    <t>Charge</t>
  </si>
  <si>
    <t>Customers</t>
  </si>
  <si>
    <t>Amount to Amortize:</t>
  </si>
  <si>
    <t>All Customers</t>
  </si>
  <si>
    <t>E=B-C-D</t>
  </si>
  <si>
    <t>I = (G*H*12)+F</t>
  </si>
  <si>
    <t>Multiplier</t>
  </si>
  <si>
    <t>Allocation to RS</t>
  </si>
  <si>
    <t>Increment</t>
  </si>
  <si>
    <t>EE-FC</t>
  </si>
  <si>
    <t>EE-Def</t>
  </si>
  <si>
    <t>EE-His</t>
  </si>
  <si>
    <t>GREAT</t>
  </si>
  <si>
    <t>WA-LIEE</t>
  </si>
  <si>
    <t>LC Sale</t>
  </si>
  <si>
    <t>BDP</t>
  </si>
  <si>
    <t>Mist Recall</t>
  </si>
  <si>
    <t>TOTAL</t>
  </si>
  <si>
    <t>Schedule</t>
  </si>
  <si>
    <t>Block</t>
  </si>
  <si>
    <t>A</t>
  </si>
  <si>
    <t>B</t>
  </si>
  <si>
    <t>C</t>
  </si>
  <si>
    <t>D</t>
  </si>
  <si>
    <t>E</t>
  </si>
  <si>
    <t>F = E * A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</si>
  <si>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</si>
  <si>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</si>
  <si>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</si>
  <si>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</si>
  <si>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</si>
  <si>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</si>
  <si>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</si>
  <si>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</si>
  <si>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</si>
  <si>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</si>
  <si>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</si>
  <si>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</si>
  <si>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</si>
  <si>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</si>
  <si>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</si>
  <si>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</si>
  <si>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</si>
  <si>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PROOF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</si>
  <si>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</si>
  <si>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</si>
  <si>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</si>
  <si>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</si>
  <si>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</si>
  <si>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</si>
  <si>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</si>
  <si>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</si>
  <si>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41I Firm Sales</t>
  </si>
  <si>
    <t>41C Interr Sales</t>
  </si>
  <si>
    <t>41I Interr Sales</t>
  </si>
  <si>
    <t>41C Firm Trans</t>
  </si>
  <si>
    <t>41I Firm Trans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</si>
  <si>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</si>
  <si>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</si>
  <si>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</si>
  <si>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</si>
  <si>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</si>
  <si>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</si>
  <si>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</si>
  <si>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</si>
  <si>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</si>
  <si>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</si>
  <si>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42C Inter Trans</t>
  </si>
  <si>
    <t>42I Inter Trans</t>
  </si>
  <si>
    <t>43 Firm Trans</t>
  </si>
  <si>
    <t>43 Interr Trans</t>
  </si>
  <si>
    <t>Intentionally blank</t>
  </si>
  <si>
    <t>Totals</t>
  </si>
  <si>
    <t>Diff</t>
  </si>
  <si>
    <t>Sources for line 2 above:</t>
  </si>
  <si>
    <t>Inputs page</t>
  </si>
  <si>
    <t>Column G</t>
  </si>
  <si>
    <t>Line 37</t>
  </si>
  <si>
    <t>Line 45</t>
  </si>
  <si>
    <t>Line 41</t>
  </si>
  <si>
    <t>Line 39</t>
  </si>
  <si>
    <t>Line 43</t>
  </si>
  <si>
    <t>Line 47</t>
  </si>
  <si>
    <t>Line 50</t>
  </si>
  <si>
    <t>Tariff Schedules:</t>
  </si>
  <si>
    <t>Schedule #</t>
  </si>
  <si>
    <t>Sched 215</t>
  </si>
  <si>
    <t>Sched 230, Prg J</t>
  </si>
  <si>
    <t>Sched 230, Prg I</t>
  </si>
  <si>
    <t>Sched 209</t>
  </si>
  <si>
    <t>Sched 303</t>
  </si>
  <si>
    <t>Sched 231</t>
  </si>
  <si>
    <t>Note: Allocation to rate schedules or blocks with zero volumes is calculated on an overall margin percentage change basis.</t>
  </si>
  <si>
    <t>I</t>
  </si>
  <si>
    <t>2025 CCA Recovery Mechanism Filing - Washington</t>
  </si>
  <si>
    <t>Calculation of Increments Allocated on the EQUAL CENT PER THERM BASIS</t>
  </si>
  <si>
    <t>Volumes and Increment are pasted as values from the CCA filing UG 230819</t>
  </si>
  <si>
    <t>Washington</t>
  </si>
  <si>
    <t>Industrial Energy Efficiency Audit</t>
  </si>
  <si>
    <t>CCA Recovery Mechanism</t>
  </si>
  <si>
    <t>Total Equal Cent Per Therm</t>
  </si>
  <si>
    <t>Temporary Increment</t>
  </si>
  <si>
    <t>Column F</t>
  </si>
  <si>
    <t>Firm</t>
  </si>
  <si>
    <t>Interruptible</t>
  </si>
  <si>
    <t xml:space="preserve">Residential </t>
  </si>
  <si>
    <t>Industrial</t>
  </si>
  <si>
    <t>Volumes</t>
  </si>
  <si>
    <t>WACOG Def</t>
  </si>
  <si>
    <t>DEMAND Def</t>
  </si>
  <si>
    <t>DEMAND - Def</t>
  </si>
  <si>
    <t>Rate Mitigation</t>
  </si>
  <si>
    <t>EE Audit</t>
  </si>
  <si>
    <t>CCA</t>
  </si>
  <si>
    <t>TOTAL Temporary Proof</t>
  </si>
  <si>
    <t>F</t>
  </si>
  <si>
    <t>Allocation</t>
  </si>
  <si>
    <t>Temps</t>
  </si>
  <si>
    <t>Perm</t>
  </si>
  <si>
    <t>Diff.</t>
  </si>
  <si>
    <t xml:space="preserve">41I Firm Trans </t>
  </si>
  <si>
    <t>Diff &gt;</t>
  </si>
  <si>
    <t>Line 31</t>
  </si>
  <si>
    <t>Line 33</t>
  </si>
  <si>
    <t>Line 35</t>
  </si>
  <si>
    <t>Line 34</t>
  </si>
  <si>
    <t>Line 36</t>
  </si>
  <si>
    <t>Sched 201</t>
  </si>
  <si>
    <t>Sch 308</t>
  </si>
  <si>
    <t>Company:</t>
  </si>
  <si>
    <t>Northwest Natural Gas Company</t>
  </si>
  <si>
    <t>State:</t>
  </si>
  <si>
    <t>Description:</t>
  </si>
  <si>
    <t>Washington Share Gain Property Sales</t>
  </si>
  <si>
    <t>Account Number:</t>
  </si>
  <si>
    <t>Debit    (Credit)</t>
  </si>
  <si>
    <t xml:space="preserve">Month/Year </t>
  </si>
  <si>
    <t>Note</t>
  </si>
  <si>
    <t>Amortization</t>
  </si>
  <si>
    <t>Transfers</t>
  </si>
  <si>
    <t>Interest Rate</t>
  </si>
  <si>
    <t>Interest</t>
  </si>
  <si>
    <t>Activity</t>
  </si>
  <si>
    <t>Balance</t>
  </si>
  <si>
    <t>(a)</t>
  </si>
  <si>
    <t>(b)</t>
  </si>
  <si>
    <t>(c)</t>
  </si>
  <si>
    <t>(d)</t>
  </si>
  <si>
    <t>(e)</t>
  </si>
  <si>
    <t>(f)</t>
  </si>
  <si>
    <t>(g)</t>
  </si>
  <si>
    <t>(h)</t>
  </si>
  <si>
    <t>Beginning Balance</t>
  </si>
  <si>
    <t>OLD</t>
  </si>
  <si>
    <t>NEW</t>
  </si>
  <si>
    <t>NEW - 3</t>
  </si>
  <si>
    <t>Forecasted</t>
  </si>
  <si>
    <t>History truncated for ease of viewing</t>
  </si>
  <si>
    <t>NOTES</t>
  </si>
  <si>
    <r>
      <t>1</t>
    </r>
    <r>
      <rPr>
        <sz val="10"/>
        <rFont val="Tahoma"/>
        <family val="2"/>
      </rPr>
      <t xml:space="preserve"> - Transferred in authorized balance from account 254317 for amortization.</t>
    </r>
  </si>
  <si>
    <r>
      <t>2</t>
    </r>
    <r>
      <rPr>
        <sz val="10"/>
        <rFont val="Tahoma"/>
        <family val="2"/>
      </rPr>
      <t xml:space="preserve"> - Transferred in authorized balance from account 232075 for amortization.</t>
    </r>
  </si>
  <si>
    <r>
      <t>3</t>
    </r>
    <r>
      <rPr>
        <sz val="10"/>
        <rFont val="Tahoma"/>
        <family val="2"/>
      </rPr>
      <t xml:space="preserve"> - Represents Washington's share of the gain on sale of the Lincoln City property</t>
    </r>
  </si>
  <si>
    <t>WA G/L PROPERTY SALE DEFER</t>
  </si>
  <si>
    <t>Deferral</t>
  </si>
  <si>
    <t>Notes</t>
  </si>
  <si>
    <r>
      <t>1</t>
    </r>
    <r>
      <rPr>
        <sz val="10"/>
        <rFont val="Tahoma"/>
        <family val="2"/>
      </rPr>
      <t xml:space="preserve"> - Transferred authorized balance to 254307 for amortization.</t>
    </r>
  </si>
  <si>
    <r>
      <t>2</t>
    </r>
    <r>
      <rPr>
        <sz val="10"/>
        <rFont val="Tahoma"/>
        <family val="2"/>
      </rPr>
      <t xml:space="preserve"> - Transfer represents gain on the Astoria property sale to be refunded to customers in a future period.</t>
    </r>
  </si>
  <si>
    <r>
      <t>3</t>
    </r>
    <r>
      <rPr>
        <sz val="10"/>
        <rFont val="Tahoma"/>
        <family val="2"/>
      </rPr>
      <t xml:space="preserve"> - Transferred authorized balance to 232050 for amortization.</t>
    </r>
  </si>
  <si>
    <r>
      <t>4</t>
    </r>
    <r>
      <rPr>
        <sz val="10"/>
        <rFont val="Tahoma"/>
        <family val="2"/>
      </rPr>
      <t xml:space="preserve"> - Transfer represents gain on the Lincoln City property sale to be refunded to customers in a future period.</t>
    </r>
  </si>
  <si>
    <t>Oregon</t>
  </si>
  <si>
    <t>Defer WUTC Fee</t>
  </si>
  <si>
    <t>Intentionally BLANK</t>
  </si>
  <si>
    <t>Space intentionally left blank</t>
  </si>
  <si>
    <r>
      <t xml:space="preserve">OLD </t>
    </r>
    <r>
      <rPr>
        <b/>
        <sz val="10"/>
        <rFont val="Tahoma"/>
        <family val="2"/>
      </rPr>
      <t>(1)</t>
    </r>
  </si>
  <si>
    <t>WA Regulatory Fee Amort</t>
  </si>
  <si>
    <t>Defer WA EE Audit</t>
  </si>
  <si>
    <t>WA Industiral EE Audit Amort</t>
  </si>
  <si>
    <t>WA RATE MITIGATION AMORTIZATION</t>
  </si>
  <si>
    <t>CCA per therm</t>
  </si>
  <si>
    <t>Residential Check:</t>
  </si>
  <si>
    <t>Current</t>
  </si>
  <si>
    <t>Effects on Average Bill by Rate Schedule</t>
  </si>
  <si>
    <t>Proposed</t>
  </si>
  <si>
    <t>Calculation of Effect on Customer Average Bill by Rate Schedule [1] [3]</t>
  </si>
  <si>
    <t>For Tariff Advice 1X-X only</t>
  </si>
  <si>
    <t>Normal</t>
  </si>
  <si>
    <t>Net</t>
  </si>
  <si>
    <t>PGA Normalized</t>
  </si>
  <si>
    <t>Therms</t>
  </si>
  <si>
    <t>Minimum</t>
  </si>
  <si>
    <t>Therms in</t>
  </si>
  <si>
    <t>Monthly</t>
  </si>
  <si>
    <t xml:space="preserve">Monthly </t>
  </si>
  <si>
    <t>R&amp;C Energy Eff.</t>
  </si>
  <si>
    <t>GREAT &amp; LIEE</t>
  </si>
  <si>
    <t xml:space="preserve">CCA </t>
  </si>
  <si>
    <t>PGA Effects</t>
  </si>
  <si>
    <t>R&amp;C EE Total</t>
  </si>
  <si>
    <t>Average use</t>
  </si>
  <si>
    <t xml:space="preserve">Avg. Credit </t>
  </si>
  <si>
    <t>Rates</t>
  </si>
  <si>
    <t>Average Bill[2]</t>
  </si>
  <si>
    <t>Rates [3]</t>
  </si>
  <si>
    <t>Average Bill</t>
  </si>
  <si>
    <t>% Bill Change</t>
  </si>
  <si>
    <t>Rates [2]</t>
  </si>
  <si>
    <t xml:space="preserve">Average Bill </t>
  </si>
  <si>
    <t>F=D+(C * E)</t>
  </si>
  <si>
    <t>H=D+(C * G)</t>
  </si>
  <si>
    <t>K= D+(C*J)</t>
  </si>
  <si>
    <t>Q = D+(C*P)</t>
  </si>
  <si>
    <t>T = D+(C*S)</t>
  </si>
  <si>
    <t>Z=D+(C*Y)</t>
  </si>
  <si>
    <t>AA=D+(C * Z)</t>
  </si>
  <si>
    <t>AB=(AA - F)/F</t>
  </si>
  <si>
    <t>Combined</t>
  </si>
  <si>
    <t>K=D+(C * J)</t>
  </si>
  <si>
    <t>L=(K - F)/F</t>
  </si>
  <si>
    <t xml:space="preserve">Avg </t>
  </si>
  <si>
    <t>Avg</t>
  </si>
  <si>
    <t>Y</t>
  </si>
  <si>
    <t>Z</t>
  </si>
  <si>
    <t>AA</t>
  </si>
  <si>
    <t>AB</t>
  </si>
  <si>
    <t>AC</t>
  </si>
  <si>
    <t>AD</t>
  </si>
  <si>
    <t>Rate Schedule</t>
  </si>
  <si>
    <t>PGA  Bill</t>
  </si>
  <si>
    <t>PGA Bill</t>
  </si>
  <si>
    <t>Bill Change</t>
  </si>
  <si>
    <t>% of Bill</t>
  </si>
  <si>
    <t>N/A</t>
  </si>
  <si>
    <t>27 Dry Out</t>
  </si>
  <si>
    <t>all additional</t>
  </si>
  <si>
    <t>42C Interr Trans</t>
  </si>
  <si>
    <t>42I Interr Trans</t>
  </si>
  <si>
    <t>[1] Rate Schedule 41 and 42 customers may choose demand charges at a volumetric rate or based on MDDV.  For convenience of presentation, demand charges are not included in the calculations for those schedules.</t>
  </si>
  <si>
    <t>[2] Proposed new CCA rates is equal to Current Billing Rate plus New CCA rates less current CCA rates. Assumes customer receives CCA credit.</t>
  </si>
  <si>
    <t xml:space="preserve">[3] For Schedules where the average usage would generate a new credit, the non-volumetric credits have been capped at the CCA cost. </t>
  </si>
  <si>
    <t>Col A</t>
  </si>
  <si>
    <t>Sources:</t>
  </si>
  <si>
    <t>Add: Col E</t>
  </si>
  <si>
    <t>Direct Inputs</t>
  </si>
  <si>
    <t>per Tariff</t>
  </si>
  <si>
    <t>Less: Col E</t>
  </si>
  <si>
    <t>Rates in summary</t>
  </si>
  <si>
    <t>NW Natural</t>
  </si>
  <si>
    <t>Rates &amp; Regulatory Affairs</t>
  </si>
  <si>
    <t>Tariff Advice 25-06: Residual</t>
  </si>
  <si>
    <t>Amount</t>
  </si>
  <si>
    <t>Reference</t>
  </si>
  <si>
    <t>Temporary Increments</t>
  </si>
  <si>
    <t>Removal of Current Temporary Increments</t>
  </si>
  <si>
    <t>Amortization of Residual Balances</t>
  </si>
  <si>
    <t>Addition of Proposed Temporary Increments</t>
  </si>
  <si>
    <t>TOTAL OF ALL COMPONENTS OF RATE CHANGES</t>
  </si>
  <si>
    <t xml:space="preserve">Effect of this filing, as a percentage change </t>
  </si>
  <si>
    <t>2025-2026 PGA Filing - Washington: September Filing</t>
  </si>
  <si>
    <t>Summary of Deferred Accounts</t>
  </si>
  <si>
    <t>Refer to</t>
  </si>
  <si>
    <t>Estimated</t>
  </si>
  <si>
    <t>Rate Dev File</t>
  </si>
  <si>
    <t>Sep-Oct</t>
  </si>
  <si>
    <t>Amount for</t>
  </si>
  <si>
    <t>Amounts</t>
  </si>
  <si>
    <t>"Allocation</t>
  </si>
  <si>
    <t>During</t>
  </si>
  <si>
    <t>(Refund) or</t>
  </si>
  <si>
    <t>Excluded from</t>
  </si>
  <si>
    <t>Included in</t>
  </si>
  <si>
    <t>= % of</t>
  </si>
  <si>
    <t>Equal ¢ per</t>
  </si>
  <si>
    <t>Account</t>
  </si>
  <si>
    <t>Collection</t>
  </si>
  <si>
    <t>PGA Filing</t>
  </si>
  <si>
    <t>margin" tab</t>
  </si>
  <si>
    <t>therm" tab</t>
  </si>
  <si>
    <t>E = sum B thru D</t>
  </si>
  <si>
    <t>G = E + F</t>
  </si>
  <si>
    <t>see note</t>
  </si>
  <si>
    <t>Excl. Rev Sens</t>
  </si>
  <si>
    <t>DSM &amp; LOW INCOME PROGRAMS</t>
  </si>
  <si>
    <t>151822  WA LOW INCOME BILL PAY ASSIST (GREAT)</t>
  </si>
  <si>
    <t>151824 WA GREAT AMORTIZATION</t>
  </si>
  <si>
    <t>Column P-R</t>
  </si>
  <si>
    <t>151890 WA WA-LIEE PROGRAM</t>
  </si>
  <si>
    <t>151892 AMORT WA-LIEE PROGRAM</t>
  </si>
  <si>
    <t>Column S-U</t>
  </si>
  <si>
    <t>151894  WA DSM AMORTIZATION</t>
  </si>
  <si>
    <t>151898  WA ENERGY EFFICIENCY</t>
  </si>
  <si>
    <t>Column M-O</t>
  </si>
  <si>
    <t>Gas Cost Deferrals and Amortizations</t>
  </si>
  <si>
    <t>151540 WACOG - ACCRUAL WA</t>
  </si>
  <si>
    <t>Includes tariffs paid to Tenaska in GL 151941</t>
  </si>
  <si>
    <t>151545 AMORT OF WACOG - WA</t>
  </si>
  <si>
    <t>FC Normal Therms</t>
  </si>
  <si>
    <t>Current Demand</t>
  </si>
  <si>
    <t>151550 DEMAND ACCRUAL -  WA</t>
  </si>
  <si>
    <t>FIRM</t>
  </si>
  <si>
    <t>151555 AMORT OF DEMAND WA</t>
  </si>
  <si>
    <t>INTERRUPTIBLE</t>
  </si>
  <si>
    <t>232035 MARGIN SHARING - WA</t>
  </si>
  <si>
    <t>Column G &amp; J</t>
  </si>
  <si>
    <t>MISC Deferrals and Amortizations</t>
  </si>
  <si>
    <t>232075 WA PROPERTY SALE DEFER</t>
  </si>
  <si>
    <t>232050 AMORT WA GAIN ON PROP SALES</t>
  </si>
  <si>
    <t>151827 DEFER WUTC FEE</t>
  </si>
  <si>
    <t>151829 AMORT WUTC FEE</t>
  </si>
  <si>
    <t>151887 DEFER WA EE AUDIT</t>
  </si>
  <si>
    <t>151889 AMORT WA EE AUDIT</t>
  </si>
  <si>
    <t>151914 AMORT WA RATE MITIGATION</t>
  </si>
  <si>
    <t>151884 DEFER PARTICIPATORY FUND</t>
  </si>
  <si>
    <t>151823 DEFER DEMAND RESPONSE</t>
  </si>
  <si>
    <t>GRAND TOTAL</t>
  </si>
  <si>
    <t>Amortization of Residential Rate Mitigation, Regulatory Fee Increase, and Industrial Customer Energy Efficiency Audit Costs</t>
  </si>
  <si>
    <t>Calculation of Increments Allocated on the EQUAL PERCENTAGE OF REVENUE BASIS</t>
  </si>
  <si>
    <t>Total Equal % of Revenue</t>
  </si>
  <si>
    <t>Revenues</t>
  </si>
  <si>
    <t>WA Reg Adj</t>
  </si>
  <si>
    <t>Overall</t>
  </si>
  <si>
    <t>Reg Fee</t>
  </si>
  <si>
    <r>
      <rPr>
        <b/>
        <sz val="10.9"/>
        <rFont val="Calibri"/>
        <family val="2"/>
      </rPr>
      <t>Residual</t>
    </r>
    <r>
      <rPr>
        <sz val="11"/>
        <rFont val="Aptos Narrow"/>
        <family val="2"/>
        <scheme val="minor"/>
      </rPr>
      <t xml:space="preserve">
( Regulatory Fee, Rate Mitigation,  Industrial EE &amp; Property Sale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</si>
</sst>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_);\(#,##0.00000\)"/>
    <numFmt numFmtId="166" formatCode="_(&quot;$&quot;* #,##0_);_(&quot;$&quot;* \(#,##0\);_(&quot;$&quot;* &quot;-&quot;??_);_(@_)"/>
    <numFmt numFmtId="167" formatCode="0.000%"/>
    <numFmt numFmtId="168" formatCode="&quot;$&quot;#,##0.00000"/>
    <numFmt numFmtId="169" formatCode="&quot;$&quot;#,##0"/>
    <numFmt numFmtId="170" formatCode="#,##0.0_);\(#,##0.0\)"/>
    <numFmt numFmtId="171" formatCode="&quot;$&quot;#,##0.00000_);\(&quot;$&quot;#,##0.00000\)"/>
    <numFmt numFmtId="172" formatCode="_(* #,##0_);_(* \(#,##0\);_(* &quot;-&quot;??_);_(@_)"/>
    <numFmt numFmtId="173" formatCode="0.00_);\(0.00\)"/>
    <numFmt numFmtId="174" formatCode="_(* #,##0.000000_);_(* \(#,##0.000000\);_(* &quot;-&quot;??_);_(@_)"/>
    <numFmt numFmtId="175" formatCode="0.00000"/>
    <numFmt numFmtId="176" formatCode="[$-409]mmm\-yy;@"/>
    <numFmt numFmtId="177" formatCode="_(* #,##0.00000_);_(* \(#,##0.00000\);_(* &quot;-&quot;??_);_(@_)"/>
    <numFmt numFmtId="178" formatCode="_(* #,##0.0000_);_(* \(#,##0.0000\);_(* &quot;-&quot;??_);_(@_)"/>
    <numFmt numFmtId="179" formatCode="0.0%"/>
    <numFmt numFmtId="180" formatCode="0.000000"/>
    <numFmt numFmtId="181" formatCode="0_);\(0\)"/>
  </numFmts>
  <fonts count="3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name val="Times New Roman"/>
      <family val="1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Times New Roman"/>
      <family val="1"/>
    </font>
    <font>
      <b/>
      <i/>
      <sz val="11"/>
      <name val="Aptos Narrow"/>
      <family val="2"/>
      <scheme val="minor"/>
    </font>
    <font>
      <sz val="10"/>
      <name val="Arial"/>
      <family val="2"/>
    </font>
    <font>
      <b/>
      <u/>
      <sz val="11"/>
      <name val="Aptos Narrow"/>
      <family val="2"/>
      <scheme val="minor"/>
    </font>
    <font>
      <b/>
      <i/>
      <sz val="11"/>
      <name val="Calibri"/>
      <family val="2"/>
    </font>
    <font>
      <b/>
      <sz val="10"/>
      <name val="Aptos Narrow"/>
      <family val="2"/>
      <scheme val="minor"/>
    </font>
    <font>
      <sz val="10"/>
      <name val="MS Sans Serif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sz val="10.9"/>
      <name val="Calibri"/>
      <family val="2"/>
    </font>
    <font>
      <b/>
      <sz val="1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sz val="11"/>
      <color indexed="1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44" fontId="5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6" fontId="11" fillId="0" borderId="0"/>
    <xf numFmtId="176" fontId="5" fillId="0" borderId="0"/>
    <xf numFmtId="43" fontId="5" fillId="0" borderId="0" applyFont="0" applyFill="0" applyBorder="0" applyAlignment="0" applyProtection="0"/>
    <xf numFmtId="0" fontId="11" fillId="0" borderId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76" fontId="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0" fontId="2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29">
    <xf numFmtId="0" fontId="0" fillId="0" borderId="0" xfId="0"/>
    <xf numFmtId="0" fontId="3" fillId="2" borderId="0" xfId="1" applyFont="1" applyFill="1"/>
    <xf numFmtId="0" fontId="4" fillId="2" borderId="0" xfId="1" applyFont="1" applyFill="1"/>
    <xf numFmtId="164" fontId="4" fillId="2" borderId="0" xfId="1" applyNumberFormat="1" applyFont="1" applyFill="1"/>
    <xf numFmtId="165" fontId="4" fillId="2" borderId="0" xfId="1" applyNumberFormat="1" applyFont="1" applyFill="1"/>
    <xf numFmtId="0" fontId="4" fillId="0" borderId="0" xfId="1" applyFont="1"/>
    <xf numFmtId="165" fontId="4" fillId="0" borderId="0" xfId="1" applyNumberFormat="1" applyFont="1"/>
    <xf numFmtId="37" fontId="4" fillId="2" borderId="0" xfId="1" applyNumberFormat="1" applyFont="1" applyFill="1"/>
    <xf numFmtId="0" fontId="3" fillId="2" borderId="0" xfId="1" applyFont="1" applyFill="1" applyAlignment="1">
      <alignment horizontal="right"/>
    </xf>
    <xf numFmtId="166" fontId="3" fillId="2" borderId="0" xfId="2" applyNumberFormat="1" applyFont="1" applyFill="1"/>
    <xf numFmtId="0" fontId="4" fillId="2" borderId="0" xfId="1" applyFont="1" applyFill="1" applyAlignment="1">
      <alignment horizontal="center" wrapText="1"/>
    </xf>
    <xf numFmtId="0" fontId="3" fillId="2" borderId="0" xfId="1" quotePrefix="1" applyFont="1" applyFill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165" fontId="4" fillId="2" borderId="4" xfId="1" applyNumberFormat="1" applyFont="1" applyFill="1" applyBorder="1"/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/>
    </xf>
    <xf numFmtId="37" fontId="3" fillId="2" borderId="5" xfId="1" applyNumberFormat="1" applyFont="1" applyFill="1" applyBorder="1" applyAlignment="1">
      <alignment horizontal="center"/>
    </xf>
    <xf numFmtId="37" fontId="3" fillId="2" borderId="5" xfId="1" applyNumberFormat="1" applyFont="1" applyFill="1" applyBorder="1" applyAlignment="1">
      <alignment horizontal="centerContinuous"/>
    </xf>
    <xf numFmtId="0" fontId="3" fillId="2" borderId="6" xfId="1" applyFont="1" applyFill="1" applyBorder="1" applyAlignment="1">
      <alignment horizontal="centerContinuous"/>
    </xf>
    <xf numFmtId="165" fontId="3" fillId="2" borderId="6" xfId="1" applyNumberFormat="1" applyFont="1" applyFill="1" applyBorder="1" applyAlignment="1">
      <alignment horizontal="centerContinuous"/>
    </xf>
    <xf numFmtId="37" fontId="3" fillId="2" borderId="5" xfId="1" applyNumberFormat="1" applyFont="1" applyFill="1" applyBorder="1"/>
    <xf numFmtId="37" fontId="3" fillId="2" borderId="7" xfId="1" applyNumberFormat="1" applyFont="1" applyFill="1" applyBorder="1"/>
    <xf numFmtId="0" fontId="4" fillId="0" borderId="8" xfId="3" applyFont="1" applyBorder="1"/>
    <xf numFmtId="0" fontId="4" fillId="2" borderId="9" xfId="1" applyFont="1" applyFill="1" applyBorder="1"/>
    <xf numFmtId="37" fontId="4" fillId="2" borderId="10" xfId="1" applyNumberFormat="1" applyFont="1" applyFill="1" applyBorder="1"/>
    <xf numFmtId="0" fontId="4" fillId="2" borderId="11" xfId="1" applyFont="1" applyFill="1" applyBorder="1"/>
    <xf numFmtId="165" fontId="4" fillId="2" borderId="12" xfId="1" applyNumberFormat="1" applyFont="1" applyFill="1" applyBorder="1"/>
    <xf numFmtId="165" fontId="4" fillId="2" borderId="11" xfId="1" applyNumberFormat="1" applyFont="1" applyFill="1" applyBorder="1"/>
    <xf numFmtId="37" fontId="4" fillId="2" borderId="13" xfId="1" applyNumberFormat="1" applyFont="1" applyFill="1" applyBorder="1"/>
    <xf numFmtId="0" fontId="4" fillId="2" borderId="14" xfId="1" applyFont="1" applyFill="1" applyBorder="1"/>
    <xf numFmtId="165" fontId="4" fillId="2" borderId="15" xfId="1" applyNumberFormat="1" applyFont="1" applyFill="1" applyBorder="1"/>
    <xf numFmtId="166" fontId="3" fillId="2" borderId="13" xfId="2" applyNumberFormat="1" applyFont="1" applyFill="1" applyBorder="1"/>
    <xf numFmtId="166" fontId="3" fillId="2" borderId="10" xfId="2" applyNumberFormat="1" applyFont="1" applyFill="1" applyBorder="1"/>
    <xf numFmtId="166" fontId="3" fillId="0" borderId="10" xfId="2" applyNumberFormat="1" applyFont="1" applyFill="1" applyBorder="1"/>
    <xf numFmtId="0" fontId="4" fillId="0" borderId="11" xfId="1" applyFont="1" applyBorder="1"/>
    <xf numFmtId="165" fontId="4" fillId="0" borderId="12" xfId="1" applyNumberFormat="1" applyFont="1" applyBorder="1"/>
    <xf numFmtId="166" fontId="3" fillId="0" borderId="10" xfId="2" applyNumberFormat="1" applyFont="1" applyBorder="1"/>
    <xf numFmtId="166" fontId="4" fillId="0" borderId="16" xfId="2" applyNumberFormat="1" applyFont="1" applyFill="1" applyBorder="1"/>
    <xf numFmtId="167" fontId="4" fillId="2" borderId="10" xfId="4" applyNumberFormat="1" applyFont="1" applyFill="1" applyBorder="1"/>
    <xf numFmtId="0" fontId="4" fillId="2" borderId="11" xfId="1" applyFont="1" applyFill="1" applyBorder="1" applyAlignment="1">
      <alignment horizontal="left"/>
    </xf>
    <xf numFmtId="165" fontId="4" fillId="2" borderId="12" xfId="1" applyNumberFormat="1" applyFont="1" applyFill="1" applyBorder="1" applyAlignment="1">
      <alignment horizontal="left"/>
    </xf>
    <xf numFmtId="165" fontId="4" fillId="2" borderId="11" xfId="1" applyNumberFormat="1" applyFont="1" applyFill="1" applyBorder="1" applyAlignment="1">
      <alignment horizontal="left"/>
    </xf>
    <xf numFmtId="167" fontId="4" fillId="0" borderId="10" xfId="4" applyNumberFormat="1" applyFont="1" applyFill="1" applyBorder="1"/>
    <xf numFmtId="0" fontId="4" fillId="0" borderId="11" xfId="1" applyFont="1" applyBorder="1" applyAlignment="1">
      <alignment horizontal="left"/>
    </xf>
    <xf numFmtId="165" fontId="4" fillId="0" borderId="12" xfId="1" applyNumberFormat="1" applyFont="1" applyBorder="1" applyAlignment="1">
      <alignment horizontal="left"/>
    </xf>
    <xf numFmtId="167" fontId="4" fillId="0" borderId="10" xfId="4" applyNumberFormat="1" applyFont="1" applyBorder="1" applyAlignment="1">
      <alignment horizontal="right"/>
    </xf>
    <xf numFmtId="43" fontId="4" fillId="0" borderId="0" xfId="5" applyFont="1" applyFill="1"/>
    <xf numFmtId="0" fontId="4" fillId="2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4" fillId="2" borderId="17" xfId="1" applyFont="1" applyFill="1" applyBorder="1"/>
    <xf numFmtId="37" fontId="3" fillId="2" borderId="18" xfId="1" applyNumberFormat="1" applyFont="1" applyFill="1" applyBorder="1"/>
    <xf numFmtId="37" fontId="4" fillId="2" borderId="19" xfId="1" applyNumberFormat="1" applyFont="1" applyFill="1" applyBorder="1"/>
    <xf numFmtId="165" fontId="4" fillId="2" borderId="20" xfId="1" applyNumberFormat="1" applyFont="1" applyFill="1" applyBorder="1"/>
    <xf numFmtId="165" fontId="4" fillId="2" borderId="19" xfId="1" applyNumberFormat="1" applyFont="1" applyFill="1" applyBorder="1"/>
    <xf numFmtId="37" fontId="3" fillId="0" borderId="18" xfId="1" applyNumberFormat="1" applyFont="1" applyBorder="1"/>
    <xf numFmtId="37" fontId="4" fillId="0" borderId="19" xfId="1" applyNumberFormat="1" applyFont="1" applyBorder="1"/>
    <xf numFmtId="165" fontId="4" fillId="0" borderId="20" xfId="1" applyNumberFormat="1" applyFont="1" applyBorder="1"/>
    <xf numFmtId="0" fontId="3" fillId="0" borderId="0" xfId="1" applyFont="1" applyAlignment="1">
      <alignment horizontal="right"/>
    </xf>
    <xf numFmtId="166" fontId="3" fillId="0" borderId="0" xfId="2" applyNumberFormat="1" applyFont="1" applyFill="1" applyAlignment="1">
      <alignment horizontal="right"/>
    </xf>
    <xf numFmtId="0" fontId="3" fillId="2" borderId="22" xfId="1" applyFont="1" applyFill="1" applyBorder="1" applyAlignment="1">
      <alignment horizontal="right"/>
    </xf>
    <xf numFmtId="0" fontId="3" fillId="2" borderId="23" xfId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165" fontId="4" fillId="2" borderId="0" xfId="1" applyNumberFormat="1" applyFont="1" applyFill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165" fontId="4" fillId="2" borderId="27" xfId="1" applyNumberFormat="1" applyFont="1" applyFill="1" applyBorder="1" applyAlignment="1">
      <alignment horizontal="center"/>
    </xf>
    <xf numFmtId="0" fontId="3" fillId="0" borderId="23" xfId="1" applyFont="1" applyBorder="1" applyAlignment="1">
      <alignment horizontal="center"/>
    </xf>
    <xf numFmtId="165" fontId="4" fillId="0" borderId="24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/>
    </xf>
    <xf numFmtId="0" fontId="3" fillId="2" borderId="30" xfId="1" applyFont="1" applyFill="1" applyBorder="1" applyAlignment="1">
      <alignment horizontal="center"/>
    </xf>
    <xf numFmtId="165" fontId="3" fillId="2" borderId="28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65" fontId="3" fillId="0" borderId="28" xfId="1" applyNumberFormat="1" applyFont="1" applyBorder="1" applyAlignment="1">
      <alignment horizontal="center"/>
    </xf>
    <xf numFmtId="37" fontId="4" fillId="2" borderId="4" xfId="1" applyNumberFormat="1" applyFont="1" applyFill="1" applyBorder="1"/>
    <xf numFmtId="168" fontId="4" fillId="2" borderId="4" xfId="1" applyNumberFormat="1" applyFont="1" applyFill="1" applyBorder="1"/>
    <xf numFmtId="5" fontId="4" fillId="2" borderId="4" xfId="1" applyNumberFormat="1" applyFont="1" applyFill="1" applyBorder="1"/>
    <xf numFmtId="7" fontId="4" fillId="2" borderId="4" xfId="1" applyNumberFormat="1" applyFont="1" applyFill="1" applyBorder="1"/>
    <xf numFmtId="169" fontId="4" fillId="2" borderId="4" xfId="1" applyNumberFormat="1" applyFont="1" applyFill="1" applyBorder="1"/>
    <xf numFmtId="165" fontId="4" fillId="2" borderId="29" xfId="1" applyNumberFormat="1" applyFont="1" applyFill="1" applyBorder="1"/>
    <xf numFmtId="170" fontId="4" fillId="2" borderId="30" xfId="1" applyNumberFormat="1" applyFont="1" applyFill="1" applyBorder="1" applyAlignment="1">
      <alignment horizontal="center"/>
    </xf>
    <xf numFmtId="171" fontId="4" fillId="2" borderId="28" xfId="1" applyNumberFormat="1" applyFont="1" applyFill="1" applyBorder="1"/>
    <xf numFmtId="171" fontId="4" fillId="2" borderId="4" xfId="1" applyNumberFormat="1" applyFont="1" applyFill="1" applyBorder="1"/>
    <xf numFmtId="165" fontId="4" fillId="2" borderId="28" xfId="1" applyNumberFormat="1" applyFont="1" applyFill="1" applyBorder="1"/>
    <xf numFmtId="170" fontId="4" fillId="0" borderId="30" xfId="1" applyNumberFormat="1" applyFont="1" applyBorder="1" applyAlignment="1">
      <alignment horizontal="center"/>
    </xf>
    <xf numFmtId="37" fontId="4" fillId="0" borderId="4" xfId="1" applyNumberFormat="1" applyFont="1" applyBorder="1"/>
    <xf numFmtId="168" fontId="4" fillId="0" borderId="28" xfId="1" applyNumberFormat="1" applyFont="1" applyBorder="1"/>
    <xf numFmtId="5" fontId="4" fillId="0" borderId="4" xfId="1" applyNumberFormat="1" applyFont="1" applyBorder="1"/>
    <xf numFmtId="7" fontId="4" fillId="0" borderId="0" xfId="1" applyNumberFormat="1" applyFont="1"/>
    <xf numFmtId="44" fontId="4" fillId="0" borderId="0" xfId="2" applyFont="1" applyBorder="1"/>
    <xf numFmtId="44" fontId="4" fillId="0" borderId="0" xfId="1" applyNumberFormat="1" applyFont="1"/>
    <xf numFmtId="172" fontId="4" fillId="0" borderId="0" xfId="5" applyNumberFormat="1" applyFont="1" applyBorder="1"/>
    <xf numFmtId="0" fontId="4" fillId="2" borderId="4" xfId="1" applyFont="1" applyFill="1" applyBorder="1" applyAlignment="1">
      <alignment horizontal="center"/>
    </xf>
    <xf numFmtId="173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5" fontId="4" fillId="2" borderId="0" xfId="1" applyNumberFormat="1" applyFont="1" applyFill="1"/>
    <xf numFmtId="169" fontId="4" fillId="2" borderId="0" xfId="6" quotePrefix="1" applyNumberFormat="1" applyFont="1" applyFill="1"/>
    <xf numFmtId="165" fontId="4" fillId="2" borderId="31" xfId="1" applyNumberFormat="1" applyFont="1" applyFill="1" applyBorder="1"/>
    <xf numFmtId="170" fontId="4" fillId="2" borderId="23" xfId="1" applyNumberFormat="1" applyFont="1" applyFill="1" applyBorder="1" applyAlignment="1">
      <alignment horizontal="center"/>
    </xf>
    <xf numFmtId="5" fontId="4" fillId="2" borderId="0" xfId="6" applyNumberFormat="1" applyFont="1" applyFill="1"/>
    <xf numFmtId="171" fontId="4" fillId="2" borderId="24" xfId="6" applyNumberFormat="1" applyFont="1" applyFill="1" applyBorder="1"/>
    <xf numFmtId="171" fontId="4" fillId="2" borderId="0" xfId="6" applyNumberFormat="1" applyFont="1" applyFill="1"/>
    <xf numFmtId="165" fontId="4" fillId="2" borderId="24" xfId="6" applyNumberFormat="1" applyFont="1" applyFill="1" applyBorder="1"/>
    <xf numFmtId="170" fontId="4" fillId="0" borderId="0" xfId="1" applyNumberFormat="1" applyFont="1" applyAlignment="1">
      <alignment horizontal="center"/>
    </xf>
    <xf numFmtId="37" fontId="4" fillId="0" borderId="0" xfId="6" applyNumberFormat="1" applyFont="1"/>
    <xf numFmtId="168" fontId="4" fillId="0" borderId="24" xfId="1" applyNumberFormat="1" applyFont="1" applyBorder="1"/>
    <xf numFmtId="5" fontId="4" fillId="0" borderId="0" xfId="6" applyNumberFormat="1" applyFont="1"/>
    <xf numFmtId="173" fontId="4" fillId="2" borderId="4" xfId="1" applyNumberFormat="1" applyFont="1" applyFill="1" applyBorder="1" applyAlignment="1">
      <alignment horizontal="center"/>
    </xf>
    <xf numFmtId="7" fontId="4" fillId="2" borderId="0" xfId="1" applyNumberFormat="1" applyFont="1" applyFill="1"/>
    <xf numFmtId="170" fontId="4" fillId="0" borderId="23" xfId="1" applyNumberFormat="1" applyFont="1" applyBorder="1" applyAlignment="1">
      <alignment horizontal="center"/>
    </xf>
    <xf numFmtId="37" fontId="4" fillId="2" borderId="26" xfId="1" applyNumberFormat="1" applyFont="1" applyFill="1" applyBorder="1"/>
    <xf numFmtId="165" fontId="4" fillId="2" borderId="22" xfId="1" applyNumberFormat="1" applyFont="1" applyFill="1" applyBorder="1"/>
    <xf numFmtId="170" fontId="4" fillId="2" borderId="25" xfId="1" applyNumberFormat="1" applyFont="1" applyFill="1" applyBorder="1" applyAlignment="1">
      <alignment horizontal="center"/>
    </xf>
    <xf numFmtId="5" fontId="4" fillId="2" borderId="0" xfId="6" quotePrefix="1" applyNumberFormat="1" applyFont="1" applyFill="1"/>
    <xf numFmtId="171" fontId="4" fillId="2" borderId="24" xfId="6" quotePrefix="1" applyNumberFormat="1" applyFont="1" applyFill="1" applyBorder="1"/>
    <xf numFmtId="171" fontId="4" fillId="2" borderId="0" xfId="6" quotePrefix="1" applyNumberFormat="1" applyFont="1" applyFill="1"/>
    <xf numFmtId="165" fontId="4" fillId="2" borderId="24" xfId="6" quotePrefix="1" applyNumberFormat="1" applyFont="1" applyFill="1" applyBorder="1"/>
    <xf numFmtId="37" fontId="4" fillId="0" borderId="0" xfId="6" quotePrefix="1" applyNumberFormat="1" applyFont="1"/>
    <xf numFmtId="5" fontId="4" fillId="0" borderId="0" xfId="6" quotePrefix="1" applyNumberFormat="1" applyFont="1"/>
    <xf numFmtId="169" fontId="4" fillId="2" borderId="0" xfId="1" applyNumberFormat="1" applyFont="1" applyFill="1"/>
    <xf numFmtId="171" fontId="4" fillId="2" borderId="24" xfId="1" applyNumberFormat="1" applyFont="1" applyFill="1" applyBorder="1"/>
    <xf numFmtId="171" fontId="4" fillId="2" borderId="0" xfId="1" applyNumberFormat="1" applyFont="1" applyFill="1"/>
    <xf numFmtId="165" fontId="4" fillId="2" borderId="24" xfId="1" applyNumberFormat="1" applyFont="1" applyFill="1" applyBorder="1"/>
    <xf numFmtId="37" fontId="4" fillId="0" borderId="0" xfId="1" applyNumberFormat="1" applyFont="1"/>
    <xf numFmtId="5" fontId="4" fillId="0" borderId="0" xfId="1" applyNumberFormat="1" applyFont="1"/>
    <xf numFmtId="168" fontId="4" fillId="2" borderId="2" xfId="1" applyNumberFormat="1" applyFont="1" applyFill="1" applyBorder="1"/>
    <xf numFmtId="5" fontId="4" fillId="2" borderId="2" xfId="1" applyNumberFormat="1" applyFont="1" applyFill="1" applyBorder="1"/>
    <xf numFmtId="7" fontId="4" fillId="2" borderId="2" xfId="1" applyNumberFormat="1" applyFont="1" applyFill="1" applyBorder="1"/>
    <xf numFmtId="165" fontId="4" fillId="2" borderId="32" xfId="1" applyNumberFormat="1" applyFont="1" applyFill="1" applyBorder="1"/>
    <xf numFmtId="170" fontId="4" fillId="2" borderId="1" xfId="1" applyNumberFormat="1" applyFont="1" applyFill="1" applyBorder="1" applyAlignment="1">
      <alignment horizontal="center"/>
    </xf>
    <xf numFmtId="171" fontId="4" fillId="2" borderId="3" xfId="1" applyNumberFormat="1" applyFont="1" applyFill="1" applyBorder="1"/>
    <xf numFmtId="165" fontId="4" fillId="2" borderId="3" xfId="1" applyNumberFormat="1" applyFont="1" applyFill="1" applyBorder="1"/>
    <xf numFmtId="168" fontId="4" fillId="0" borderId="3" xfId="1" applyNumberFormat="1" applyFont="1" applyBorder="1"/>
    <xf numFmtId="164" fontId="4" fillId="2" borderId="4" xfId="1" applyNumberFormat="1" applyFont="1" applyFill="1" applyBorder="1"/>
    <xf numFmtId="39" fontId="4" fillId="2" borderId="28" xfId="1" applyNumberFormat="1" applyFont="1" applyFill="1" applyBorder="1"/>
    <xf numFmtId="44" fontId="4" fillId="0" borderId="4" xfId="2" applyFont="1" applyBorder="1"/>
    <xf numFmtId="44" fontId="4" fillId="0" borderId="4" xfId="1" applyNumberFormat="1" applyFont="1" applyBorder="1"/>
    <xf numFmtId="170" fontId="4" fillId="2" borderId="0" xfId="1" applyNumberFormat="1" applyFont="1" applyFill="1" applyAlignment="1">
      <alignment horizontal="center"/>
    </xf>
    <xf numFmtId="165" fontId="4" fillId="0" borderId="24" xfId="1" applyNumberFormat="1" applyFont="1" applyBorder="1"/>
    <xf numFmtId="0" fontId="4" fillId="0" borderId="26" xfId="1" applyFont="1" applyBorder="1"/>
    <xf numFmtId="5" fontId="4" fillId="2" borderId="0" xfId="1" applyNumberFormat="1" applyFont="1" applyFill="1" applyAlignment="1">
      <alignment horizontal="center"/>
    </xf>
    <xf numFmtId="5" fontId="4" fillId="0" borderId="0" xfId="1" applyNumberFormat="1" applyFont="1" applyAlignment="1">
      <alignment horizontal="center"/>
    </xf>
    <xf numFmtId="44" fontId="3" fillId="0" borderId="0" xfId="1" applyNumberFormat="1" applyFont="1"/>
    <xf numFmtId="10" fontId="4" fillId="0" borderId="0" xfId="4" applyNumberFormat="1" applyFont="1" applyAlignment="1">
      <alignment horizontal="center"/>
    </xf>
    <xf numFmtId="10" fontId="4" fillId="0" borderId="0" xfId="4" applyNumberFormat="1" applyFont="1" applyFill="1" applyAlignment="1">
      <alignment horizontal="center"/>
    </xf>
    <xf numFmtId="10" fontId="4" fillId="0" borderId="0" xfId="4" applyNumberFormat="1" applyFont="1" applyBorder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0" fontId="8" fillId="0" borderId="0" xfId="1" applyFont="1"/>
    <xf numFmtId="0" fontId="3" fillId="0" borderId="33" xfId="1" applyFont="1" applyBorder="1"/>
    <xf numFmtId="0" fontId="4" fillId="4" borderId="11" xfId="1" applyFont="1" applyFill="1" applyBorder="1"/>
    <xf numFmtId="0" fontId="4" fillId="0" borderId="11" xfId="1" applyFont="1" applyBorder="1" applyAlignment="1">
      <alignment horizontal="center"/>
    </xf>
    <xf numFmtId="165" fontId="4" fillId="4" borderId="11" xfId="1" applyNumberFormat="1" applyFont="1" applyFill="1" applyBorder="1"/>
    <xf numFmtId="0" fontId="4" fillId="5" borderId="11" xfId="1" applyFont="1" applyFill="1" applyBorder="1"/>
    <xf numFmtId="165" fontId="4" fillId="5" borderId="11" xfId="1" applyNumberFormat="1" applyFont="1" applyFill="1" applyBorder="1"/>
    <xf numFmtId="165" fontId="4" fillId="4" borderId="12" xfId="1" applyNumberFormat="1" applyFont="1" applyFill="1" applyBorder="1"/>
    <xf numFmtId="0" fontId="4" fillId="6" borderId="11" xfId="1" applyFont="1" applyFill="1" applyBorder="1" applyAlignment="1">
      <alignment horizontal="center"/>
    </xf>
    <xf numFmtId="170" fontId="4" fillId="0" borderId="0" xfId="1" applyNumberFormat="1" applyFont="1"/>
    <xf numFmtId="0" fontId="3" fillId="0" borderId="0" xfId="1" applyFont="1"/>
    <xf numFmtId="0" fontId="5" fillId="0" borderId="0" xfId="1" applyFont="1"/>
    <xf numFmtId="0" fontId="9" fillId="0" borderId="0" xfId="1" applyFont="1"/>
    <xf numFmtId="37" fontId="3" fillId="0" borderId="5" xfId="1" applyNumberFormat="1" applyFont="1" applyBorder="1" applyAlignment="1">
      <alignment horizontal="centerContinuous"/>
    </xf>
    <xf numFmtId="0" fontId="3" fillId="0" borderId="6" xfId="1" applyFont="1" applyBorder="1" applyAlignment="1">
      <alignment horizontal="centerContinuous"/>
    </xf>
    <xf numFmtId="0" fontId="4" fillId="0" borderId="7" xfId="1" applyFont="1" applyBorder="1" applyAlignment="1">
      <alignment horizontal="centerContinuous"/>
    </xf>
    <xf numFmtId="0" fontId="4" fillId="0" borderId="9" xfId="1" applyFont="1" applyBorder="1"/>
    <xf numFmtId="37" fontId="4" fillId="0" borderId="10" xfId="1" applyNumberFormat="1" applyFont="1" applyBorder="1"/>
    <xf numFmtId="0" fontId="4" fillId="0" borderId="12" xfId="1" applyFont="1" applyBorder="1"/>
    <xf numFmtId="37" fontId="4" fillId="0" borderId="10" xfId="1" applyNumberFormat="1" applyFont="1" applyBorder="1" applyAlignment="1">
      <alignment horizontal="center"/>
    </xf>
    <xf numFmtId="167" fontId="4" fillId="0" borderId="10" xfId="4" applyNumberFormat="1" applyFont="1" applyBorder="1"/>
    <xf numFmtId="0" fontId="4" fillId="0" borderId="14" xfId="1" applyFont="1" applyBorder="1" applyAlignment="1">
      <alignment horizontal="center"/>
    </xf>
    <xf numFmtId="0" fontId="4" fillId="0" borderId="34" xfId="1" applyFont="1" applyBorder="1"/>
    <xf numFmtId="37" fontId="4" fillId="0" borderId="11" xfId="1" applyNumberFormat="1" applyFont="1" applyBorder="1"/>
    <xf numFmtId="37" fontId="4" fillId="0" borderId="12" xfId="1" applyNumberFormat="1" applyFont="1" applyBorder="1"/>
    <xf numFmtId="37" fontId="4" fillId="0" borderId="18" xfId="1" applyNumberFormat="1" applyFont="1" applyBorder="1"/>
    <xf numFmtId="37" fontId="4" fillId="0" borderId="20" xfId="1" applyNumberFormat="1" applyFont="1" applyBorder="1"/>
    <xf numFmtId="174" fontId="3" fillId="0" borderId="0" xfId="5" applyNumberFormat="1" applyFont="1" applyBorder="1" applyAlignment="1">
      <alignment horizontal="right"/>
    </xf>
    <xf numFmtId="37" fontId="3" fillId="0" borderId="0" xfId="1" applyNumberFormat="1" applyFont="1" applyAlignment="1">
      <alignment horizontal="right"/>
    </xf>
    <xf numFmtId="0" fontId="3" fillId="4" borderId="31" xfId="1" applyFont="1" applyFill="1" applyBorder="1" applyAlignment="1">
      <alignment horizontal="right"/>
    </xf>
    <xf numFmtId="0" fontId="3" fillId="0" borderId="24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3" fillId="4" borderId="29" xfId="1" applyFont="1" applyFill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37" fontId="4" fillId="4" borderId="29" xfId="1" applyNumberFormat="1" applyFont="1" applyFill="1" applyBorder="1"/>
    <xf numFmtId="171" fontId="4" fillId="0" borderId="28" xfId="1" applyNumberFormat="1" applyFont="1" applyBorder="1"/>
    <xf numFmtId="165" fontId="4" fillId="0" borderId="28" xfId="1" applyNumberFormat="1" applyFont="1" applyBorder="1"/>
    <xf numFmtId="171" fontId="4" fillId="0" borderId="0" xfId="1" applyNumberFormat="1" applyFont="1"/>
    <xf numFmtId="175" fontId="4" fillId="0" borderId="0" xfId="1" applyNumberFormat="1" applyFont="1"/>
    <xf numFmtId="0" fontId="4" fillId="0" borderId="4" xfId="1" applyFont="1" applyBorder="1" applyAlignment="1">
      <alignment horizontal="center"/>
    </xf>
    <xf numFmtId="173" fontId="4" fillId="0" borderId="0" xfId="1" applyNumberFormat="1" applyFont="1" applyAlignment="1">
      <alignment horizontal="center"/>
    </xf>
    <xf numFmtId="37" fontId="4" fillId="4" borderId="31" xfId="1" applyNumberFormat="1" applyFont="1" applyFill="1" applyBorder="1"/>
    <xf numFmtId="171" fontId="4" fillId="0" borderId="24" xfId="1" applyNumberFormat="1" applyFont="1" applyBorder="1"/>
    <xf numFmtId="173" fontId="4" fillId="0" borderId="4" xfId="1" applyNumberFormat="1" applyFont="1" applyBorder="1" applyAlignment="1">
      <alignment horizontal="center"/>
    </xf>
    <xf numFmtId="37" fontId="4" fillId="0" borderId="26" xfId="1" applyNumberFormat="1" applyFont="1" applyBorder="1"/>
    <xf numFmtId="37" fontId="4" fillId="4" borderId="22" xfId="1" applyNumberFormat="1" applyFont="1" applyFill="1" applyBorder="1"/>
    <xf numFmtId="170" fontId="4" fillId="0" borderId="25" xfId="1" applyNumberFormat="1" applyFont="1" applyBorder="1" applyAlignment="1">
      <alignment horizontal="center"/>
    </xf>
    <xf numFmtId="171" fontId="4" fillId="0" borderId="27" xfId="1" applyNumberFormat="1" applyFont="1" applyBorder="1"/>
    <xf numFmtId="165" fontId="4" fillId="0" borderId="27" xfId="1" applyNumberFormat="1" applyFont="1" applyBorder="1"/>
    <xf numFmtId="170" fontId="4" fillId="0" borderId="1" xfId="1" applyNumberFormat="1" applyFont="1" applyBorder="1" applyAlignment="1">
      <alignment horizontal="center"/>
    </xf>
    <xf numFmtId="37" fontId="4" fillId="0" borderId="2" xfId="1" applyNumberFormat="1" applyFont="1" applyBorder="1"/>
    <xf numFmtId="37" fontId="4" fillId="0" borderId="3" xfId="1" applyNumberFormat="1" applyFont="1" applyBorder="1"/>
    <xf numFmtId="5" fontId="4" fillId="0" borderId="26" xfId="1" applyNumberFormat="1" applyFont="1" applyBorder="1"/>
    <xf numFmtId="172" fontId="4" fillId="0" borderId="0" xfId="5" applyNumberFormat="1" applyFont="1"/>
    <xf numFmtId="5" fontId="3" fillId="0" borderId="0" xfId="1" applyNumberFormat="1" applyFont="1"/>
    <xf numFmtId="170" fontId="4" fillId="0" borderId="11" xfId="1" applyNumberFormat="1" applyFont="1" applyBorder="1" applyAlignment="1">
      <alignment horizontal="center"/>
    </xf>
    <xf numFmtId="0" fontId="4" fillId="4" borderId="35" xfId="1" applyFont="1" applyFill="1" applyBorder="1"/>
    <xf numFmtId="170" fontId="4" fillId="6" borderId="11" xfId="1" applyNumberFormat="1" applyFont="1" applyFill="1" applyBorder="1" applyAlignment="1">
      <alignment horizontal="center"/>
    </xf>
    <xf numFmtId="37" fontId="12" fillId="0" borderId="0" xfId="7" applyNumberFormat="1" applyFont="1"/>
    <xf numFmtId="176" fontId="13" fillId="0" borderId="0" xfId="7" applyFont="1"/>
    <xf numFmtId="39" fontId="13" fillId="0" borderId="0" xfId="7" applyNumberFormat="1" applyFont="1"/>
    <xf numFmtId="39" fontId="13" fillId="0" borderId="0" xfId="7" applyNumberFormat="1" applyFont="1" applyAlignment="1">
      <alignment horizontal="left"/>
    </xf>
    <xf numFmtId="0" fontId="13" fillId="0" borderId="0" xfId="7" applyNumberFormat="1" applyFont="1" applyAlignment="1">
      <alignment horizontal="left"/>
    </xf>
    <xf numFmtId="37" fontId="12" fillId="0" borderId="0" xfId="7" applyNumberFormat="1" applyFont="1" applyAlignment="1">
      <alignment horizontal="center"/>
    </xf>
    <xf numFmtId="39" fontId="13" fillId="0" borderId="0" xfId="7" applyNumberFormat="1" applyFont="1" applyAlignment="1">
      <alignment horizontal="center"/>
    </xf>
    <xf numFmtId="176" fontId="13" fillId="0" borderId="0" xfId="7" applyFont="1" applyAlignment="1">
      <alignment horizontal="center"/>
    </xf>
    <xf numFmtId="176" fontId="13" fillId="0" borderId="4" xfId="7" applyFont="1" applyBorder="1" applyAlignment="1">
      <alignment horizontal="center"/>
    </xf>
    <xf numFmtId="39" fontId="13" fillId="0" borderId="4" xfId="7" applyNumberFormat="1" applyFont="1" applyBorder="1" applyAlignment="1">
      <alignment horizontal="center"/>
    </xf>
    <xf numFmtId="176" fontId="13" fillId="0" borderId="0" xfId="7" applyFont="1" applyAlignment="1">
      <alignment horizontal="left"/>
    </xf>
    <xf numFmtId="3" fontId="14" fillId="0" borderId="0" xfId="7" applyNumberFormat="1" applyFont="1" applyAlignment="1">
      <alignment horizontal="center"/>
    </xf>
    <xf numFmtId="39" fontId="13" fillId="0" borderId="0" xfId="8" applyNumberFormat="1" applyFont="1"/>
    <xf numFmtId="176" fontId="13" fillId="0" borderId="0" xfId="8" applyFont="1"/>
    <xf numFmtId="10" fontId="13" fillId="0" borderId="0" xfId="7" applyNumberFormat="1" applyFont="1"/>
    <xf numFmtId="39" fontId="13" fillId="0" borderId="0" xfId="9" applyNumberFormat="1" applyFont="1"/>
    <xf numFmtId="176" fontId="13" fillId="0" borderId="0" xfId="10" applyNumberFormat="1" applyFont="1"/>
    <xf numFmtId="10" fontId="13" fillId="0" borderId="0" xfId="11" applyNumberFormat="1" applyFont="1" applyFill="1" applyBorder="1"/>
    <xf numFmtId="39" fontId="13" fillId="0" borderId="0" xfId="12" applyNumberFormat="1" applyFont="1" applyFill="1"/>
    <xf numFmtId="39" fontId="13" fillId="0" borderId="0" xfId="10" applyNumberFormat="1" applyFont="1"/>
    <xf numFmtId="0" fontId="7" fillId="0" borderId="0" xfId="13"/>
    <xf numFmtId="39" fontId="13" fillId="0" borderId="0" xfId="12" applyNumberFormat="1" applyFont="1" applyFill="1" applyBorder="1"/>
    <xf numFmtId="176" fontId="5" fillId="0" borderId="0" xfId="14" applyFont="1"/>
    <xf numFmtId="0" fontId="14" fillId="0" borderId="0" xfId="14" applyNumberFormat="1" applyFont="1" applyAlignment="1">
      <alignment horizontal="center"/>
    </xf>
    <xf numFmtId="176" fontId="13" fillId="0" borderId="0" xfId="14" applyFont="1"/>
    <xf numFmtId="176" fontId="15" fillId="0" borderId="0" xfId="14" applyFont="1"/>
    <xf numFmtId="10" fontId="13" fillId="2" borderId="0" xfId="11" applyNumberFormat="1" applyFont="1" applyFill="1" applyBorder="1"/>
    <xf numFmtId="39" fontId="15" fillId="0" borderId="0" xfId="7" applyNumberFormat="1" applyFont="1"/>
    <xf numFmtId="176" fontId="14" fillId="0" borderId="0" xfId="7" applyFont="1"/>
    <xf numFmtId="176" fontId="16" fillId="0" borderId="0" xfId="7" applyFont="1"/>
    <xf numFmtId="176" fontId="12" fillId="0" borderId="0" xfId="7" applyFont="1"/>
    <xf numFmtId="37" fontId="13" fillId="0" borderId="0" xfId="7" applyNumberFormat="1" applyFont="1"/>
    <xf numFmtId="37" fontId="14" fillId="0" borderId="0" xfId="7" applyNumberFormat="1" applyFont="1" applyAlignment="1">
      <alignment horizontal="center"/>
    </xf>
    <xf numFmtId="172" fontId="13" fillId="0" borderId="0" xfId="12" applyNumberFormat="1" applyFont="1" applyFill="1"/>
    <xf numFmtId="43" fontId="13" fillId="0" borderId="0" xfId="12" applyFont="1" applyFill="1"/>
    <xf numFmtId="10" fontId="13" fillId="0" borderId="0" xfId="15" applyNumberFormat="1" applyFont="1"/>
    <xf numFmtId="43" fontId="13" fillId="0" borderId="0" xfId="5" applyFont="1"/>
    <xf numFmtId="10" fontId="13" fillId="2" borderId="0" xfId="15" applyNumberFormat="1" applyFont="1" applyFill="1"/>
    <xf numFmtId="0" fontId="12" fillId="0" borderId="0" xfId="10" applyFont="1"/>
    <xf numFmtId="0" fontId="13" fillId="0" borderId="0" xfId="10" applyFont="1"/>
    <xf numFmtId="0" fontId="13" fillId="0" borderId="0" xfId="10" applyFont="1" applyAlignment="1">
      <alignment horizontal="left"/>
    </xf>
    <xf numFmtId="0" fontId="14" fillId="0" borderId="0" xfId="10" applyFont="1" applyAlignment="1">
      <alignment horizontal="left"/>
    </xf>
    <xf numFmtId="0" fontId="12" fillId="0" borderId="0" xfId="10" applyFont="1" applyAlignment="1">
      <alignment horizontal="center"/>
    </xf>
    <xf numFmtId="0" fontId="13" fillId="0" borderId="0" xfId="10" applyFont="1" applyAlignment="1">
      <alignment horizontal="center"/>
    </xf>
    <xf numFmtId="0" fontId="13" fillId="7" borderId="0" xfId="10" applyFont="1" applyFill="1"/>
    <xf numFmtId="39" fontId="13" fillId="7" borderId="0" xfId="10" applyNumberFormat="1" applyFont="1" applyFill="1"/>
    <xf numFmtId="0" fontId="13" fillId="7" borderId="0" xfId="10" applyFont="1" applyFill="1" applyAlignment="1">
      <alignment horizontal="center"/>
    </xf>
    <xf numFmtId="0" fontId="14" fillId="7" borderId="0" xfId="10" applyFont="1" applyFill="1"/>
    <xf numFmtId="39" fontId="13" fillId="7" borderId="0" xfId="10" applyNumberFormat="1" applyFont="1" applyFill="1" applyAlignment="1">
      <alignment horizontal="center"/>
    </xf>
    <xf numFmtId="0" fontId="13" fillId="0" borderId="4" xfId="10" applyFont="1" applyBorder="1" applyAlignment="1">
      <alignment horizontal="center"/>
    </xf>
    <xf numFmtId="0" fontId="13" fillId="8" borderId="0" xfId="10" applyFont="1" applyFill="1" applyAlignment="1">
      <alignment horizontal="center"/>
    </xf>
    <xf numFmtId="0" fontId="13" fillId="8" borderId="0" xfId="10" applyFont="1" applyFill="1" applyAlignment="1">
      <alignment horizontal="left"/>
    </xf>
    <xf numFmtId="0" fontId="13" fillId="8" borderId="0" xfId="10" applyFont="1" applyFill="1"/>
    <xf numFmtId="43" fontId="13" fillId="0" borderId="0" xfId="16" applyFont="1" applyFill="1"/>
    <xf numFmtId="10" fontId="13" fillId="0" borderId="0" xfId="17" applyNumberFormat="1" applyFont="1" applyFill="1"/>
    <xf numFmtId="39" fontId="13" fillId="0" borderId="0" xfId="16" applyNumberFormat="1" applyFont="1" applyFill="1"/>
    <xf numFmtId="167" fontId="13" fillId="0" borderId="0" xfId="17" applyNumberFormat="1" applyFont="1" applyFill="1"/>
    <xf numFmtId="43" fontId="14" fillId="0" borderId="0" xfId="16" applyFont="1" applyFill="1"/>
    <xf numFmtId="43" fontId="13" fillId="0" borderId="0" xfId="18" applyNumberFormat="1" applyFont="1"/>
    <xf numFmtId="43" fontId="13" fillId="0" borderId="0" xfId="16" applyFont="1" applyFill="1" applyBorder="1"/>
    <xf numFmtId="43" fontId="14" fillId="0" borderId="0" xfId="16" applyFont="1" applyFill="1" applyBorder="1"/>
    <xf numFmtId="37" fontId="13" fillId="0" borderId="0" xfId="19" applyNumberFormat="1" applyFont="1" applyFill="1" applyBorder="1" applyAlignment="1">
      <alignment horizontal="right" vertical="top"/>
    </xf>
    <xf numFmtId="0" fontId="14" fillId="0" borderId="0" xfId="18" applyFont="1" applyAlignment="1">
      <alignment vertical="top"/>
    </xf>
    <xf numFmtId="0" fontId="13" fillId="0" borderId="0" xfId="18" applyFont="1" applyAlignment="1">
      <alignment horizontal="right"/>
    </xf>
    <xf numFmtId="37" fontId="13" fillId="0" borderId="0" xfId="18" applyNumberFormat="1" applyFont="1" applyAlignment="1">
      <alignment horizontal="right"/>
    </xf>
    <xf numFmtId="37" fontId="13" fillId="0" borderId="0" xfId="18" applyNumberFormat="1" applyFont="1"/>
    <xf numFmtId="176" fontId="14" fillId="0" borderId="0" xfId="10" applyNumberFormat="1" applyFont="1"/>
    <xf numFmtId="0" fontId="13" fillId="0" borderId="0" xfId="18" applyFont="1"/>
    <xf numFmtId="0" fontId="7" fillId="0" borderId="0" xfId="18"/>
    <xf numFmtId="10" fontId="13" fillId="0" borderId="0" xfId="15" applyNumberFormat="1" applyFont="1" applyFill="1"/>
    <xf numFmtId="167" fontId="13" fillId="0" borderId="0" xfId="15" applyNumberFormat="1" applyFont="1" applyFill="1"/>
    <xf numFmtId="43" fontId="14" fillId="0" borderId="0" xfId="12" applyFont="1" applyFill="1"/>
    <xf numFmtId="39" fontId="14" fillId="0" borderId="0" xfId="12" applyNumberFormat="1" applyFont="1" applyFill="1" applyBorder="1"/>
    <xf numFmtId="0" fontId="15" fillId="0" borderId="0" xfId="10" applyFont="1"/>
    <xf numFmtId="39" fontId="15" fillId="0" borderId="0" xfId="10" applyNumberFormat="1" applyFont="1"/>
    <xf numFmtId="0" fontId="13" fillId="0" borderId="0" xfId="10" applyFont="1" applyAlignment="1">
      <alignment vertical="top"/>
    </xf>
    <xf numFmtId="0" fontId="13" fillId="0" borderId="0" xfId="10" applyFont="1" applyAlignment="1">
      <alignment vertical="top" wrapText="1"/>
    </xf>
    <xf numFmtId="0" fontId="14" fillId="0" borderId="0" xfId="10" quotePrefix="1" applyFont="1"/>
    <xf numFmtId="0" fontId="17" fillId="0" borderId="0" xfId="10" applyFont="1"/>
    <xf numFmtId="43" fontId="13" fillId="0" borderId="0" xfId="10" applyNumberFormat="1" applyFont="1"/>
    <xf numFmtId="0" fontId="14" fillId="0" borderId="0" xfId="13" applyFont="1" applyAlignment="1">
      <alignment vertical="top"/>
    </xf>
    <xf numFmtId="0" fontId="13" fillId="0" borderId="0" xfId="13" applyFont="1" applyAlignment="1">
      <alignment horizontal="right"/>
    </xf>
    <xf numFmtId="37" fontId="13" fillId="0" borderId="0" xfId="13" applyNumberFormat="1" applyFont="1" applyAlignment="1">
      <alignment horizontal="right"/>
    </xf>
    <xf numFmtId="37" fontId="13" fillId="0" borderId="0" xfId="13" applyNumberFormat="1" applyFont="1"/>
    <xf numFmtId="0" fontId="13" fillId="0" borderId="0" xfId="13" applyFont="1"/>
    <xf numFmtId="0" fontId="14" fillId="0" borderId="0" xfId="13" applyFont="1"/>
    <xf numFmtId="10" fontId="13" fillId="0" borderId="0" xfId="20" applyNumberFormat="1" applyFont="1" applyFill="1" applyBorder="1"/>
    <xf numFmtId="172" fontId="13" fillId="0" borderId="0" xfId="19" applyNumberFormat="1" applyFont="1" applyFill="1" applyBorder="1"/>
    <xf numFmtId="172" fontId="18" fillId="0" borderId="0" xfId="19" applyNumberFormat="1" applyFont="1" applyFill="1" applyBorder="1"/>
    <xf numFmtId="172" fontId="15" fillId="0" borderId="0" xfId="19" applyNumberFormat="1" applyFont="1" applyFill="1" applyBorder="1"/>
    <xf numFmtId="0" fontId="15" fillId="0" borderId="0" xfId="13" applyFont="1"/>
    <xf numFmtId="0" fontId="13" fillId="0" borderId="0" xfId="13" applyFont="1" applyAlignment="1">
      <alignment horizontal="center"/>
    </xf>
    <xf numFmtId="37" fontId="7" fillId="0" borderId="0" xfId="13" applyNumberFormat="1"/>
    <xf numFmtId="172" fontId="5" fillId="0" borderId="0" xfId="19" applyNumberFormat="1" applyFont="1" applyFill="1" applyBorder="1"/>
    <xf numFmtId="167" fontId="13" fillId="0" borderId="0" xfId="13" applyNumberFormat="1" applyFont="1"/>
    <xf numFmtId="37" fontId="19" fillId="0" borderId="0" xfId="13" applyNumberFormat="1" applyFont="1"/>
    <xf numFmtId="3" fontId="13" fillId="0" borderId="0" xfId="19" applyNumberFormat="1" applyFont="1" applyFill="1" applyBorder="1" applyAlignment="1">
      <alignment horizontal="right" vertical="top"/>
    </xf>
    <xf numFmtId="37" fontId="13" fillId="0" borderId="0" xfId="13" quotePrefix="1" applyNumberFormat="1" applyFont="1" applyAlignment="1">
      <alignment horizontal="right"/>
    </xf>
    <xf numFmtId="0" fontId="13" fillId="0" borderId="0" xfId="13" applyFont="1" applyAlignment="1">
      <alignment vertical="top"/>
    </xf>
    <xf numFmtId="172" fontId="13" fillId="0" borderId="0" xfId="19" applyNumberFormat="1" applyFont="1" applyFill="1" applyBorder="1" applyAlignment="1">
      <alignment horizontal="right" vertical="top"/>
    </xf>
    <xf numFmtId="0" fontId="14" fillId="0" borderId="0" xfId="13" quotePrefix="1" applyFont="1" applyAlignment="1">
      <alignment horizontal="left" vertical="top"/>
    </xf>
    <xf numFmtId="37" fontId="14" fillId="0" borderId="0" xfId="13" applyNumberFormat="1" applyFont="1"/>
    <xf numFmtId="43" fontId="13" fillId="0" borderId="0" xfId="12" applyFont="1" applyFill="1" applyBorder="1"/>
    <xf numFmtId="167" fontId="13" fillId="2" borderId="0" xfId="17" applyNumberFormat="1" applyFont="1" applyFill="1"/>
    <xf numFmtId="0" fontId="14" fillId="0" borderId="0" xfId="10" applyFont="1"/>
    <xf numFmtId="10" fontId="13" fillId="0" borderId="0" xfId="4" applyNumberFormat="1" applyFont="1"/>
    <xf numFmtId="9" fontId="13" fillId="0" borderId="0" xfId="4" applyFont="1"/>
    <xf numFmtId="167" fontId="13" fillId="2" borderId="0" xfId="15" applyNumberFormat="1" applyFont="1" applyFill="1"/>
    <xf numFmtId="39" fontId="4" fillId="2" borderId="0" xfId="1" applyNumberFormat="1" applyFont="1" applyFill="1"/>
    <xf numFmtId="179" fontId="4" fillId="2" borderId="0" xfId="1" applyNumberFormat="1" applyFont="1" applyFill="1"/>
    <xf numFmtId="7" fontId="3" fillId="2" borderId="0" xfId="1" applyNumberFormat="1" applyFont="1" applyFill="1" applyAlignment="1">
      <alignment horizontal="center"/>
    </xf>
    <xf numFmtId="14" fontId="4" fillId="2" borderId="0" xfId="1" applyNumberFormat="1" applyFont="1" applyFill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39" xfId="1" applyNumberFormat="1" applyFont="1" applyFill="1" applyBorder="1" applyAlignment="1">
      <alignment horizontal="center"/>
    </xf>
    <xf numFmtId="0" fontId="3" fillId="2" borderId="39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right"/>
    </xf>
    <xf numFmtId="0" fontId="3" fillId="2" borderId="42" xfId="1" applyFont="1" applyFill="1" applyBorder="1" applyAlignment="1">
      <alignment horizontal="center"/>
    </xf>
    <xf numFmtId="7" fontId="3" fillId="2" borderId="4" xfId="1" applyNumberFormat="1" applyFont="1" applyFill="1" applyBorder="1"/>
    <xf numFmtId="171" fontId="3" fillId="2" borderId="4" xfId="1" applyNumberFormat="1" applyFont="1" applyFill="1" applyBorder="1"/>
    <xf numFmtId="171" fontId="3" fillId="2" borderId="0" xfId="1" applyNumberFormat="1" applyFont="1" applyFill="1"/>
    <xf numFmtId="171" fontId="4" fillId="2" borderId="2" xfId="1" applyNumberFormat="1" applyFont="1" applyFill="1" applyBorder="1"/>
    <xf numFmtId="39" fontId="4" fillId="2" borderId="4" xfId="1" applyNumberFormat="1" applyFont="1" applyFill="1" applyBorder="1"/>
    <xf numFmtId="39" fontId="4" fillId="2" borderId="16" xfId="1" applyNumberFormat="1" applyFont="1" applyFill="1" applyBorder="1"/>
    <xf numFmtId="39" fontId="4" fillId="2" borderId="2" xfId="1" applyNumberFormat="1" applyFont="1" applyFill="1" applyBorder="1"/>
    <xf numFmtId="0" fontId="4" fillId="2" borderId="11" xfId="1" applyFont="1" applyFill="1" applyBorder="1" applyAlignment="1">
      <alignment horizontal="center"/>
    </xf>
    <xf numFmtId="0" fontId="21" fillId="0" borderId="0" xfId="1" applyFont="1"/>
    <xf numFmtId="0" fontId="13" fillId="0" borderId="0" xfId="1" applyFont="1"/>
    <xf numFmtId="0" fontId="14" fillId="0" borderId="0" xfId="1" applyFont="1"/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37" fontId="13" fillId="0" borderId="0" xfId="1" applyNumberFormat="1" applyFont="1"/>
    <xf numFmtId="0" fontId="12" fillId="0" borderId="0" xfId="1" applyFont="1"/>
    <xf numFmtId="0" fontId="16" fillId="0" borderId="0" xfId="1" applyFont="1"/>
    <xf numFmtId="0" fontId="19" fillId="0" borderId="0" xfId="1" applyFont="1"/>
    <xf numFmtId="0" fontId="12" fillId="2" borderId="0" xfId="1" applyFont="1" applyFill="1"/>
    <xf numFmtId="37" fontId="13" fillId="0" borderId="4" xfId="1" applyNumberFormat="1" applyFont="1" applyBorder="1"/>
    <xf numFmtId="5" fontId="14" fillId="0" borderId="45" xfId="1" applyNumberFormat="1" applyFont="1" applyBorder="1"/>
    <xf numFmtId="0" fontId="14" fillId="0" borderId="0" xfId="1" quotePrefix="1" applyFont="1"/>
    <xf numFmtId="0" fontId="13" fillId="0" borderId="0" xfId="1" quotePrefix="1" applyFont="1"/>
    <xf numFmtId="5" fontId="14" fillId="0" borderId="0" xfId="2" applyNumberFormat="1" applyFont="1" applyFill="1"/>
    <xf numFmtId="37" fontId="14" fillId="0" borderId="0" xfId="1" applyNumberFormat="1" applyFont="1"/>
    <xf numFmtId="10" fontId="14" fillId="0" borderId="0" xfId="4" applyNumberFormat="1" applyFont="1"/>
    <xf numFmtId="176" fontId="21" fillId="2" borderId="0" xfId="21" applyFont="1" applyFill="1"/>
    <xf numFmtId="176" fontId="14" fillId="2" borderId="0" xfId="21" applyFont="1" applyFill="1"/>
    <xf numFmtId="176" fontId="13" fillId="2" borderId="0" xfId="21" applyFont="1" applyFill="1"/>
    <xf numFmtId="15" fontId="14" fillId="2" borderId="0" xfId="21" applyNumberFormat="1" applyFont="1" applyFill="1"/>
    <xf numFmtId="10" fontId="13" fillId="2" borderId="0" xfId="21" applyNumberFormat="1" applyFont="1" applyFill="1" applyAlignment="1">
      <alignment horizontal="center"/>
    </xf>
    <xf numFmtId="176" fontId="14" fillId="2" borderId="0" xfId="21" applyFont="1" applyFill="1" applyAlignment="1">
      <alignment horizontal="center"/>
    </xf>
    <xf numFmtId="15" fontId="14" fillId="2" borderId="0" xfId="21" quotePrefix="1" applyNumberFormat="1" applyFont="1" applyFill="1"/>
    <xf numFmtId="176" fontId="14" fillId="2" borderId="0" xfId="21" quotePrefix="1" applyFont="1" applyFill="1" applyAlignment="1">
      <alignment horizontal="center"/>
    </xf>
    <xf numFmtId="176" fontId="14" fillId="2" borderId="4" xfId="21" applyFont="1" applyFill="1" applyBorder="1" applyAlignment="1">
      <alignment horizontal="center"/>
    </xf>
    <xf numFmtId="14" fontId="14" fillId="2" borderId="4" xfId="21" quotePrefix="1" applyNumberFormat="1" applyFont="1" applyFill="1" applyBorder="1" applyAlignment="1">
      <alignment horizontal="center"/>
    </xf>
    <xf numFmtId="14" fontId="14" fillId="2" borderId="4" xfId="21" applyNumberFormat="1" applyFont="1" applyFill="1" applyBorder="1" applyAlignment="1">
      <alignment horizontal="center"/>
    </xf>
    <xf numFmtId="176" fontId="14" fillId="2" borderId="0" xfId="21" applyFont="1" applyFill="1" applyAlignment="1">
      <alignment horizontal="centerContinuous"/>
    </xf>
    <xf numFmtId="37" fontId="13" fillId="2" borderId="0" xfId="21" applyNumberFormat="1" applyFont="1" applyFill="1"/>
    <xf numFmtId="14" fontId="14" fillId="2" borderId="0" xfId="21" applyNumberFormat="1" applyFont="1" applyFill="1" applyAlignment="1">
      <alignment horizontal="center"/>
    </xf>
    <xf numFmtId="176" fontId="12" fillId="2" borderId="0" xfId="21" applyFont="1" applyFill="1" applyAlignment="1">
      <alignment horizontal="center"/>
    </xf>
    <xf numFmtId="10" fontId="17" fillId="2" borderId="32" xfId="4" applyNumberFormat="1" applyFont="1" applyFill="1" applyBorder="1" applyAlignment="1">
      <alignment horizontal="center"/>
    </xf>
    <xf numFmtId="37" fontId="12" fillId="2" borderId="0" xfId="21" applyNumberFormat="1" applyFont="1" applyFill="1" applyAlignment="1">
      <alignment horizontal="center"/>
    </xf>
    <xf numFmtId="181" fontId="13" fillId="2" borderId="0" xfId="21" applyNumberFormat="1" applyFont="1" applyFill="1"/>
    <xf numFmtId="39" fontId="13" fillId="2" borderId="0" xfId="21" applyNumberFormat="1" applyFont="1" applyFill="1"/>
    <xf numFmtId="176" fontId="14" fillId="2" borderId="2" xfId="21" applyFont="1" applyFill="1" applyBorder="1" applyAlignment="1">
      <alignment horizontal="left" indent="1"/>
    </xf>
    <xf numFmtId="43" fontId="13" fillId="2" borderId="0" xfId="5" quotePrefix="1" applyFont="1" applyFill="1"/>
    <xf numFmtId="37" fontId="13" fillId="2" borderId="0" xfId="22" applyNumberFormat="1" applyFont="1" applyFill="1">
      <alignment vertical="top"/>
    </xf>
    <xf numFmtId="37" fontId="13" fillId="2" borderId="0" xfId="21" applyNumberFormat="1" applyFont="1" applyFill="1" applyAlignment="1">
      <alignment horizontal="center"/>
    </xf>
    <xf numFmtId="37" fontId="13" fillId="2" borderId="4" xfId="21" applyNumberFormat="1" applyFont="1" applyFill="1" applyBorder="1"/>
    <xf numFmtId="37" fontId="13" fillId="2" borderId="0" xfId="21" quotePrefix="1" applyNumberFormat="1" applyFont="1" applyFill="1"/>
    <xf numFmtId="37" fontId="13" fillId="2" borderId="4" xfId="22" applyNumberFormat="1" applyFont="1" applyFill="1" applyBorder="1">
      <alignment vertical="top"/>
    </xf>
    <xf numFmtId="37" fontId="22" fillId="2" borderId="0" xfId="21" applyNumberFormat="1" applyFont="1" applyFill="1" applyAlignment="1">
      <alignment horizontal="left"/>
    </xf>
    <xf numFmtId="37" fontId="13" fillId="2" borderId="26" xfId="21" applyNumberFormat="1" applyFont="1" applyFill="1" applyBorder="1"/>
    <xf numFmtId="37" fontId="13" fillId="2" borderId="26" xfId="22" quotePrefix="1" applyNumberFormat="1" applyFont="1" applyFill="1" applyBorder="1">
      <alignment vertical="top"/>
    </xf>
    <xf numFmtId="37" fontId="22" fillId="2" borderId="0" xfId="21" applyNumberFormat="1" applyFont="1" applyFill="1"/>
    <xf numFmtId="37" fontId="14" fillId="2" borderId="0" xfId="21" applyNumberFormat="1" applyFont="1" applyFill="1"/>
    <xf numFmtId="37" fontId="13" fillId="2" borderId="4" xfId="21" quotePrefix="1" applyNumberFormat="1" applyFont="1" applyFill="1" applyBorder="1"/>
    <xf numFmtId="176" fontId="13" fillId="2" borderId="0" xfId="21" applyFont="1" applyFill="1" applyAlignment="1">
      <alignment horizontal="left" indent="1"/>
    </xf>
    <xf numFmtId="37" fontId="13" fillId="2" borderId="38" xfId="21" applyNumberFormat="1" applyFont="1" applyFill="1" applyBorder="1"/>
    <xf numFmtId="37" fontId="13" fillId="2" borderId="46" xfId="21" applyNumberFormat="1" applyFont="1" applyFill="1" applyBorder="1"/>
    <xf numFmtId="176" fontId="13" fillId="2" borderId="36" xfId="21" applyFont="1" applyFill="1" applyBorder="1"/>
    <xf numFmtId="37" fontId="13" fillId="2" borderId="0" xfId="22" applyNumberFormat="1" applyFont="1" applyFill="1" applyAlignment="1">
      <alignment horizontal="right" vertical="top"/>
    </xf>
    <xf numFmtId="37" fontId="13" fillId="2" borderId="0" xfId="21" applyNumberFormat="1" applyFont="1" applyFill="1" applyAlignment="1">
      <alignment horizontal="left"/>
    </xf>
    <xf numFmtId="170" fontId="4" fillId="2" borderId="0" xfId="14" applyNumberFormat="1" applyFont="1" applyFill="1"/>
    <xf numFmtId="37" fontId="13" fillId="2" borderId="40" xfId="23" applyNumberFormat="1" applyFont="1" applyFill="1" applyBorder="1">
      <alignment vertical="top"/>
    </xf>
    <xf numFmtId="37" fontId="13" fillId="2" borderId="0" xfId="23" applyNumberFormat="1" applyFont="1" applyFill="1">
      <alignment vertical="top"/>
    </xf>
    <xf numFmtId="171" fontId="13" fillId="2" borderId="47" xfId="21" applyNumberFormat="1" applyFont="1" applyFill="1" applyBorder="1"/>
    <xf numFmtId="37" fontId="13" fillId="2" borderId="41" xfId="23" applyNumberFormat="1" applyFont="1" applyFill="1" applyBorder="1">
      <alignment vertical="top"/>
    </xf>
    <xf numFmtId="37" fontId="13" fillId="2" borderId="14" xfId="23" applyNumberFormat="1" applyFont="1" applyFill="1" applyBorder="1">
      <alignment vertical="top"/>
    </xf>
    <xf numFmtId="171" fontId="13" fillId="2" borderId="37" xfId="21" applyNumberFormat="1" applyFont="1" applyFill="1" applyBorder="1"/>
    <xf numFmtId="43" fontId="13" fillId="2" borderId="4" xfId="5" applyFont="1" applyFill="1" applyBorder="1"/>
    <xf numFmtId="171" fontId="13" fillId="2" borderId="0" xfId="14" applyNumberFormat="1" applyFont="1" applyFill="1"/>
    <xf numFmtId="4" fontId="13" fillId="2" borderId="0" xfId="21" applyNumberFormat="1" applyFont="1" applyFill="1"/>
    <xf numFmtId="9" fontId="13" fillId="2" borderId="0" xfId="21" applyNumberFormat="1" applyFont="1" applyFill="1"/>
    <xf numFmtId="176" fontId="14" fillId="2" borderId="0" xfId="21" quotePrefix="1" applyFont="1" applyFill="1" applyAlignment="1">
      <alignment horizontal="left" indent="1"/>
    </xf>
    <xf numFmtId="43" fontId="13" fillId="2" borderId="0" xfId="5" applyFont="1" applyFill="1"/>
    <xf numFmtId="37" fontId="13" fillId="2" borderId="26" xfId="22" applyNumberFormat="1" applyFont="1" applyFill="1" applyBorder="1">
      <alignment vertical="top"/>
    </xf>
    <xf numFmtId="10" fontId="13" fillId="2" borderId="0" xfId="4" applyNumberFormat="1" applyFont="1" applyFill="1" applyAlignment="1">
      <alignment vertical="top"/>
    </xf>
    <xf numFmtId="37" fontId="23" fillId="2" borderId="0" xfId="21" applyNumberFormat="1" applyFont="1" applyFill="1"/>
    <xf numFmtId="10" fontId="13" fillId="2" borderId="4" xfId="4" applyNumberFormat="1" applyFont="1" applyFill="1" applyBorder="1" applyAlignment="1">
      <alignment vertical="top"/>
    </xf>
    <xf numFmtId="43" fontId="13" fillId="2" borderId="26" xfId="5" applyFont="1" applyFill="1" applyBorder="1"/>
    <xf numFmtId="43" fontId="13" fillId="2" borderId="0" xfId="5" applyFont="1" applyFill="1" applyAlignment="1">
      <alignment vertical="top"/>
    </xf>
    <xf numFmtId="37" fontId="14" fillId="2" borderId="45" xfId="21" applyNumberFormat="1" applyFont="1" applyFill="1" applyBorder="1"/>
    <xf numFmtId="176" fontId="19" fillId="2" borderId="0" xfId="21" applyFont="1" applyFill="1"/>
    <xf numFmtId="176" fontId="22" fillId="2" borderId="0" xfId="21" applyFont="1" applyFill="1"/>
    <xf numFmtId="4" fontId="14" fillId="2" borderId="0" xfId="21" applyNumberFormat="1" applyFont="1" applyFill="1"/>
    <xf numFmtId="0" fontId="14" fillId="2" borderId="0" xfId="21" applyNumberFormat="1" applyFont="1" applyFill="1"/>
    <xf numFmtId="0" fontId="13" fillId="2" borderId="0" xfId="21" applyNumberFormat="1" applyFont="1" applyFill="1"/>
    <xf numFmtId="0" fontId="13" fillId="2" borderId="0" xfId="21" applyNumberFormat="1" applyFont="1" applyFill="1" applyAlignment="1">
      <alignment horizontal="left" indent="1"/>
    </xf>
    <xf numFmtId="0" fontId="13" fillId="0" borderId="0" xfId="1" applyFont="1" applyAlignment="1">
      <alignment wrapText="1"/>
    </xf>
    <xf numFmtId="0" fontId="3" fillId="0" borderId="0" xfId="24" applyFont="1"/>
    <xf numFmtId="0" fontId="4" fillId="0" borderId="0" xfId="24" applyFont="1"/>
    <xf numFmtId="165" fontId="4" fillId="0" borderId="0" xfId="24" applyNumberFormat="1" applyFont="1"/>
    <xf numFmtId="0" fontId="4" fillId="0" borderId="0" xfId="3" applyFont="1"/>
    <xf numFmtId="0" fontId="3" fillId="0" borderId="0" xfId="24" quotePrefix="1" applyFont="1" applyAlignment="1">
      <alignment horizontal="center"/>
    </xf>
    <xf numFmtId="0" fontId="4" fillId="0" borderId="0" xfId="24" applyFont="1" applyAlignment="1">
      <alignment horizontal="center"/>
    </xf>
    <xf numFmtId="0" fontId="3" fillId="0" borderId="0" xfId="24" applyFont="1" applyAlignment="1">
      <alignment horizontal="center"/>
    </xf>
    <xf numFmtId="0" fontId="4" fillId="0" borderId="0" xfId="24" applyFont="1" applyAlignment="1">
      <alignment horizontal="center" wrapText="1"/>
    </xf>
    <xf numFmtId="0" fontId="4" fillId="0" borderId="9" xfId="24" applyFont="1" applyBorder="1"/>
    <xf numFmtId="37" fontId="4" fillId="0" borderId="13" xfId="24" applyNumberFormat="1" applyFont="1" applyBorder="1"/>
    <xf numFmtId="0" fontId="4" fillId="0" borderId="14" xfId="24" applyFont="1" applyBorder="1"/>
    <xf numFmtId="165" fontId="4" fillId="0" borderId="15" xfId="24" applyNumberFormat="1" applyFont="1" applyBorder="1"/>
    <xf numFmtId="166" fontId="3" fillId="0" borderId="10" xfId="25" applyNumberFormat="1" applyFont="1" applyBorder="1"/>
    <xf numFmtId="0" fontId="4" fillId="0" borderId="11" xfId="24" applyFont="1" applyBorder="1"/>
    <xf numFmtId="165" fontId="4" fillId="0" borderId="12" xfId="24" applyNumberFormat="1" applyFont="1" applyBorder="1"/>
    <xf numFmtId="166" fontId="3" fillId="0" borderId="10" xfId="25" applyNumberFormat="1" applyFont="1" applyFill="1" applyBorder="1"/>
    <xf numFmtId="166" fontId="4" fillId="0" borderId="16" xfId="25" applyNumberFormat="1" applyFont="1" applyFill="1" applyBorder="1"/>
    <xf numFmtId="167" fontId="4" fillId="0" borderId="10" xfId="26" applyNumberFormat="1" applyFont="1" applyBorder="1"/>
    <xf numFmtId="0" fontId="4" fillId="0" borderId="11" xfId="24" applyFont="1" applyBorder="1" applyAlignment="1">
      <alignment horizontal="left"/>
    </xf>
    <xf numFmtId="165" fontId="4" fillId="0" borderId="12" xfId="24" applyNumberFormat="1" applyFont="1" applyBorder="1" applyAlignment="1">
      <alignment horizontal="left"/>
    </xf>
    <xf numFmtId="167" fontId="4" fillId="0" borderId="10" xfId="26" applyNumberFormat="1" applyFont="1" applyBorder="1" applyAlignment="1">
      <alignment horizontal="right"/>
    </xf>
    <xf numFmtId="167" fontId="4" fillId="0" borderId="10" xfId="26" applyNumberFormat="1" applyFont="1" applyFill="1" applyBorder="1" applyAlignment="1">
      <alignment horizontal="right"/>
    </xf>
    <xf numFmtId="43" fontId="4" fillId="0" borderId="0" xfId="27" applyFont="1" applyFill="1"/>
    <xf numFmtId="0" fontId="4" fillId="0" borderId="14" xfId="24" applyFont="1" applyBorder="1" applyAlignment="1">
      <alignment horizontal="center"/>
    </xf>
    <xf numFmtId="0" fontId="3" fillId="0" borderId="14" xfId="24" applyFont="1" applyBorder="1" applyAlignment="1">
      <alignment horizontal="center"/>
    </xf>
    <xf numFmtId="0" fontId="4" fillId="0" borderId="17" xfId="24" applyFont="1" applyBorder="1"/>
    <xf numFmtId="37" fontId="3" fillId="0" borderId="18" xfId="24" applyNumberFormat="1" applyFont="1" applyBorder="1"/>
    <xf numFmtId="37" fontId="4" fillId="0" borderId="19" xfId="24" applyNumberFormat="1" applyFont="1" applyBorder="1"/>
    <xf numFmtId="165" fontId="4" fillId="0" borderId="20" xfId="24" applyNumberFormat="1" applyFont="1" applyBorder="1"/>
    <xf numFmtId="0" fontId="3" fillId="0" borderId="0" xfId="24" applyFont="1" applyAlignment="1">
      <alignment horizontal="right"/>
    </xf>
    <xf numFmtId="166" fontId="3" fillId="0" borderId="0" xfId="25" applyNumberFormat="1" applyFont="1" applyFill="1" applyAlignment="1">
      <alignment horizontal="right"/>
    </xf>
    <xf numFmtId="0" fontId="3" fillId="4" borderId="22" xfId="24" applyFont="1" applyFill="1" applyBorder="1" applyAlignment="1">
      <alignment horizontal="right"/>
    </xf>
    <xf numFmtId="0" fontId="3" fillId="0" borderId="23" xfId="24" applyFont="1" applyBorder="1" applyAlignment="1">
      <alignment horizontal="center"/>
    </xf>
    <xf numFmtId="165" fontId="4" fillId="0" borderId="24" xfId="24" applyNumberFormat="1" applyFont="1" applyBorder="1" applyAlignment="1">
      <alignment horizontal="center"/>
    </xf>
    <xf numFmtId="0" fontId="10" fillId="0" borderId="0" xfId="24" applyFont="1" applyAlignment="1">
      <alignment horizontal="center" wrapText="1"/>
    </xf>
    <xf numFmtId="0" fontId="4" fillId="0" borderId="26" xfId="24" applyFont="1" applyBorder="1" applyAlignment="1">
      <alignment horizontal="center"/>
    </xf>
    <xf numFmtId="0" fontId="3" fillId="0" borderId="4" xfId="24" applyFont="1" applyBorder="1" applyAlignment="1">
      <alignment horizontal="center"/>
    </xf>
    <xf numFmtId="0" fontId="3" fillId="4" borderId="29" xfId="24" applyFont="1" applyFill="1" applyBorder="1" applyAlignment="1">
      <alignment horizontal="center"/>
    </xf>
    <xf numFmtId="0" fontId="3" fillId="0" borderId="30" xfId="24" applyFont="1" applyBorder="1" applyAlignment="1">
      <alignment horizontal="center"/>
    </xf>
    <xf numFmtId="165" fontId="3" fillId="0" borderId="28" xfId="24" applyNumberFormat="1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3" fillId="0" borderId="27" xfId="3" applyFont="1" applyBorder="1" applyAlignment="1">
      <alignment horizontal="center"/>
    </xf>
    <xf numFmtId="0" fontId="4" fillId="0" borderId="2" xfId="24" applyFont="1" applyBorder="1" applyAlignment="1">
      <alignment horizontal="center"/>
    </xf>
    <xf numFmtId="37" fontId="4" fillId="0" borderId="4" xfId="24" applyNumberFormat="1" applyFont="1" applyBorder="1"/>
    <xf numFmtId="168" fontId="4" fillId="0" borderId="4" xfId="24" applyNumberFormat="1" applyFont="1" applyBorder="1"/>
    <xf numFmtId="5" fontId="4" fillId="0" borderId="4" xfId="24" applyNumberFormat="1" applyFont="1" applyBorder="1"/>
    <xf numFmtId="7" fontId="4" fillId="0" borderId="4" xfId="24" applyNumberFormat="1" applyFont="1" applyBorder="1"/>
    <xf numFmtId="169" fontId="4" fillId="0" borderId="4" xfId="24" applyNumberFormat="1" applyFont="1" applyBorder="1"/>
    <xf numFmtId="165" fontId="4" fillId="4" borderId="29" xfId="24" applyNumberFormat="1" applyFont="1" applyFill="1" applyBorder="1"/>
    <xf numFmtId="5" fontId="4" fillId="2" borderId="2" xfId="28" applyNumberFormat="1" applyFont="1" applyFill="1" applyBorder="1"/>
    <xf numFmtId="165" fontId="4" fillId="0" borderId="28" xfId="24" applyNumberFormat="1" applyFont="1" applyBorder="1"/>
    <xf numFmtId="168" fontId="4" fillId="0" borderId="28" xfId="24" applyNumberFormat="1" applyFont="1" applyBorder="1"/>
    <xf numFmtId="7" fontId="4" fillId="0" borderId="0" xfId="24" applyNumberFormat="1" applyFont="1"/>
    <xf numFmtId="179" fontId="3" fillId="0" borderId="23" xfId="26" applyNumberFormat="1" applyFont="1" applyFill="1" applyBorder="1"/>
    <xf numFmtId="179" fontId="3" fillId="0" borderId="24" xfId="26" applyNumberFormat="1" applyFont="1" applyFill="1" applyBorder="1"/>
    <xf numFmtId="44" fontId="4" fillId="0" borderId="0" xfId="25" applyFont="1" applyBorder="1"/>
    <xf numFmtId="44" fontId="4" fillId="0" borderId="0" xfId="24" applyNumberFormat="1" applyFont="1"/>
    <xf numFmtId="0" fontId="4" fillId="0" borderId="4" xfId="24" applyFont="1" applyBorder="1" applyAlignment="1">
      <alignment horizontal="center"/>
    </xf>
    <xf numFmtId="173" fontId="4" fillId="0" borderId="0" xfId="24" applyNumberFormat="1" applyFont="1" applyAlignment="1">
      <alignment horizontal="center"/>
    </xf>
    <xf numFmtId="37" fontId="4" fillId="0" borderId="0" xfId="24" applyNumberFormat="1" applyFont="1"/>
    <xf numFmtId="168" fontId="4" fillId="0" borderId="0" xfId="24" applyNumberFormat="1" applyFont="1"/>
    <xf numFmtId="5" fontId="4" fillId="0" borderId="0" xfId="24" applyNumberFormat="1" applyFont="1"/>
    <xf numFmtId="165" fontId="4" fillId="4" borderId="31" xfId="24" applyNumberFormat="1" applyFont="1" applyFill="1" applyBorder="1"/>
    <xf numFmtId="5" fontId="4" fillId="0" borderId="0" xfId="28" applyNumberFormat="1" applyFont="1"/>
    <xf numFmtId="165" fontId="4" fillId="0" borderId="24" xfId="28" applyNumberFormat="1" applyFont="1" applyBorder="1"/>
    <xf numFmtId="37" fontId="4" fillId="0" borderId="0" xfId="28" applyNumberFormat="1" applyFont="1"/>
    <xf numFmtId="168" fontId="4" fillId="0" borderId="24" xfId="24" applyNumberFormat="1" applyFont="1" applyBorder="1"/>
    <xf numFmtId="173" fontId="4" fillId="0" borderId="4" xfId="24" applyNumberFormat="1" applyFont="1" applyBorder="1" applyAlignment="1">
      <alignment horizontal="center"/>
    </xf>
    <xf numFmtId="179" fontId="4" fillId="0" borderId="23" xfId="26" applyNumberFormat="1" applyFont="1" applyFill="1" applyBorder="1"/>
    <xf numFmtId="179" fontId="4" fillId="0" borderId="24" xfId="26" applyNumberFormat="1" applyFont="1" applyFill="1" applyBorder="1"/>
    <xf numFmtId="37" fontId="4" fillId="0" borderId="26" xfId="24" applyNumberFormat="1" applyFont="1" applyBorder="1"/>
    <xf numFmtId="165" fontId="4" fillId="4" borderId="22" xfId="24" applyNumberFormat="1" applyFont="1" applyFill="1" applyBorder="1"/>
    <xf numFmtId="169" fontId="4" fillId="0" borderId="0" xfId="28" quotePrefix="1" applyNumberFormat="1" applyFont="1"/>
    <xf numFmtId="5" fontId="4" fillId="0" borderId="0" xfId="28" quotePrefix="1" applyNumberFormat="1" applyFont="1"/>
    <xf numFmtId="165" fontId="4" fillId="0" borderId="24" xfId="28" quotePrefix="1" applyNumberFormat="1" applyFont="1" applyBorder="1"/>
    <xf numFmtId="37" fontId="4" fillId="0" borderId="0" xfId="28" quotePrefix="1" applyNumberFormat="1" applyFont="1"/>
    <xf numFmtId="169" fontId="4" fillId="0" borderId="0" xfId="24" applyNumberFormat="1" applyFont="1"/>
    <xf numFmtId="165" fontId="4" fillId="0" borderId="24" xfId="24" applyNumberFormat="1" applyFont="1" applyBorder="1"/>
    <xf numFmtId="168" fontId="4" fillId="0" borderId="2" xfId="24" applyNumberFormat="1" applyFont="1" applyBorder="1"/>
    <xf numFmtId="5" fontId="4" fillId="0" borderId="2" xfId="24" applyNumberFormat="1" applyFont="1" applyBorder="1"/>
    <xf numFmtId="7" fontId="4" fillId="0" borderId="2" xfId="24" applyNumberFormat="1" applyFont="1" applyBorder="1"/>
    <xf numFmtId="165" fontId="4" fillId="4" borderId="32" xfId="24" applyNumberFormat="1" applyFont="1" applyFill="1" applyBorder="1"/>
    <xf numFmtId="165" fontId="4" fillId="0" borderId="3" xfId="24" applyNumberFormat="1" applyFont="1" applyBorder="1"/>
    <xf numFmtId="168" fontId="4" fillId="0" borderId="3" xfId="24" applyNumberFormat="1" applyFont="1" applyBorder="1"/>
    <xf numFmtId="179" fontId="3" fillId="0" borderId="30" xfId="26" applyNumberFormat="1" applyFont="1" applyFill="1" applyBorder="1"/>
    <xf numFmtId="179" fontId="3" fillId="0" borderId="28" xfId="26" applyNumberFormat="1" applyFont="1" applyFill="1" applyBorder="1"/>
    <xf numFmtId="164" fontId="4" fillId="0" borderId="4" xfId="24" applyNumberFormat="1" applyFont="1" applyBorder="1"/>
    <xf numFmtId="39" fontId="4" fillId="0" borderId="28" xfId="24" applyNumberFormat="1" applyFont="1" applyBorder="1"/>
    <xf numFmtId="44" fontId="4" fillId="0" borderId="0" xfId="25" applyFont="1" applyFill="1" applyBorder="1"/>
    <xf numFmtId="44" fontId="4" fillId="0" borderId="4" xfId="24" applyNumberFormat="1" applyFont="1" applyBorder="1"/>
    <xf numFmtId="5" fontId="4" fillId="0" borderId="0" xfId="24" applyNumberFormat="1" applyFont="1" applyAlignment="1">
      <alignment horizontal="center"/>
    </xf>
    <xf numFmtId="44" fontId="3" fillId="0" borderId="0" xfId="24" applyNumberFormat="1" applyFont="1"/>
    <xf numFmtId="0" fontId="8" fillId="0" borderId="0" xfId="24" applyFont="1"/>
    <xf numFmtId="0" fontId="3" fillId="0" borderId="33" xfId="24" applyFont="1" applyBorder="1"/>
    <xf numFmtId="0" fontId="4" fillId="4" borderId="11" xfId="24" applyFont="1" applyFill="1" applyBorder="1"/>
    <xf numFmtId="0" fontId="4" fillId="0" borderId="11" xfId="24" applyFont="1" applyBorder="1" applyAlignment="1">
      <alignment horizontal="center"/>
    </xf>
    <xf numFmtId="165" fontId="4" fillId="4" borderId="11" xfId="24" applyNumberFormat="1" applyFont="1" applyFill="1" applyBorder="1"/>
    <xf numFmtId="165" fontId="4" fillId="4" borderId="12" xfId="24" applyNumberFormat="1" applyFont="1" applyFill="1" applyBorder="1"/>
    <xf numFmtId="170" fontId="4" fillId="0" borderId="0" xfId="24" applyNumberFormat="1" applyFont="1"/>
    <xf numFmtId="164" fontId="4" fillId="0" borderId="0" xfId="24" applyNumberFormat="1" applyFont="1"/>
    <xf numFmtId="170" fontId="4" fillId="0" borderId="30" xfId="24" applyNumberFormat="1" applyFont="1" applyBorder="1" applyAlignment="1">
      <alignment horizontal="center"/>
    </xf>
    <xf numFmtId="172" fontId="4" fillId="0" borderId="0" xfId="27" applyNumberFormat="1" applyFont="1" applyBorder="1"/>
    <xf numFmtId="170" fontId="4" fillId="0" borderId="23" xfId="24" applyNumberFormat="1" applyFont="1" applyBorder="1" applyAlignment="1">
      <alignment horizontal="center"/>
    </xf>
    <xf numFmtId="170" fontId="4" fillId="0" borderId="0" xfId="24" applyNumberFormat="1" applyFont="1" applyAlignment="1">
      <alignment horizontal="center"/>
    </xf>
    <xf numFmtId="170" fontId="4" fillId="0" borderId="25" xfId="24" applyNumberFormat="1" applyFont="1" applyBorder="1" applyAlignment="1">
      <alignment horizontal="center"/>
    </xf>
    <xf numFmtId="170" fontId="4" fillId="0" borderId="1" xfId="24" applyNumberFormat="1" applyFont="1" applyBorder="1" applyAlignment="1">
      <alignment horizontal="center"/>
    </xf>
    <xf numFmtId="10" fontId="4" fillId="0" borderId="0" xfId="26" applyNumberFormat="1" applyFont="1" applyAlignment="1">
      <alignment horizontal="center"/>
    </xf>
    <xf numFmtId="10" fontId="4" fillId="0" borderId="0" xfId="26" applyNumberFormat="1" applyFont="1" applyBorder="1" applyAlignment="1">
      <alignment horizontal="center"/>
    </xf>
    <xf numFmtId="10" fontId="4" fillId="0" borderId="0" xfId="26" applyNumberFormat="1" applyFont="1" applyFill="1" applyBorder="1" applyAlignment="1">
      <alignment horizontal="center"/>
    </xf>
    <xf numFmtId="0" fontId="4" fillId="0" borderId="0" xfId="24" applyFont="1" applyAlignment="1">
      <alignment horizontal="right"/>
    </xf>
    <xf numFmtId="0" fontId="4" fillId="2" borderId="11" xfId="24" applyFont="1" applyFill="1" applyBorder="1" applyAlignment="1">
      <alignment horizontal="center"/>
    </xf>
    <xf numFmtId="179" fontId="4" fillId="2" borderId="42" xfId="26" applyNumberFormat="1" applyFont="1" applyFill="1" applyBorder="1"/>
    <xf numFmtId="179" fontId="4" fillId="2" borderId="39" xfId="26" applyNumberFormat="1" applyFont="1" applyFill="1" applyBorder="1"/>
    <xf numFmtId="179" fontId="3" fillId="2" borderId="42" xfId="26" applyNumberFormat="1" applyFont="1" applyFill="1" applyBorder="1"/>
    <xf numFmtId="171" fontId="4" fillId="2" borderId="48" xfId="1" applyNumberFormat="1" applyFont="1" applyFill="1" applyBorder="1"/>
    <xf numFmtId="171" fontId="4" fillId="2" borderId="40" xfId="1" applyNumberFormat="1" applyFont="1" applyFill="1" applyBorder="1"/>
    <xf numFmtId="179" fontId="3" fillId="2" borderId="4" xfId="26" applyNumberFormat="1" applyFont="1" applyFill="1" applyBorder="1"/>
    <xf numFmtId="0" fontId="4" fillId="6" borderId="0" xfId="1" applyFont="1" applyFill="1"/>
    <xf numFmtId="177" fontId="4" fillId="0" borderId="0" xfId="27" applyNumberFormat="1" applyFont="1" applyBorder="1"/>
    <xf numFmtId="43" fontId="4" fillId="0" borderId="0" xfId="27" applyFont="1" applyBorder="1"/>
    <xf numFmtId="178" fontId="4" fillId="0" borderId="0" xfId="27" applyNumberFormat="1" applyFont="1" applyBorder="1"/>
    <xf numFmtId="0" fontId="1" fillId="0" borderId="0" xfId="1" applyFont="1"/>
    <xf numFmtId="0" fontId="27" fillId="0" borderId="0" xfId="1" applyFont="1"/>
    <xf numFmtId="39" fontId="4" fillId="0" borderId="0" xfId="1" applyNumberFormat="1" applyFont="1"/>
    <xf numFmtId="0" fontId="27" fillId="0" borderId="0" xfId="1" applyFont="1" applyAlignment="1">
      <alignment horizontal="center"/>
    </xf>
    <xf numFmtId="179" fontId="4" fillId="0" borderId="0" xfId="1" applyNumberFormat="1" applyFont="1"/>
    <xf numFmtId="10" fontId="4" fillId="0" borderId="0" xfId="26" applyNumberFormat="1" applyFont="1" applyFill="1"/>
    <xf numFmtId="7" fontId="4" fillId="6" borderId="0" xfId="1" applyNumberFormat="1" applyFont="1" applyFill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7" fontId="3" fillId="0" borderId="0" xfId="1" applyNumberFormat="1" applyFont="1" applyAlignment="1">
      <alignment horizontal="centerContinuous"/>
    </xf>
    <xf numFmtId="7" fontId="3" fillId="0" borderId="0" xfId="1" applyNumberFormat="1" applyFont="1" applyAlignment="1">
      <alignment horizontal="center"/>
    </xf>
    <xf numFmtId="7" fontId="3" fillId="6" borderId="0" xfId="1" applyNumberFormat="1" applyFont="1" applyFill="1" applyAlignment="1">
      <alignment horizontal="center"/>
    </xf>
    <xf numFmtId="7" fontId="3" fillId="0" borderId="0" xfId="25" applyNumberFormat="1" applyFont="1" applyFill="1" applyBorder="1" applyAlignment="1">
      <alignment horizontal="center"/>
    </xf>
    <xf numFmtId="14" fontId="4" fillId="0" borderId="0" xfId="1" applyNumberFormat="1" applyFont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6" borderId="0" xfId="1" applyNumberFormat="1" applyFont="1" applyFill="1" applyAlignment="1">
      <alignment horizontal="center"/>
    </xf>
    <xf numFmtId="14" fontId="4" fillId="6" borderId="8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180" fontId="4" fillId="0" borderId="0" xfId="1" applyNumberFormat="1" applyFont="1"/>
    <xf numFmtId="0" fontId="4" fillId="0" borderId="38" xfId="1" applyFont="1" applyBorder="1" applyAlignment="1">
      <alignment horizontal="center"/>
    </xf>
    <xf numFmtId="14" fontId="4" fillId="0" borderId="39" xfId="1" applyNumberFormat="1" applyFont="1" applyBorder="1" applyAlignment="1">
      <alignment horizontal="center"/>
    </xf>
    <xf numFmtId="14" fontId="4" fillId="6" borderId="39" xfId="1" applyNumberFormat="1" applyFont="1" applyFill="1" applyBorder="1" applyAlignment="1">
      <alignment horizontal="center"/>
    </xf>
    <xf numFmtId="14" fontId="4" fillId="0" borderId="40" xfId="1" applyNumberFormat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37" fontId="4" fillId="0" borderId="39" xfId="1" applyNumberFormat="1" applyFont="1" applyBorder="1"/>
    <xf numFmtId="0" fontId="4" fillId="6" borderId="0" xfId="1" applyFont="1" applyFill="1" applyAlignment="1">
      <alignment horizontal="center"/>
    </xf>
    <xf numFmtId="37" fontId="4" fillId="6" borderId="0" xfId="1" applyNumberFormat="1" applyFont="1" applyFill="1" applyAlignment="1">
      <alignment horizontal="center" wrapText="1"/>
    </xf>
    <xf numFmtId="0" fontId="3" fillId="6" borderId="39" xfId="1" applyFont="1" applyFill="1" applyBorder="1" applyAlignment="1">
      <alignment horizontal="center"/>
    </xf>
    <xf numFmtId="37" fontId="4" fillId="0" borderId="0" xfId="1" applyNumberFormat="1" applyFont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6" borderId="14" xfId="1" applyFont="1" applyFill="1" applyBorder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3" fillId="6" borderId="16" xfId="1" applyFont="1" applyFill="1" applyBorder="1" applyAlignment="1">
      <alignment horizontal="center"/>
    </xf>
    <xf numFmtId="0" fontId="3" fillId="0" borderId="41" xfId="1" applyFont="1" applyBorder="1" applyAlignment="1">
      <alignment horizontal="center"/>
    </xf>
    <xf numFmtId="177" fontId="3" fillId="0" borderId="0" xfId="27" applyNumberFormat="1" applyFont="1" applyBorder="1" applyAlignment="1">
      <alignment horizontal="right"/>
    </xf>
    <xf numFmtId="43" fontId="3" fillId="0" borderId="0" xfId="27" applyFont="1" applyBorder="1" applyAlignment="1">
      <alignment horizontal="right"/>
    </xf>
    <xf numFmtId="178" fontId="3" fillId="0" borderId="0" xfId="27" applyNumberFormat="1" applyFont="1" applyBorder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8" xfId="1" applyFont="1" applyBorder="1" applyAlignment="1">
      <alignment horizontal="right"/>
    </xf>
    <xf numFmtId="0" fontId="3" fillId="6" borderId="0" xfId="1" applyFont="1" applyFill="1" applyAlignment="1">
      <alignment horizontal="center"/>
    </xf>
    <xf numFmtId="0" fontId="3" fillId="6" borderId="8" xfId="1" applyFont="1" applyFill="1" applyBorder="1" applyAlignment="1">
      <alignment horizontal="right"/>
    </xf>
    <xf numFmtId="0" fontId="3" fillId="0" borderId="36" xfId="1" applyFont="1" applyBorder="1" applyAlignment="1">
      <alignment horizontal="center"/>
    </xf>
    <xf numFmtId="0" fontId="3" fillId="0" borderId="39" xfId="1" applyFont="1" applyBorder="1" applyAlignment="1">
      <alignment horizontal="right"/>
    </xf>
    <xf numFmtId="177" fontId="3" fillId="10" borderId="32" xfId="27" applyNumberFormat="1" applyFont="1" applyFill="1" applyBorder="1" applyAlignment="1">
      <alignment horizontal="right"/>
    </xf>
    <xf numFmtId="43" fontId="3" fillId="10" borderId="32" xfId="27" applyFont="1" applyFill="1" applyBorder="1" applyAlignment="1">
      <alignment horizontal="center"/>
    </xf>
    <xf numFmtId="178" fontId="3" fillId="10" borderId="32" xfId="27" applyNumberFormat="1" applyFont="1" applyFill="1" applyBorder="1" applyAlignment="1">
      <alignment horizontal="right"/>
    </xf>
    <xf numFmtId="178" fontId="3" fillId="10" borderId="32" xfId="27" applyNumberFormat="1" applyFont="1" applyFill="1" applyBorder="1" applyAlignment="1">
      <alignment horizontal="center"/>
    </xf>
    <xf numFmtId="0" fontId="3" fillId="0" borderId="42" xfId="1" applyFont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0" fontId="3" fillId="6" borderId="42" xfId="1" applyFont="1" applyFill="1" applyBorder="1" applyAlignment="1">
      <alignment horizontal="center"/>
    </xf>
    <xf numFmtId="0" fontId="3" fillId="0" borderId="43" xfId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7" fontId="4" fillId="0" borderId="4" xfId="1" applyNumberFormat="1" applyFont="1" applyBorder="1"/>
    <xf numFmtId="171" fontId="4" fillId="0" borderId="4" xfId="1" applyNumberFormat="1" applyFont="1" applyBorder="1"/>
    <xf numFmtId="179" fontId="4" fillId="0" borderId="42" xfId="26" applyNumberFormat="1" applyFont="1" applyFill="1" applyBorder="1"/>
    <xf numFmtId="171" fontId="4" fillId="6" borderId="4" xfId="1" applyNumberFormat="1" applyFont="1" applyFill="1" applyBorder="1"/>
    <xf numFmtId="7" fontId="4" fillId="6" borderId="4" xfId="1" applyNumberFormat="1" applyFont="1" applyFill="1" applyBorder="1"/>
    <xf numFmtId="179" fontId="4" fillId="6" borderId="42" xfId="26" applyNumberFormat="1" applyFont="1" applyFill="1" applyBorder="1"/>
    <xf numFmtId="179" fontId="4" fillId="0" borderId="42" xfId="26" applyNumberFormat="1" applyFont="1" applyBorder="1"/>
    <xf numFmtId="7" fontId="4" fillId="0" borderId="0" xfId="27" applyNumberFormat="1" applyFont="1" applyBorder="1"/>
    <xf numFmtId="165" fontId="4" fillId="0" borderId="4" xfId="1" applyNumberFormat="1" applyFont="1" applyBorder="1"/>
    <xf numFmtId="39" fontId="4" fillId="0" borderId="4" xfId="1" applyNumberFormat="1" applyFont="1" applyBorder="1"/>
    <xf numFmtId="179" fontId="4" fillId="0" borderId="43" xfId="26" applyNumberFormat="1" applyFont="1" applyBorder="1"/>
    <xf numFmtId="171" fontId="4" fillId="0" borderId="32" xfId="1" applyNumberFormat="1" applyFont="1" applyBorder="1"/>
    <xf numFmtId="44" fontId="4" fillId="0" borderId="32" xfId="25" applyFont="1" applyBorder="1"/>
    <xf numFmtId="7" fontId="4" fillId="0" borderId="32" xfId="25" applyNumberFormat="1" applyFont="1" applyBorder="1"/>
    <xf numFmtId="179" fontId="4" fillId="0" borderId="43" xfId="26" applyNumberFormat="1" applyFont="1" applyFill="1" applyBorder="1"/>
    <xf numFmtId="7" fontId="4" fillId="0" borderId="32" xfId="25" applyNumberFormat="1" applyFont="1" applyFill="1" applyBorder="1"/>
    <xf numFmtId="44" fontId="4" fillId="0" borderId="32" xfId="25" applyFont="1" applyFill="1" applyBorder="1"/>
    <xf numFmtId="179" fontId="4" fillId="0" borderId="39" xfId="26" applyNumberFormat="1" applyFont="1" applyFill="1" applyBorder="1"/>
    <xf numFmtId="171" fontId="4" fillId="6" borderId="0" xfId="1" applyNumberFormat="1" applyFont="1" applyFill="1"/>
    <xf numFmtId="179" fontId="4" fillId="6" borderId="39" xfId="26" applyNumberFormat="1" applyFont="1" applyFill="1" applyBorder="1"/>
    <xf numFmtId="179" fontId="4" fillId="0" borderId="39" xfId="26" applyNumberFormat="1" applyFont="1" applyBorder="1"/>
    <xf numFmtId="165" fontId="4" fillId="0" borderId="39" xfId="1" applyNumberFormat="1" applyFont="1" applyBorder="1"/>
    <xf numFmtId="165" fontId="4" fillId="0" borderId="40" xfId="1" applyNumberFormat="1" applyFont="1" applyBorder="1"/>
    <xf numFmtId="173" fontId="3" fillId="0" borderId="4" xfId="1" applyNumberFormat="1" applyFont="1" applyBorder="1" applyAlignment="1">
      <alignment horizontal="center"/>
    </xf>
    <xf numFmtId="37" fontId="3" fillId="0" borderId="4" xfId="1" applyNumberFormat="1" applyFont="1" applyBorder="1"/>
    <xf numFmtId="37" fontId="3" fillId="0" borderId="4" xfId="1" applyNumberFormat="1" applyFont="1" applyBorder="1" applyAlignment="1">
      <alignment horizontal="center"/>
    </xf>
    <xf numFmtId="170" fontId="3" fillId="0" borderId="4" xfId="1" applyNumberFormat="1" applyFont="1" applyBorder="1"/>
    <xf numFmtId="7" fontId="3" fillId="0" borderId="4" xfId="1" applyNumberFormat="1" applyFont="1" applyBorder="1"/>
    <xf numFmtId="171" fontId="3" fillId="0" borderId="4" xfId="1" applyNumberFormat="1" applyFont="1" applyBorder="1"/>
    <xf numFmtId="179" fontId="3" fillId="0" borderId="42" xfId="26" applyNumberFormat="1" applyFont="1" applyFill="1" applyBorder="1"/>
    <xf numFmtId="171" fontId="3" fillId="6" borderId="4" xfId="1" applyNumberFormat="1" applyFont="1" applyFill="1" applyBorder="1"/>
    <xf numFmtId="7" fontId="3" fillId="6" borderId="4" xfId="1" applyNumberFormat="1" applyFont="1" applyFill="1" applyBorder="1"/>
    <xf numFmtId="179" fontId="3" fillId="6" borderId="42" xfId="26" applyNumberFormat="1" applyFont="1" applyFill="1" applyBorder="1"/>
    <xf numFmtId="165" fontId="3" fillId="0" borderId="4" xfId="1" applyNumberFormat="1" applyFont="1" applyBorder="1"/>
    <xf numFmtId="39" fontId="3" fillId="0" borderId="4" xfId="1" applyNumberFormat="1" applyFont="1" applyBorder="1"/>
    <xf numFmtId="179" fontId="3" fillId="0" borderId="43" xfId="26" applyNumberFormat="1" applyFont="1" applyBorder="1"/>
    <xf numFmtId="179" fontId="3" fillId="0" borderId="39" xfId="26" applyNumberFormat="1" applyFont="1" applyBorder="1"/>
    <xf numFmtId="179" fontId="3" fillId="0" borderId="40" xfId="26" applyNumberFormat="1" applyFont="1" applyBorder="1"/>
    <xf numFmtId="170" fontId="3" fillId="0" borderId="0" xfId="1" applyNumberFormat="1" applyFont="1"/>
    <xf numFmtId="7" fontId="3" fillId="0" borderId="0" xfId="1" applyNumberFormat="1" applyFont="1"/>
    <xf numFmtId="171" fontId="4" fillId="0" borderId="29" xfId="1" applyNumberFormat="1" applyFont="1" applyBorder="1"/>
    <xf numFmtId="7" fontId="4" fillId="0" borderId="29" xfId="25" applyNumberFormat="1" applyFont="1" applyBorder="1"/>
    <xf numFmtId="7" fontId="4" fillId="0" borderId="29" xfId="25" applyNumberFormat="1" applyFont="1" applyFill="1" applyBorder="1"/>
    <xf numFmtId="44" fontId="4" fillId="0" borderId="29" xfId="25" applyFont="1" applyBorder="1"/>
    <xf numFmtId="179" fontId="3" fillId="0" borderId="42" xfId="26" applyNumberFormat="1" applyFont="1" applyBorder="1"/>
    <xf numFmtId="0" fontId="4" fillId="0" borderId="4" xfId="1" applyFont="1" applyBorder="1"/>
    <xf numFmtId="43" fontId="4" fillId="0" borderId="0" xfId="27" applyFont="1" applyFill="1" applyBorder="1"/>
    <xf numFmtId="178" fontId="4" fillId="0" borderId="0" xfId="27" applyNumberFormat="1" applyFont="1" applyFill="1" applyBorder="1"/>
    <xf numFmtId="179" fontId="3" fillId="0" borderId="43" xfId="26" applyNumberFormat="1" applyFont="1" applyFill="1" applyBorder="1"/>
    <xf numFmtId="179" fontId="3" fillId="0" borderId="39" xfId="26" applyNumberFormat="1" applyFont="1" applyFill="1" applyBorder="1"/>
    <xf numFmtId="171" fontId="3" fillId="0" borderId="0" xfId="1" applyNumberFormat="1" applyFont="1"/>
    <xf numFmtId="171" fontId="3" fillId="6" borderId="0" xfId="1" applyNumberFormat="1" applyFont="1" applyFill="1"/>
    <xf numFmtId="165" fontId="4" fillId="0" borderId="2" xfId="1" applyNumberFormat="1" applyFont="1" applyBorder="1" applyAlignment="1">
      <alignment horizontal="center"/>
    </xf>
    <xf numFmtId="170" fontId="4" fillId="0" borderId="2" xfId="1" applyNumberFormat="1" applyFont="1" applyBorder="1"/>
    <xf numFmtId="171" fontId="4" fillId="0" borderId="2" xfId="1" applyNumberFormat="1" applyFont="1" applyBorder="1"/>
    <xf numFmtId="179" fontId="4" fillId="0" borderId="44" xfId="26" applyNumberFormat="1" applyFont="1" applyFill="1" applyBorder="1"/>
    <xf numFmtId="171" fontId="4" fillId="6" borderId="2" xfId="1" applyNumberFormat="1" applyFont="1" applyFill="1" applyBorder="1"/>
    <xf numFmtId="179" fontId="4" fillId="0" borderId="44" xfId="26" applyNumberFormat="1" applyFont="1" applyBorder="1"/>
    <xf numFmtId="179" fontId="4" fillId="0" borderId="42" xfId="26" applyNumberFormat="1" applyFont="1" applyBorder="1" applyAlignment="1">
      <alignment horizontal="center"/>
    </xf>
    <xf numFmtId="165" fontId="4" fillId="0" borderId="2" xfId="1" applyNumberFormat="1" applyFont="1" applyBorder="1"/>
    <xf numFmtId="179" fontId="4" fillId="0" borderId="43" xfId="26" applyNumberFormat="1" applyFont="1" applyBorder="1" applyAlignment="1">
      <alignment horizontal="center"/>
    </xf>
    <xf numFmtId="170" fontId="4" fillId="0" borderId="4" xfId="1" applyNumberFormat="1" applyFont="1" applyBorder="1"/>
    <xf numFmtId="39" fontId="4" fillId="0" borderId="16" xfId="1" applyNumberFormat="1" applyFont="1" applyBorder="1"/>
    <xf numFmtId="39" fontId="4" fillId="0" borderId="2" xfId="1" applyNumberFormat="1" applyFont="1" applyBorder="1"/>
    <xf numFmtId="39" fontId="4" fillId="6" borderId="2" xfId="1" applyNumberFormat="1" applyFont="1" applyFill="1" applyBorder="1"/>
    <xf numFmtId="39" fontId="4" fillId="6" borderId="4" xfId="1" applyNumberFormat="1" applyFont="1" applyFill="1" applyBorder="1"/>
    <xf numFmtId="39" fontId="4" fillId="6" borderId="16" xfId="1" applyNumberFormat="1" applyFont="1" applyFill="1" applyBorder="1"/>
    <xf numFmtId="179" fontId="3" fillId="0" borderId="16" xfId="26" applyNumberFormat="1" applyFont="1" applyFill="1" applyBorder="1"/>
    <xf numFmtId="179" fontId="4" fillId="0" borderId="16" xfId="26" applyNumberFormat="1" applyFont="1" applyBorder="1" applyAlignment="1">
      <alignment horizontal="center"/>
    </xf>
    <xf numFmtId="179" fontId="4" fillId="0" borderId="41" xfId="26" applyNumberFormat="1" applyFont="1" applyBorder="1" applyAlignment="1">
      <alignment horizontal="center"/>
    </xf>
    <xf numFmtId="39" fontId="4" fillId="6" borderId="0" xfId="1" applyNumberFormat="1" applyFont="1" applyFill="1"/>
    <xf numFmtId="179" fontId="3" fillId="0" borderId="0" xfId="26" applyNumberFormat="1" applyFont="1" applyBorder="1"/>
    <xf numFmtId="0" fontId="4" fillId="0" borderId="33" xfId="1" applyFont="1" applyBorder="1"/>
    <xf numFmtId="0" fontId="4" fillId="4" borderId="11" xfId="1" applyFont="1" applyFill="1" applyBorder="1" applyAlignment="1">
      <alignment horizontal="center"/>
    </xf>
    <xf numFmtId="179" fontId="4" fillId="6" borderId="0" xfId="1" applyNumberFormat="1" applyFont="1" applyFill="1"/>
    <xf numFmtId="37" fontId="4" fillId="0" borderId="41" xfId="1" applyNumberFormat="1" applyFont="1" applyBorder="1"/>
    <xf numFmtId="37" fontId="4" fillId="0" borderId="14" xfId="1" applyNumberFormat="1" applyFont="1" applyBorder="1"/>
    <xf numFmtId="37" fontId="4" fillId="0" borderId="33" xfId="1" applyNumberFormat="1" applyFont="1" applyBorder="1"/>
    <xf numFmtId="0" fontId="4" fillId="6" borderId="11" xfId="1" applyFont="1" applyFill="1" applyBorder="1"/>
    <xf numFmtId="7" fontId="31" fillId="2" borderId="0" xfId="1" applyNumberFormat="1" applyFont="1" applyFill="1"/>
    <xf numFmtId="0" fontId="1" fillId="9" borderId="2" xfId="1" applyFont="1" applyFill="1" applyBorder="1" applyAlignment="1">
      <alignment horizontal="centerContinuous"/>
    </xf>
    <xf numFmtId="179" fontId="29" fillId="0" borderId="32" xfId="26" applyNumberFormat="1" applyFont="1" applyBorder="1"/>
    <xf numFmtId="179" fontId="29" fillId="0" borderId="32" xfId="26" applyNumberFormat="1" applyFont="1" applyFill="1" applyBorder="1"/>
    <xf numFmtId="179" fontId="29" fillId="0" borderId="29" xfId="26" applyNumberFormat="1" applyFont="1" applyBorder="1"/>
    <xf numFmtId="0" fontId="32" fillId="4" borderId="11" xfId="1" applyFont="1" applyFill="1" applyBorder="1" applyAlignment="1">
      <alignment horizontal="center"/>
    </xf>
    <xf numFmtId="0" fontId="32" fillId="4" borderId="14" xfId="1" applyFont="1" applyFill="1" applyBorder="1" applyAlignment="1">
      <alignment horizontal="center"/>
    </xf>
    <xf numFmtId="0" fontId="32" fillId="5" borderId="11" xfId="1" applyFont="1" applyFill="1" applyBorder="1" applyAlignment="1">
      <alignment horizontal="center"/>
    </xf>
    <xf numFmtId="0" fontId="29" fillId="2" borderId="0" xfId="1" applyFont="1" applyFill="1"/>
    <xf numFmtId="7" fontId="28" fillId="0" borderId="4" xfId="1" applyNumberFormat="1" applyFont="1" applyBorder="1"/>
    <xf numFmtId="7" fontId="28" fillId="0" borderId="0" xfId="1" applyNumberFormat="1" applyFont="1"/>
    <xf numFmtId="170" fontId="28" fillId="0" borderId="0" xfId="1" applyNumberFormat="1" applyFont="1"/>
    <xf numFmtId="7" fontId="30" fillId="0" borderId="4" xfId="1" applyNumberFormat="1" applyFont="1" applyBorder="1"/>
    <xf numFmtId="170" fontId="30" fillId="0" borderId="4" xfId="1" applyNumberFormat="1" applyFont="1" applyBorder="1"/>
    <xf numFmtId="7" fontId="30" fillId="0" borderId="0" xfId="1" applyNumberFormat="1" applyFont="1"/>
    <xf numFmtId="170" fontId="30" fillId="0" borderId="0" xfId="1" applyNumberFormat="1" applyFont="1"/>
    <xf numFmtId="7" fontId="28" fillId="0" borderId="2" xfId="1" applyNumberFormat="1" applyFont="1" applyBorder="1"/>
    <xf numFmtId="170" fontId="28" fillId="0" borderId="2" xfId="1" applyNumberFormat="1" applyFont="1" applyBorder="1"/>
    <xf numFmtId="170" fontId="28" fillId="0" borderId="4" xfId="1" applyNumberFormat="1" applyFont="1" applyBorder="1"/>
    <xf numFmtId="39" fontId="28" fillId="0" borderId="4" xfId="1" applyNumberFormat="1" applyFont="1" applyBorder="1"/>
    <xf numFmtId="37" fontId="10" fillId="0" borderId="5" xfId="1" applyNumberFormat="1" applyFont="1" applyBorder="1" applyAlignment="1">
      <alignment horizontal="center"/>
    </xf>
    <xf numFmtId="37" fontId="10" fillId="0" borderId="6" xfId="1" applyNumberFormat="1" applyFont="1" applyBorder="1" applyAlignment="1">
      <alignment horizontal="center"/>
    </xf>
    <xf numFmtId="37" fontId="10" fillId="0" borderId="7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37" fontId="3" fillId="2" borderId="5" xfId="1" applyNumberFormat="1" applyFont="1" applyFill="1" applyBorder="1" applyAlignment="1">
      <alignment horizontal="center"/>
    </xf>
    <xf numFmtId="37" fontId="3" fillId="2" borderId="6" xfId="1" applyNumberFormat="1" applyFont="1" applyFill="1" applyBorder="1" applyAlignment="1">
      <alignment horizontal="center"/>
    </xf>
    <xf numFmtId="37" fontId="3" fillId="2" borderId="7" xfId="1" applyNumberFormat="1" applyFont="1" applyFill="1" applyBorder="1" applyAlignment="1">
      <alignment horizontal="center"/>
    </xf>
    <xf numFmtId="37" fontId="3" fillId="0" borderId="5" xfId="1" applyNumberFormat="1" applyFont="1" applyBorder="1" applyAlignment="1">
      <alignment horizontal="center"/>
    </xf>
    <xf numFmtId="37" fontId="3" fillId="0" borderId="6" xfId="1" applyNumberFormat="1" applyFont="1" applyBorder="1" applyAlignment="1">
      <alignment horizontal="center"/>
    </xf>
    <xf numFmtId="37" fontId="3" fillId="0" borderId="7" xfId="1" applyNumberFormat="1" applyFont="1" applyBorder="1" applyAlignment="1">
      <alignment horizontal="center"/>
    </xf>
    <xf numFmtId="37" fontId="3" fillId="3" borderId="5" xfId="1" applyNumberFormat="1" applyFont="1" applyFill="1" applyBorder="1" applyAlignment="1">
      <alignment horizontal="center"/>
    </xf>
    <xf numFmtId="37" fontId="3" fillId="3" borderId="6" xfId="1" applyNumberFormat="1" applyFont="1" applyFill="1" applyBorder="1" applyAlignment="1">
      <alignment horizontal="center"/>
    </xf>
    <xf numFmtId="37" fontId="3" fillId="3" borderId="7" xfId="1" applyNumberFormat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5" fontId="6" fillId="2" borderId="4" xfId="1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21" xfId="24" applyFont="1" applyBorder="1" applyAlignment="1">
      <alignment horizontal="center" wrapText="1"/>
    </xf>
    <xf numFmtId="0" fontId="4" fillId="0" borderId="28" xfId="24" applyFont="1" applyBorder="1" applyAlignment="1">
      <alignment horizontal="center" wrapText="1"/>
    </xf>
    <xf numFmtId="0" fontId="3" fillId="0" borderId="4" xfId="24" applyFont="1" applyBorder="1" applyAlignment="1">
      <alignment horizontal="center"/>
    </xf>
    <xf numFmtId="37" fontId="3" fillId="0" borderId="1" xfId="24" applyNumberFormat="1" applyFont="1" applyBorder="1" applyAlignment="1">
      <alignment horizontal="center"/>
    </xf>
    <xf numFmtId="37" fontId="3" fillId="0" borderId="2" xfId="24" applyNumberFormat="1" applyFont="1" applyBorder="1" applyAlignment="1">
      <alignment horizontal="center"/>
    </xf>
    <xf numFmtId="37" fontId="3" fillId="0" borderId="3" xfId="24" applyNumberFormat="1" applyFont="1" applyBorder="1" applyAlignment="1">
      <alignment horizontal="center"/>
    </xf>
    <xf numFmtId="37" fontId="3" fillId="3" borderId="5" xfId="24" applyNumberFormat="1" applyFont="1" applyFill="1" applyBorder="1" applyAlignment="1">
      <alignment horizontal="center"/>
    </xf>
    <xf numFmtId="37" fontId="3" fillId="3" borderId="6" xfId="24" applyNumberFormat="1" applyFont="1" applyFill="1" applyBorder="1" applyAlignment="1">
      <alignment horizontal="center"/>
    </xf>
    <xf numFmtId="37" fontId="3" fillId="3" borderId="7" xfId="24" applyNumberFormat="1" applyFont="1" applyFill="1" applyBorder="1" applyAlignment="1">
      <alignment horizontal="center"/>
    </xf>
    <xf numFmtId="37" fontId="3" fillId="0" borderId="0" xfId="1" applyNumberFormat="1" applyFont="1" applyAlignment="1">
      <alignment horizontal="left"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176" fontId="13" fillId="0" borderId="0" xfId="7" applyFont="1" applyAlignment="1">
      <alignment horizontal="center"/>
    </xf>
    <xf numFmtId="0" fontId="13" fillId="0" borderId="0" xfId="10" applyFont="1" applyAlignment="1">
      <alignment horizontal="center"/>
    </xf>
    <xf numFmtId="0" fontId="7" fillId="0" borderId="0" xfId="13" applyAlignment="1">
      <alignment horizontal="left" vertical="top" wrapText="1"/>
    </xf>
  </cellXfs>
  <cellStyles count="29">
    <cellStyle name="Comma 10 2" xfId="12" xr:uid="{60E21004-AAB5-4003-9AE7-CD1A4EC37926}"/>
    <cellStyle name="Comma 12 2 2" xfId="19" xr:uid="{5CF72DA3-B755-469C-A3D5-C4B4500928E8}"/>
    <cellStyle name="Comma 2" xfId="5" xr:uid="{81CDE94D-5A5C-4504-9D55-B3E1DBA8DEF3}"/>
    <cellStyle name="Comma 2 2 2 2" xfId="16" xr:uid="{8D58349E-6AAA-4201-A6BD-E6642A4DF74D}"/>
    <cellStyle name="Comma 3" xfId="27" xr:uid="{EFA09DD0-FFCD-4231-BF28-C901C3D39C44}"/>
    <cellStyle name="Comma 3 3" xfId="9" xr:uid="{34679102-242A-4162-B574-FBF326A02FD7}"/>
    <cellStyle name="Currency 2" xfId="2" xr:uid="{0D687DCF-638E-445A-AA72-17A93C7368BB}"/>
    <cellStyle name="Currency 3" xfId="25" xr:uid="{17CEAD74-07EB-46B3-B473-9ABB043A17F4}"/>
    <cellStyle name="Normal" xfId="0" builtinId="0"/>
    <cellStyle name="Normal 10 2 5" xfId="13" xr:uid="{205EBDA5-9618-44C2-9DF8-3549DB7B3D22}"/>
    <cellStyle name="Normal 2" xfId="1" xr:uid="{DE769300-B70A-4656-B510-57F3F17A23AC}"/>
    <cellStyle name="Normal 2 2" xfId="3" xr:uid="{84A232D1-BEB0-4153-AC32-892176AB4732}"/>
    <cellStyle name="Normal 2 25 2" xfId="18" xr:uid="{762E110E-E4BE-4F41-8461-93FEBE66E31B}"/>
    <cellStyle name="Normal 3" xfId="14" xr:uid="{3F30D3EE-30A6-425B-93E0-F93C43C57ECE}"/>
    <cellStyle name="Normal 4" xfId="8" xr:uid="{F7123C12-04F5-4024-8D75-3A977BC9B5E0}"/>
    <cellStyle name="Normal 5" xfId="24" xr:uid="{22E5A741-161B-4D97-AE4B-60C7FFBE8B90}"/>
    <cellStyle name="Normal_4th quarter corrections with staff expanded 2" xfId="7" xr:uid="{EEE8CB48-B613-40F9-8742-3404B0B884DB}"/>
    <cellStyle name="Normal_4th quarter corrections with staff expanded 2 3" xfId="10" xr:uid="{A6E0920D-C831-4112-ADD9-5593F29ECDCA}"/>
    <cellStyle name="Normal_Book3" xfId="6" xr:uid="{B6E627F6-3E71-4979-9FA1-AA5FF154721D}"/>
    <cellStyle name="Normal_Book3 2" xfId="28" xr:uid="{CE89C0C2-F5E2-49EE-B447-BA131CA294F8}"/>
    <cellStyle name="Normal_Deferred Accounts Summary 02qtr06" xfId="21" xr:uid="{DFA2C9C6-D893-4002-BA58-278468B2D2D3}"/>
    <cellStyle name="Normal_oregon technical incr for August 2002 filing" xfId="22" xr:uid="{4A5298F6-A8C3-44D8-85C8-61B0D7EB3957}"/>
    <cellStyle name="Normal_oregon technical incr for August 2002 filing 2" xfId="23" xr:uid="{B7229487-5E5C-4AB0-BDF9-02E9DE5B65BD}"/>
    <cellStyle name="Percent 10" xfId="15" xr:uid="{17E09BC6-B984-473B-990F-E7F4CA1A3E64}"/>
    <cellStyle name="Percent 2" xfId="4" xr:uid="{48183BED-495C-4B79-BB20-774ABF7FA5EC}"/>
    <cellStyle name="Percent 2 2 2 2" xfId="17" xr:uid="{200455AA-F871-4F19-951A-951B2283D3B4}"/>
    <cellStyle name="Percent 3" xfId="11" xr:uid="{4F4A446A-DB88-4C5F-8370-D3F69574176C}"/>
    <cellStyle name="Percent 4" xfId="26" xr:uid="{9459C241-D107-42CF-91A6-ACC5BCF8E397}"/>
    <cellStyle name="Percent 7" xfId="20" xr:uid="{3B65447A-0156-4445-8974-4B06E43B5726}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695325</xdr:colOff>
      <xdr:row>0</xdr:row>
      <xdr:rowOff>104774</xdr:rowOff>
    </xdr:from>
    <xdr:to>
      <xdr:col>22</xdr:col>
      <xdr:colOff>381000</xdr:colOff>
      <xdr:row>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03F730-A71D-45F2-BE76-3B1F6918C161}"/>
            </a:ext>
          </a:extLst>
        </xdr:cNvPr>
        <xdr:cNvSpPr txBox="1"/>
      </xdr:nvSpPr>
      <xdr:spPr>
        <a:xfrm>
          <a:off x="10826750" y="104774"/>
          <a:ext cx="0" cy="774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Volumes and Increment are pasted as values from the CCA filing file, based on June</a:t>
          </a:r>
          <a:r>
            <a:rPr lang="en-US" sz="1100" baseline="0"/>
            <a:t> 30th Volumes, rate incorporates removing LI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K%20Attachment%204-C%20-%20Rates%20(rev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%20Shwd%20BC%20Buildout%20Execution%20Budg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5.%20Plant%20Accounting/Journal%20Entries/M2P/2022/04-2022/Possible%20Adjustments%2004-2022%20H1%20Financial%20Workshe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PGA%20-%20OREGON\2011\August%20Filings\Temps%20&amp;%20Perms\Proposed%20Temps%20Oregon%202011-12%20PGA%20August%20fil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Regulatory_Affairs/PGA%20-%20OREGON/2011/August%20Filings/Temps%20&amp;%20Perms/Proposed%20Temps%20Oregon%202011-12%20PGA%20August%20fil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m.tpi.net/Documents%20and%20Settings/belpedioj/Local%20Settings/Temporary%20Internet%20Files/Content.Outlook/ZV9XMAGK/Infra%20Sample%20Invoice%20vF3%20(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2p\Desktop\FINAL_ACN_RFS%20004D%20Attachment%20Form%20of%20Invoice%20(Revised)_2021_12_31_M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bemarle%20-%20Attachment%204-A%20Provider%20Pricing%20Forms%2001_25_17%20v1.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PGA%20-%20OREGON\2011\October%20Filings\Rate%20Development%20File%20&amp;%20Support\NWN%202011-12%20Oregon%20PGA%20rate%20development%20file%20October%20fili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Regulatory_Affairs/PGA%20-%20OREGON/2011/August%20Filings/Rate%20Development%20File%20&amp;%20Support/NWN%202011-12%20Oregon%20PGA%20rate%20development%20file%20August%20filing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Refile\NWN%202025-26%20PGA%20WA%20Rate%20Development%20September%20Refile%20with%20OLD%20UPCs.xlsx" TargetMode="External"/><Relationship Id="rId1" Type="http://schemas.openxmlformats.org/officeDocument/2006/relationships/externalLinkPath" Target="/Regulatory_Affairs/PGA%20-%20WASHINGTON/2025/Rate%20Development/Refile/NWN%202025-26%20PGA%20WA%20Rate%20Development%20September%20Refile%20with%20OLD%20UPCs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Lewis\NWN%202025-26%20PGA%20WA%20Rate%20Development%20September%20Filing.xlsx" TargetMode="External"/><Relationship Id="rId1" Type="http://schemas.openxmlformats.org/officeDocument/2006/relationships/externalLinkPath" Target="/Regulatory_Affairs/Lewis/NWN%202025-26%20PGA%20WA%20Rate%20Development%20September%20Filin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wnatural.com/Users/LeslieM/Documents/Datafile/Adient/RFS%20Documents/11-510-EN_Attachment%205.1%20(Charges)_2020-12-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_Documents\excel\2002%20Budget\Payroll%20Increases-Exempt-Mar%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wnatural.com/Users/BBG/Documents/TGG/Customers/Northwest%20Natural/Projects/Horizon%201/SOWs/Updated%20ImplementationPlanTaskSheet-10-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b\Local%20Settings\Temporary%20Internet%20Files\OLKB8\Oregon%20accounts%2010-16-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jzb/Local%20Settings/Temporary%20Internet%20Files/OLKB8/Oregon%20accounts%2010-16-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s.nwnatural.com/Bank%20Recons/2009/03.2009/Bank%2051%20Recon%200309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JE_29_2023_04_Amortization_NEW_RATES.xlsx" TargetMode="External"/><Relationship Id="rId1" Type="http://schemas.openxmlformats.org/officeDocument/2006/relationships/externalLinkPath" Target="/Gas%20Accounting/1%20-%20SHAREPOINT/PUC%20and%20UTC%20Accounting/JE%2029/JE_29_2023_04_Amortization_NEW_RATES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JE_29_2024_06_Amortization_NEW_RATES.xlsx" TargetMode="External"/><Relationship Id="rId1" Type="http://schemas.openxmlformats.org/officeDocument/2006/relationships/externalLinkPath" Target="/Gas%20Accounting/1%20-%20SHAREPOINT/PUC%20and%20UTC%20Accounting/JE%2029/JE_29_2024_06_Amortization_NEW_RATES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JE_29_2023_07_Amortization_NEW_RATES.xlsx" TargetMode="External"/><Relationship Id="rId1" Type="http://schemas.openxmlformats.org/officeDocument/2006/relationships/externalLinkPath" Target="/Gas%20Accounting/1%20-%20SHAREPOINT/PUC%20and%20UTC%20Accounting/JE%2029/JE_29_2023_07_Amortization_NEW_RATE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Regulatory%20Accounting\Deferred%20Accounts\OPUC%20Qtrly%20files\2012\Q3%202012\Deferred%20Accounts%20Summary%2003QTR1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Regulatory%20Accounting/Deferred%20Accounts/OPUC%20Qtrly%20files/2012/Q3%202012/Deferred%20Accounts%20Summary%2003QTR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Board\201105%20Forecast\Margin\FCST%20Amortizations%20for%20May%2020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Board\201009%20Forecast\FCST%20Amortizations%2006-24-10%20for%20LS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Forecast%20-%20Board/201009%20Forecast/FCST%20Amortizations%2006-24-10%20for%20LS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2004Oregon%20PGA\flowingdispatch_og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2004Oregon%20PGA/flowingdispatch_og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excel/Payroll%20Overhead/proll9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argin\2008\Margin%20Analysis%202008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s.nwnatural.com/Documents%20and%20Settings/kba/Local%20Settings/Temporary%20Internet%20Files/OLKB8/PTO%20accrual%20rat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_Taxation\My_Documents\1120_98\101plant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_Taxation/My_Documents/1120_98/101plant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PGA%20-%20WASHINGTON\2006\Natasha%20worksheets\October%20Re-Filing\NWN%20AL%202006-07%20Washington%20PGA%20re-fili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06/Natasha%20worksheets/October%20Re-Filing/NWN%20AL%202006-07%20Washington%20PGA%20re-fili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jac/Local%20Settings/Temporary%20Internet%20Files/OLK12/SEC%20Balance%20Sheet%20-%20Final%20Year%202004%20(022105_lsd)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%20PGA\2004%20Oregon\ot2004al%20%20sept14%20vers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%20PGA/2004%20Oregon/ot2004al%20%20sept14%20vers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fd\Local%20Settings\Temporary%20Internet%20Files\OLK176\Margin%20Analysis%20Report%20Form%20200803%20(3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s.nwnatural.com/Documents%20and%20Settings/blv/Desktop/in%20progress/2006PurLo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ocuments%20and%20Settings/blv/Desktop/in%20progress/2006PurLo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2007%20Budget\proposed%20temps%202006-2007%20masterforecast%20update%20w19103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2007%20Budget/proposed%20temps%202006-2007%20masterforecast%20update%20w19103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\200804%20Forecast\Margin%20model%20&amp;%20support\Forecast%20Amortizations%20Model%202008%20APR%20Board%20Mt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Board\201005%20Forecast\Margin\FCST%20Amortizations%2003-23-10%20for%20LS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Forecast%20-%20Board/201005%20Forecast/Margin/FCST%20Amortizations%2003-23-10%20for%20LS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PGA%20-%20OREGON\2012\October%20filings\Gas%20Cost%20Development%20file%20and%20support\NWN%202012-13%20PGA%20gas%20cost%20development%20file%20October%20filing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Decarbonization\CCA\Jan%201,%202025%20Filing\CCA%20Cost%20Recovery%20Mechanism%20-%20January%201%202025%20Filing.xlsx" TargetMode="External"/><Relationship Id="rId1" Type="http://schemas.openxmlformats.org/officeDocument/2006/relationships/externalLinkPath" Target="/GROUPS/Regulatory_Affairs/Current%20Rates/2_Washington/CCA%20Cost%20Recovery%20Mechanism%20-%20January%201%202025%20Filing.xlsx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Support\Proposed_Temps_2025-2026_Washington_updated_thru_08.31.2025.xlsx" TargetMode="External"/><Relationship Id="rId1" Type="http://schemas.openxmlformats.org/officeDocument/2006/relationships/externalLinkPath" Target="/Regulatory_Affairs/PGA%20-%20WASHINGTON/2025/Rate%20Development/Support/Proposed_Temps_2025-2026_Washington_updated_thru_08.31.2025.xlsx" TargetMode="External"/></Relationships>
</file>

<file path=xl/externalLinks/_rels/externalLink5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NWN%202025-26%20PGA%20WA%20Rate%20Development_CCA+BDP%20Filing_Compliance%20Filing.xlsx" TargetMode="External"/><Relationship Id="rId1" Type="http://schemas.openxmlformats.org/officeDocument/2006/relationships/externalLinkPath" Target="/Regulatory_Affairs/PGA%20-%20WASHINGTON/2025/Rate%20Development/NWN%202025-26%20PGA%20WA%20Rate%20Development_CCA+BDP%20Filing_Compliance%20Filing.xlsx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September\NWN%202025-26%20PGA%20Gas%20Cost%20Development_September%20Filing_WA.xlsx" TargetMode="External"/><Relationship Id="rId1" Type="http://schemas.openxmlformats.org/officeDocument/2006/relationships/externalLinkPath" Target="/Regulatory_Affairs/PGA%20-%20WASHINGTON/2025/September/NWN%202025-26%20PGA%20Gas%20Cost%20Development_September%20Filing_WA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as%20Accounting/1%20-%20SHAREPOINT/PUC%20and%20UTC%20Accounting/JE%2029/JE_29_2022_05_Amortization_NEW_RATES.xlsx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29-5\JE_29-5_2023_05_WUTC%20Fee%20Deferral.xlsx" TargetMode="External"/><Relationship Id="rId1" Type="http://schemas.openxmlformats.org/officeDocument/2006/relationships/externalLinkPath" Target="/Gas%20Accounting/1%20-%20SHAREPOINT/PUC%20and%20UTC%20Accounting/JE%2029/29-5/JE_29-5_2023_05_WUTC%20Fee%20Deferral.xlsx" TargetMode="External"/></Relationships>
</file>

<file path=xl/externalLinks/_rels/externalLink5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2025_04_JE_29_Amortization.xlsx" TargetMode="External"/><Relationship Id="rId1" Type="http://schemas.openxmlformats.org/officeDocument/2006/relationships/externalLinkPath" Target="/Gas%20Accounting/1%20-%20SHAREPOINT/PUC%20and%20UTC%20Accounting/JE%2029/2025_04_JE_29_Amortiz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NWN%202025-26%20PGA%20Summary%20Effects%20September%20filing_WA.xlsx" TargetMode="External"/><Relationship Id="rId1" Type="http://schemas.openxmlformats.org/officeDocument/2006/relationships/externalLinkPath" Target="/Regulatory_Affairs/PGA%20-%20WASHINGTON/2025/Rate%20Development/NWN%202025-26%20PGA%20Summary%20Effects%20September%20filing_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Comp(No Cont)"/>
      <sheetName val="OTC 10 Case"/>
      <sheetName val="Rev Oct25"/>
      <sheetName val="GM Pricing (Local Curr)"/>
      <sheetName val="Assumptions"/>
      <sheetName val="Summary"/>
      <sheetName val="Summary (Avg)"/>
      <sheetName val="Jan06Cost"/>
      <sheetName val="Unit Cost"/>
      <sheetName val="GM Pricing"/>
      <sheetName val="Legacy Station"/>
      <sheetName val="IPT Station"/>
      <sheetName val="PhoneSet"/>
      <sheetName val="Legacy VM"/>
      <sheetName val="IPT VM"/>
      <sheetName val="UM"/>
      <sheetName val="Phone Set"/>
      <sheetName val="T&amp;M-Project"/>
      <sheetName val="StationVolume"/>
      <sheetName val="StationVolume (Basic)"/>
      <sheetName val="StationVolume (Std)"/>
      <sheetName val="StationVolume (Prem)"/>
      <sheetName val="VMVolume"/>
      <sheetName val="VMVolume (Std)"/>
      <sheetName val="VMVolume (Prem)"/>
      <sheetName val="Supply Annual Recurr"/>
      <sheetName val="UMVolume"/>
      <sheetName val="T&amp;M-Project Backup"/>
      <sheetName val="FX Rate"/>
      <sheetName val="Country List"/>
      <sheetName val="UnitComp(No_Cont)"/>
      <sheetName val="OTC_10_Case"/>
      <sheetName val="Rev_Oct25"/>
      <sheetName val="GM_Pricing_(Local_Curr)"/>
      <sheetName val="Summary_(Avg)"/>
      <sheetName val="Unit_Cost"/>
      <sheetName val="GM_Pricing"/>
      <sheetName val="Legacy_Station"/>
      <sheetName val="IPT_Station"/>
      <sheetName val="Legacy_VM"/>
      <sheetName val="IPT_VM"/>
      <sheetName val="Phone_Set"/>
      <sheetName val="StationVolume_(Basic)"/>
      <sheetName val="StationVolume_(Std)"/>
      <sheetName val="StationVolume_(Prem)"/>
      <sheetName val="VMVolume_(Std)"/>
      <sheetName val="VMVolume_(Prem)"/>
      <sheetName val="Supply_Annual_Recurr"/>
      <sheetName val="T&amp;M-Project_Backup"/>
      <sheetName val="FX_Rate"/>
      <sheetName val="Country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  <sheetName val="Journal Pag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dget Prep Submittal Summary"/>
      <sheetName val="Cost Summary"/>
      <sheetName val="P1 Facilities Capital"/>
      <sheetName val="P1 Internal Labor"/>
      <sheetName val="Drop dn"/>
      <sheetName val="P1 External Labor "/>
      <sheetName val="P1 Material"/>
      <sheetName val="P1 Other"/>
      <sheetName val="P1 Hardware"/>
      <sheetName val="P1 Software "/>
      <sheetName val="BUDGET"/>
      <sheetName val="Details"/>
      <sheetName val="Sheet2 (2)"/>
      <sheetName val="BID COST 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Resources Summary"/>
      <sheetName val="External Resources"/>
      <sheetName val="Internal Resources"/>
      <sheetName val="Change Log"/>
      <sheetName val="Apr 2022"/>
      <sheetName val="Mar 2022"/>
      <sheetName val="Feb 2022"/>
      <sheetName val="Jan 2022"/>
      <sheetName val="Jan Actuals"/>
      <sheetName val="Licenses"/>
      <sheetName val="Vendors"/>
      <sheetName val="ACN Change Orders"/>
      <sheetName val="Change "/>
      <sheetName val="Field OT"/>
      <sheetName val="Hardware MISC"/>
      <sheetName val="IQGEO"/>
      <sheetName val="ACN - SLA"/>
      <sheetName val="SLA Calc"/>
      <sheetName val="SAP Download 01252022"/>
      <sheetName val="temp 1014"/>
      <sheetName val="InternalX"/>
      <sheetName val="Data Resour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>
        <row r="3">
          <cell r="B3">
            <v>150</v>
          </cell>
        </row>
        <row r="4">
          <cell r="B4">
            <v>150</v>
          </cell>
        </row>
        <row r="5">
          <cell r="B5"/>
        </row>
        <row r="6">
          <cell r="B6">
            <v>145</v>
          </cell>
        </row>
        <row r="7">
          <cell r="B7">
            <v>145</v>
          </cell>
        </row>
        <row r="8">
          <cell r="B8">
            <v>135</v>
          </cell>
        </row>
        <row r="9">
          <cell r="B9">
            <v>125</v>
          </cell>
        </row>
        <row r="10">
          <cell r="B10">
            <v>120</v>
          </cell>
        </row>
        <row r="11">
          <cell r="B11">
            <v>140</v>
          </cell>
        </row>
        <row r="12">
          <cell r="B12">
            <v>140</v>
          </cell>
        </row>
        <row r="13">
          <cell r="B13">
            <v>140</v>
          </cell>
        </row>
        <row r="14">
          <cell r="B14">
            <v>140</v>
          </cell>
        </row>
        <row r="15">
          <cell r="B15">
            <v>140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011"/>
      <sheetName val="186011 Earnings Sharing"/>
      <sheetName val="186237 PUC Fee Amort"/>
      <sheetName val="186370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233 Industrial DSM AMORT"/>
      <sheetName val="186306 Amort Smart Energy"/>
      <sheetName val="186308 Defer AMR"/>
      <sheetName val="186307 AMR Amortization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86 Amort CUB Fund"/>
      <sheetName val="186278 Defer NWIGU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34">
          <cell r="I34">
            <v>263163.86</v>
          </cell>
        </row>
      </sheetData>
      <sheetData sheetId="1">
        <row r="17">
          <cell r="B17">
            <v>7.0800000000000002E-2</v>
          </cell>
        </row>
      </sheetData>
      <sheetData sheetId="2"/>
      <sheetData sheetId="3"/>
      <sheetData sheetId="4"/>
      <sheetData sheetId="5"/>
      <sheetData sheetId="6">
        <row r="11">
          <cell r="I11">
            <v>2.01E-2</v>
          </cell>
        </row>
      </sheetData>
      <sheetData sheetId="7">
        <row r="24">
          <cell r="I24">
            <v>-206989.73999999996</v>
          </cell>
        </row>
      </sheetData>
      <sheetData sheetId="8">
        <row r="24">
          <cell r="I24">
            <v>-119490.93999999994</v>
          </cell>
        </row>
      </sheetData>
      <sheetData sheetId="9">
        <row r="24">
          <cell r="I24">
            <v>-119490.93999999994</v>
          </cell>
        </row>
      </sheetData>
      <sheetData sheetId="10">
        <row r="43">
          <cell r="O43">
            <v>564260.23999999976</v>
          </cell>
        </row>
      </sheetData>
      <sheetData sheetId="11">
        <row r="43">
          <cell r="O43">
            <v>564260.23999999976</v>
          </cell>
        </row>
      </sheetData>
      <sheetData sheetId="12"/>
      <sheetData sheetId="13"/>
      <sheetData sheetId="14"/>
      <sheetData sheetId="15"/>
      <sheetData sheetId="16">
        <row r="38">
          <cell r="J38">
            <v>201045.12000000005</v>
          </cell>
        </row>
      </sheetData>
      <sheetData sheetId="17">
        <row r="38">
          <cell r="J38">
            <v>201045.12000000005</v>
          </cell>
        </row>
      </sheetData>
      <sheetData sheetId="18">
        <row r="44">
          <cell r="E44">
            <v>-24540.430000000055</v>
          </cell>
        </row>
      </sheetData>
      <sheetData sheetId="19">
        <row r="38">
          <cell r="J38">
            <v>366524.7385253692</v>
          </cell>
        </row>
      </sheetData>
      <sheetData sheetId="20">
        <row r="38">
          <cell r="J38">
            <v>366524.7385253692</v>
          </cell>
        </row>
      </sheetData>
      <sheetData sheetId="21">
        <row r="73">
          <cell r="H73">
            <v>16992978.279999997</v>
          </cell>
        </row>
      </sheetData>
      <sheetData sheetId="22">
        <row r="73">
          <cell r="H73">
            <v>2129397.85</v>
          </cell>
        </row>
      </sheetData>
      <sheetData sheetId="23">
        <row r="73">
          <cell r="H73">
            <v>2129397.85</v>
          </cell>
        </row>
      </sheetData>
      <sheetData sheetId="24">
        <row r="73">
          <cell r="J73">
            <v>0</v>
          </cell>
        </row>
      </sheetData>
      <sheetData sheetId="25">
        <row r="62">
          <cell r="F62" t="str">
            <v>N/A</v>
          </cell>
        </row>
      </sheetData>
      <sheetData sheetId="26">
        <row r="62">
          <cell r="F62" t="str">
            <v>N/A</v>
          </cell>
        </row>
      </sheetData>
      <sheetData sheetId="27">
        <row r="73">
          <cell r="H73">
            <v>3112.06</v>
          </cell>
        </row>
      </sheetData>
      <sheetData sheetId="28">
        <row r="73">
          <cell r="H73">
            <v>3112.06</v>
          </cell>
        </row>
      </sheetData>
      <sheetData sheetId="29">
        <row r="76">
          <cell r="I76">
            <v>502.90000000000236</v>
          </cell>
        </row>
      </sheetData>
      <sheetData sheetId="30"/>
      <sheetData sheetId="31">
        <row r="76">
          <cell r="I76">
            <v>-4737440.5700000031</v>
          </cell>
        </row>
      </sheetData>
      <sheetData sheetId="32">
        <row r="76">
          <cell r="I76">
            <v>-4737440.5700000031</v>
          </cell>
        </row>
      </sheetData>
      <sheetData sheetId="33">
        <row r="76">
          <cell r="I76">
            <v>2242512.000958398</v>
          </cell>
        </row>
      </sheetData>
      <sheetData sheetId="34">
        <row r="42">
          <cell r="J42">
            <v>-12409909.449999997</v>
          </cell>
        </row>
      </sheetData>
      <sheetData sheetId="35">
        <row r="42">
          <cell r="J42">
            <v>-12409909.449999997</v>
          </cell>
        </row>
      </sheetData>
      <sheetData sheetId="36">
        <row r="42">
          <cell r="H42">
            <v>1785706.1000000006</v>
          </cell>
        </row>
      </sheetData>
      <sheetData sheetId="37">
        <row r="42">
          <cell r="H42">
            <v>1785706.1000000006</v>
          </cell>
        </row>
      </sheetData>
      <sheetData sheetId="38">
        <row r="42">
          <cell r="H42">
            <v>7780297</v>
          </cell>
        </row>
      </sheetData>
      <sheetData sheetId="39">
        <row r="42">
          <cell r="H42">
            <v>7780297</v>
          </cell>
        </row>
      </sheetData>
      <sheetData sheetId="40">
        <row r="33">
          <cell r="F33">
            <v>-1545358.5</v>
          </cell>
        </row>
      </sheetData>
      <sheetData sheetId="41">
        <row r="33">
          <cell r="F33">
            <v>-1545358.5</v>
          </cell>
        </row>
      </sheetData>
      <sheetData sheetId="42">
        <row r="42">
          <cell r="F42">
            <v>-321282.40000000002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July Int Rate for Amort"/>
      <sheetName val="OR 0809 Matrix-estimate amort"/>
      <sheetName val="186291"/>
      <sheetName val="Amortization Rates"/>
      <sheetName val="186236 PUC Fee Refund"/>
      <sheetName val="OR Amort Rates1011"/>
      <sheetName val="186011 Earnings Sharing"/>
      <sheetName val="186237 PUC Fee Amort"/>
      <sheetName val="186370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233 Industrial DSM AMORT"/>
      <sheetName val="186306 Amort Smart Energy"/>
      <sheetName val="186308 Defer AMR"/>
      <sheetName val="186307 AMR Amortization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86 Amort CUB Fund"/>
      <sheetName val="186278 Defer NWIGU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  <sheetName val="for PGA"/>
    </sheetNames>
    <sheetDataSet>
      <sheetData sheetId="0">
        <row r="34">
          <cell r="I34">
            <v>263163.86</v>
          </cell>
        </row>
      </sheetData>
      <sheetData sheetId="1">
        <row r="17">
          <cell r="B17">
            <v>7.0800000000000002E-2</v>
          </cell>
        </row>
      </sheetData>
      <sheetData sheetId="2"/>
      <sheetData sheetId="3"/>
      <sheetData sheetId="4"/>
      <sheetData sheetId="5"/>
      <sheetData sheetId="6">
        <row r="24">
          <cell r="I24">
            <v>-206989.73999999996</v>
          </cell>
        </row>
      </sheetData>
      <sheetData sheetId="7">
        <row r="24">
          <cell r="I24">
            <v>-119490.93999999994</v>
          </cell>
        </row>
      </sheetData>
      <sheetData sheetId="8">
        <row r="24">
          <cell r="I24">
            <v>-119490.93999999994</v>
          </cell>
        </row>
      </sheetData>
      <sheetData sheetId="9">
        <row r="43">
          <cell r="O43">
            <v>564260.23999999976</v>
          </cell>
        </row>
      </sheetData>
      <sheetData sheetId="10">
        <row r="43">
          <cell r="O43">
            <v>564260.23999999976</v>
          </cell>
        </row>
      </sheetData>
      <sheetData sheetId="11"/>
      <sheetData sheetId="12"/>
      <sheetData sheetId="13"/>
      <sheetData sheetId="14"/>
      <sheetData sheetId="15">
        <row r="38">
          <cell r="J38">
            <v>201045.12000000005</v>
          </cell>
        </row>
      </sheetData>
      <sheetData sheetId="16">
        <row r="38">
          <cell r="J38">
            <v>201045.12000000005</v>
          </cell>
        </row>
      </sheetData>
      <sheetData sheetId="17">
        <row r="44">
          <cell r="E44">
            <v>-24540.430000000055</v>
          </cell>
        </row>
      </sheetData>
      <sheetData sheetId="18">
        <row r="38">
          <cell r="J38">
            <v>366524.7385253692</v>
          </cell>
        </row>
      </sheetData>
      <sheetData sheetId="19">
        <row r="38">
          <cell r="J38">
            <v>366524.7385253692</v>
          </cell>
        </row>
      </sheetData>
      <sheetData sheetId="20">
        <row r="73">
          <cell r="H73">
            <v>16992978.279999997</v>
          </cell>
        </row>
      </sheetData>
      <sheetData sheetId="21">
        <row r="73">
          <cell r="H73">
            <v>2129397.85</v>
          </cell>
        </row>
      </sheetData>
      <sheetData sheetId="22">
        <row r="73">
          <cell r="H73">
            <v>2129397.85</v>
          </cell>
        </row>
      </sheetData>
      <sheetData sheetId="23">
        <row r="73">
          <cell r="J73">
            <v>0</v>
          </cell>
        </row>
      </sheetData>
      <sheetData sheetId="24">
        <row r="62">
          <cell r="F62" t="str">
            <v>N/A</v>
          </cell>
        </row>
      </sheetData>
      <sheetData sheetId="25">
        <row r="62">
          <cell r="F62" t="str">
            <v>N/A</v>
          </cell>
        </row>
      </sheetData>
      <sheetData sheetId="26">
        <row r="73">
          <cell r="H73">
            <v>3112.06</v>
          </cell>
        </row>
      </sheetData>
      <sheetData sheetId="27">
        <row r="73">
          <cell r="H73">
            <v>3112.06</v>
          </cell>
        </row>
      </sheetData>
      <sheetData sheetId="28">
        <row r="76">
          <cell r="I76">
            <v>502.90000000000236</v>
          </cell>
        </row>
      </sheetData>
      <sheetData sheetId="29"/>
      <sheetData sheetId="30">
        <row r="76">
          <cell r="I76">
            <v>-4737440.5700000031</v>
          </cell>
        </row>
      </sheetData>
      <sheetData sheetId="31">
        <row r="76">
          <cell r="I76">
            <v>-4737440.5700000031</v>
          </cell>
        </row>
      </sheetData>
      <sheetData sheetId="32">
        <row r="76">
          <cell r="I76">
            <v>2242512.000958398</v>
          </cell>
        </row>
      </sheetData>
      <sheetData sheetId="33">
        <row r="42">
          <cell r="J42">
            <v>-12409909.449999997</v>
          </cell>
        </row>
      </sheetData>
      <sheetData sheetId="34">
        <row r="42">
          <cell r="J42">
            <v>-12409909.449999997</v>
          </cell>
        </row>
      </sheetData>
      <sheetData sheetId="35">
        <row r="42">
          <cell r="H42">
            <v>1785706.1000000006</v>
          </cell>
        </row>
      </sheetData>
      <sheetData sheetId="36">
        <row r="42">
          <cell r="H42">
            <v>1785706.1000000006</v>
          </cell>
        </row>
      </sheetData>
      <sheetData sheetId="37">
        <row r="42">
          <cell r="H42">
            <v>7780297</v>
          </cell>
        </row>
      </sheetData>
      <sheetData sheetId="38">
        <row r="42">
          <cell r="H42">
            <v>7780297</v>
          </cell>
        </row>
      </sheetData>
      <sheetData sheetId="39">
        <row r="33">
          <cell r="F33">
            <v>-1545358.5</v>
          </cell>
        </row>
      </sheetData>
      <sheetData sheetId="40">
        <row r="33">
          <cell r="F33">
            <v>-1545358.5</v>
          </cell>
        </row>
      </sheetData>
      <sheetData sheetId="41">
        <row r="42">
          <cell r="F42">
            <v>-321282.40000000002</v>
          </cell>
        </row>
      </sheetData>
      <sheetData sheetId="42">
        <row r="11">
          <cell r="I11">
            <v>2.01E-2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Summary"/>
      <sheetName val="Base Services"/>
      <sheetName val="Transition"/>
      <sheetName val="Change Control"/>
      <sheetName val="ARC RRC"/>
      <sheetName val="Optional Services"/>
      <sheetName val="Service Credits"/>
      <sheetName val="Passthrough"/>
      <sheetName val="Tax Summary"/>
      <sheetName val="Miscellaneou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>
        <row r="7">
          <cell r="C7" t="b">
            <v>1</v>
          </cell>
        </row>
        <row r="8">
          <cell r="C8" t="b">
            <v>1</v>
          </cell>
        </row>
        <row r="9">
          <cell r="C9" t="b">
            <v>1</v>
          </cell>
        </row>
        <row r="10">
          <cell r="C10" t="b">
            <v>1</v>
          </cell>
        </row>
        <row r="11">
          <cell r="C11" t="b">
            <v>1</v>
          </cell>
        </row>
        <row r="12">
          <cell r="C12" t="b">
            <v>1</v>
          </cell>
        </row>
        <row r="13">
          <cell r="C13" t="b">
            <v>1</v>
          </cell>
        </row>
        <row r="14">
          <cell r="C14" t="b">
            <v>1</v>
          </cell>
        </row>
        <row r="15">
          <cell r="C15" t="b">
            <v>1</v>
          </cell>
        </row>
        <row r="16">
          <cell r="C16" t="b">
            <v>1</v>
          </cell>
        </row>
        <row r="17">
          <cell r="C17" t="b">
            <v>1</v>
          </cell>
        </row>
        <row r="18">
          <cell r="C18" t="b">
            <v>1</v>
          </cell>
        </row>
        <row r="19">
          <cell r="C19" t="b">
            <v>1</v>
          </cell>
        </row>
        <row r="20">
          <cell r="C20" t="b">
            <v>1</v>
          </cell>
        </row>
        <row r="21">
          <cell r="C21" t="b">
            <v>1</v>
          </cell>
        </row>
        <row r="22">
          <cell r="C22" t="b">
            <v>1</v>
          </cell>
        </row>
        <row r="23">
          <cell r="C23" t="b">
            <v>1</v>
          </cell>
        </row>
        <row r="24">
          <cell r="C24" t="b">
            <v>1</v>
          </cell>
        </row>
        <row r="25">
          <cell r="C25" t="b">
            <v>1</v>
          </cell>
        </row>
        <row r="26">
          <cell r="C26" t="b">
            <v>1</v>
          </cell>
        </row>
        <row r="27">
          <cell r="C27" t="b">
            <v>1</v>
          </cell>
        </row>
        <row r="28">
          <cell r="C28" t="b">
            <v>1</v>
          </cell>
        </row>
        <row r="29">
          <cell r="C29" t="b">
            <v>1</v>
          </cell>
        </row>
        <row r="30">
          <cell r="C30" t="b">
            <v>1</v>
          </cell>
        </row>
        <row r="31">
          <cell r="C31" t="b">
            <v>1</v>
          </cell>
        </row>
        <row r="32">
          <cell r="C32" t="b">
            <v>1</v>
          </cell>
        </row>
        <row r="33">
          <cell r="C33" t="b">
            <v>1</v>
          </cell>
        </row>
        <row r="34">
          <cell r="C34" t="b">
            <v>1</v>
          </cell>
        </row>
        <row r="35">
          <cell r="C35" t="b">
            <v>1</v>
          </cell>
        </row>
        <row r="36">
          <cell r="C36" t="b">
            <v>1</v>
          </cell>
        </row>
        <row r="37">
          <cell r="C37" t="b">
            <v>1</v>
          </cell>
        </row>
        <row r="38">
          <cell r="C38" t="b">
            <v>1</v>
          </cell>
        </row>
        <row r="39">
          <cell r="C39" t="b">
            <v>1</v>
          </cell>
        </row>
        <row r="40">
          <cell r="C40" t="b">
            <v>1</v>
          </cell>
        </row>
        <row r="41">
          <cell r="C41" t="b">
            <v>1</v>
          </cell>
        </row>
        <row r="42">
          <cell r="C42" t="b">
            <v>1</v>
          </cell>
        </row>
        <row r="43">
          <cell r="C43" t="b">
            <v>1</v>
          </cell>
        </row>
        <row r="44">
          <cell r="C44" t="b">
            <v>1</v>
          </cell>
        </row>
        <row r="45">
          <cell r="C45" t="b">
            <v>1</v>
          </cell>
        </row>
        <row r="46">
          <cell r="C46" t="b">
            <v>1</v>
          </cell>
        </row>
        <row r="47">
          <cell r="C47" t="b">
            <v>1</v>
          </cell>
        </row>
        <row r="48">
          <cell r="C48" t="b">
            <v>1</v>
          </cell>
        </row>
        <row r="49">
          <cell r="C49" t="b">
            <v>1</v>
          </cell>
        </row>
        <row r="50">
          <cell r="C50" t="b">
            <v>1</v>
          </cell>
        </row>
        <row r="51">
          <cell r="C51" t="b">
            <v>1</v>
          </cell>
        </row>
        <row r="52">
          <cell r="C52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Input Sheet"/>
      <sheetName val="Invoice Summary"/>
      <sheetName val="Base Charges"/>
      <sheetName val="RICEFW Tracker"/>
      <sheetName val="HW &amp; SW Charges "/>
      <sheetName val="Pass-Through Charges"/>
      <sheetName val="Change Controls"/>
      <sheetName val="Service Level Credits"/>
    </sheetNames>
    <sheetDataSet>
      <sheetData sheetId="0"/>
      <sheetData sheetId="1"/>
      <sheetData sheetId="2">
        <row r="4">
          <cell r="B4" t="str">
            <v>NW Natural</v>
          </cell>
        </row>
        <row r="33">
          <cell r="B33" t="str">
            <v>System Integration Services</v>
          </cell>
        </row>
        <row r="34">
          <cell r="B34" t="str">
            <v>Projects</v>
          </cell>
        </row>
        <row r="63">
          <cell r="B63" t="str">
            <v>Site 1</v>
          </cell>
          <cell r="C63" t="str">
            <v>001</v>
          </cell>
        </row>
        <row r="64">
          <cell r="B64" t="str">
            <v>Site 2</v>
          </cell>
          <cell r="C64" t="str">
            <v>002</v>
          </cell>
        </row>
        <row r="65">
          <cell r="B65" t="str">
            <v>Site 3</v>
          </cell>
          <cell r="C65" t="str">
            <v>003</v>
          </cell>
        </row>
        <row r="66">
          <cell r="B66" t="str">
            <v>Site 4</v>
          </cell>
          <cell r="C66" t="str">
            <v>004</v>
          </cell>
        </row>
        <row r="67">
          <cell r="B67" t="str">
            <v>Site 5</v>
          </cell>
          <cell r="C67" t="str">
            <v>005</v>
          </cell>
        </row>
        <row r="68">
          <cell r="B68" t="str">
            <v>Site 6</v>
          </cell>
          <cell r="C68" t="str">
            <v>006</v>
          </cell>
        </row>
        <row r="69">
          <cell r="B69" t="str">
            <v>Site 7</v>
          </cell>
          <cell r="C69" t="str">
            <v>007</v>
          </cell>
        </row>
        <row r="70">
          <cell r="B70" t="str">
            <v>Site 8</v>
          </cell>
          <cell r="C70" t="str">
            <v>008</v>
          </cell>
        </row>
        <row r="71">
          <cell r="B71" t="str">
            <v>Site 9</v>
          </cell>
          <cell r="C71" t="str">
            <v>009</v>
          </cell>
        </row>
        <row r="72">
          <cell r="B72" t="str">
            <v>Site 10</v>
          </cell>
          <cell r="C72" t="str">
            <v>010</v>
          </cell>
        </row>
        <row r="76">
          <cell r="B76" t="str">
            <v>City 1</v>
          </cell>
        </row>
        <row r="77">
          <cell r="B77" t="str">
            <v>City 2</v>
          </cell>
        </row>
        <row r="78">
          <cell r="B78" t="str">
            <v>City 3</v>
          </cell>
        </row>
        <row r="79">
          <cell r="B79" t="str">
            <v>City 4</v>
          </cell>
        </row>
        <row r="80">
          <cell r="B80" t="str">
            <v>City 5</v>
          </cell>
        </row>
        <row r="81">
          <cell r="B81" t="str">
            <v>City 6</v>
          </cell>
        </row>
        <row r="82">
          <cell r="B82" t="str">
            <v>City 7</v>
          </cell>
        </row>
        <row r="83">
          <cell r="B83" t="str">
            <v>City 8</v>
          </cell>
        </row>
        <row r="84">
          <cell r="B84" t="str">
            <v>City 9</v>
          </cell>
        </row>
        <row r="85">
          <cell r="B85" t="str">
            <v>City 10</v>
          </cell>
        </row>
        <row r="89">
          <cell r="B89" t="str">
            <v>State 1</v>
          </cell>
        </row>
        <row r="90">
          <cell r="B90" t="str">
            <v>State 2</v>
          </cell>
        </row>
        <row r="91">
          <cell r="B91" t="str">
            <v>State 3</v>
          </cell>
        </row>
        <row r="92">
          <cell r="B92" t="str">
            <v>State 4</v>
          </cell>
        </row>
        <row r="93">
          <cell r="B93" t="str">
            <v>State 5</v>
          </cell>
        </row>
        <row r="94">
          <cell r="B94" t="str">
            <v>State 6</v>
          </cell>
        </row>
        <row r="95">
          <cell r="B95" t="str">
            <v>State 7</v>
          </cell>
        </row>
        <row r="96">
          <cell r="B96" t="str">
            <v>State 8</v>
          </cell>
        </row>
        <row r="97">
          <cell r="B97" t="str">
            <v>State 9</v>
          </cell>
        </row>
        <row r="98">
          <cell r="B98" t="str">
            <v>State 10</v>
          </cell>
        </row>
        <row r="111">
          <cell r="B111" t="str">
            <v>Country 1</v>
          </cell>
        </row>
        <row r="112">
          <cell r="B112" t="str">
            <v>Country 2</v>
          </cell>
        </row>
        <row r="113">
          <cell r="B113" t="str">
            <v>Country 3</v>
          </cell>
        </row>
        <row r="114">
          <cell r="B114" t="str">
            <v>Country 4</v>
          </cell>
        </row>
        <row r="115">
          <cell r="B115" t="str">
            <v>Country 5</v>
          </cell>
        </row>
        <row r="116">
          <cell r="B116" t="str">
            <v>Country 6</v>
          </cell>
        </row>
        <row r="117">
          <cell r="B117" t="str">
            <v>Country 7</v>
          </cell>
        </row>
        <row r="118">
          <cell r="B118" t="str">
            <v>Country 8</v>
          </cell>
        </row>
        <row r="119">
          <cell r="B119" t="str">
            <v>Country 9</v>
          </cell>
        </row>
        <row r="120">
          <cell r="B120" t="str">
            <v>Country 10</v>
          </cell>
        </row>
      </sheetData>
      <sheetData sheetId="3">
        <row r="37">
          <cell r="B37" t="str">
            <v>Invoice Period: 11/01/2021 to 12/31/2021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SG Consultant Instructions"/>
      <sheetName val="Inputs Master"/>
      <sheetName val="Provider Instructions"/>
      <sheetName val="Provider Assumptions"/>
      <sheetName val="Summary_Service Category"/>
      <sheetName val="Summary_Tower"/>
      <sheetName val="Detailed Base Charges"/>
      <sheetName val="Resource Baselines"/>
      <sheetName val="Unit Rates (ARC &amp; RRC) Tier 1"/>
      <sheetName val="Analytics_Implied Unit Rates"/>
      <sheetName val="Analytics_Unit Rate Analysis"/>
      <sheetName val="Reim - Managed Third Party"/>
      <sheetName val="Reim - Pass-Throughs"/>
      <sheetName val="One-Time Transition"/>
      <sheetName val="One-Time Transformation"/>
      <sheetName val="Asset Purchase &amp; Value Add"/>
      <sheetName val="Inflation Sensitivity"/>
      <sheetName val="Termination Charges"/>
      <sheetName val="Rate Card"/>
    </sheetNames>
    <sheetDataSet>
      <sheetData sheetId="0" refreshError="1"/>
      <sheetData sheetId="1" refreshError="1"/>
      <sheetData sheetId="2">
        <row r="4">
          <cell r="E4" t="str">
            <v>Service Integration Services</v>
          </cell>
        </row>
        <row r="5">
          <cell r="E5" t="str">
            <v>Application Maintenance &amp; Support Services (AMS)</v>
          </cell>
        </row>
        <row r="6">
          <cell r="E6" t="str">
            <v>Application Development Services (ADS)</v>
          </cell>
        </row>
        <row r="7">
          <cell r="E7" t="str">
            <v>Major Development Projects (MDP)</v>
          </cell>
        </row>
        <row r="8">
          <cell r="E8" t="str">
            <v>Application Servers - UNIX</v>
          </cell>
        </row>
        <row r="9">
          <cell r="C9">
            <v>10</v>
          </cell>
          <cell r="E9" t="str">
            <v>Application Servers - Wintel</v>
          </cell>
        </row>
        <row r="10">
          <cell r="C10">
            <v>0</v>
          </cell>
          <cell r="E10" t="str">
            <v>Application Servers -  Linux</v>
          </cell>
        </row>
        <row r="11">
          <cell r="E11" t="str">
            <v>Application Servers - Other</v>
          </cell>
        </row>
        <row r="12">
          <cell r="C12">
            <v>40969</v>
          </cell>
          <cell r="E12" t="str">
            <v>Application Servers - Database Instance</v>
          </cell>
        </row>
        <row r="13">
          <cell r="E13" t="str">
            <v xml:space="preserve">Server Services: Alternative Pricing </v>
          </cell>
        </row>
        <row r="14">
          <cell r="E14" t="str">
            <v>Email and Collaboration Servers</v>
          </cell>
        </row>
        <row r="15">
          <cell r="E15" t="str">
            <v>Storage Services</v>
          </cell>
        </row>
        <row r="16">
          <cell r="E16" t="str">
            <v>Mainframe</v>
          </cell>
        </row>
        <row r="17">
          <cell r="E17" t="str">
            <v>Web Server Services</v>
          </cell>
        </row>
        <row r="18">
          <cell r="E18" t="str">
            <v>MNS - WAN</v>
          </cell>
        </row>
        <row r="19">
          <cell r="E19" t="str">
            <v>MNS - LAN</v>
          </cell>
        </row>
        <row r="20">
          <cell r="E20" t="str">
            <v>MNS - Voice</v>
          </cell>
        </row>
        <row r="21">
          <cell r="E21" t="str">
            <v xml:space="preserve">MNS - Conferencing </v>
          </cell>
        </row>
        <row r="22">
          <cell r="E22" t="str">
            <v>MNS - Trader Voice</v>
          </cell>
        </row>
        <row r="23">
          <cell r="E23" t="str">
            <v>MNS - Mobility</v>
          </cell>
        </row>
        <row r="24">
          <cell r="E24" t="str">
            <v>End-User Computing Services</v>
          </cell>
        </row>
        <row r="25">
          <cell r="E25" t="str">
            <v>Service Desk</v>
          </cell>
        </row>
        <row r="26">
          <cell r="E26" t="str">
            <v>Projects</v>
          </cell>
        </row>
        <row r="27">
          <cell r="E27" t="str">
            <v>Filler 1</v>
          </cell>
        </row>
        <row r="28">
          <cell r="E28" t="str">
            <v>Filler 2</v>
          </cell>
        </row>
        <row r="29">
          <cell r="E29" t="str">
            <v>Filler 3</v>
          </cell>
        </row>
        <row r="30">
          <cell r="E30" t="str">
            <v>Filler 4</v>
          </cell>
        </row>
        <row r="31">
          <cell r="E31" t="str">
            <v>Filler 5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Elasticity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Goldenrod-MC"/>
      <sheetName val="Statement of Rates"/>
      <sheetName val="Statement of Rates Mult. Co"/>
      <sheetName val="Summary of Sales Rates"/>
      <sheetName val="Sales Summary-Mult. Co."/>
      <sheetName val="Summary of Transportation Rates"/>
      <sheetName val="Transp. Summary-Mult. Co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1 Billing Rate History"/>
      <sheetName val="RS 2 Billing Rate History"/>
      <sheetName val="RS 3 Sales Billing Rate History"/>
      <sheetName val="RS 19 Sales Billing Rate His"/>
      <sheetName val="RS 31 FirmSalesHistory"/>
      <sheetName val="RS 31 Intp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>
        <row r="13">
          <cell r="P13">
            <v>1.161660000000001</v>
          </cell>
        </row>
      </sheetData>
      <sheetData sheetId="3"/>
      <sheetData sheetId="4"/>
      <sheetData sheetId="5">
        <row r="13">
          <cell r="I13">
            <v>4.2100000000000002E-3</v>
          </cell>
        </row>
      </sheetData>
      <sheetData sheetId="6"/>
      <sheetData sheetId="7">
        <row r="10">
          <cell r="F10">
            <v>-17832592</v>
          </cell>
        </row>
      </sheetData>
      <sheetData sheetId="8">
        <row r="10">
          <cell r="Q10">
            <v>-190293</v>
          </cell>
        </row>
      </sheetData>
      <sheetData sheetId="9">
        <row r="30">
          <cell r="B30">
            <v>2.853E-2</v>
          </cell>
        </row>
        <row r="85">
          <cell r="B85">
            <v>40848</v>
          </cell>
        </row>
      </sheetData>
      <sheetData sheetId="10">
        <row r="1">
          <cell r="A1" t="str">
            <v>NW Natural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Elasticity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Goldenrod-MC"/>
      <sheetName val="Statement of Rates"/>
      <sheetName val="Statement of Rates Mult. Co"/>
      <sheetName val="Summary of Sales Rates"/>
      <sheetName val="Sales Summary-Mult. Co."/>
      <sheetName val="Summary of Transportation Rates"/>
      <sheetName val="Transp. Summary-Mult. Co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1 Billing Rate History"/>
      <sheetName val="RS 2 Billing Rate History"/>
      <sheetName val="RS 3 Sales Billing Rate History"/>
      <sheetName val="RS 19 Sales Billing Rate His"/>
      <sheetName val="RS 31 FirmSalesHistory"/>
      <sheetName val="RS 31 Intp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2.853E-2</v>
          </cell>
        </row>
        <row r="85">
          <cell r="B85">
            <v>40848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= % of margin"/>
      <sheetName val="Allocation equal ¢ per therm"/>
      <sheetName val="Allocation = % of revenue"/>
      <sheetName val="Rates in detail"/>
      <sheetName val="Temporaries"/>
      <sheetName val="Avg Bill by RS"/>
      <sheetName val="Permanents"/>
      <sheetName val="Rates in summary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>
        <row r="30">
          <cell r="B30">
            <v>4.3568999999999997E-2</v>
          </cell>
        </row>
        <row r="71">
          <cell r="B71">
            <v>45658</v>
          </cell>
        </row>
      </sheetData>
      <sheetData sheetId="2">
        <row r="1">
          <cell r="A1" t="str">
            <v>NW Natural</v>
          </cell>
        </row>
        <row r="2">
          <cell r="A2" t="str">
            <v>Rates &amp; Regulatory Affairs</v>
          </cell>
        </row>
        <row r="3">
          <cell r="A3" t="str">
            <v>2025-2026 PGA Filing - Washington: September Filing</v>
          </cell>
        </row>
        <row r="13">
          <cell r="J13">
            <v>179824.1</v>
          </cell>
        </row>
        <row r="14">
          <cell r="J14">
            <v>18807.400000000001</v>
          </cell>
        </row>
        <row r="15">
          <cell r="J15">
            <v>59991191.600000001</v>
          </cell>
        </row>
        <row r="16">
          <cell r="J16">
            <v>21359578.800000001</v>
          </cell>
        </row>
        <row r="17">
          <cell r="J17">
            <v>192102.2</v>
          </cell>
        </row>
        <row r="18">
          <cell r="J18">
            <v>34823.1</v>
          </cell>
        </row>
        <row r="19">
          <cell r="J19">
            <v>1665389.3</v>
          </cell>
        </row>
        <row r="20">
          <cell r="J20">
            <v>2698480.8</v>
          </cell>
        </row>
        <row r="21">
          <cell r="J21">
            <v>331379.44452066539</v>
          </cell>
        </row>
        <row r="22">
          <cell r="J22">
            <v>593486.75547933462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123242.73967014518</v>
          </cell>
        </row>
        <row r="28">
          <cell r="J28">
            <v>284875.42061605473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820212.7</v>
          </cell>
        </row>
        <row r="32">
          <cell r="J32">
            <v>926222.5</v>
          </cell>
        </row>
        <row r="33">
          <cell r="J33">
            <v>323675.40000000002</v>
          </cell>
        </row>
        <row r="34">
          <cell r="J34">
            <v>84982.8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887029.75709862076</v>
          </cell>
        </row>
        <row r="38">
          <cell r="J38">
            <v>668287.37243846827</v>
          </cell>
        </row>
        <row r="39">
          <cell r="J39">
            <v>109047.67533172015</v>
          </cell>
        </row>
        <row r="40">
          <cell r="J40">
            <v>24232.772003191028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122543.87639893022</v>
          </cell>
        </row>
        <row r="44">
          <cell r="J44">
            <v>245087.75279786045</v>
          </cell>
        </row>
        <row r="45">
          <cell r="J45">
            <v>245087.75279786045</v>
          </cell>
        </row>
        <row r="46">
          <cell r="J46">
            <v>403343.97837634891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933451.95163091726</v>
          </cell>
        </row>
        <row r="50">
          <cell r="J50">
            <v>1354331.8549391942</v>
          </cell>
        </row>
        <row r="51">
          <cell r="J51">
            <v>1182764.9803330612</v>
          </cell>
        </row>
        <row r="52">
          <cell r="J52">
            <v>2743941.1371104051</v>
          </cell>
        </row>
        <row r="53">
          <cell r="J53">
            <v>1030133.9063092957</v>
          </cell>
        </row>
        <row r="54">
          <cell r="J54">
            <v>0</v>
          </cell>
        </row>
        <row r="55">
          <cell r="J55">
            <v>237823.79371068976</v>
          </cell>
        </row>
        <row r="56">
          <cell r="J56">
            <v>449890.27963003801</v>
          </cell>
        </row>
        <row r="57">
          <cell r="J57">
            <v>201896.54594079489</v>
          </cell>
        </row>
        <row r="58">
          <cell r="J58">
            <v>59595.669906477466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171532.62817612645</v>
          </cell>
        </row>
        <row r="62">
          <cell r="J62">
            <v>27036.058789873507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952237.06746634038</v>
          </cell>
        </row>
        <row r="74">
          <cell r="J74">
            <v>1827774.6796347289</v>
          </cell>
        </row>
        <row r="75">
          <cell r="J75">
            <v>1364375.8495009863</v>
          </cell>
        </row>
        <row r="76">
          <cell r="J76">
            <v>4116253.0789308902</v>
          </cell>
        </row>
        <row r="77">
          <cell r="J77">
            <v>1831129.0067156893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</sheetData>
      <sheetData sheetId="3">
        <row r="7">
          <cell r="AJ7" t="str">
            <v xml:space="preserve">Residental Bill Discount Program </v>
          </cell>
        </row>
      </sheetData>
      <sheetData sheetId="4">
        <row r="13">
          <cell r="W13">
            <v>0.24073</v>
          </cell>
        </row>
      </sheetData>
      <sheetData sheetId="5"/>
      <sheetData sheetId="6">
        <row r="13">
          <cell r="D13">
            <v>1.6683000000000003</v>
          </cell>
        </row>
        <row r="14">
          <cell r="D14">
            <v>1.672639999999999</v>
          </cell>
        </row>
        <row r="15">
          <cell r="D15">
            <v>1.3152700000000002</v>
          </cell>
        </row>
        <row r="16">
          <cell r="D16">
            <v>1.2785399999999996</v>
          </cell>
        </row>
        <row r="17">
          <cell r="D17">
            <v>1.2303099999999996</v>
          </cell>
        </row>
        <row r="18">
          <cell r="D18">
            <v>1.11591</v>
          </cell>
        </row>
        <row r="19">
          <cell r="D19">
            <v>1.0394899999999998</v>
          </cell>
        </row>
        <row r="20">
          <cell r="D20">
            <v>0.98116000000000014</v>
          </cell>
        </row>
        <row r="21">
          <cell r="D21">
            <v>0.94622000000000028</v>
          </cell>
        </row>
        <row r="22">
          <cell r="D22">
            <v>0.89908999999999961</v>
          </cell>
        </row>
        <row r="23">
          <cell r="D23">
            <v>0.96427000000000007</v>
          </cell>
        </row>
        <row r="24">
          <cell r="D24">
            <v>0.91047000000000022</v>
          </cell>
        </row>
        <row r="25">
          <cell r="D25">
            <v>0.90245000000000009</v>
          </cell>
        </row>
        <row r="26">
          <cell r="D26">
            <v>0.8560899999999998</v>
          </cell>
        </row>
        <row r="27">
          <cell r="D27">
            <v>0.64044000000000001</v>
          </cell>
        </row>
        <row r="28">
          <cell r="D28">
            <v>0.5930200000000001</v>
          </cell>
        </row>
        <row r="29">
          <cell r="D29">
            <v>0.62856000000000001</v>
          </cell>
        </row>
        <row r="30">
          <cell r="D30">
            <v>0.58256000000000019</v>
          </cell>
        </row>
        <row r="31">
          <cell r="D31">
            <v>0.79625999999999986</v>
          </cell>
        </row>
        <row r="32">
          <cell r="D32">
            <v>0.77026999999999957</v>
          </cell>
        </row>
        <row r="33">
          <cell r="D33">
            <v>0.71862999999999988</v>
          </cell>
        </row>
        <row r="34">
          <cell r="D34">
            <v>0.68461000000000016</v>
          </cell>
        </row>
        <row r="35">
          <cell r="D35">
            <v>0.63927</v>
          </cell>
        </row>
        <row r="36">
          <cell r="D36">
            <v>0.58259000000000005</v>
          </cell>
        </row>
        <row r="37">
          <cell r="D37">
            <v>0.73169000000000006</v>
          </cell>
        </row>
        <row r="38">
          <cell r="D38">
            <v>0.71257999999999988</v>
          </cell>
        </row>
        <row r="39">
          <cell r="D39">
            <v>0.67456999999999967</v>
          </cell>
        </row>
        <row r="40">
          <cell r="D40">
            <v>0.64957000000000009</v>
          </cell>
        </row>
        <row r="41">
          <cell r="D41">
            <v>0.61626000000000036</v>
          </cell>
        </row>
        <row r="42">
          <cell r="D42">
            <v>0.57454999999999989</v>
          </cell>
        </row>
        <row r="43">
          <cell r="D43">
            <v>0.40332000000000001</v>
          </cell>
        </row>
        <row r="44">
          <cell r="D44">
            <v>0.38640000000000002</v>
          </cell>
        </row>
        <row r="45">
          <cell r="D45">
            <v>0.35268999999999995</v>
          </cell>
        </row>
        <row r="46">
          <cell r="D46">
            <v>0.33054000000000006</v>
          </cell>
        </row>
        <row r="47">
          <cell r="D47">
            <v>0.30097000000000007</v>
          </cell>
        </row>
        <row r="48">
          <cell r="D48">
            <v>0.26403000000000004</v>
          </cell>
        </row>
        <row r="49">
          <cell r="D49">
            <v>0.40095999999999998</v>
          </cell>
        </row>
        <row r="50">
          <cell r="D50">
            <v>0.38426999999999989</v>
          </cell>
        </row>
        <row r="51">
          <cell r="D51">
            <v>0.35105000000000003</v>
          </cell>
        </row>
        <row r="52">
          <cell r="D52">
            <v>0.32922000000000012</v>
          </cell>
        </row>
        <row r="53">
          <cell r="D53">
            <v>0.30008999999999997</v>
          </cell>
        </row>
        <row r="54">
          <cell r="D54">
            <v>0.26369000000000009</v>
          </cell>
        </row>
        <row r="55">
          <cell r="D55">
            <v>0.71133000000000013</v>
          </cell>
        </row>
        <row r="56">
          <cell r="D56">
            <v>0.69042999999999966</v>
          </cell>
        </row>
        <row r="57">
          <cell r="D57">
            <v>0.64878000000000013</v>
          </cell>
        </row>
        <row r="58">
          <cell r="D58">
            <v>0.62140999999999991</v>
          </cell>
        </row>
        <row r="59">
          <cell r="D59">
            <v>0.58492999999999984</v>
          </cell>
        </row>
        <row r="60">
          <cell r="D60">
            <v>0.53925000000000001</v>
          </cell>
        </row>
        <row r="61">
          <cell r="D61">
            <v>0.69063999999999992</v>
          </cell>
        </row>
        <row r="62">
          <cell r="D62">
            <v>0.67198999999999998</v>
          </cell>
        </row>
        <row r="63">
          <cell r="D63">
            <v>0.63488999999999995</v>
          </cell>
        </row>
        <row r="64">
          <cell r="D64">
            <v>0.61047999999999969</v>
          </cell>
        </row>
        <row r="65">
          <cell r="D65">
            <v>0.57791000000000003</v>
          </cell>
        </row>
        <row r="66">
          <cell r="D66">
            <v>0.53723999999999983</v>
          </cell>
        </row>
        <row r="67">
          <cell r="D67">
            <v>0.39076</v>
          </cell>
        </row>
        <row r="68">
          <cell r="D68">
            <v>0.37516000000000005</v>
          </cell>
        </row>
        <row r="69">
          <cell r="D69">
            <v>0.34404999999999997</v>
          </cell>
        </row>
        <row r="70">
          <cell r="D70">
            <v>0.3236</v>
          </cell>
        </row>
        <row r="71">
          <cell r="D71">
            <v>0.29632999999999998</v>
          </cell>
        </row>
        <row r="72">
          <cell r="D72">
            <v>0.26221000000000005</v>
          </cell>
        </row>
        <row r="73">
          <cell r="D73">
            <v>0.39346999999999999</v>
          </cell>
        </row>
        <row r="74">
          <cell r="D74">
            <v>0.37758000000000003</v>
          </cell>
        </row>
        <row r="75">
          <cell r="D75">
            <v>0.34592000000000001</v>
          </cell>
        </row>
        <row r="76">
          <cell r="D76">
            <v>0.32511000000000001</v>
          </cell>
        </row>
        <row r="77">
          <cell r="D77">
            <v>0.29735999999999996</v>
          </cell>
        </row>
        <row r="78">
          <cell r="D78">
            <v>0.26266000000000006</v>
          </cell>
        </row>
        <row r="79">
          <cell r="D79">
            <v>0.24684999999999996</v>
          </cell>
        </row>
        <row r="80">
          <cell r="D80">
            <v>0.24684999999999996</v>
          </cell>
        </row>
      </sheetData>
      <sheetData sheetId="7">
        <row r="13">
          <cell r="J13">
            <v>-4.5029999999999987E-2</v>
          </cell>
          <cell r="K13">
            <v>0.14388999999999999</v>
          </cell>
          <cell r="L13">
            <v>-1.7799999999999999E-3</v>
          </cell>
          <cell r="M13">
            <v>0</v>
          </cell>
          <cell r="N13">
            <v>2.0049999999999998E-2</v>
          </cell>
          <cell r="O13">
            <v>3.2299999999999998E-3</v>
          </cell>
          <cell r="P13">
            <v>-2.3000000000000001E-4</v>
          </cell>
          <cell r="Q13">
            <v>0</v>
          </cell>
          <cell r="R13">
            <v>1.8579999999999999E-2</v>
          </cell>
          <cell r="S13">
            <v>0</v>
          </cell>
          <cell r="T13">
            <v>3.0000000000000001E-5</v>
          </cell>
          <cell r="U13">
            <v>3.7949999999999998E-2</v>
          </cell>
          <cell r="V13">
            <v>0.24073</v>
          </cell>
          <cell r="AW13">
            <v>0</v>
          </cell>
          <cell r="AX13">
            <v>0.11046</v>
          </cell>
          <cell r="AY13">
            <v>2.0070000000000001E-2</v>
          </cell>
          <cell r="AZ13">
            <v>1.396E-2</v>
          </cell>
          <cell r="BB13">
            <v>-1.1100000000000001E-3</v>
          </cell>
          <cell r="BC13">
            <v>0</v>
          </cell>
          <cell r="BD13">
            <v>4.2000000000000002E-4</v>
          </cell>
          <cell r="BE13">
            <v>3.7949999999999998E-2</v>
          </cell>
          <cell r="BF13">
            <v>0.24073</v>
          </cell>
        </row>
        <row r="14">
          <cell r="J14">
            <v>-4.5029999999999987E-2</v>
          </cell>
          <cell r="K14">
            <v>9.6509999999999999E-2</v>
          </cell>
          <cell r="L14">
            <v>-1.17E-3</v>
          </cell>
          <cell r="M14">
            <v>0</v>
          </cell>
          <cell r="N14">
            <v>1.345E-2</v>
          </cell>
          <cell r="O14">
            <v>2.1800000000000001E-3</v>
          </cell>
          <cell r="P14">
            <v>-1.6000000000000001E-4</v>
          </cell>
          <cell r="Q14">
            <v>0</v>
          </cell>
          <cell r="R14">
            <v>1.244E-2</v>
          </cell>
          <cell r="S14">
            <v>0</v>
          </cell>
          <cell r="T14">
            <v>0</v>
          </cell>
          <cell r="U14">
            <v>3.2939999999999997E-2</v>
          </cell>
          <cell r="V14">
            <v>0.24073</v>
          </cell>
          <cell r="AW14">
            <v>0</v>
          </cell>
          <cell r="AX14">
            <v>9.5829999999999999E-2</v>
          </cell>
          <cell r="AY14">
            <v>1.7399999999999999E-2</v>
          </cell>
          <cell r="AZ14">
            <v>1.2109999999999999E-2</v>
          </cell>
          <cell r="BB14">
            <v>-9.6000000000000002E-4</v>
          </cell>
          <cell r="BC14">
            <v>0</v>
          </cell>
          <cell r="BD14">
            <v>3.8000000000000002E-4</v>
          </cell>
          <cell r="BE14">
            <v>3.2939999999999997E-2</v>
          </cell>
          <cell r="BF14">
            <v>0.24073</v>
          </cell>
        </row>
        <row r="15">
          <cell r="J15">
            <v>-4.5029999999999987E-2</v>
          </cell>
          <cell r="K15">
            <v>6.6089999999999996E-2</v>
          </cell>
          <cell r="L15">
            <v>-8.1999999999999998E-4</v>
          </cell>
          <cell r="M15">
            <v>0</v>
          </cell>
          <cell r="N15">
            <v>9.2099999999999994E-3</v>
          </cell>
          <cell r="O15">
            <v>1.48E-3</v>
          </cell>
          <cell r="P15">
            <v>-1.1E-4</v>
          </cell>
          <cell r="Q15">
            <v>3.2000000000000003E-4</v>
          </cell>
          <cell r="R15">
            <v>8.5299999999999994E-3</v>
          </cell>
          <cell r="S15">
            <v>0</v>
          </cell>
          <cell r="T15">
            <v>2.0000000000000002E-5</v>
          </cell>
          <cell r="U15">
            <v>2.188E-2</v>
          </cell>
          <cell r="V15">
            <v>0.24073</v>
          </cell>
          <cell r="AW15">
            <v>3.6000000000000002E-4</v>
          </cell>
          <cell r="AX15">
            <v>6.368E-2</v>
          </cell>
          <cell r="AY15">
            <v>1.157E-2</v>
          </cell>
          <cell r="AZ15">
            <v>8.0499999999999999E-3</v>
          </cell>
          <cell r="BB15">
            <v>-6.4000000000000005E-4</v>
          </cell>
          <cell r="BC15">
            <v>0</v>
          </cell>
          <cell r="BD15">
            <v>3.1E-4</v>
          </cell>
          <cell r="BE15">
            <v>2.188E-2</v>
          </cell>
          <cell r="BF15">
            <v>0.24073</v>
          </cell>
        </row>
        <row r="16">
          <cell r="J16">
            <v>-4.5029999999999987E-2</v>
          </cell>
          <cell r="K16">
            <v>5.8250000000000003E-2</v>
          </cell>
          <cell r="L16">
            <v>-7.2000000000000005E-4</v>
          </cell>
          <cell r="M16">
            <v>0</v>
          </cell>
          <cell r="N16">
            <v>8.1200000000000005E-3</v>
          </cell>
          <cell r="O16">
            <v>1.31E-3</v>
          </cell>
          <cell r="P16">
            <v>-1E-4</v>
          </cell>
          <cell r="Q16">
            <v>0</v>
          </cell>
          <cell r="R16">
            <v>7.5199999999999998E-3</v>
          </cell>
          <cell r="S16">
            <v>0</v>
          </cell>
          <cell r="T16">
            <v>2.0000000000000002E-5</v>
          </cell>
          <cell r="U16">
            <v>1.9439999999999999E-2</v>
          </cell>
          <cell r="V16">
            <v>0.24073</v>
          </cell>
          <cell r="AW16">
            <v>0</v>
          </cell>
          <cell r="AX16">
            <v>5.6590000000000001E-2</v>
          </cell>
          <cell r="AY16">
            <v>1.0279999999999999E-2</v>
          </cell>
          <cell r="AZ16">
            <v>7.1500000000000001E-3</v>
          </cell>
          <cell r="BB16">
            <v>-5.6999999999999998E-4</v>
          </cell>
          <cell r="BC16">
            <v>0</v>
          </cell>
          <cell r="BD16">
            <v>2.9E-4</v>
          </cell>
          <cell r="BE16">
            <v>1.9439999999999999E-2</v>
          </cell>
          <cell r="BF16">
            <v>0.24073</v>
          </cell>
        </row>
        <row r="17">
          <cell r="J17">
            <v>-4.5029999999999987E-2</v>
          </cell>
          <cell r="K17">
            <v>0</v>
          </cell>
          <cell r="L17">
            <v>0</v>
          </cell>
          <cell r="M17">
            <v>0</v>
          </cell>
          <cell r="N17">
            <v>7.5100000000000002E-3</v>
          </cell>
          <cell r="O17">
            <v>1.2099999999999999E-3</v>
          </cell>
          <cell r="P17">
            <v>-9.0000000000000006E-5</v>
          </cell>
          <cell r="Q17">
            <v>0</v>
          </cell>
          <cell r="R17">
            <v>6.9499999999999996E-3</v>
          </cell>
          <cell r="S17">
            <v>3.5E-4</v>
          </cell>
          <cell r="T17">
            <v>2.0000000000000002E-5</v>
          </cell>
          <cell r="U17">
            <v>1.7850000000000001E-2</v>
          </cell>
          <cell r="V17">
            <v>0.24073</v>
          </cell>
          <cell r="AW17">
            <v>0</v>
          </cell>
          <cell r="AX17">
            <v>0</v>
          </cell>
          <cell r="AY17">
            <v>9.4400000000000005E-3</v>
          </cell>
          <cell r="AZ17">
            <v>6.5599999999999999E-3</v>
          </cell>
          <cell r="BB17">
            <v>-5.1999999999999995E-4</v>
          </cell>
          <cell r="BC17">
            <v>1.0300000000000001E-3</v>
          </cell>
          <cell r="BD17">
            <v>2.4000000000000001E-4</v>
          </cell>
          <cell r="BE17">
            <v>1.7850000000000001E-2</v>
          </cell>
          <cell r="BF17">
            <v>0.24073</v>
          </cell>
        </row>
        <row r="18">
          <cell r="J18">
            <v>-4.5029999999999987E-2</v>
          </cell>
          <cell r="K18">
            <v>0.14729</v>
          </cell>
          <cell r="L18">
            <v>-1.8400000000000001E-3</v>
          </cell>
          <cell r="M18">
            <v>0</v>
          </cell>
          <cell r="N18">
            <v>2.053E-2</v>
          </cell>
          <cell r="O18">
            <v>3.3E-3</v>
          </cell>
          <cell r="P18">
            <v>-2.3000000000000001E-4</v>
          </cell>
          <cell r="Q18">
            <v>0</v>
          </cell>
          <cell r="R18">
            <v>1.9009999999999999E-2</v>
          </cell>
          <cell r="S18">
            <v>0</v>
          </cell>
          <cell r="T18">
            <v>3.0000000000000001E-5</v>
          </cell>
          <cell r="U18">
            <v>3.1620000000000002E-2</v>
          </cell>
          <cell r="V18">
            <v>0.24073</v>
          </cell>
          <cell r="AW18">
            <v>0</v>
          </cell>
          <cell r="AX18">
            <v>9.2050000000000007E-2</v>
          </cell>
          <cell r="AY18">
            <v>1.6719999999999999E-2</v>
          </cell>
          <cell r="AZ18">
            <v>1.163E-2</v>
          </cell>
          <cell r="BB18">
            <v>-9.3000000000000005E-4</v>
          </cell>
          <cell r="BC18">
            <v>0</v>
          </cell>
          <cell r="BD18">
            <v>4.2999999999999999E-4</v>
          </cell>
          <cell r="BE18">
            <v>3.1620000000000002E-2</v>
          </cell>
          <cell r="BF18">
            <v>0.24073</v>
          </cell>
        </row>
        <row r="19">
          <cell r="J19">
            <v>-4.5029999999999987E-2</v>
          </cell>
          <cell r="K19">
            <v>4.6289999999999998E-2</v>
          </cell>
          <cell r="L19">
            <v>-5.6999999999999998E-4</v>
          </cell>
          <cell r="M19">
            <v>0</v>
          </cell>
          <cell r="N19">
            <v>6.45E-3</v>
          </cell>
          <cell r="O19">
            <v>1.0399999999999999E-3</v>
          </cell>
          <cell r="P19">
            <v>-8.0000000000000007E-5</v>
          </cell>
          <cell r="Q19">
            <v>0</v>
          </cell>
          <cell r="R19">
            <v>5.9800000000000001E-3</v>
          </cell>
          <cell r="S19">
            <v>0</v>
          </cell>
          <cell r="T19">
            <v>1.0000000000000001E-5</v>
          </cell>
          <cell r="U19">
            <v>1.5630000000000002E-2</v>
          </cell>
          <cell r="V19">
            <v>0.24073</v>
          </cell>
          <cell r="AW19">
            <v>0</v>
          </cell>
          <cell r="AX19">
            <v>4.5500000000000006E-2</v>
          </cell>
          <cell r="AY19">
            <v>8.2699999999999996E-3</v>
          </cell>
          <cell r="AZ19">
            <v>5.7499999999999999E-3</v>
          </cell>
          <cell r="BB19">
            <v>-4.6000000000000001E-4</v>
          </cell>
          <cell r="BC19">
            <v>0</v>
          </cell>
          <cell r="BD19">
            <v>2.3000000000000001E-4</v>
          </cell>
          <cell r="BE19">
            <v>1.5630000000000002E-2</v>
          </cell>
          <cell r="BF19">
            <v>0.24073</v>
          </cell>
        </row>
        <row r="20">
          <cell r="J20">
            <v>-4.5029999999999987E-2</v>
          </cell>
          <cell r="K20">
            <v>4.079E-2</v>
          </cell>
          <cell r="L20">
            <v>-5.1000000000000004E-4</v>
          </cell>
          <cell r="M20">
            <v>0</v>
          </cell>
          <cell r="N20">
            <v>5.6800000000000002E-3</v>
          </cell>
          <cell r="O20">
            <v>9.2000000000000003E-4</v>
          </cell>
          <cell r="P20">
            <v>-6.9999999999999994E-5</v>
          </cell>
          <cell r="Q20">
            <v>0</v>
          </cell>
          <cell r="R20">
            <v>5.2700000000000004E-3</v>
          </cell>
          <cell r="S20">
            <v>0</v>
          </cell>
          <cell r="T20">
            <v>1.0000000000000001E-5</v>
          </cell>
          <cell r="U20">
            <v>1.3769999999999999E-2</v>
          </cell>
          <cell r="V20">
            <v>0.24073</v>
          </cell>
          <cell r="AW20">
            <v>0</v>
          </cell>
          <cell r="AX20">
            <v>4.0090000000000001E-2</v>
          </cell>
          <cell r="AY20">
            <v>7.2899999999999996E-3</v>
          </cell>
          <cell r="AZ20">
            <v>5.0699999999999999E-3</v>
          </cell>
          <cell r="BB20">
            <v>-4.0000000000000002E-4</v>
          </cell>
          <cell r="BC20">
            <v>0</v>
          </cell>
          <cell r="BD20">
            <v>2.2000000000000001E-4</v>
          </cell>
          <cell r="BE20">
            <v>1.3769999999999999E-2</v>
          </cell>
          <cell r="BF20">
            <v>0.24073</v>
          </cell>
        </row>
        <row r="21">
          <cell r="J21">
            <v>-4.5029999999999987E-2</v>
          </cell>
          <cell r="K21">
            <v>0</v>
          </cell>
          <cell r="L21">
            <v>0</v>
          </cell>
          <cell r="M21">
            <v>0</v>
          </cell>
          <cell r="N21">
            <v>5.8500000000000002E-3</v>
          </cell>
          <cell r="O21">
            <v>9.3999999999999997E-4</v>
          </cell>
          <cell r="P21">
            <v>-6.9999999999999994E-5</v>
          </cell>
          <cell r="Q21">
            <v>0</v>
          </cell>
          <cell r="R21">
            <v>5.4200000000000003E-3</v>
          </cell>
          <cell r="S21">
            <v>3.5E-4</v>
          </cell>
          <cell r="T21">
            <v>1.0000000000000001E-5</v>
          </cell>
          <cell r="U21">
            <v>1.34E-2</v>
          </cell>
          <cell r="V21">
            <v>0.24073</v>
          </cell>
          <cell r="AW21">
            <v>0</v>
          </cell>
          <cell r="AX21">
            <v>0</v>
          </cell>
          <cell r="AY21">
            <v>7.0800000000000004E-3</v>
          </cell>
          <cell r="AZ21">
            <v>4.9300000000000004E-3</v>
          </cell>
          <cell r="BB21">
            <v>-3.8999999999999999E-4</v>
          </cell>
          <cell r="BC21">
            <v>1.0300000000000001E-3</v>
          </cell>
          <cell r="BD21">
            <v>2.1000000000000001E-4</v>
          </cell>
          <cell r="BE21">
            <v>1.34E-2</v>
          </cell>
          <cell r="BF21">
            <v>0.24073</v>
          </cell>
        </row>
        <row r="22">
          <cell r="J22">
            <v>-4.5029999999999987E-2</v>
          </cell>
          <cell r="K22">
            <v>0</v>
          </cell>
          <cell r="L22">
            <v>0</v>
          </cell>
          <cell r="M22">
            <v>0</v>
          </cell>
          <cell r="N22">
            <v>5.1500000000000001E-3</v>
          </cell>
          <cell r="O22">
            <v>8.3000000000000001E-4</v>
          </cell>
          <cell r="P22">
            <v>-6.0000000000000002E-5</v>
          </cell>
          <cell r="Q22">
            <v>0</v>
          </cell>
          <cell r="R22">
            <v>4.7800000000000004E-3</v>
          </cell>
          <cell r="S22">
            <v>3.5E-4</v>
          </cell>
          <cell r="T22">
            <v>1.0000000000000001E-5</v>
          </cell>
          <cell r="U22">
            <v>1.1809999999999999E-2</v>
          </cell>
          <cell r="V22">
            <v>0.24073</v>
          </cell>
          <cell r="AW22">
            <v>0</v>
          </cell>
          <cell r="AX22">
            <v>0</v>
          </cell>
          <cell r="AY22">
            <v>6.2399999999999999E-3</v>
          </cell>
          <cell r="AZ22">
            <v>4.3400000000000001E-3</v>
          </cell>
          <cell r="BB22">
            <v>-3.4000000000000002E-4</v>
          </cell>
          <cell r="BC22">
            <v>1.0300000000000001E-3</v>
          </cell>
          <cell r="BD22">
            <v>2.1000000000000001E-4</v>
          </cell>
          <cell r="BE22">
            <v>1.1809999999999999E-2</v>
          </cell>
          <cell r="BF22">
            <v>0.24073</v>
          </cell>
        </row>
        <row r="23">
          <cell r="J23">
            <v>-1.2729999999999991E-2</v>
          </cell>
          <cell r="K23">
            <v>4.233E-2</v>
          </cell>
          <cell r="L23">
            <v>-5.1999999999999995E-4</v>
          </cell>
          <cell r="M23">
            <v>0</v>
          </cell>
          <cell r="N23">
            <v>6.0000000000000001E-3</v>
          </cell>
          <cell r="O23">
            <v>9.7000000000000005E-4</v>
          </cell>
          <cell r="P23">
            <v>-6.9999999999999994E-5</v>
          </cell>
          <cell r="Q23">
            <v>0</v>
          </cell>
          <cell r="R23">
            <v>5.7800000000000004E-3</v>
          </cell>
          <cell r="S23">
            <v>0</v>
          </cell>
          <cell r="T23">
            <v>0</v>
          </cell>
          <cell r="U23">
            <v>1.4829999999999999E-2</v>
          </cell>
          <cell r="V23">
            <v>0.24073</v>
          </cell>
          <cell r="AW23">
            <v>0</v>
          </cell>
          <cell r="AX23">
            <v>4.0620000000000003E-2</v>
          </cell>
          <cell r="AY23">
            <v>7.5199999999999998E-3</v>
          </cell>
          <cell r="AZ23">
            <v>5.4599999999999996E-3</v>
          </cell>
          <cell r="BB23">
            <v>-4.2999999999999999E-4</v>
          </cell>
          <cell r="BC23">
            <v>0</v>
          </cell>
          <cell r="BD23">
            <v>0</v>
          </cell>
          <cell r="BE23">
            <v>1.4829999999999999E-2</v>
          </cell>
          <cell r="BF23">
            <v>0.24073</v>
          </cell>
        </row>
        <row r="24">
          <cell r="J24">
            <v>-1.2729999999999991E-2</v>
          </cell>
          <cell r="K24">
            <v>3.7289999999999997E-2</v>
          </cell>
          <cell r="L24">
            <v>-4.6000000000000001E-4</v>
          </cell>
          <cell r="M24">
            <v>0</v>
          </cell>
          <cell r="N24">
            <v>5.28E-3</v>
          </cell>
          <cell r="O24">
            <v>8.4999999999999995E-4</v>
          </cell>
          <cell r="P24">
            <v>-6.0000000000000002E-5</v>
          </cell>
          <cell r="Q24">
            <v>0</v>
          </cell>
          <cell r="R24">
            <v>5.0899999999999999E-3</v>
          </cell>
          <cell r="S24">
            <v>0</v>
          </cell>
          <cell r="T24">
            <v>0</v>
          </cell>
          <cell r="U24">
            <v>1.307E-2</v>
          </cell>
          <cell r="V24">
            <v>0.24073</v>
          </cell>
          <cell r="AW24">
            <v>0</v>
          </cell>
          <cell r="AX24">
            <v>3.5799999999999998E-2</v>
          </cell>
          <cell r="AY24">
            <v>6.6300000000000005E-3</v>
          </cell>
          <cell r="AZ24">
            <v>4.81E-3</v>
          </cell>
          <cell r="BB24">
            <v>-3.8000000000000002E-4</v>
          </cell>
          <cell r="BC24">
            <v>0</v>
          </cell>
          <cell r="BD24">
            <v>0</v>
          </cell>
          <cell r="BE24">
            <v>1.307E-2</v>
          </cell>
          <cell r="BF24">
            <v>0.24073</v>
          </cell>
        </row>
        <row r="25">
          <cell r="J25">
            <v>-1.2729999999999991E-2</v>
          </cell>
          <cell r="K25">
            <v>0</v>
          </cell>
          <cell r="L25">
            <v>0</v>
          </cell>
          <cell r="M25">
            <v>0</v>
          </cell>
          <cell r="N25">
            <v>5.6699999999999997E-3</v>
          </cell>
          <cell r="O25">
            <v>9.1E-4</v>
          </cell>
          <cell r="P25">
            <v>-6.9999999999999994E-5</v>
          </cell>
          <cell r="Q25">
            <v>0</v>
          </cell>
          <cell r="R25">
            <v>5.47E-3</v>
          </cell>
          <cell r="S25">
            <v>3.5E-4</v>
          </cell>
          <cell r="T25">
            <v>0</v>
          </cell>
          <cell r="U25">
            <v>1.4030000000000001E-2</v>
          </cell>
          <cell r="V25">
            <v>0.24073</v>
          </cell>
          <cell r="AW25">
            <v>0</v>
          </cell>
          <cell r="AX25">
            <v>0</v>
          </cell>
          <cell r="AY25">
            <v>7.1199999999999996E-3</v>
          </cell>
          <cell r="AZ25">
            <v>5.1599999999999997E-3</v>
          </cell>
          <cell r="BB25">
            <v>-4.0999999999999999E-4</v>
          </cell>
          <cell r="BC25">
            <v>1.0300000000000001E-3</v>
          </cell>
          <cell r="BD25">
            <v>0</v>
          </cell>
          <cell r="BE25">
            <v>1.4030000000000001E-2</v>
          </cell>
          <cell r="BF25">
            <v>0.24073</v>
          </cell>
        </row>
        <row r="26">
          <cell r="J26">
            <v>-1.2729999999999991E-2</v>
          </cell>
          <cell r="K26">
            <v>0</v>
          </cell>
          <cell r="L26">
            <v>0</v>
          </cell>
          <cell r="M26">
            <v>0</v>
          </cell>
          <cell r="N26">
            <v>5.0000000000000001E-3</v>
          </cell>
          <cell r="O26">
            <v>8.0999999999999996E-4</v>
          </cell>
          <cell r="P26">
            <v>-6.0000000000000002E-5</v>
          </cell>
          <cell r="Q26">
            <v>0</v>
          </cell>
          <cell r="R26">
            <v>4.8199999999999996E-3</v>
          </cell>
          <cell r="S26">
            <v>3.5E-4</v>
          </cell>
          <cell r="T26">
            <v>0</v>
          </cell>
          <cell r="U26">
            <v>1.2359999999999999E-2</v>
          </cell>
          <cell r="V26">
            <v>0.24073</v>
          </cell>
          <cell r="AW26">
            <v>0</v>
          </cell>
          <cell r="AX26">
            <v>0</v>
          </cell>
          <cell r="AY26">
            <v>6.2700000000000004E-3</v>
          </cell>
          <cell r="AZ26">
            <v>4.5500000000000002E-3</v>
          </cell>
          <cell r="BB26">
            <v>-3.6000000000000002E-4</v>
          </cell>
          <cell r="BC26">
            <v>1.0300000000000001E-3</v>
          </cell>
          <cell r="BD26">
            <v>0</v>
          </cell>
          <cell r="BE26">
            <v>1.2359999999999999E-2</v>
          </cell>
          <cell r="BF26">
            <v>0.24073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-8.0000000000000007E-5</v>
          </cell>
          <cell r="Q27">
            <v>0</v>
          </cell>
          <cell r="R27">
            <v>6.1599999999999997E-3</v>
          </cell>
          <cell r="S27">
            <v>3.5E-4</v>
          </cell>
          <cell r="T27">
            <v>1.0000000000000001E-5</v>
          </cell>
          <cell r="U27">
            <v>1.5440000000000001E-2</v>
          </cell>
          <cell r="V27">
            <v>0.24073</v>
          </cell>
          <cell r="AW27">
            <v>0</v>
          </cell>
          <cell r="AX27">
            <v>0</v>
          </cell>
          <cell r="AY27">
            <v>0</v>
          </cell>
          <cell r="AZ27">
            <v>5.6899999999999997E-3</v>
          </cell>
          <cell r="BB27">
            <v>-4.4999999999999999E-4</v>
          </cell>
          <cell r="BC27">
            <v>1.0300000000000001E-3</v>
          </cell>
          <cell r="BD27">
            <v>1.4999999999999999E-4</v>
          </cell>
          <cell r="BE27">
            <v>1.5440000000000001E-2</v>
          </cell>
          <cell r="BF27">
            <v>0.24073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-6.9999999999999994E-5</v>
          </cell>
          <cell r="Q28">
            <v>0</v>
          </cell>
          <cell r="R28">
            <v>5.4299999999999999E-3</v>
          </cell>
          <cell r="S28">
            <v>3.5E-4</v>
          </cell>
          <cell r="T28">
            <v>1.0000000000000001E-5</v>
          </cell>
          <cell r="U28">
            <v>1.3599999999999999E-2</v>
          </cell>
          <cell r="V28">
            <v>0.24073</v>
          </cell>
          <cell r="AW28">
            <v>0</v>
          </cell>
          <cell r="AX28">
            <v>0</v>
          </cell>
          <cell r="AY28">
            <v>0</v>
          </cell>
          <cell r="AZ28">
            <v>5.0099999999999997E-3</v>
          </cell>
          <cell r="BB28">
            <v>-4.0000000000000002E-4</v>
          </cell>
          <cell r="BC28">
            <v>1.0300000000000001E-3</v>
          </cell>
          <cell r="BD28">
            <v>1.3999999999999999E-4</v>
          </cell>
          <cell r="BE28">
            <v>1.3599999999999999E-2</v>
          </cell>
          <cell r="BF28">
            <v>0.24073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-6.9999999999999994E-5</v>
          </cell>
          <cell r="Q29">
            <v>0</v>
          </cell>
          <cell r="R29">
            <v>5.5300000000000002E-3</v>
          </cell>
          <cell r="S29">
            <v>3.5E-4</v>
          </cell>
          <cell r="T29">
            <v>0</v>
          </cell>
          <cell r="U29">
            <v>1.418E-2</v>
          </cell>
          <cell r="V29">
            <v>0.24073</v>
          </cell>
          <cell r="AW29">
            <v>0</v>
          </cell>
          <cell r="AX29">
            <v>0</v>
          </cell>
          <cell r="AY29">
            <v>0</v>
          </cell>
          <cell r="AZ29">
            <v>5.2199999999999998E-3</v>
          </cell>
          <cell r="BB29">
            <v>-4.0999999999999999E-4</v>
          </cell>
          <cell r="BC29">
            <v>1.0300000000000001E-3</v>
          </cell>
          <cell r="BD29">
            <v>0</v>
          </cell>
          <cell r="BE29">
            <v>1.418E-2</v>
          </cell>
          <cell r="BF29">
            <v>0.24073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-6.0000000000000002E-5</v>
          </cell>
          <cell r="Q30">
            <v>0</v>
          </cell>
          <cell r="R30">
            <v>4.8700000000000002E-3</v>
          </cell>
          <cell r="S30">
            <v>3.5E-4</v>
          </cell>
          <cell r="T30">
            <v>0</v>
          </cell>
          <cell r="U30">
            <v>1.2500000000000001E-2</v>
          </cell>
          <cell r="V30">
            <v>0.24073</v>
          </cell>
          <cell r="AW30">
            <v>0</v>
          </cell>
          <cell r="AX30">
            <v>0</v>
          </cell>
          <cell r="AY30">
            <v>0</v>
          </cell>
          <cell r="AZ30">
            <v>4.5999999999999999E-3</v>
          </cell>
          <cell r="BB30">
            <v>-3.6000000000000002E-4</v>
          </cell>
          <cell r="BC30">
            <v>1.0300000000000001E-3</v>
          </cell>
          <cell r="BD30">
            <v>0</v>
          </cell>
          <cell r="BE30">
            <v>1.2500000000000001E-2</v>
          </cell>
          <cell r="BF30">
            <v>0.24073</v>
          </cell>
        </row>
        <row r="31">
          <cell r="J31">
            <v>-4.5029999999999987E-2</v>
          </cell>
          <cell r="K31">
            <v>2.5569999999999999E-2</v>
          </cell>
          <cell r="L31">
            <v>-3.2000000000000003E-4</v>
          </cell>
          <cell r="M31">
            <v>0</v>
          </cell>
          <cell r="N31">
            <v>3.5599999999999998E-3</v>
          </cell>
          <cell r="O31">
            <v>5.6999999999999998E-4</v>
          </cell>
          <cell r="P31">
            <v>-4.0000000000000003E-5</v>
          </cell>
          <cell r="Q31">
            <v>0</v>
          </cell>
          <cell r="R31">
            <v>3.3999999999999998E-3</v>
          </cell>
          <cell r="S31">
            <v>0</v>
          </cell>
          <cell r="T31">
            <v>1.0000000000000001E-5</v>
          </cell>
          <cell r="U31">
            <v>8.6899999999999998E-3</v>
          </cell>
          <cell r="V31">
            <v>0.24073</v>
          </cell>
          <cell r="AW31">
            <v>0</v>
          </cell>
          <cell r="AX31">
            <v>2.529E-2</v>
          </cell>
          <cell r="AY31">
            <v>4.5899999999999995E-3</v>
          </cell>
          <cell r="AZ31">
            <v>3.2000000000000002E-3</v>
          </cell>
          <cell r="BB31">
            <v>-2.5000000000000001E-4</v>
          </cell>
          <cell r="BC31">
            <v>0</v>
          </cell>
          <cell r="BD31">
            <v>1.4999999999999999E-4</v>
          </cell>
          <cell r="BE31">
            <v>8.6899999999999998E-3</v>
          </cell>
          <cell r="BF31">
            <v>0.24073</v>
          </cell>
        </row>
        <row r="32">
          <cell r="J32">
            <v>-4.5029999999999987E-2</v>
          </cell>
          <cell r="K32">
            <v>2.2880000000000001E-2</v>
          </cell>
          <cell r="L32">
            <v>-2.7999999999999998E-4</v>
          </cell>
          <cell r="M32">
            <v>0</v>
          </cell>
          <cell r="N32">
            <v>3.1900000000000001E-3</v>
          </cell>
          <cell r="O32">
            <v>5.1000000000000004E-4</v>
          </cell>
          <cell r="P32">
            <v>-4.0000000000000003E-5</v>
          </cell>
          <cell r="Q32">
            <v>0</v>
          </cell>
          <cell r="R32">
            <v>3.0400000000000002E-3</v>
          </cell>
          <cell r="S32">
            <v>0</v>
          </cell>
          <cell r="T32">
            <v>1.0000000000000001E-5</v>
          </cell>
          <cell r="U32">
            <v>7.7799999999999996E-3</v>
          </cell>
          <cell r="V32">
            <v>0.24073</v>
          </cell>
          <cell r="AW32">
            <v>0</v>
          </cell>
          <cell r="AX32">
            <v>2.264E-2</v>
          </cell>
          <cell r="AY32">
            <v>4.1099999999999999E-3</v>
          </cell>
          <cell r="AZ32">
            <v>2.8600000000000001E-3</v>
          </cell>
          <cell r="BB32">
            <v>-2.3000000000000001E-4</v>
          </cell>
          <cell r="BC32">
            <v>0</v>
          </cell>
          <cell r="BD32">
            <v>1.3999999999999999E-4</v>
          </cell>
          <cell r="BE32">
            <v>7.7799999999999996E-3</v>
          </cell>
          <cell r="BF32">
            <v>0.24073</v>
          </cell>
        </row>
        <row r="33">
          <cell r="J33">
            <v>-4.5029999999999987E-2</v>
          </cell>
          <cell r="K33">
            <v>1.755E-2</v>
          </cell>
          <cell r="L33">
            <v>-2.2000000000000001E-4</v>
          </cell>
          <cell r="M33">
            <v>0</v>
          </cell>
          <cell r="N33">
            <v>2.4499999999999999E-3</v>
          </cell>
          <cell r="O33">
            <v>3.8999999999999999E-4</v>
          </cell>
          <cell r="P33">
            <v>-3.0000000000000001E-5</v>
          </cell>
          <cell r="Q33">
            <v>0</v>
          </cell>
          <cell r="R33">
            <v>2.33E-3</v>
          </cell>
          <cell r="S33">
            <v>0</v>
          </cell>
          <cell r="T33">
            <v>1.0000000000000001E-5</v>
          </cell>
          <cell r="U33">
            <v>5.9699999999999996E-3</v>
          </cell>
          <cell r="V33">
            <v>0.24073</v>
          </cell>
          <cell r="AW33">
            <v>0</v>
          </cell>
          <cell r="AX33">
            <v>1.7359999999999997E-2</v>
          </cell>
          <cell r="AY33">
            <v>3.15E-3</v>
          </cell>
          <cell r="AZ33">
            <v>2.1900000000000001E-3</v>
          </cell>
          <cell r="BB33">
            <v>-1.7000000000000001E-4</v>
          </cell>
          <cell r="BC33">
            <v>0</v>
          </cell>
          <cell r="BD33">
            <v>1.3999999999999999E-4</v>
          </cell>
          <cell r="BE33">
            <v>5.9699999999999996E-3</v>
          </cell>
          <cell r="BF33">
            <v>0.24073</v>
          </cell>
        </row>
        <row r="34">
          <cell r="J34">
            <v>-4.5029999999999987E-2</v>
          </cell>
          <cell r="K34">
            <v>1.404E-2</v>
          </cell>
          <cell r="L34">
            <v>-1.7000000000000001E-4</v>
          </cell>
          <cell r="M34">
            <v>0</v>
          </cell>
          <cell r="N34">
            <v>1.9599999999999999E-3</v>
          </cell>
          <cell r="O34">
            <v>3.2000000000000003E-4</v>
          </cell>
          <cell r="P34">
            <v>-2.0000000000000002E-5</v>
          </cell>
          <cell r="Q34">
            <v>0</v>
          </cell>
          <cell r="R34">
            <v>1.8699999999999999E-3</v>
          </cell>
          <cell r="S34">
            <v>0</v>
          </cell>
          <cell r="T34">
            <v>1.0000000000000001E-5</v>
          </cell>
          <cell r="U34">
            <v>4.7699999999999999E-3</v>
          </cell>
          <cell r="V34">
            <v>0.24073</v>
          </cell>
          <cell r="AW34">
            <v>0</v>
          </cell>
          <cell r="AX34">
            <v>1.3890000000000001E-2</v>
          </cell>
          <cell r="AY34">
            <v>2.5300000000000001E-3</v>
          </cell>
          <cell r="AZ34">
            <v>1.7600000000000001E-3</v>
          </cell>
          <cell r="BB34">
            <v>-1.3999999999999999E-4</v>
          </cell>
          <cell r="BC34">
            <v>0</v>
          </cell>
          <cell r="BD34">
            <v>1.2999999999999999E-4</v>
          </cell>
          <cell r="BE34">
            <v>4.7699999999999999E-3</v>
          </cell>
          <cell r="BF34">
            <v>0.24073</v>
          </cell>
        </row>
        <row r="35">
          <cell r="J35">
            <v>-4.5029999999999987E-2</v>
          </cell>
          <cell r="K35">
            <v>9.3600000000000003E-3</v>
          </cell>
          <cell r="L35">
            <v>-1.2E-4</v>
          </cell>
          <cell r="M35">
            <v>0</v>
          </cell>
          <cell r="N35">
            <v>1.2999999999999999E-3</v>
          </cell>
          <cell r="O35">
            <v>2.1000000000000001E-4</v>
          </cell>
          <cell r="P35">
            <v>-2.0000000000000002E-5</v>
          </cell>
          <cell r="Q35">
            <v>0</v>
          </cell>
          <cell r="R35">
            <v>1.24E-3</v>
          </cell>
          <cell r="S35">
            <v>0</v>
          </cell>
          <cell r="T35">
            <v>1.0000000000000001E-5</v>
          </cell>
          <cell r="U35">
            <v>3.1800000000000001E-3</v>
          </cell>
          <cell r="V35">
            <v>0.24073</v>
          </cell>
          <cell r="AW35">
            <v>0</v>
          </cell>
          <cell r="AX35">
            <v>9.2599999999999991E-3</v>
          </cell>
          <cell r="AY35">
            <v>1.6800000000000001E-3</v>
          </cell>
          <cell r="AZ35">
            <v>1.17E-3</v>
          </cell>
          <cell r="BB35">
            <v>-9.0000000000000006E-5</v>
          </cell>
          <cell r="BC35">
            <v>0</v>
          </cell>
          <cell r="BD35">
            <v>1.2999999999999999E-4</v>
          </cell>
          <cell r="BE35">
            <v>3.1800000000000001E-3</v>
          </cell>
          <cell r="BF35">
            <v>0.24073</v>
          </cell>
        </row>
        <row r="36">
          <cell r="J36">
            <v>-4.5029999999999987E-2</v>
          </cell>
          <cell r="K36">
            <v>3.5100000000000001E-3</v>
          </cell>
          <cell r="L36">
            <v>-4.0000000000000003E-5</v>
          </cell>
          <cell r="M36">
            <v>0</v>
          </cell>
          <cell r="N36">
            <v>4.8999999999999998E-4</v>
          </cell>
          <cell r="O36">
            <v>8.0000000000000007E-5</v>
          </cell>
          <cell r="P36">
            <v>-1.0000000000000001E-5</v>
          </cell>
          <cell r="Q36">
            <v>0</v>
          </cell>
          <cell r="R36">
            <v>4.6999999999999999E-4</v>
          </cell>
          <cell r="S36">
            <v>0</v>
          </cell>
          <cell r="T36">
            <v>1.0000000000000001E-5</v>
          </cell>
          <cell r="U36">
            <v>1.1900000000000001E-3</v>
          </cell>
          <cell r="V36">
            <v>0.24073</v>
          </cell>
          <cell r="AW36">
            <v>0</v>
          </cell>
          <cell r="AX36">
            <v>3.47E-3</v>
          </cell>
          <cell r="AY36">
            <v>6.2999999999999992E-4</v>
          </cell>
          <cell r="AZ36">
            <v>4.4000000000000002E-4</v>
          </cell>
          <cell r="BB36">
            <v>-3.0000000000000001E-5</v>
          </cell>
          <cell r="BC36">
            <v>0</v>
          </cell>
          <cell r="BD36">
            <v>1.2E-4</v>
          </cell>
          <cell r="BE36">
            <v>1.1900000000000001E-3</v>
          </cell>
          <cell r="BF36">
            <v>0.24073</v>
          </cell>
        </row>
        <row r="37">
          <cell r="J37">
            <v>-4.5029999999999987E-2</v>
          </cell>
          <cell r="K37">
            <v>0</v>
          </cell>
          <cell r="L37">
            <v>0</v>
          </cell>
          <cell r="M37">
            <v>0</v>
          </cell>
          <cell r="N37">
            <v>3.7499999999999999E-3</v>
          </cell>
          <cell r="O37">
            <v>5.9999999999999995E-4</v>
          </cell>
          <cell r="P37">
            <v>-4.0000000000000003E-5</v>
          </cell>
          <cell r="Q37">
            <v>0</v>
          </cell>
          <cell r="R37">
            <v>3.47E-3</v>
          </cell>
          <cell r="S37">
            <v>3.5E-4</v>
          </cell>
          <cell r="T37">
            <v>0</v>
          </cell>
          <cell r="U37">
            <v>8.43E-3</v>
          </cell>
          <cell r="V37">
            <v>0.24073</v>
          </cell>
          <cell r="AW37">
            <v>0</v>
          </cell>
          <cell r="AX37">
            <v>0</v>
          </cell>
          <cell r="AY37">
            <v>4.45E-3</v>
          </cell>
          <cell r="AZ37">
            <v>3.0999999999999999E-3</v>
          </cell>
          <cell r="BB37">
            <v>-2.5000000000000001E-4</v>
          </cell>
          <cell r="BC37">
            <v>1.0300000000000001E-3</v>
          </cell>
          <cell r="BD37">
            <v>3.0000000000000001E-5</v>
          </cell>
          <cell r="BE37">
            <v>8.43E-3</v>
          </cell>
          <cell r="BF37">
            <v>0.24073</v>
          </cell>
        </row>
        <row r="38">
          <cell r="J38">
            <v>-4.5029999999999987E-2</v>
          </cell>
          <cell r="K38">
            <v>0</v>
          </cell>
          <cell r="L38">
            <v>0</v>
          </cell>
          <cell r="M38">
            <v>0</v>
          </cell>
          <cell r="N38">
            <v>3.3600000000000001E-3</v>
          </cell>
          <cell r="O38">
            <v>5.4000000000000001E-4</v>
          </cell>
          <cell r="P38">
            <v>-4.0000000000000003E-5</v>
          </cell>
          <cell r="Q38">
            <v>0</v>
          </cell>
          <cell r="R38">
            <v>3.1099999999999999E-3</v>
          </cell>
          <cell r="S38">
            <v>3.5E-4</v>
          </cell>
          <cell r="T38">
            <v>0</v>
          </cell>
          <cell r="U38">
            <v>7.5399999999999998E-3</v>
          </cell>
          <cell r="V38">
            <v>0.24073</v>
          </cell>
          <cell r="AW38">
            <v>0</v>
          </cell>
          <cell r="AX38">
            <v>0</v>
          </cell>
          <cell r="AY38">
            <v>3.9900000000000005E-3</v>
          </cell>
          <cell r="AZ38">
            <v>2.7699999999999999E-3</v>
          </cell>
          <cell r="BB38">
            <v>-2.2000000000000001E-4</v>
          </cell>
          <cell r="BC38">
            <v>1.0300000000000001E-3</v>
          </cell>
          <cell r="BD38">
            <v>3.0000000000000001E-5</v>
          </cell>
          <cell r="BE38">
            <v>7.5399999999999998E-3</v>
          </cell>
          <cell r="BF38">
            <v>0.24073</v>
          </cell>
        </row>
        <row r="39">
          <cell r="J39">
            <v>-4.5029999999999987E-2</v>
          </cell>
          <cell r="K39">
            <v>0</v>
          </cell>
          <cell r="L39">
            <v>0</v>
          </cell>
          <cell r="M39">
            <v>0</v>
          </cell>
          <cell r="N39">
            <v>2.5699999999999998E-3</v>
          </cell>
          <cell r="O39">
            <v>4.0999999999999999E-4</v>
          </cell>
          <cell r="P39">
            <v>-3.0000000000000001E-5</v>
          </cell>
          <cell r="Q39">
            <v>0</v>
          </cell>
          <cell r="R39">
            <v>2.3800000000000002E-3</v>
          </cell>
          <cell r="S39">
            <v>3.5E-4</v>
          </cell>
          <cell r="T39">
            <v>0</v>
          </cell>
          <cell r="U39">
            <v>5.7800000000000004E-3</v>
          </cell>
          <cell r="V39">
            <v>0.24073</v>
          </cell>
          <cell r="AW39">
            <v>0</v>
          </cell>
          <cell r="AX39">
            <v>0</v>
          </cell>
          <cell r="AY39">
            <v>3.0600000000000002E-3</v>
          </cell>
          <cell r="AZ39">
            <v>2.1299999999999999E-3</v>
          </cell>
          <cell r="BB39">
            <v>-1.7000000000000001E-4</v>
          </cell>
          <cell r="BC39">
            <v>1.0300000000000001E-3</v>
          </cell>
          <cell r="BD39">
            <v>3.0000000000000001E-5</v>
          </cell>
          <cell r="BE39">
            <v>5.7800000000000004E-3</v>
          </cell>
          <cell r="BF39">
            <v>0.24073</v>
          </cell>
        </row>
        <row r="40">
          <cell r="J40">
            <v>-4.5029999999999987E-2</v>
          </cell>
          <cell r="K40">
            <v>0</v>
          </cell>
          <cell r="L40">
            <v>0</v>
          </cell>
          <cell r="M40">
            <v>0</v>
          </cell>
          <cell r="N40">
            <v>2.0600000000000002E-3</v>
          </cell>
          <cell r="O40">
            <v>3.3E-4</v>
          </cell>
          <cell r="P40">
            <v>-2.0000000000000002E-5</v>
          </cell>
          <cell r="Q40">
            <v>0</v>
          </cell>
          <cell r="R40">
            <v>1.91E-3</v>
          </cell>
          <cell r="S40">
            <v>3.5E-4</v>
          </cell>
          <cell r="T40">
            <v>0</v>
          </cell>
          <cell r="U40">
            <v>4.6299999999999996E-3</v>
          </cell>
          <cell r="V40">
            <v>0.24073</v>
          </cell>
          <cell r="AW40">
            <v>0</v>
          </cell>
          <cell r="AX40">
            <v>0</v>
          </cell>
          <cell r="AY40">
            <v>2.4499999999999999E-3</v>
          </cell>
          <cell r="AZ40">
            <v>1.6999999999999999E-3</v>
          </cell>
          <cell r="BB40">
            <v>-1.3999999999999999E-4</v>
          </cell>
          <cell r="BC40">
            <v>1.0300000000000001E-3</v>
          </cell>
          <cell r="BD40">
            <v>3.0000000000000001E-5</v>
          </cell>
          <cell r="BE40">
            <v>4.6299999999999996E-3</v>
          </cell>
          <cell r="BF40">
            <v>0.24073</v>
          </cell>
        </row>
        <row r="41">
          <cell r="J41">
            <v>-4.5029999999999987E-2</v>
          </cell>
          <cell r="K41">
            <v>0</v>
          </cell>
          <cell r="L41">
            <v>0</v>
          </cell>
          <cell r="M41">
            <v>0</v>
          </cell>
          <cell r="N41">
            <v>1.3699999999999999E-3</v>
          </cell>
          <cell r="O41">
            <v>2.2000000000000001E-4</v>
          </cell>
          <cell r="P41">
            <v>-2.0000000000000002E-5</v>
          </cell>
          <cell r="Q41">
            <v>0</v>
          </cell>
          <cell r="R41">
            <v>1.2700000000000001E-3</v>
          </cell>
          <cell r="S41">
            <v>3.5E-4</v>
          </cell>
          <cell r="T41">
            <v>0</v>
          </cell>
          <cell r="U41">
            <v>3.0899999999999999E-3</v>
          </cell>
          <cell r="V41">
            <v>0.24073</v>
          </cell>
          <cell r="AW41">
            <v>0</v>
          </cell>
          <cell r="AX41">
            <v>0</v>
          </cell>
          <cell r="AY41">
            <v>1.6300000000000002E-3</v>
          </cell>
          <cell r="AZ41">
            <v>1.14E-3</v>
          </cell>
          <cell r="BB41">
            <v>-9.0000000000000006E-5</v>
          </cell>
          <cell r="BC41">
            <v>1.0300000000000001E-3</v>
          </cell>
          <cell r="BD41">
            <v>3.0000000000000001E-5</v>
          </cell>
          <cell r="BE41">
            <v>3.0899999999999999E-3</v>
          </cell>
          <cell r="BF41">
            <v>0.24073</v>
          </cell>
        </row>
        <row r="42">
          <cell r="J42">
            <v>-4.5029999999999987E-2</v>
          </cell>
          <cell r="K42">
            <v>0</v>
          </cell>
          <cell r="L42">
            <v>0</v>
          </cell>
          <cell r="M42">
            <v>0</v>
          </cell>
          <cell r="N42">
            <v>5.1000000000000004E-4</v>
          </cell>
          <cell r="O42">
            <v>8.0000000000000007E-5</v>
          </cell>
          <cell r="P42">
            <v>-1.0000000000000001E-5</v>
          </cell>
          <cell r="Q42">
            <v>0</v>
          </cell>
          <cell r="R42">
            <v>4.8000000000000001E-4</v>
          </cell>
          <cell r="S42">
            <v>3.5E-4</v>
          </cell>
          <cell r="T42">
            <v>0</v>
          </cell>
          <cell r="U42">
            <v>1.16E-3</v>
          </cell>
          <cell r="V42">
            <v>0.24073</v>
          </cell>
          <cell r="AW42">
            <v>0</v>
          </cell>
          <cell r="AX42">
            <v>0</v>
          </cell>
          <cell r="AY42">
            <v>6.0999999999999997E-4</v>
          </cell>
          <cell r="AZ42">
            <v>4.2999999999999999E-4</v>
          </cell>
          <cell r="BB42">
            <v>-3.0000000000000001E-5</v>
          </cell>
          <cell r="BC42">
            <v>1.0300000000000001E-3</v>
          </cell>
          <cell r="BD42">
            <v>3.0000000000000001E-5</v>
          </cell>
          <cell r="BE42">
            <v>1.16E-3</v>
          </cell>
          <cell r="BF42">
            <v>0.24073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-3.0000000000000001E-5</v>
          </cell>
          <cell r="Q43">
            <v>0</v>
          </cell>
          <cell r="R43">
            <v>2.1900000000000001E-3</v>
          </cell>
          <cell r="S43">
            <v>3.5E-4</v>
          </cell>
          <cell r="T43">
            <v>2.0000000000000002E-5</v>
          </cell>
          <cell r="U43">
            <v>5.2399999999999999E-3</v>
          </cell>
          <cell r="V43">
            <v>0.24073</v>
          </cell>
          <cell r="AW43">
            <v>0</v>
          </cell>
          <cell r="AX43">
            <v>0</v>
          </cell>
          <cell r="AY43">
            <v>0</v>
          </cell>
          <cell r="AZ43">
            <v>1.9300000000000001E-3</v>
          </cell>
          <cell r="BB43">
            <v>-1.4999999999999999E-4</v>
          </cell>
          <cell r="BC43">
            <v>1.0300000000000001E-3</v>
          </cell>
          <cell r="BD43">
            <v>1.2E-4</v>
          </cell>
          <cell r="BE43">
            <v>5.2399999999999999E-3</v>
          </cell>
          <cell r="BF43">
            <v>0.24073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-2.0000000000000002E-5</v>
          </cell>
          <cell r="Q44">
            <v>0</v>
          </cell>
          <cell r="R44">
            <v>1.9599999999999999E-3</v>
          </cell>
          <cell r="S44">
            <v>3.5E-4</v>
          </cell>
          <cell r="T44">
            <v>2.0000000000000002E-5</v>
          </cell>
          <cell r="U44">
            <v>4.6899999999999997E-3</v>
          </cell>
          <cell r="V44">
            <v>0.24073</v>
          </cell>
          <cell r="AW44">
            <v>0</v>
          </cell>
          <cell r="AX44">
            <v>0</v>
          </cell>
          <cell r="AY44">
            <v>0</v>
          </cell>
          <cell r="AZ44">
            <v>1.73E-3</v>
          </cell>
          <cell r="BB44">
            <v>-1.3999999999999999E-4</v>
          </cell>
          <cell r="BC44">
            <v>1.0300000000000001E-3</v>
          </cell>
          <cell r="BD44">
            <v>1.2E-4</v>
          </cell>
          <cell r="BE44">
            <v>4.6899999999999997E-3</v>
          </cell>
          <cell r="BF44">
            <v>0.24073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-2.0000000000000002E-5</v>
          </cell>
          <cell r="Q45">
            <v>0</v>
          </cell>
          <cell r="R45">
            <v>1.5E-3</v>
          </cell>
          <cell r="S45">
            <v>3.5E-4</v>
          </cell>
          <cell r="T45">
            <v>2.0000000000000002E-5</v>
          </cell>
          <cell r="U45">
            <v>3.5999999999999999E-3</v>
          </cell>
          <cell r="V45">
            <v>0.24073</v>
          </cell>
          <cell r="AW45">
            <v>0</v>
          </cell>
          <cell r="AX45">
            <v>0</v>
          </cell>
          <cell r="AY45">
            <v>0</v>
          </cell>
          <cell r="AZ45">
            <v>1.33E-3</v>
          </cell>
          <cell r="BB45">
            <v>-1.1E-4</v>
          </cell>
          <cell r="BC45">
            <v>1.0300000000000001E-3</v>
          </cell>
          <cell r="BD45">
            <v>1.1E-4</v>
          </cell>
          <cell r="BE45">
            <v>3.5999999999999999E-3</v>
          </cell>
          <cell r="BF45">
            <v>0.24073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-2.0000000000000002E-5</v>
          </cell>
          <cell r="Q46">
            <v>0</v>
          </cell>
          <cell r="R46">
            <v>1.1999999999999999E-3</v>
          </cell>
          <cell r="S46">
            <v>3.5E-4</v>
          </cell>
          <cell r="T46">
            <v>1.0000000000000001E-5</v>
          </cell>
          <cell r="U46">
            <v>2.8800000000000002E-3</v>
          </cell>
          <cell r="V46">
            <v>0.24073</v>
          </cell>
          <cell r="AW46">
            <v>0</v>
          </cell>
          <cell r="AX46">
            <v>0</v>
          </cell>
          <cell r="AY46">
            <v>0</v>
          </cell>
          <cell r="AZ46">
            <v>1.06E-3</v>
          </cell>
          <cell r="BB46">
            <v>-8.0000000000000007E-5</v>
          </cell>
          <cell r="BC46">
            <v>1.0300000000000001E-3</v>
          </cell>
          <cell r="BD46">
            <v>1.1E-4</v>
          </cell>
          <cell r="BE46">
            <v>2.8800000000000002E-3</v>
          </cell>
          <cell r="BF46">
            <v>0.24073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-1.0000000000000001E-5</v>
          </cell>
          <cell r="Q47">
            <v>0</v>
          </cell>
          <cell r="R47">
            <v>8.0000000000000004E-4</v>
          </cell>
          <cell r="S47">
            <v>3.5E-4</v>
          </cell>
          <cell r="T47">
            <v>1.0000000000000001E-5</v>
          </cell>
          <cell r="U47">
            <v>1.92E-3</v>
          </cell>
          <cell r="V47">
            <v>0.24073</v>
          </cell>
          <cell r="AW47">
            <v>0</v>
          </cell>
          <cell r="AX47">
            <v>0</v>
          </cell>
          <cell r="AY47">
            <v>0</v>
          </cell>
          <cell r="AZ47">
            <v>7.1000000000000002E-4</v>
          </cell>
          <cell r="BB47">
            <v>-6.0000000000000002E-5</v>
          </cell>
          <cell r="BC47">
            <v>1.0300000000000001E-3</v>
          </cell>
          <cell r="BD47">
            <v>1E-4</v>
          </cell>
          <cell r="BE47">
            <v>1.92E-3</v>
          </cell>
          <cell r="BF47">
            <v>0.24073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2.9999999999999997E-4</v>
          </cell>
          <cell r="S48">
            <v>3.5E-4</v>
          </cell>
          <cell r="T48">
            <v>1.0000000000000001E-5</v>
          </cell>
          <cell r="U48">
            <v>7.2000000000000005E-4</v>
          </cell>
          <cell r="V48">
            <v>0.24073</v>
          </cell>
          <cell r="AW48">
            <v>0</v>
          </cell>
          <cell r="AX48">
            <v>0</v>
          </cell>
          <cell r="AY48">
            <v>0</v>
          </cell>
          <cell r="AZ48">
            <v>2.7E-4</v>
          </cell>
          <cell r="BB48">
            <v>-2.0000000000000002E-5</v>
          </cell>
          <cell r="BC48">
            <v>1.0300000000000001E-3</v>
          </cell>
          <cell r="BD48">
            <v>1E-4</v>
          </cell>
          <cell r="BE48">
            <v>7.2000000000000005E-4</v>
          </cell>
          <cell r="BF48">
            <v>0.24073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-3.0000000000000001E-5</v>
          </cell>
          <cell r="Q49">
            <v>0</v>
          </cell>
          <cell r="R49">
            <v>2.31E-3</v>
          </cell>
          <cell r="S49">
            <v>3.5E-4</v>
          </cell>
          <cell r="T49">
            <v>1.0000000000000001E-5</v>
          </cell>
          <cell r="U49">
            <v>5.5900000000000004E-3</v>
          </cell>
          <cell r="V49">
            <v>0.24073</v>
          </cell>
          <cell r="AW49">
            <v>0</v>
          </cell>
          <cell r="AX49">
            <v>0</v>
          </cell>
          <cell r="AY49">
            <v>0</v>
          </cell>
          <cell r="AZ49">
            <v>2.0600000000000002E-3</v>
          </cell>
          <cell r="BB49">
            <v>-1.6000000000000001E-4</v>
          </cell>
          <cell r="BC49">
            <v>1.0300000000000001E-3</v>
          </cell>
          <cell r="BD49">
            <v>1E-4</v>
          </cell>
          <cell r="BE49">
            <v>5.5900000000000004E-3</v>
          </cell>
          <cell r="BF49">
            <v>0.24073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-3.0000000000000001E-5</v>
          </cell>
          <cell r="Q50">
            <v>0</v>
          </cell>
          <cell r="R50">
            <v>2.0699999999999998E-3</v>
          </cell>
          <cell r="S50">
            <v>3.5E-4</v>
          </cell>
          <cell r="T50">
            <v>1.0000000000000001E-5</v>
          </cell>
          <cell r="U50">
            <v>5.0099999999999997E-3</v>
          </cell>
          <cell r="V50">
            <v>0.24073</v>
          </cell>
          <cell r="AW50">
            <v>0</v>
          </cell>
          <cell r="AX50">
            <v>0</v>
          </cell>
          <cell r="AY50">
            <v>0</v>
          </cell>
          <cell r="AZ50">
            <v>1.8400000000000001E-3</v>
          </cell>
          <cell r="BB50">
            <v>-1.4999999999999999E-4</v>
          </cell>
          <cell r="BC50">
            <v>1.0300000000000001E-3</v>
          </cell>
          <cell r="BD50">
            <v>1E-4</v>
          </cell>
          <cell r="BE50">
            <v>5.0099999999999997E-3</v>
          </cell>
          <cell r="BF50">
            <v>0.24073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-2.0000000000000002E-5</v>
          </cell>
          <cell r="Q51">
            <v>0</v>
          </cell>
          <cell r="R51">
            <v>1.5900000000000001E-3</v>
          </cell>
          <cell r="S51">
            <v>3.5E-4</v>
          </cell>
          <cell r="T51">
            <v>1.0000000000000001E-5</v>
          </cell>
          <cell r="U51">
            <v>3.8400000000000001E-3</v>
          </cell>
          <cell r="V51">
            <v>0.24073</v>
          </cell>
          <cell r="AW51">
            <v>0</v>
          </cell>
          <cell r="AX51">
            <v>0</v>
          </cell>
          <cell r="AY51">
            <v>0</v>
          </cell>
          <cell r="AZ51">
            <v>1.41E-3</v>
          </cell>
          <cell r="BB51">
            <v>-1.1E-4</v>
          </cell>
          <cell r="BC51">
            <v>1.0300000000000001E-3</v>
          </cell>
          <cell r="BD51">
            <v>9.0000000000000006E-5</v>
          </cell>
          <cell r="BE51">
            <v>3.8400000000000001E-3</v>
          </cell>
          <cell r="BF51">
            <v>0.24073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-2.0000000000000002E-5</v>
          </cell>
          <cell r="Q52">
            <v>0</v>
          </cell>
          <cell r="R52">
            <v>1.2700000000000001E-3</v>
          </cell>
          <cell r="S52">
            <v>3.5E-4</v>
          </cell>
          <cell r="T52">
            <v>1.0000000000000001E-5</v>
          </cell>
          <cell r="U52">
            <v>3.0699999999999998E-3</v>
          </cell>
          <cell r="V52">
            <v>0.24073</v>
          </cell>
          <cell r="AW52">
            <v>0</v>
          </cell>
          <cell r="AX52">
            <v>0</v>
          </cell>
          <cell r="AY52">
            <v>0</v>
          </cell>
          <cell r="AZ52">
            <v>1.1299999999999999E-3</v>
          </cell>
          <cell r="BB52">
            <v>-9.0000000000000006E-5</v>
          </cell>
          <cell r="BC52">
            <v>1.0300000000000001E-3</v>
          </cell>
          <cell r="BD52">
            <v>9.0000000000000006E-5</v>
          </cell>
          <cell r="BE52">
            <v>3.0699999999999998E-3</v>
          </cell>
          <cell r="BF52">
            <v>0.24073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-1.0000000000000001E-5</v>
          </cell>
          <cell r="Q53">
            <v>0</v>
          </cell>
          <cell r="R53">
            <v>8.4999999999999995E-4</v>
          </cell>
          <cell r="S53">
            <v>3.5E-4</v>
          </cell>
          <cell r="T53">
            <v>1.0000000000000001E-5</v>
          </cell>
          <cell r="U53">
            <v>2.0500000000000002E-3</v>
          </cell>
          <cell r="V53">
            <v>0.24073</v>
          </cell>
          <cell r="AW53">
            <v>0</v>
          </cell>
          <cell r="AX53">
            <v>0</v>
          </cell>
          <cell r="AY53">
            <v>0</v>
          </cell>
          <cell r="AZ53">
            <v>7.5000000000000002E-4</v>
          </cell>
          <cell r="BB53">
            <v>-6.0000000000000002E-5</v>
          </cell>
          <cell r="BC53">
            <v>1.0300000000000001E-3</v>
          </cell>
          <cell r="BD53">
            <v>9.0000000000000006E-5</v>
          </cell>
          <cell r="BE53">
            <v>2.0500000000000002E-3</v>
          </cell>
          <cell r="BF53">
            <v>0.24073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3.2000000000000003E-4</v>
          </cell>
          <cell r="S54">
            <v>3.5E-4</v>
          </cell>
          <cell r="T54">
            <v>1.0000000000000001E-5</v>
          </cell>
          <cell r="U54">
            <v>7.6999999999999996E-4</v>
          </cell>
          <cell r="V54">
            <v>0.24073</v>
          </cell>
          <cell r="AW54">
            <v>0</v>
          </cell>
          <cell r="AX54">
            <v>0</v>
          </cell>
          <cell r="AY54">
            <v>0</v>
          </cell>
          <cell r="AZ54">
            <v>2.7999999999999998E-4</v>
          </cell>
          <cell r="BB54">
            <v>-2.0000000000000002E-5</v>
          </cell>
          <cell r="BC54">
            <v>1.0300000000000001E-3</v>
          </cell>
          <cell r="BD54">
            <v>8.0000000000000007E-5</v>
          </cell>
          <cell r="BE54">
            <v>7.6999999999999996E-4</v>
          </cell>
          <cell r="BF54">
            <v>0.24073</v>
          </cell>
        </row>
        <row r="55">
          <cell r="J55">
            <v>-1.2729999999999991E-2</v>
          </cell>
          <cell r="K55">
            <v>1.9529999999999999E-2</v>
          </cell>
          <cell r="L55">
            <v>-2.4000000000000001E-4</v>
          </cell>
          <cell r="M55">
            <v>0</v>
          </cell>
          <cell r="N55">
            <v>2.7200000000000002E-3</v>
          </cell>
          <cell r="O55">
            <v>4.4000000000000002E-4</v>
          </cell>
          <cell r="P55">
            <v>-3.0000000000000001E-5</v>
          </cell>
          <cell r="Q55">
            <v>0</v>
          </cell>
          <cell r="R55">
            <v>2.5200000000000001E-3</v>
          </cell>
          <cell r="S55">
            <v>0</v>
          </cell>
          <cell r="T55">
            <v>1.0000000000000001E-5</v>
          </cell>
          <cell r="U55">
            <v>6.4200000000000004E-3</v>
          </cell>
          <cell r="V55">
            <v>0.24073</v>
          </cell>
          <cell r="AW55">
            <v>0</v>
          </cell>
          <cell r="AX55">
            <v>1.8700000000000001E-2</v>
          </cell>
          <cell r="AY55">
            <v>3.4000000000000002E-3</v>
          </cell>
          <cell r="AZ55">
            <v>2.3600000000000001E-3</v>
          </cell>
          <cell r="BB55">
            <v>-1.9000000000000001E-4</v>
          </cell>
          <cell r="BC55">
            <v>0</v>
          </cell>
          <cell r="BD55">
            <v>1.8000000000000001E-4</v>
          </cell>
          <cell r="BE55">
            <v>6.4200000000000004E-3</v>
          </cell>
          <cell r="BF55">
            <v>0.24073</v>
          </cell>
        </row>
        <row r="56">
          <cell r="J56">
            <v>-1.2729999999999991E-2</v>
          </cell>
          <cell r="K56">
            <v>1.7479999999999999E-2</v>
          </cell>
          <cell r="L56">
            <v>-2.2000000000000001E-4</v>
          </cell>
          <cell r="M56">
            <v>0</v>
          </cell>
          <cell r="N56">
            <v>2.4399999999999999E-3</v>
          </cell>
          <cell r="O56">
            <v>3.8999999999999999E-4</v>
          </cell>
          <cell r="P56">
            <v>-3.0000000000000001E-5</v>
          </cell>
          <cell r="Q56">
            <v>0</v>
          </cell>
          <cell r="R56">
            <v>2.2599999999999999E-3</v>
          </cell>
          <cell r="S56">
            <v>0</v>
          </cell>
          <cell r="T56">
            <v>1.0000000000000001E-5</v>
          </cell>
          <cell r="U56">
            <v>5.7499999999999999E-3</v>
          </cell>
          <cell r="V56">
            <v>0.24073</v>
          </cell>
          <cell r="AW56">
            <v>0</v>
          </cell>
          <cell r="AX56">
            <v>1.6740000000000001E-2</v>
          </cell>
          <cell r="AY56">
            <v>3.0400000000000002E-3</v>
          </cell>
          <cell r="AZ56">
            <v>2.1199999999999999E-3</v>
          </cell>
          <cell r="BB56">
            <v>-1.7000000000000001E-4</v>
          </cell>
          <cell r="BC56">
            <v>0</v>
          </cell>
          <cell r="BD56">
            <v>1.8000000000000001E-4</v>
          </cell>
          <cell r="BE56">
            <v>5.7499999999999999E-3</v>
          </cell>
          <cell r="BF56">
            <v>0.24073</v>
          </cell>
        </row>
        <row r="57">
          <cell r="J57">
            <v>-1.2729999999999991E-2</v>
          </cell>
          <cell r="K57">
            <v>1.34E-2</v>
          </cell>
          <cell r="L57">
            <v>-1.7000000000000001E-4</v>
          </cell>
          <cell r="M57">
            <v>0</v>
          </cell>
          <cell r="N57">
            <v>1.8699999999999999E-3</v>
          </cell>
          <cell r="O57">
            <v>2.9999999999999997E-4</v>
          </cell>
          <cell r="P57">
            <v>-2.0000000000000002E-5</v>
          </cell>
          <cell r="Q57">
            <v>0</v>
          </cell>
          <cell r="R57">
            <v>1.73E-3</v>
          </cell>
          <cell r="S57">
            <v>0</v>
          </cell>
          <cell r="T57">
            <v>1.0000000000000001E-5</v>
          </cell>
          <cell r="U57">
            <v>4.4099999999999999E-3</v>
          </cell>
          <cell r="V57">
            <v>0.24073</v>
          </cell>
          <cell r="AW57">
            <v>0</v>
          </cell>
          <cell r="AX57">
            <v>1.2840000000000001E-2</v>
          </cell>
          <cell r="AY57">
            <v>2.33E-3</v>
          </cell>
          <cell r="AZ57">
            <v>1.6199999999999999E-3</v>
          </cell>
          <cell r="BB57">
            <v>-1.2999999999999999E-4</v>
          </cell>
          <cell r="BC57">
            <v>0</v>
          </cell>
          <cell r="BD57">
            <v>1.7000000000000001E-4</v>
          </cell>
          <cell r="BE57">
            <v>4.4099999999999999E-3</v>
          </cell>
          <cell r="BF57">
            <v>0.24073</v>
          </cell>
        </row>
        <row r="58">
          <cell r="J58">
            <v>-1.2729999999999991E-2</v>
          </cell>
          <cell r="K58">
            <v>1.072E-2</v>
          </cell>
          <cell r="L58">
            <v>-1.2999999999999999E-4</v>
          </cell>
          <cell r="M58">
            <v>0</v>
          </cell>
          <cell r="N58">
            <v>1.49E-3</v>
          </cell>
          <cell r="O58">
            <v>2.4000000000000001E-4</v>
          </cell>
          <cell r="P58">
            <v>-2.0000000000000002E-5</v>
          </cell>
          <cell r="Q58">
            <v>0</v>
          </cell>
          <cell r="R58">
            <v>1.3799999999999999E-3</v>
          </cell>
          <cell r="S58">
            <v>0</v>
          </cell>
          <cell r="T58">
            <v>1.0000000000000001E-5</v>
          </cell>
          <cell r="U58">
            <v>3.5300000000000002E-3</v>
          </cell>
          <cell r="V58">
            <v>0.24073</v>
          </cell>
          <cell r="AW58">
            <v>0</v>
          </cell>
          <cell r="AX58">
            <v>1.026E-2</v>
          </cell>
          <cell r="AY58">
            <v>1.8699999999999999E-3</v>
          </cell>
          <cell r="AZ58">
            <v>1.2999999999999999E-3</v>
          </cell>
          <cell r="BB58">
            <v>-1E-4</v>
          </cell>
          <cell r="BC58">
            <v>0</v>
          </cell>
          <cell r="BD58">
            <v>1.7000000000000001E-4</v>
          </cell>
          <cell r="BE58">
            <v>3.5300000000000002E-3</v>
          </cell>
          <cell r="BF58">
            <v>0.24073</v>
          </cell>
        </row>
        <row r="59">
          <cell r="J59">
            <v>-1.2729999999999991E-2</v>
          </cell>
          <cell r="K59">
            <v>7.1500000000000001E-3</v>
          </cell>
          <cell r="L59">
            <v>-9.0000000000000006E-5</v>
          </cell>
          <cell r="M59">
            <v>0</v>
          </cell>
          <cell r="N59">
            <v>1E-3</v>
          </cell>
          <cell r="O59">
            <v>1.6000000000000001E-4</v>
          </cell>
          <cell r="P59">
            <v>-1.0000000000000001E-5</v>
          </cell>
          <cell r="Q59">
            <v>0</v>
          </cell>
          <cell r="R59">
            <v>9.2000000000000003E-4</v>
          </cell>
          <cell r="S59">
            <v>0</v>
          </cell>
          <cell r="T59">
            <v>1.0000000000000001E-5</v>
          </cell>
          <cell r="U59">
            <v>2.3500000000000001E-3</v>
          </cell>
          <cell r="V59">
            <v>0.24073</v>
          </cell>
          <cell r="AW59">
            <v>0</v>
          </cell>
          <cell r="AX59">
            <v>6.8499999999999993E-3</v>
          </cell>
          <cell r="AY59">
            <v>1.25E-3</v>
          </cell>
          <cell r="AZ59">
            <v>8.7000000000000001E-4</v>
          </cell>
          <cell r="BB59">
            <v>-6.9999999999999994E-5</v>
          </cell>
          <cell r="BC59">
            <v>0</v>
          </cell>
          <cell r="BD59">
            <v>1.6000000000000001E-4</v>
          </cell>
          <cell r="BE59">
            <v>2.3500000000000001E-3</v>
          </cell>
          <cell r="BF59">
            <v>0.24073</v>
          </cell>
        </row>
        <row r="60">
          <cell r="J60">
            <v>-1.2729999999999991E-2</v>
          </cell>
          <cell r="K60">
            <v>2.6800000000000001E-3</v>
          </cell>
          <cell r="L60">
            <v>-3.0000000000000001E-5</v>
          </cell>
          <cell r="M60">
            <v>0</v>
          </cell>
          <cell r="N60">
            <v>3.6999999999999999E-4</v>
          </cell>
          <cell r="O60">
            <v>6.0000000000000002E-5</v>
          </cell>
          <cell r="P60">
            <v>0</v>
          </cell>
          <cell r="Q60">
            <v>0</v>
          </cell>
          <cell r="R60">
            <v>3.5E-4</v>
          </cell>
          <cell r="S60">
            <v>0</v>
          </cell>
          <cell r="T60">
            <v>1.0000000000000001E-5</v>
          </cell>
          <cell r="U60">
            <v>8.8000000000000003E-4</v>
          </cell>
          <cell r="V60">
            <v>0.24073</v>
          </cell>
          <cell r="AW60">
            <v>0</v>
          </cell>
          <cell r="AX60">
            <v>2.5600000000000002E-3</v>
          </cell>
          <cell r="AY60">
            <v>4.6000000000000001E-4</v>
          </cell>
          <cell r="AZ60">
            <v>3.2000000000000003E-4</v>
          </cell>
          <cell r="BB60">
            <v>-3.0000000000000001E-5</v>
          </cell>
          <cell r="BC60">
            <v>0</v>
          </cell>
          <cell r="BD60">
            <v>1.4999999999999999E-4</v>
          </cell>
          <cell r="BE60">
            <v>8.8000000000000003E-4</v>
          </cell>
          <cell r="BF60">
            <v>0.24073</v>
          </cell>
        </row>
        <row r="61">
          <cell r="J61">
            <v>-1.2729999999999991E-2</v>
          </cell>
          <cell r="K61">
            <v>0</v>
          </cell>
          <cell r="L61">
            <v>0</v>
          </cell>
          <cell r="M61">
            <v>0</v>
          </cell>
          <cell r="N61">
            <v>3.1900000000000001E-3</v>
          </cell>
          <cell r="O61">
            <v>5.1999999999999995E-4</v>
          </cell>
          <cell r="P61">
            <v>-4.0000000000000003E-5</v>
          </cell>
          <cell r="Q61">
            <v>0</v>
          </cell>
          <cell r="R61">
            <v>2.96E-3</v>
          </cell>
          <cell r="S61">
            <v>3.5E-4</v>
          </cell>
          <cell r="T61">
            <v>1.0000000000000001E-5</v>
          </cell>
          <cell r="U61">
            <v>7.6400000000000001E-3</v>
          </cell>
          <cell r="V61">
            <v>0.24073</v>
          </cell>
          <cell r="AW61">
            <v>0</v>
          </cell>
          <cell r="AX61">
            <v>0</v>
          </cell>
          <cell r="AY61">
            <v>4.0400000000000002E-3</v>
          </cell>
          <cell r="AZ61">
            <v>2.81E-3</v>
          </cell>
          <cell r="BB61">
            <v>-2.2000000000000001E-4</v>
          </cell>
          <cell r="BC61">
            <v>1.0300000000000001E-3</v>
          </cell>
          <cell r="BD61">
            <v>6.9999999999999994E-5</v>
          </cell>
          <cell r="BE61">
            <v>7.6400000000000001E-3</v>
          </cell>
          <cell r="BF61">
            <v>0.24073</v>
          </cell>
        </row>
        <row r="62">
          <cell r="J62">
            <v>-1.2729999999999991E-2</v>
          </cell>
          <cell r="K62">
            <v>0</v>
          </cell>
          <cell r="L62">
            <v>0</v>
          </cell>
          <cell r="M62">
            <v>0</v>
          </cell>
          <cell r="N62">
            <v>2.8600000000000001E-3</v>
          </cell>
          <cell r="O62">
            <v>4.6000000000000001E-4</v>
          </cell>
          <cell r="P62">
            <v>-3.0000000000000001E-5</v>
          </cell>
          <cell r="Q62">
            <v>0</v>
          </cell>
          <cell r="R62">
            <v>2.65E-3</v>
          </cell>
          <cell r="S62">
            <v>3.5E-4</v>
          </cell>
          <cell r="T62">
            <v>0</v>
          </cell>
          <cell r="U62">
            <v>6.8300000000000001E-3</v>
          </cell>
          <cell r="V62">
            <v>0.24073</v>
          </cell>
          <cell r="AW62">
            <v>0</v>
          </cell>
          <cell r="AX62">
            <v>0</v>
          </cell>
          <cell r="AY62">
            <v>3.62E-3</v>
          </cell>
          <cell r="AZ62">
            <v>2.5200000000000001E-3</v>
          </cell>
          <cell r="BB62">
            <v>-2.0000000000000001E-4</v>
          </cell>
          <cell r="BC62">
            <v>1.0300000000000001E-3</v>
          </cell>
          <cell r="BD62">
            <v>6.9999999999999994E-5</v>
          </cell>
          <cell r="BE62">
            <v>6.8300000000000001E-3</v>
          </cell>
          <cell r="BF62">
            <v>0.24073</v>
          </cell>
        </row>
        <row r="63">
          <cell r="J63">
            <v>-1.2729999999999991E-2</v>
          </cell>
          <cell r="K63">
            <v>0</v>
          </cell>
          <cell r="L63">
            <v>0</v>
          </cell>
          <cell r="M63">
            <v>0</v>
          </cell>
          <cell r="N63">
            <v>2.1900000000000001E-3</v>
          </cell>
          <cell r="O63">
            <v>3.5E-4</v>
          </cell>
          <cell r="P63">
            <v>-2.0000000000000002E-5</v>
          </cell>
          <cell r="Q63">
            <v>0</v>
          </cell>
          <cell r="R63">
            <v>2.0300000000000001E-3</v>
          </cell>
          <cell r="S63">
            <v>3.5E-4</v>
          </cell>
          <cell r="T63">
            <v>0</v>
          </cell>
          <cell r="U63">
            <v>5.2399999999999999E-3</v>
          </cell>
          <cell r="V63">
            <v>0.24073</v>
          </cell>
          <cell r="AW63">
            <v>0</v>
          </cell>
          <cell r="AX63">
            <v>0</v>
          </cell>
          <cell r="AY63">
            <v>2.7799999999999999E-3</v>
          </cell>
          <cell r="AZ63">
            <v>1.9300000000000001E-3</v>
          </cell>
          <cell r="BB63">
            <v>-1.4999999999999999E-4</v>
          </cell>
          <cell r="BC63">
            <v>1.0300000000000001E-3</v>
          </cell>
          <cell r="BD63">
            <v>6.9999999999999994E-5</v>
          </cell>
          <cell r="BE63">
            <v>5.2399999999999999E-3</v>
          </cell>
          <cell r="BF63">
            <v>0.24073</v>
          </cell>
        </row>
        <row r="64">
          <cell r="J64">
            <v>-1.2729999999999991E-2</v>
          </cell>
          <cell r="K64">
            <v>0</v>
          </cell>
          <cell r="L64">
            <v>0</v>
          </cell>
          <cell r="M64">
            <v>0</v>
          </cell>
          <cell r="N64">
            <v>1.75E-3</v>
          </cell>
          <cell r="O64">
            <v>2.7999999999999998E-4</v>
          </cell>
          <cell r="P64">
            <v>-2.0000000000000002E-5</v>
          </cell>
          <cell r="Q64">
            <v>0</v>
          </cell>
          <cell r="R64">
            <v>1.6299999999999999E-3</v>
          </cell>
          <cell r="S64">
            <v>3.5E-4</v>
          </cell>
          <cell r="T64">
            <v>0</v>
          </cell>
          <cell r="U64">
            <v>4.1900000000000001E-3</v>
          </cell>
          <cell r="V64">
            <v>0.24073</v>
          </cell>
          <cell r="AW64">
            <v>0</v>
          </cell>
          <cell r="AX64">
            <v>0</v>
          </cell>
          <cell r="AY64">
            <v>2.2199999999999998E-3</v>
          </cell>
          <cell r="AZ64">
            <v>1.5399999999999999E-3</v>
          </cell>
          <cell r="BB64">
            <v>-1.2E-4</v>
          </cell>
          <cell r="BC64">
            <v>1.0300000000000001E-3</v>
          </cell>
          <cell r="BD64">
            <v>6.9999999999999994E-5</v>
          </cell>
          <cell r="BE64">
            <v>4.1900000000000001E-3</v>
          </cell>
          <cell r="BF64">
            <v>0.24073</v>
          </cell>
        </row>
        <row r="65">
          <cell r="J65">
            <v>-1.2729999999999991E-2</v>
          </cell>
          <cell r="K65">
            <v>0</v>
          </cell>
          <cell r="L65">
            <v>0</v>
          </cell>
          <cell r="M65">
            <v>0</v>
          </cell>
          <cell r="N65">
            <v>1.17E-3</v>
          </cell>
          <cell r="O65">
            <v>1.9000000000000001E-4</v>
          </cell>
          <cell r="P65">
            <v>-1.0000000000000001E-5</v>
          </cell>
          <cell r="Q65">
            <v>0</v>
          </cell>
          <cell r="R65">
            <v>1.08E-3</v>
          </cell>
          <cell r="S65">
            <v>3.5E-4</v>
          </cell>
          <cell r="T65">
            <v>0</v>
          </cell>
          <cell r="U65">
            <v>2.7899999999999999E-3</v>
          </cell>
          <cell r="V65">
            <v>0.24073</v>
          </cell>
          <cell r="AW65">
            <v>0</v>
          </cell>
          <cell r="AX65">
            <v>0</v>
          </cell>
          <cell r="AY65">
            <v>1.47E-3</v>
          </cell>
          <cell r="AZ65">
            <v>1.0300000000000001E-3</v>
          </cell>
          <cell r="BB65">
            <v>-8.0000000000000007E-5</v>
          </cell>
          <cell r="BC65">
            <v>1.0300000000000001E-3</v>
          </cell>
          <cell r="BD65">
            <v>6.9999999999999994E-5</v>
          </cell>
          <cell r="BE65">
            <v>2.7899999999999999E-3</v>
          </cell>
          <cell r="BF65">
            <v>0.24073</v>
          </cell>
        </row>
        <row r="66">
          <cell r="J66">
            <v>-1.2729999999999991E-2</v>
          </cell>
          <cell r="K66">
            <v>0</v>
          </cell>
          <cell r="L66">
            <v>0</v>
          </cell>
          <cell r="M66">
            <v>0</v>
          </cell>
          <cell r="N66">
            <v>4.4000000000000002E-4</v>
          </cell>
          <cell r="O66">
            <v>6.9999999999999994E-5</v>
          </cell>
          <cell r="P66">
            <v>0</v>
          </cell>
          <cell r="Q66">
            <v>0</v>
          </cell>
          <cell r="R66">
            <v>4.0999999999999999E-4</v>
          </cell>
          <cell r="S66">
            <v>3.5E-4</v>
          </cell>
          <cell r="T66">
            <v>0</v>
          </cell>
          <cell r="U66">
            <v>1.0499999999999999E-3</v>
          </cell>
          <cell r="V66">
            <v>0.24073</v>
          </cell>
          <cell r="AW66">
            <v>0</v>
          </cell>
          <cell r="AX66">
            <v>0</v>
          </cell>
          <cell r="AY66">
            <v>5.5999999999999995E-4</v>
          </cell>
          <cell r="AZ66">
            <v>3.8999999999999999E-4</v>
          </cell>
          <cell r="BB66">
            <v>-3.0000000000000001E-5</v>
          </cell>
          <cell r="BC66">
            <v>1.0300000000000001E-3</v>
          </cell>
          <cell r="BD66">
            <v>6.0000000000000002E-5</v>
          </cell>
          <cell r="BE66">
            <v>1.0499999999999999E-3</v>
          </cell>
          <cell r="BF66">
            <v>0.24073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-3.0000000000000001E-5</v>
          </cell>
          <cell r="Q67">
            <v>0</v>
          </cell>
          <cell r="R67">
            <v>2.1299999999999999E-3</v>
          </cell>
          <cell r="S67">
            <v>3.5E-4</v>
          </cell>
          <cell r="T67">
            <v>0</v>
          </cell>
          <cell r="U67">
            <v>5.4599999999999996E-3</v>
          </cell>
          <cell r="V67">
            <v>0.24073</v>
          </cell>
          <cell r="AW67">
            <v>0</v>
          </cell>
          <cell r="AX67">
            <v>0</v>
          </cell>
          <cell r="AY67">
            <v>0</v>
          </cell>
          <cell r="AZ67">
            <v>2.0100000000000001E-3</v>
          </cell>
          <cell r="BB67">
            <v>-1.6000000000000001E-4</v>
          </cell>
          <cell r="BC67">
            <v>1.0300000000000001E-3</v>
          </cell>
          <cell r="BD67">
            <v>0</v>
          </cell>
          <cell r="BE67">
            <v>5.4599999999999996E-3</v>
          </cell>
          <cell r="BF67">
            <v>0.24073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-2.0000000000000002E-5</v>
          </cell>
          <cell r="Q68">
            <v>0</v>
          </cell>
          <cell r="R68">
            <v>1.91E-3</v>
          </cell>
          <cell r="S68">
            <v>3.5E-4</v>
          </cell>
          <cell r="T68">
            <v>0</v>
          </cell>
          <cell r="U68">
            <v>4.8900000000000002E-3</v>
          </cell>
          <cell r="V68">
            <v>0.24073</v>
          </cell>
          <cell r="AW68">
            <v>0</v>
          </cell>
          <cell r="AX68">
            <v>0</v>
          </cell>
          <cell r="AY68">
            <v>0</v>
          </cell>
          <cell r="AZ68">
            <v>1.8E-3</v>
          </cell>
          <cell r="BB68">
            <v>-1.3999999999999999E-4</v>
          </cell>
          <cell r="BC68">
            <v>1.0300000000000001E-3</v>
          </cell>
          <cell r="BD68">
            <v>0</v>
          </cell>
          <cell r="BE68">
            <v>4.8900000000000002E-3</v>
          </cell>
          <cell r="BF68">
            <v>0.24073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-2.0000000000000002E-5</v>
          </cell>
          <cell r="Q69">
            <v>0</v>
          </cell>
          <cell r="R69">
            <v>1.4599999999999999E-3</v>
          </cell>
          <cell r="S69">
            <v>3.5E-4</v>
          </cell>
          <cell r="T69">
            <v>0</v>
          </cell>
          <cell r="U69">
            <v>3.7499999999999999E-3</v>
          </cell>
          <cell r="V69">
            <v>0.24073</v>
          </cell>
          <cell r="AW69">
            <v>0</v>
          </cell>
          <cell r="AX69">
            <v>0</v>
          </cell>
          <cell r="AY69">
            <v>0</v>
          </cell>
          <cell r="AZ69">
            <v>1.3799999999999999E-3</v>
          </cell>
          <cell r="BB69">
            <v>-1.1E-4</v>
          </cell>
          <cell r="BC69">
            <v>1.0300000000000001E-3</v>
          </cell>
          <cell r="BD69">
            <v>0</v>
          </cell>
          <cell r="BE69">
            <v>3.7499999999999999E-3</v>
          </cell>
          <cell r="BF69">
            <v>0.24073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-1.0000000000000001E-5</v>
          </cell>
          <cell r="Q70">
            <v>0</v>
          </cell>
          <cell r="R70">
            <v>1.17E-3</v>
          </cell>
          <cell r="S70">
            <v>3.5E-4</v>
          </cell>
          <cell r="T70">
            <v>0</v>
          </cell>
          <cell r="U70">
            <v>3.0000000000000001E-3</v>
          </cell>
          <cell r="V70">
            <v>0.24073</v>
          </cell>
          <cell r="AW70">
            <v>0</v>
          </cell>
          <cell r="AX70">
            <v>0</v>
          </cell>
          <cell r="AY70">
            <v>0</v>
          </cell>
          <cell r="AZ70">
            <v>1.1100000000000001E-3</v>
          </cell>
          <cell r="BB70">
            <v>-9.0000000000000006E-5</v>
          </cell>
          <cell r="BC70">
            <v>1.0300000000000001E-3</v>
          </cell>
          <cell r="BD70">
            <v>0</v>
          </cell>
          <cell r="BE70">
            <v>3.0000000000000001E-3</v>
          </cell>
          <cell r="BF70">
            <v>0.24073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-1.0000000000000001E-5</v>
          </cell>
          <cell r="Q71">
            <v>0</v>
          </cell>
          <cell r="R71">
            <v>7.7999999999999999E-4</v>
          </cell>
          <cell r="S71">
            <v>3.5E-4</v>
          </cell>
          <cell r="T71">
            <v>0</v>
          </cell>
          <cell r="U71">
            <v>2E-3</v>
          </cell>
          <cell r="V71">
            <v>0.24073</v>
          </cell>
          <cell r="AW71">
            <v>0</v>
          </cell>
          <cell r="AX71">
            <v>0</v>
          </cell>
          <cell r="AY71">
            <v>0</v>
          </cell>
          <cell r="AZ71">
            <v>7.3999999999999999E-4</v>
          </cell>
          <cell r="BB71">
            <v>-6.0000000000000002E-5</v>
          </cell>
          <cell r="BC71">
            <v>1.0300000000000001E-3</v>
          </cell>
          <cell r="BD71">
            <v>0</v>
          </cell>
          <cell r="BE71">
            <v>2E-3</v>
          </cell>
          <cell r="BF71">
            <v>0.24073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2.9E-4</v>
          </cell>
          <cell r="S72">
            <v>3.5E-4</v>
          </cell>
          <cell r="T72">
            <v>0</v>
          </cell>
          <cell r="U72">
            <v>7.5000000000000002E-4</v>
          </cell>
          <cell r="V72">
            <v>0.24073</v>
          </cell>
          <cell r="AW72">
            <v>0</v>
          </cell>
          <cell r="AX72">
            <v>0</v>
          </cell>
          <cell r="AY72">
            <v>0</v>
          </cell>
          <cell r="AZ72">
            <v>2.7999999999999998E-4</v>
          </cell>
          <cell r="BB72">
            <v>-2.0000000000000002E-5</v>
          </cell>
          <cell r="BC72">
            <v>1.0300000000000001E-3</v>
          </cell>
          <cell r="BD72">
            <v>0</v>
          </cell>
          <cell r="BE72">
            <v>7.5000000000000002E-4</v>
          </cell>
          <cell r="BF72">
            <v>0.24073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-3.0000000000000001E-5</v>
          </cell>
          <cell r="Q73">
            <v>0</v>
          </cell>
          <cell r="R73">
            <v>2.1099999999999999E-3</v>
          </cell>
          <cell r="S73">
            <v>3.5E-4</v>
          </cell>
          <cell r="T73">
            <v>1.0000000000000001E-5</v>
          </cell>
          <cell r="U73">
            <v>5.4599999999999996E-3</v>
          </cell>
          <cell r="V73">
            <v>0.24073</v>
          </cell>
          <cell r="AW73">
            <v>0</v>
          </cell>
          <cell r="AX73">
            <v>0</v>
          </cell>
          <cell r="AY73">
            <v>0</v>
          </cell>
          <cell r="AZ73">
            <v>2.0100000000000001E-3</v>
          </cell>
          <cell r="BB73">
            <v>-1.6000000000000001E-4</v>
          </cell>
          <cell r="BC73">
            <v>1.0300000000000001E-3</v>
          </cell>
          <cell r="BD73">
            <v>1E-4</v>
          </cell>
          <cell r="BE73">
            <v>5.4599999999999996E-3</v>
          </cell>
          <cell r="BF73">
            <v>0.24073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-2.0000000000000002E-5</v>
          </cell>
          <cell r="Q74">
            <v>0</v>
          </cell>
          <cell r="R74">
            <v>1.89E-3</v>
          </cell>
          <cell r="S74">
            <v>3.5E-4</v>
          </cell>
          <cell r="T74">
            <v>1.0000000000000001E-5</v>
          </cell>
          <cell r="U74">
            <v>4.8900000000000002E-3</v>
          </cell>
          <cell r="V74">
            <v>0.24073</v>
          </cell>
          <cell r="AW74">
            <v>0</v>
          </cell>
          <cell r="AX74">
            <v>0</v>
          </cell>
          <cell r="AY74">
            <v>0</v>
          </cell>
          <cell r="AZ74">
            <v>1.8E-3</v>
          </cell>
          <cell r="BB74">
            <v>-1.3999999999999999E-4</v>
          </cell>
          <cell r="BC74">
            <v>1.0300000000000001E-3</v>
          </cell>
          <cell r="BD74">
            <v>1E-4</v>
          </cell>
          <cell r="BE74">
            <v>4.8900000000000002E-3</v>
          </cell>
          <cell r="BF74">
            <v>0.24073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-2.0000000000000002E-5</v>
          </cell>
          <cell r="Q75">
            <v>0</v>
          </cell>
          <cell r="R75">
            <v>1.4499999999999999E-3</v>
          </cell>
          <cell r="S75">
            <v>3.5E-4</v>
          </cell>
          <cell r="T75">
            <v>1.0000000000000001E-5</v>
          </cell>
          <cell r="U75">
            <v>3.7499999999999999E-3</v>
          </cell>
          <cell r="V75">
            <v>0.24073</v>
          </cell>
          <cell r="AW75">
            <v>0</v>
          </cell>
          <cell r="AX75">
            <v>0</v>
          </cell>
          <cell r="AY75">
            <v>0</v>
          </cell>
          <cell r="AZ75">
            <v>1.3799999999999999E-3</v>
          </cell>
          <cell r="BB75">
            <v>-1.1E-4</v>
          </cell>
          <cell r="BC75">
            <v>1.0300000000000001E-3</v>
          </cell>
          <cell r="BD75">
            <v>9.0000000000000006E-5</v>
          </cell>
          <cell r="BE75">
            <v>3.7499999999999999E-3</v>
          </cell>
          <cell r="BF75">
            <v>0.24073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-1.0000000000000001E-5</v>
          </cell>
          <cell r="Q76">
            <v>0</v>
          </cell>
          <cell r="R76">
            <v>1.16E-3</v>
          </cell>
          <cell r="S76">
            <v>3.5E-4</v>
          </cell>
          <cell r="T76">
            <v>1.0000000000000001E-5</v>
          </cell>
          <cell r="U76">
            <v>3.0000000000000001E-3</v>
          </cell>
          <cell r="V76">
            <v>0.24073</v>
          </cell>
          <cell r="AW76">
            <v>0</v>
          </cell>
          <cell r="AX76">
            <v>0</v>
          </cell>
          <cell r="AY76">
            <v>0</v>
          </cell>
          <cell r="AZ76">
            <v>1.1000000000000001E-3</v>
          </cell>
          <cell r="BB76">
            <v>-9.0000000000000006E-5</v>
          </cell>
          <cell r="BC76">
            <v>1.0300000000000001E-3</v>
          </cell>
          <cell r="BD76">
            <v>9.0000000000000006E-5</v>
          </cell>
          <cell r="BE76">
            <v>3.0000000000000001E-3</v>
          </cell>
          <cell r="BF76">
            <v>0.24073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-1.0000000000000001E-5</v>
          </cell>
          <cell r="Q77">
            <v>0</v>
          </cell>
          <cell r="R77">
            <v>7.6999999999999996E-4</v>
          </cell>
          <cell r="S77">
            <v>3.5E-4</v>
          </cell>
          <cell r="T77">
            <v>1.0000000000000001E-5</v>
          </cell>
          <cell r="U77">
            <v>2E-3</v>
          </cell>
          <cell r="V77">
            <v>0.24073</v>
          </cell>
          <cell r="AW77">
            <v>0</v>
          </cell>
          <cell r="AX77">
            <v>0</v>
          </cell>
          <cell r="AY77">
            <v>0</v>
          </cell>
          <cell r="AZ77">
            <v>7.3999999999999999E-4</v>
          </cell>
          <cell r="BB77">
            <v>-6.0000000000000002E-5</v>
          </cell>
          <cell r="BC77">
            <v>1.0300000000000001E-3</v>
          </cell>
          <cell r="BD77">
            <v>8.0000000000000007E-5</v>
          </cell>
          <cell r="BE77">
            <v>2E-3</v>
          </cell>
          <cell r="BF77">
            <v>0.24073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2.9E-4</v>
          </cell>
          <cell r="S78">
            <v>3.5E-4</v>
          </cell>
          <cell r="T78">
            <v>0</v>
          </cell>
          <cell r="U78">
            <v>7.5000000000000002E-4</v>
          </cell>
          <cell r="V78">
            <v>0.24073</v>
          </cell>
          <cell r="AW78">
            <v>0</v>
          </cell>
          <cell r="AX78">
            <v>0</v>
          </cell>
          <cell r="AY78">
            <v>0</v>
          </cell>
          <cell r="AZ78">
            <v>2.7999999999999998E-4</v>
          </cell>
          <cell r="BB78">
            <v>-2.0000000000000002E-5</v>
          </cell>
          <cell r="BC78">
            <v>1.0300000000000001E-3</v>
          </cell>
          <cell r="BD78">
            <v>8.0000000000000007E-5</v>
          </cell>
          <cell r="BE78">
            <v>7.5000000000000002E-4</v>
          </cell>
          <cell r="BF78">
            <v>0.24073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3.5E-4</v>
          </cell>
          <cell r="T79">
            <v>0</v>
          </cell>
          <cell r="U79">
            <v>1.9000000000000001E-4</v>
          </cell>
          <cell r="V79">
            <v>0.24073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B79">
            <v>-1.0000000000000001E-5</v>
          </cell>
          <cell r="BC79">
            <v>1.0300000000000001E-3</v>
          </cell>
          <cell r="BD79">
            <v>0</v>
          </cell>
          <cell r="BE79">
            <v>1.9000000000000001E-4</v>
          </cell>
          <cell r="BF79">
            <v>0.24073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3.5E-4</v>
          </cell>
          <cell r="T80">
            <v>0</v>
          </cell>
          <cell r="U80">
            <v>1.9000000000000001E-4</v>
          </cell>
          <cell r="V80">
            <v>0.24073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B80">
            <v>-1.0000000000000001E-5</v>
          </cell>
          <cell r="BC80">
            <v>1.0300000000000001E-3</v>
          </cell>
          <cell r="BD80">
            <v>0</v>
          </cell>
          <cell r="BE80">
            <v>1.9000000000000001E-4</v>
          </cell>
          <cell r="BF80">
            <v>0.24073</v>
          </cell>
        </row>
        <row r="81">
          <cell r="BF81">
            <v>0.49725999999999998</v>
          </cell>
        </row>
      </sheetData>
      <sheetData sheetId="8"/>
      <sheetData sheetId="9">
        <row r="13">
          <cell r="F13">
            <v>2.4000000000000001E-4</v>
          </cell>
        </row>
        <row r="14">
          <cell r="F14">
            <v>1.6000000000000001E-4</v>
          </cell>
        </row>
        <row r="15">
          <cell r="F15">
            <v>1.1E-4</v>
          </cell>
        </row>
        <row r="16">
          <cell r="F16">
            <v>1E-4</v>
          </cell>
        </row>
        <row r="17">
          <cell r="F17">
            <v>9.0000000000000006E-5</v>
          </cell>
        </row>
        <row r="18">
          <cell r="F18">
            <v>2.5999999999999998E-4</v>
          </cell>
        </row>
        <row r="19">
          <cell r="F19">
            <v>8.0000000000000007E-5</v>
          </cell>
        </row>
        <row r="20">
          <cell r="F20">
            <v>6.9999999999999994E-5</v>
          </cell>
        </row>
        <row r="21">
          <cell r="F21">
            <v>6.9999999999999994E-5</v>
          </cell>
        </row>
        <row r="22">
          <cell r="F22">
            <v>6.0000000000000002E-5</v>
          </cell>
        </row>
        <row r="23">
          <cell r="F23">
            <v>6.9999999999999994E-5</v>
          </cell>
        </row>
        <row r="24">
          <cell r="F24">
            <v>6.0000000000000002E-5</v>
          </cell>
        </row>
        <row r="25">
          <cell r="F25">
            <v>6.9999999999999994E-5</v>
          </cell>
        </row>
        <row r="26">
          <cell r="F26">
            <v>6.0000000000000002E-5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4.0000000000000003E-5</v>
          </cell>
        </row>
        <row r="32">
          <cell r="F32">
            <v>4.0000000000000003E-5</v>
          </cell>
        </row>
        <row r="33">
          <cell r="F33">
            <v>3.0000000000000001E-5</v>
          </cell>
        </row>
        <row r="34">
          <cell r="F34">
            <v>2.0000000000000002E-5</v>
          </cell>
        </row>
        <row r="35">
          <cell r="F35">
            <v>2.0000000000000002E-5</v>
          </cell>
        </row>
        <row r="36">
          <cell r="F36">
            <v>1.0000000000000001E-5</v>
          </cell>
        </row>
        <row r="37">
          <cell r="F37">
            <v>5.0000000000000002E-5</v>
          </cell>
        </row>
        <row r="38">
          <cell r="F38">
            <v>4.0000000000000003E-5</v>
          </cell>
        </row>
        <row r="39">
          <cell r="F39">
            <v>3.0000000000000001E-5</v>
          </cell>
        </row>
        <row r="40">
          <cell r="F40">
            <v>2.0000000000000002E-5</v>
          </cell>
        </row>
        <row r="41">
          <cell r="F41">
            <v>2.0000000000000002E-5</v>
          </cell>
        </row>
        <row r="42">
          <cell r="F42">
            <v>1.0000000000000001E-5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3.0000000000000001E-5</v>
          </cell>
        </row>
        <row r="56">
          <cell r="F56">
            <v>3.0000000000000001E-5</v>
          </cell>
        </row>
        <row r="57">
          <cell r="F57">
            <v>2.0000000000000002E-5</v>
          </cell>
        </row>
        <row r="58">
          <cell r="F58">
            <v>2.0000000000000002E-5</v>
          </cell>
        </row>
        <row r="59">
          <cell r="F59">
            <v>1.0000000000000001E-5</v>
          </cell>
        </row>
        <row r="60">
          <cell r="F60">
            <v>0</v>
          </cell>
        </row>
        <row r="61">
          <cell r="F61">
            <v>4.0000000000000003E-5</v>
          </cell>
        </row>
        <row r="62">
          <cell r="F62">
            <v>4.0000000000000003E-5</v>
          </cell>
        </row>
        <row r="63">
          <cell r="F63">
            <v>3.0000000000000001E-5</v>
          </cell>
        </row>
        <row r="64">
          <cell r="F64">
            <v>2.0000000000000002E-5</v>
          </cell>
        </row>
        <row r="65">
          <cell r="F65">
            <v>1.0000000000000001E-5</v>
          </cell>
        </row>
        <row r="66">
          <cell r="F66">
            <v>1.0000000000000001E-5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</sheetData>
      <sheetData sheetId="10">
        <row r="13">
          <cell r="D13">
            <v>1.6683000000000003</v>
          </cell>
          <cell r="G13">
            <v>1.6389200000000004</v>
          </cell>
          <cell r="Q13">
            <v>1.6341000000000003</v>
          </cell>
        </row>
        <row r="14">
          <cell r="D14">
            <v>1.672639999999999</v>
          </cell>
          <cell r="G14">
            <v>1.6432599999999991</v>
          </cell>
          <cell r="Q14">
            <v>1.5968799999999992</v>
          </cell>
        </row>
        <row r="15">
          <cell r="D15">
            <v>1.3152700000000002</v>
          </cell>
          <cell r="G15">
            <v>1.2858900000000002</v>
          </cell>
          <cell r="Q15">
            <v>1.2423600000000001</v>
          </cell>
        </row>
        <row r="16">
          <cell r="D16">
            <v>1.2785399999999996</v>
          </cell>
          <cell r="G16">
            <v>1.2491599999999996</v>
          </cell>
          <cell r="Q16">
            <v>1.2048899999999996</v>
          </cell>
        </row>
        <row r="17">
          <cell r="D17">
            <v>1.2303099999999996</v>
          </cell>
          <cell r="G17">
            <v>1.2009299999999996</v>
          </cell>
          <cell r="Q17">
            <v>1.1551899999999997</v>
          </cell>
        </row>
        <row r="18">
          <cell r="D18">
            <v>1.11591</v>
          </cell>
          <cell r="G18">
            <v>1.08653</v>
          </cell>
          <cell r="Q18">
            <v>1.10995</v>
          </cell>
        </row>
        <row r="19">
          <cell r="D19">
            <v>1.0394899999999998</v>
          </cell>
          <cell r="G19">
            <v>1.0131599999999998</v>
          </cell>
          <cell r="Q19">
            <v>0.96803999999999979</v>
          </cell>
        </row>
        <row r="20">
          <cell r="D20">
            <v>0.98116000000000014</v>
          </cell>
          <cell r="G20">
            <v>0.95483000000000007</v>
          </cell>
          <cell r="Q20">
            <v>0.90969000000000011</v>
          </cell>
        </row>
        <row r="21">
          <cell r="D21">
            <v>0.94622000000000028</v>
          </cell>
          <cell r="G21">
            <v>0.91989000000000032</v>
          </cell>
          <cell r="Q21">
            <v>0.87457000000000029</v>
          </cell>
        </row>
        <row r="22">
          <cell r="D22">
            <v>0.89908999999999961</v>
          </cell>
          <cell r="G22">
            <v>0.87275999999999954</v>
          </cell>
          <cell r="Q22">
            <v>0.82736999999999949</v>
          </cell>
        </row>
        <row r="23">
          <cell r="D23">
            <v>0.96427000000000007</v>
          </cell>
          <cell r="G23">
            <v>0.93794</v>
          </cell>
          <cell r="Q23">
            <v>0.92659999999999998</v>
          </cell>
        </row>
        <row r="24">
          <cell r="D24">
            <v>0.91047000000000022</v>
          </cell>
          <cell r="G24">
            <v>0.88414000000000015</v>
          </cell>
          <cell r="Q24">
            <v>0.87260000000000026</v>
          </cell>
        </row>
        <row r="25">
          <cell r="D25">
            <v>0.90245000000000009</v>
          </cell>
          <cell r="G25">
            <v>0.87612000000000001</v>
          </cell>
          <cell r="Q25">
            <v>0.86289000000000005</v>
          </cell>
        </row>
        <row r="26">
          <cell r="D26">
            <v>0.8560899999999998</v>
          </cell>
          <cell r="G26">
            <v>0.82975999999999983</v>
          </cell>
          <cell r="Q26">
            <v>0.81651999999999991</v>
          </cell>
        </row>
        <row r="27">
          <cell r="D27">
            <v>0.64044000000000001</v>
          </cell>
          <cell r="G27">
            <v>0.64044000000000001</v>
          </cell>
          <cell r="Q27">
            <v>0.64046000000000003</v>
          </cell>
        </row>
        <row r="28">
          <cell r="D28">
            <v>0.5930200000000001</v>
          </cell>
          <cell r="G28">
            <v>0.5930200000000001</v>
          </cell>
          <cell r="Q28">
            <v>0.59296000000000015</v>
          </cell>
        </row>
        <row r="29">
          <cell r="D29">
            <v>0.62856000000000001</v>
          </cell>
          <cell r="G29">
            <v>0.62856000000000001</v>
          </cell>
          <cell r="Q29">
            <v>0.62853000000000003</v>
          </cell>
        </row>
        <row r="30">
          <cell r="D30">
            <v>0.58256000000000019</v>
          </cell>
          <cell r="G30">
            <v>0.58256000000000019</v>
          </cell>
          <cell r="Q30">
            <v>0.58245000000000013</v>
          </cell>
        </row>
        <row r="31">
          <cell r="D31">
            <v>0.79625999999999986</v>
          </cell>
          <cell r="G31">
            <v>0.76992999999999978</v>
          </cell>
          <cell r="Q31">
            <v>0.72470999999999985</v>
          </cell>
        </row>
        <row r="32">
          <cell r="D32">
            <v>0.77026999999999957</v>
          </cell>
          <cell r="G32">
            <v>0.7439399999999996</v>
          </cell>
          <cell r="Q32">
            <v>0.69873999999999969</v>
          </cell>
        </row>
        <row r="33">
          <cell r="D33">
            <v>0.71862999999999988</v>
          </cell>
          <cell r="G33">
            <v>0.69229999999999992</v>
          </cell>
          <cell r="Q33">
            <v>0.64710999999999985</v>
          </cell>
        </row>
        <row r="34">
          <cell r="D34">
            <v>0.68461000000000016</v>
          </cell>
          <cell r="G34">
            <v>0.6582800000000002</v>
          </cell>
          <cell r="Q34">
            <v>0.61311000000000027</v>
          </cell>
        </row>
        <row r="35">
          <cell r="D35">
            <v>0.63927</v>
          </cell>
          <cell r="G35">
            <v>0.61294000000000004</v>
          </cell>
          <cell r="Q35">
            <v>0.56776000000000004</v>
          </cell>
        </row>
        <row r="36">
          <cell r="D36">
            <v>0.58259000000000005</v>
          </cell>
          <cell r="G36">
            <v>0.55625999999999998</v>
          </cell>
          <cell r="Q36">
            <v>0.51111999999999991</v>
          </cell>
        </row>
        <row r="37">
          <cell r="D37">
            <v>0.73169000000000006</v>
          </cell>
          <cell r="G37">
            <v>0.70535999999999999</v>
          </cell>
          <cell r="Q37">
            <v>0.66015000000000001</v>
          </cell>
        </row>
        <row r="38">
          <cell r="D38">
            <v>0.71257999999999988</v>
          </cell>
          <cell r="G38">
            <v>0.6862499999999998</v>
          </cell>
          <cell r="Q38">
            <v>0.64097999999999988</v>
          </cell>
        </row>
        <row r="39">
          <cell r="D39">
            <v>0.67456999999999967</v>
          </cell>
          <cell r="G39">
            <v>0.64823999999999971</v>
          </cell>
          <cell r="Q39">
            <v>0.60283999999999971</v>
          </cell>
        </row>
        <row r="40">
          <cell r="D40">
            <v>0.64957000000000009</v>
          </cell>
          <cell r="G40">
            <v>0.62324000000000002</v>
          </cell>
          <cell r="Q40">
            <v>0.57779000000000003</v>
          </cell>
        </row>
        <row r="41">
          <cell r="D41">
            <v>0.61626000000000036</v>
          </cell>
          <cell r="G41">
            <v>0.58993000000000029</v>
          </cell>
          <cell r="Q41">
            <v>0.54437000000000035</v>
          </cell>
        </row>
        <row r="42">
          <cell r="D42">
            <v>0.57454999999999989</v>
          </cell>
          <cell r="G42">
            <v>0.54821999999999993</v>
          </cell>
          <cell r="Q42">
            <v>0.50253999999999988</v>
          </cell>
        </row>
        <row r="43">
          <cell r="D43">
            <v>0.40332000000000001</v>
          </cell>
          <cell r="G43">
            <v>0.40332000000000001</v>
          </cell>
          <cell r="Q43">
            <v>0.40292</v>
          </cell>
        </row>
        <row r="44">
          <cell r="D44">
            <v>0.38640000000000002</v>
          </cell>
          <cell r="G44">
            <v>0.38640000000000002</v>
          </cell>
          <cell r="Q44">
            <v>0.38597000000000004</v>
          </cell>
        </row>
        <row r="45">
          <cell r="D45">
            <v>0.35268999999999995</v>
          </cell>
          <cell r="G45">
            <v>0.35268999999999995</v>
          </cell>
          <cell r="Q45">
            <v>0.35217999999999994</v>
          </cell>
        </row>
        <row r="46">
          <cell r="D46">
            <v>0.33054000000000006</v>
          </cell>
          <cell r="G46">
            <v>0.33054000000000006</v>
          </cell>
          <cell r="Q46">
            <v>0.32996000000000003</v>
          </cell>
        </row>
        <row r="47">
          <cell r="D47">
            <v>0.30097000000000007</v>
          </cell>
          <cell r="G47">
            <v>0.30097000000000007</v>
          </cell>
          <cell r="Q47">
            <v>0.30034000000000005</v>
          </cell>
        </row>
        <row r="48">
          <cell r="D48">
            <v>0.26403000000000004</v>
          </cell>
          <cell r="G48">
            <v>0.26403000000000004</v>
          </cell>
          <cell r="Q48">
            <v>0.26331000000000004</v>
          </cell>
        </row>
        <row r="49">
          <cell r="D49">
            <v>0.40095999999999998</v>
          </cell>
          <cell r="G49">
            <v>0.40095999999999998</v>
          </cell>
          <cell r="Q49">
            <v>0.40056999999999998</v>
          </cell>
        </row>
        <row r="50">
          <cell r="D50">
            <v>0.38426999999999989</v>
          </cell>
          <cell r="G50">
            <v>0.38426999999999989</v>
          </cell>
          <cell r="Q50">
            <v>0.38384999999999991</v>
          </cell>
        </row>
        <row r="51">
          <cell r="D51">
            <v>0.35105000000000003</v>
          </cell>
          <cell r="G51">
            <v>0.35105000000000003</v>
          </cell>
          <cell r="Q51">
            <v>0.35056000000000004</v>
          </cell>
        </row>
        <row r="52">
          <cell r="D52">
            <v>0.32922000000000012</v>
          </cell>
          <cell r="G52">
            <v>0.32922000000000012</v>
          </cell>
          <cell r="Q52">
            <v>0.32867000000000013</v>
          </cell>
        </row>
        <row r="53">
          <cell r="D53">
            <v>0.30008999999999997</v>
          </cell>
          <cell r="G53">
            <v>0.30008999999999997</v>
          </cell>
          <cell r="Q53">
            <v>0.29947999999999997</v>
          </cell>
        </row>
        <row r="54">
          <cell r="D54">
            <v>0.26369000000000009</v>
          </cell>
          <cell r="G54">
            <v>0.26369000000000009</v>
          </cell>
          <cell r="Q54">
            <v>0.26300000000000012</v>
          </cell>
        </row>
        <row r="55">
          <cell r="D55">
            <v>0.71133000000000013</v>
          </cell>
          <cell r="G55">
            <v>0.68500000000000005</v>
          </cell>
          <cell r="Q55">
            <v>0.67280000000000006</v>
          </cell>
        </row>
        <row r="56">
          <cell r="D56">
            <v>0.69042999999999966</v>
          </cell>
          <cell r="G56">
            <v>0.66409999999999969</v>
          </cell>
          <cell r="Q56">
            <v>0.65181999999999962</v>
          </cell>
        </row>
        <row r="57">
          <cell r="D57">
            <v>0.64878000000000013</v>
          </cell>
          <cell r="G57">
            <v>0.62245000000000017</v>
          </cell>
          <cell r="Q57">
            <v>0.61003000000000018</v>
          </cell>
        </row>
        <row r="58">
          <cell r="D58">
            <v>0.62140999999999991</v>
          </cell>
          <cell r="G58">
            <v>0.59507999999999983</v>
          </cell>
          <cell r="Q58">
            <v>0.58255999999999986</v>
          </cell>
        </row>
        <row r="59">
          <cell r="D59">
            <v>0.58492999999999984</v>
          </cell>
          <cell r="G59">
            <v>0.55859999999999976</v>
          </cell>
          <cell r="Q59">
            <v>0.54595999999999978</v>
          </cell>
        </row>
        <row r="60">
          <cell r="D60">
            <v>0.53925000000000001</v>
          </cell>
          <cell r="G60">
            <v>0.51292000000000004</v>
          </cell>
          <cell r="Q60">
            <v>0.50017</v>
          </cell>
        </row>
        <row r="61">
          <cell r="D61">
            <v>0.69063999999999992</v>
          </cell>
          <cell r="G61">
            <v>0.66430999999999996</v>
          </cell>
          <cell r="Q61">
            <v>0.65088000000000001</v>
          </cell>
        </row>
        <row r="62">
          <cell r="D62">
            <v>0.67198999999999998</v>
          </cell>
          <cell r="G62">
            <v>0.6456599999999999</v>
          </cell>
          <cell r="Q62">
            <v>0.63222</v>
          </cell>
        </row>
        <row r="63">
          <cell r="D63">
            <v>0.63488999999999995</v>
          </cell>
          <cell r="G63">
            <v>0.60855999999999999</v>
          </cell>
          <cell r="Q63">
            <v>0.59509999999999996</v>
          </cell>
        </row>
        <row r="64">
          <cell r="D64">
            <v>0.61047999999999969</v>
          </cell>
          <cell r="G64">
            <v>0.58414999999999973</v>
          </cell>
          <cell r="Q64">
            <v>0.57068999999999981</v>
          </cell>
        </row>
        <row r="65">
          <cell r="D65">
            <v>0.57791000000000003</v>
          </cell>
          <cell r="G65">
            <v>0.55157999999999996</v>
          </cell>
          <cell r="Q65">
            <v>0.53811999999999993</v>
          </cell>
        </row>
        <row r="66">
          <cell r="D66">
            <v>0.53723999999999983</v>
          </cell>
          <cell r="G66">
            <v>0.51090999999999975</v>
          </cell>
          <cell r="Q66">
            <v>0.49744999999999978</v>
          </cell>
        </row>
        <row r="67">
          <cell r="D67">
            <v>0.39076</v>
          </cell>
          <cell r="G67">
            <v>0.39076</v>
          </cell>
          <cell r="Q67">
            <v>0.39032999999999995</v>
          </cell>
        </row>
        <row r="68">
          <cell r="D68">
            <v>0.37516000000000005</v>
          </cell>
          <cell r="G68">
            <v>0.37516000000000005</v>
          </cell>
          <cell r="Q68">
            <v>0.37471000000000004</v>
          </cell>
        </row>
        <row r="69">
          <cell r="D69">
            <v>0.34404999999999997</v>
          </cell>
          <cell r="G69">
            <v>0.34404999999999997</v>
          </cell>
          <cell r="Q69">
            <v>0.34353999999999996</v>
          </cell>
        </row>
        <row r="70">
          <cell r="D70">
            <v>0.3236</v>
          </cell>
          <cell r="G70">
            <v>0.3236</v>
          </cell>
          <cell r="Q70">
            <v>0.32306000000000001</v>
          </cell>
        </row>
        <row r="71">
          <cell r="D71">
            <v>0.29632999999999998</v>
          </cell>
          <cell r="G71">
            <v>0.29632999999999998</v>
          </cell>
          <cell r="Q71">
            <v>0.29574</v>
          </cell>
        </row>
        <row r="72">
          <cell r="D72">
            <v>0.26221000000000005</v>
          </cell>
          <cell r="G72">
            <v>0.26221000000000005</v>
          </cell>
          <cell r="Q72">
            <v>0.26156000000000007</v>
          </cell>
        </row>
        <row r="73">
          <cell r="D73">
            <v>0.39346999999999999</v>
          </cell>
          <cell r="G73">
            <v>0.39346999999999999</v>
          </cell>
          <cell r="Q73">
            <v>0.39293</v>
          </cell>
        </row>
        <row r="74">
          <cell r="D74">
            <v>0.37758000000000003</v>
          </cell>
          <cell r="G74">
            <v>0.37758000000000003</v>
          </cell>
          <cell r="Q74">
            <v>0.37702000000000002</v>
          </cell>
        </row>
        <row r="75">
          <cell r="D75">
            <v>0.34592000000000001</v>
          </cell>
          <cell r="G75">
            <v>0.34592000000000001</v>
          </cell>
          <cell r="Q75">
            <v>0.34531999999999996</v>
          </cell>
        </row>
        <row r="76">
          <cell r="D76">
            <v>0.32511000000000001</v>
          </cell>
          <cell r="G76">
            <v>0.32511000000000001</v>
          </cell>
          <cell r="Q76">
            <v>0.32449000000000006</v>
          </cell>
        </row>
        <row r="77">
          <cell r="D77">
            <v>0.29735999999999996</v>
          </cell>
          <cell r="G77">
            <v>0.29735999999999996</v>
          </cell>
          <cell r="Q77">
            <v>0.29669000000000001</v>
          </cell>
        </row>
        <row r="78">
          <cell r="D78">
            <v>0.26266000000000006</v>
          </cell>
          <cell r="G78">
            <v>0.26266000000000006</v>
          </cell>
          <cell r="Q78">
            <v>0.26193000000000005</v>
          </cell>
        </row>
        <row r="79">
          <cell r="D79">
            <v>0.24684999999999996</v>
          </cell>
          <cell r="G79">
            <v>0.24684999999999996</v>
          </cell>
          <cell r="Q79">
            <v>0.24617999999999998</v>
          </cell>
        </row>
        <row r="80">
          <cell r="D80">
            <v>0.24684999999999996</v>
          </cell>
          <cell r="G80">
            <v>0.24684999999999996</v>
          </cell>
          <cell r="Q80">
            <v>0.24617999999999998</v>
          </cell>
        </row>
        <row r="84">
          <cell r="D84" t="str">
            <v>2022-23 PGA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= % of margin"/>
      <sheetName val="Allocation equal ¢ per therm"/>
      <sheetName val="Allocation = % of revenue"/>
      <sheetName val="Rates in detail"/>
      <sheetName val="Temporaries"/>
      <sheetName val="Permanents"/>
      <sheetName val="Avg Bill by RS"/>
      <sheetName val="Rates in summary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>
        <row r="30">
          <cell r="B30">
            <v>4.3568999999999997E-2</v>
          </cell>
        </row>
        <row r="34">
          <cell r="C34" t="str">
            <v>Temporary Increments</v>
          </cell>
          <cell r="F34" t="str">
            <v>Allocated to Rate Schedules</v>
          </cell>
        </row>
        <row r="36">
          <cell r="B36">
            <v>-12589508</v>
          </cell>
          <cell r="C36" t="str">
            <v>WACOG Deferral</v>
          </cell>
          <cell r="F36" t="str">
            <v>All sales</v>
          </cell>
          <cell r="G36" t="str">
            <v>Yes</v>
          </cell>
        </row>
        <row r="38">
          <cell r="B38">
            <v>-2349128</v>
          </cell>
          <cell r="C38" t="str">
            <v>Demand Deferral - FIRM</v>
          </cell>
          <cell r="F38" t="str">
            <v>All firm sales</v>
          </cell>
          <cell r="G38" t="str">
            <v>Yes</v>
          </cell>
        </row>
        <row r="40">
          <cell r="B40">
            <v>-34545</v>
          </cell>
          <cell r="C40" t="str">
            <v>Demand Deferral - INTERRUPTIBLE</v>
          </cell>
          <cell r="F40" t="str">
            <v>All interruptible sales</v>
          </cell>
          <cell r="G40" t="str">
            <v>Yes</v>
          </cell>
        </row>
        <row r="42">
          <cell r="B42">
            <v>5254526.4000000004</v>
          </cell>
          <cell r="C42" t="str">
            <v>R&amp;C Energy Efficiency Programs - Forecast</v>
          </cell>
          <cell r="F42" t="str">
            <v>All Residential and Commercial sales</v>
          </cell>
          <cell r="G42" t="str">
            <v>Yes</v>
          </cell>
        </row>
        <row r="44">
          <cell r="B44">
            <v>119978</v>
          </cell>
          <cell r="C44" t="str">
            <v>WA-LIEE</v>
          </cell>
          <cell r="F44" t="str">
            <v>All sales</v>
          </cell>
          <cell r="G44" t="str">
            <v>Yes</v>
          </cell>
        </row>
        <row r="46">
          <cell r="B46">
            <v>744450</v>
          </cell>
          <cell r="C46" t="str">
            <v>Low Income Bill Pay Assistance (GREAT)</v>
          </cell>
          <cell r="F46" t="str">
            <v>All sales</v>
          </cell>
          <cell r="G46" t="str">
            <v>Yes</v>
          </cell>
        </row>
        <row r="48">
          <cell r="B48">
            <v>18554</v>
          </cell>
          <cell r="C48" t="str">
            <v xml:space="preserve">Residential Rate Mitigation </v>
          </cell>
          <cell r="F48" t="str">
            <v xml:space="preserve">Residential Only </v>
          </cell>
          <cell r="G48" t="str">
            <v>Yes</v>
          </cell>
        </row>
        <row r="50">
          <cell r="B50">
            <v>0</v>
          </cell>
          <cell r="C50" t="str">
            <v>R&amp;C Energy Efficiency Programs - Historical</v>
          </cell>
          <cell r="F50" t="str">
            <v>All Residential and Commercial sales</v>
          </cell>
          <cell r="G50" t="str">
            <v>Yes</v>
          </cell>
        </row>
        <row r="52">
          <cell r="B52">
            <v>717544.66937424603</v>
          </cell>
          <cell r="F52" t="str">
            <v>All Customers</v>
          </cell>
          <cell r="G52" t="str">
            <v>Yes</v>
          </cell>
        </row>
        <row r="54">
          <cell r="B54">
            <v>7272</v>
          </cell>
          <cell r="F54" t="str">
            <v>All Industrial and Transport Customers</v>
          </cell>
          <cell r="G54" t="str">
            <v>Yes</v>
          </cell>
        </row>
        <row r="56">
          <cell r="B56">
            <v>-65076</v>
          </cell>
          <cell r="C56" t="str">
            <v>R&amp;C Energy Efficiency Programs - Deferral</v>
          </cell>
          <cell r="F56" t="str">
            <v>All Residential and Commercial sales</v>
          </cell>
          <cell r="G56" t="str">
            <v>Yes</v>
          </cell>
        </row>
        <row r="58">
          <cell r="B58">
            <v>1620</v>
          </cell>
          <cell r="C58" t="str">
            <v>WA Regulatory Fee</v>
          </cell>
          <cell r="F58" t="str">
            <v>All Customers</v>
          </cell>
          <cell r="G58" t="str">
            <v>Yes</v>
          </cell>
        </row>
        <row r="60">
          <cell r="B60">
            <v>-9098</v>
          </cell>
          <cell r="C60" t="str">
            <v>Lincoln City Sale</v>
          </cell>
          <cell r="F60" t="str">
            <v>All Customers</v>
          </cell>
          <cell r="G60" t="str">
            <v>Yes</v>
          </cell>
        </row>
        <row r="62">
          <cell r="B62">
            <v>1853391.0329522497</v>
          </cell>
          <cell r="C62" t="str">
            <v xml:space="preserve">Residental Bill Discount Program </v>
          </cell>
          <cell r="G62" t="str">
            <v>Yes</v>
          </cell>
        </row>
        <row r="64">
          <cell r="F64" t="str">
            <v>All Customers</v>
          </cell>
        </row>
        <row r="66">
          <cell r="C66" t="str">
            <v>Permanent Increment</v>
          </cell>
        </row>
        <row r="68">
          <cell r="B68">
            <v>9408.9997971102639</v>
          </cell>
          <cell r="C68" t="str">
            <v>Mist Recall</v>
          </cell>
          <cell r="F68" t="str">
            <v>to all sales</v>
          </cell>
          <cell r="G68" t="str">
            <v>No</v>
          </cell>
        </row>
        <row r="71">
          <cell r="B71">
            <v>45658</v>
          </cell>
        </row>
      </sheetData>
      <sheetData sheetId="2">
        <row r="1">
          <cell r="A1" t="str">
            <v>NW Natural</v>
          </cell>
        </row>
        <row r="2">
          <cell r="A2" t="str">
            <v>Rates &amp; Regulatory Affairs</v>
          </cell>
        </row>
        <row r="3">
          <cell r="A3" t="str">
            <v>2025-2026 PGA Filing - Washington: September Filing</v>
          </cell>
        </row>
        <row r="13">
          <cell r="J13">
            <v>179824.1</v>
          </cell>
          <cell r="L13">
            <v>1884</v>
          </cell>
        </row>
        <row r="14">
          <cell r="J14">
            <v>18807.400000000001</v>
          </cell>
          <cell r="L14">
            <v>36</v>
          </cell>
        </row>
        <row r="15">
          <cell r="J15">
            <v>59991191.600000001</v>
          </cell>
          <cell r="L15">
            <v>89230</v>
          </cell>
        </row>
        <row r="16">
          <cell r="J16">
            <v>21359578.800000001</v>
          </cell>
          <cell r="L16">
            <v>6828</v>
          </cell>
        </row>
        <row r="17">
          <cell r="J17">
            <v>192102.2</v>
          </cell>
          <cell r="L17">
            <v>20</v>
          </cell>
        </row>
        <row r="18">
          <cell r="J18">
            <v>34823.1</v>
          </cell>
          <cell r="L18">
            <v>403</v>
          </cell>
        </row>
        <row r="19">
          <cell r="J19">
            <v>1665389.3</v>
          </cell>
          <cell r="L19">
            <v>101</v>
          </cell>
        </row>
        <row r="20">
          <cell r="J20">
            <v>2698480.8</v>
          </cell>
        </row>
        <row r="21">
          <cell r="J21">
            <v>331379.44452066539</v>
          </cell>
          <cell r="L21">
            <v>21</v>
          </cell>
        </row>
        <row r="22">
          <cell r="J22">
            <v>593486.75547933462</v>
          </cell>
        </row>
        <row r="23">
          <cell r="J23">
            <v>0</v>
          </cell>
          <cell r="L23">
            <v>0</v>
          </cell>
        </row>
        <row r="24">
          <cell r="J24">
            <v>0</v>
          </cell>
        </row>
        <row r="25">
          <cell r="J25">
            <v>0</v>
          </cell>
          <cell r="L25">
            <v>0</v>
          </cell>
        </row>
        <row r="26">
          <cell r="J26">
            <v>0</v>
          </cell>
        </row>
        <row r="27">
          <cell r="J27">
            <v>123242.73967014518</v>
          </cell>
          <cell r="L27">
            <v>8</v>
          </cell>
        </row>
        <row r="28">
          <cell r="J28">
            <v>284875.42061605473</v>
          </cell>
        </row>
        <row r="29">
          <cell r="J29">
            <v>0</v>
          </cell>
          <cell r="L29">
            <v>0</v>
          </cell>
        </row>
        <row r="30">
          <cell r="J30">
            <v>0</v>
          </cell>
        </row>
        <row r="31">
          <cell r="J31">
            <v>820212.7</v>
          </cell>
          <cell r="L31">
            <v>8</v>
          </cell>
        </row>
        <row r="32">
          <cell r="J32">
            <v>926222.5</v>
          </cell>
        </row>
        <row r="33">
          <cell r="J33">
            <v>323675.40000000002</v>
          </cell>
        </row>
        <row r="34">
          <cell r="J34">
            <v>84982.8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887029.75709862076</v>
          </cell>
          <cell r="L37">
            <v>12</v>
          </cell>
        </row>
        <row r="38">
          <cell r="J38">
            <v>668287.37243846827</v>
          </cell>
        </row>
        <row r="39">
          <cell r="J39">
            <v>109047.67533172015</v>
          </cell>
        </row>
        <row r="40">
          <cell r="J40">
            <v>24232.772003191028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122543.87639893022</v>
          </cell>
          <cell r="L43">
            <v>1</v>
          </cell>
        </row>
        <row r="44">
          <cell r="J44">
            <v>245087.75279786045</v>
          </cell>
        </row>
        <row r="45">
          <cell r="J45">
            <v>245087.75279786045</v>
          </cell>
        </row>
        <row r="46">
          <cell r="J46">
            <v>403343.97837634891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933451.95163091726</v>
          </cell>
          <cell r="L49">
            <v>10</v>
          </cell>
        </row>
        <row r="50">
          <cell r="J50">
            <v>1354331.8549391942</v>
          </cell>
        </row>
        <row r="51">
          <cell r="J51">
            <v>1182764.9803330612</v>
          </cell>
        </row>
        <row r="52">
          <cell r="J52">
            <v>2743941.1371104051</v>
          </cell>
        </row>
        <row r="53">
          <cell r="J53">
            <v>1030133.9063092957</v>
          </cell>
        </row>
        <row r="54">
          <cell r="J54">
            <v>0</v>
          </cell>
        </row>
        <row r="55">
          <cell r="J55">
            <v>237823.79371068976</v>
          </cell>
          <cell r="L55">
            <v>2</v>
          </cell>
        </row>
        <row r="56">
          <cell r="J56">
            <v>449890.27963003801</v>
          </cell>
        </row>
        <row r="57">
          <cell r="J57">
            <v>201896.54594079489</v>
          </cell>
        </row>
        <row r="58">
          <cell r="J58">
            <v>59595.669906477466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171532.62817612645</v>
          </cell>
          <cell r="L61">
            <v>1</v>
          </cell>
        </row>
        <row r="62">
          <cell r="J62">
            <v>27036.058789873507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  <cell r="L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952237.06746634038</v>
          </cell>
          <cell r="L73">
            <v>10</v>
          </cell>
        </row>
        <row r="74">
          <cell r="J74">
            <v>1827774.6796347289</v>
          </cell>
        </row>
        <row r="75">
          <cell r="J75">
            <v>1364375.8495009863</v>
          </cell>
        </row>
        <row r="76">
          <cell r="J76">
            <v>4116253.0789308902</v>
          </cell>
        </row>
        <row r="77">
          <cell r="J77">
            <v>1831129.0067156893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</sheetData>
      <sheetData sheetId="3">
        <row r="7">
          <cell r="AJ7" t="str">
            <v xml:space="preserve">Residental Bill Discount Program </v>
          </cell>
        </row>
        <row r="13">
          <cell r="P13">
            <v>0.14388999999999999</v>
          </cell>
          <cell r="S13">
            <v>-1.7799999999999999E-3</v>
          </cell>
          <cell r="V13">
            <v>0</v>
          </cell>
          <cell r="Y13">
            <v>2.0049999999999998E-2</v>
          </cell>
          <cell r="AB13">
            <v>3.2299999999999998E-3</v>
          </cell>
          <cell r="AE13">
            <v>-2.3000000000000001E-4</v>
          </cell>
          <cell r="AH13">
            <v>1.8579999999999999E-2</v>
          </cell>
          <cell r="AK13">
            <v>3.7949999999999998E-2</v>
          </cell>
          <cell r="AN13">
            <v>2.4000000000000001E-4</v>
          </cell>
        </row>
        <row r="14">
          <cell r="P14">
            <v>9.6509999999999999E-2</v>
          </cell>
          <cell r="S14">
            <v>-1.17E-3</v>
          </cell>
          <cell r="V14">
            <v>0</v>
          </cell>
          <cell r="Y14">
            <v>1.345E-2</v>
          </cell>
          <cell r="AB14">
            <v>2.1800000000000001E-3</v>
          </cell>
          <cell r="AE14">
            <v>-1.6000000000000001E-4</v>
          </cell>
          <cell r="AH14">
            <v>1.244E-2</v>
          </cell>
          <cell r="AK14">
            <v>3.2939999999999997E-2</v>
          </cell>
          <cell r="AN14">
            <v>1.6000000000000001E-4</v>
          </cell>
        </row>
        <row r="15">
          <cell r="P15">
            <v>6.6089999999999996E-2</v>
          </cell>
          <cell r="S15">
            <v>-8.1999999999999998E-4</v>
          </cell>
          <cell r="V15">
            <v>0</v>
          </cell>
          <cell r="Y15">
            <v>9.2099999999999994E-3</v>
          </cell>
          <cell r="AB15">
            <v>1.48E-3</v>
          </cell>
          <cell r="AE15">
            <v>-1.1E-4</v>
          </cell>
          <cell r="AH15">
            <v>8.5299999999999994E-3</v>
          </cell>
          <cell r="AK15">
            <v>2.188E-2</v>
          </cell>
          <cell r="AN15">
            <v>1.1E-4</v>
          </cell>
        </row>
        <row r="16">
          <cell r="P16">
            <v>5.8250000000000003E-2</v>
          </cell>
          <cell r="S16">
            <v>-7.2000000000000005E-4</v>
          </cell>
          <cell r="V16">
            <v>0</v>
          </cell>
          <cell r="Y16">
            <v>8.1200000000000005E-3</v>
          </cell>
          <cell r="AB16">
            <v>1.31E-3</v>
          </cell>
          <cell r="AE16">
            <v>-1E-4</v>
          </cell>
          <cell r="AH16">
            <v>7.5199999999999998E-3</v>
          </cell>
          <cell r="AK16">
            <v>1.9439999999999999E-2</v>
          </cell>
          <cell r="AN16">
            <v>1E-4</v>
          </cell>
        </row>
        <row r="17">
          <cell r="P17">
            <v>0</v>
          </cell>
          <cell r="S17">
            <v>0</v>
          </cell>
          <cell r="V17">
            <v>0</v>
          </cell>
          <cell r="Y17">
            <v>7.5100000000000002E-3</v>
          </cell>
          <cell r="AB17">
            <v>1.2099999999999999E-3</v>
          </cell>
          <cell r="AE17">
            <v>-9.0000000000000006E-5</v>
          </cell>
          <cell r="AH17">
            <v>6.9499999999999996E-3</v>
          </cell>
          <cell r="AK17">
            <v>1.7850000000000001E-2</v>
          </cell>
          <cell r="AN17">
            <v>9.0000000000000006E-5</v>
          </cell>
        </row>
        <row r="18">
          <cell r="P18">
            <v>0.14729</v>
          </cell>
          <cell r="S18">
            <v>-1.8400000000000001E-3</v>
          </cell>
          <cell r="V18">
            <v>0</v>
          </cell>
          <cell r="Y18">
            <v>2.053E-2</v>
          </cell>
          <cell r="AB18">
            <v>3.3E-3</v>
          </cell>
          <cell r="AE18">
            <v>-2.3000000000000001E-4</v>
          </cell>
          <cell r="AH18">
            <v>1.9009999999999999E-2</v>
          </cell>
          <cell r="AK18">
            <v>3.1620000000000002E-2</v>
          </cell>
          <cell r="AN18">
            <v>2.5999999999999998E-4</v>
          </cell>
        </row>
        <row r="19">
          <cell r="P19">
            <v>4.6289999999999998E-2</v>
          </cell>
          <cell r="S19">
            <v>-5.6999999999999998E-4</v>
          </cell>
          <cell r="V19">
            <v>0</v>
          </cell>
          <cell r="Y19">
            <v>6.45E-3</v>
          </cell>
          <cell r="AB19">
            <v>1.0399999999999999E-3</v>
          </cell>
          <cell r="AE19">
            <v>-8.0000000000000007E-5</v>
          </cell>
          <cell r="AH19">
            <v>5.9800000000000001E-3</v>
          </cell>
          <cell r="AK19">
            <v>1.5630000000000002E-2</v>
          </cell>
          <cell r="AN19">
            <v>8.0000000000000007E-5</v>
          </cell>
        </row>
        <row r="20">
          <cell r="P20">
            <v>4.079E-2</v>
          </cell>
          <cell r="S20">
            <v>-5.1000000000000004E-4</v>
          </cell>
          <cell r="V20">
            <v>0</v>
          </cell>
          <cell r="Y20">
            <v>5.6800000000000002E-3</v>
          </cell>
          <cell r="AB20">
            <v>9.2000000000000003E-4</v>
          </cell>
          <cell r="AE20">
            <v>-6.9999999999999994E-5</v>
          </cell>
          <cell r="AH20">
            <v>5.2700000000000004E-3</v>
          </cell>
          <cell r="AK20">
            <v>1.3769999999999999E-2</v>
          </cell>
          <cell r="AN20">
            <v>6.9999999999999994E-5</v>
          </cell>
        </row>
        <row r="21">
          <cell r="P21">
            <v>0</v>
          </cell>
          <cell r="S21">
            <v>0</v>
          </cell>
          <cell r="V21">
            <v>0</v>
          </cell>
          <cell r="Y21">
            <v>5.8500000000000002E-3</v>
          </cell>
          <cell r="AB21">
            <v>9.3999999999999997E-4</v>
          </cell>
          <cell r="AE21">
            <v>-6.9999999999999994E-5</v>
          </cell>
          <cell r="AH21">
            <v>5.4200000000000003E-3</v>
          </cell>
          <cell r="AK21">
            <v>1.34E-2</v>
          </cell>
          <cell r="AN21">
            <v>6.9999999999999994E-5</v>
          </cell>
        </row>
        <row r="22">
          <cell r="P22">
            <v>0</v>
          </cell>
          <cell r="S22">
            <v>0</v>
          </cell>
          <cell r="V22">
            <v>0</v>
          </cell>
          <cell r="Y22">
            <v>5.1500000000000001E-3</v>
          </cell>
          <cell r="AB22">
            <v>8.3000000000000001E-4</v>
          </cell>
          <cell r="AE22">
            <v>-6.0000000000000002E-5</v>
          </cell>
          <cell r="AH22">
            <v>4.7800000000000004E-3</v>
          </cell>
          <cell r="AK22">
            <v>1.1809999999999999E-2</v>
          </cell>
          <cell r="AN22">
            <v>6.0000000000000002E-5</v>
          </cell>
        </row>
        <row r="23">
          <cell r="P23">
            <v>4.233E-2</v>
          </cell>
          <cell r="S23">
            <v>-5.1999999999999995E-4</v>
          </cell>
          <cell r="V23">
            <v>0</v>
          </cell>
          <cell r="Y23">
            <v>6.0000000000000001E-3</v>
          </cell>
          <cell r="AB23">
            <v>9.7000000000000005E-4</v>
          </cell>
          <cell r="AE23">
            <v>-6.9999999999999994E-5</v>
          </cell>
          <cell r="AH23">
            <v>5.7800000000000004E-3</v>
          </cell>
          <cell r="AK23">
            <v>1.4829999999999999E-2</v>
          </cell>
          <cell r="AN23">
            <v>6.9999999999999994E-5</v>
          </cell>
        </row>
        <row r="24">
          <cell r="P24">
            <v>3.7289999999999997E-2</v>
          </cell>
          <cell r="S24">
            <v>-4.6000000000000001E-4</v>
          </cell>
          <cell r="V24">
            <v>0</v>
          </cell>
          <cell r="Y24">
            <v>5.28E-3</v>
          </cell>
          <cell r="AB24">
            <v>8.4999999999999995E-4</v>
          </cell>
          <cell r="AE24">
            <v>-6.0000000000000002E-5</v>
          </cell>
          <cell r="AH24">
            <v>5.0899999999999999E-3</v>
          </cell>
          <cell r="AK24">
            <v>1.307E-2</v>
          </cell>
          <cell r="AN24">
            <v>6.0000000000000002E-5</v>
          </cell>
        </row>
        <row r="25">
          <cell r="P25">
            <v>0</v>
          </cell>
          <cell r="S25">
            <v>0</v>
          </cell>
          <cell r="V25">
            <v>0</v>
          </cell>
          <cell r="Y25">
            <v>5.6699999999999997E-3</v>
          </cell>
          <cell r="AB25">
            <v>9.1E-4</v>
          </cell>
          <cell r="AE25">
            <v>-6.9999999999999994E-5</v>
          </cell>
          <cell r="AH25">
            <v>5.47E-3</v>
          </cell>
          <cell r="AK25">
            <v>1.4030000000000001E-2</v>
          </cell>
          <cell r="AN25">
            <v>6.9999999999999994E-5</v>
          </cell>
        </row>
        <row r="26">
          <cell r="P26">
            <v>0</v>
          </cell>
          <cell r="S26">
            <v>0</v>
          </cell>
          <cell r="V26">
            <v>0</v>
          </cell>
          <cell r="Y26">
            <v>5.0000000000000001E-3</v>
          </cell>
          <cell r="AB26">
            <v>8.0999999999999996E-4</v>
          </cell>
          <cell r="AE26">
            <v>-6.0000000000000002E-5</v>
          </cell>
          <cell r="AH26">
            <v>4.8199999999999996E-3</v>
          </cell>
          <cell r="AK26">
            <v>1.2359999999999999E-2</v>
          </cell>
          <cell r="AN26">
            <v>6.0000000000000002E-5</v>
          </cell>
        </row>
        <row r="27"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-8.0000000000000007E-5</v>
          </cell>
          <cell r="AH27">
            <v>6.1599999999999997E-3</v>
          </cell>
          <cell r="AK27">
            <v>1.5440000000000001E-2</v>
          </cell>
          <cell r="AN27">
            <v>0</v>
          </cell>
        </row>
        <row r="28"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-6.9999999999999994E-5</v>
          </cell>
          <cell r="AH28">
            <v>5.4299999999999999E-3</v>
          </cell>
          <cell r="AK28">
            <v>1.3599999999999999E-2</v>
          </cell>
          <cell r="AN28">
            <v>0</v>
          </cell>
        </row>
        <row r="29">
          <cell r="P29">
            <v>0</v>
          </cell>
          <cell r="S29">
            <v>0</v>
          </cell>
          <cell r="V29">
            <v>0</v>
          </cell>
          <cell r="Y29">
            <v>0</v>
          </cell>
          <cell r="AB29">
            <v>0</v>
          </cell>
          <cell r="AE29">
            <v>-6.9999999999999994E-5</v>
          </cell>
          <cell r="AH29">
            <v>5.5300000000000002E-3</v>
          </cell>
          <cell r="AK29">
            <v>1.418E-2</v>
          </cell>
          <cell r="AN29">
            <v>0</v>
          </cell>
        </row>
        <row r="30">
          <cell r="P30">
            <v>0</v>
          </cell>
          <cell r="S30">
            <v>0</v>
          </cell>
          <cell r="V30">
            <v>0</v>
          </cell>
          <cell r="Y30">
            <v>0</v>
          </cell>
          <cell r="AB30">
            <v>0</v>
          </cell>
          <cell r="AE30">
            <v>-6.0000000000000002E-5</v>
          </cell>
          <cell r="AH30">
            <v>4.8700000000000002E-3</v>
          </cell>
          <cell r="AK30">
            <v>1.2500000000000001E-2</v>
          </cell>
          <cell r="AN30">
            <v>0</v>
          </cell>
        </row>
        <row r="31">
          <cell r="P31">
            <v>2.5569999999999999E-2</v>
          </cell>
          <cell r="S31">
            <v>-3.2000000000000003E-4</v>
          </cell>
          <cell r="V31">
            <v>0</v>
          </cell>
          <cell r="Y31">
            <v>3.5599999999999998E-3</v>
          </cell>
          <cell r="AB31">
            <v>5.6999999999999998E-4</v>
          </cell>
          <cell r="AE31">
            <v>-4.0000000000000003E-5</v>
          </cell>
          <cell r="AH31">
            <v>3.3999999999999998E-3</v>
          </cell>
          <cell r="AK31">
            <v>8.6899999999999998E-3</v>
          </cell>
          <cell r="AN31">
            <v>4.0000000000000003E-5</v>
          </cell>
        </row>
        <row r="32">
          <cell r="P32">
            <v>2.2880000000000001E-2</v>
          </cell>
          <cell r="S32">
            <v>-2.7999999999999998E-4</v>
          </cell>
          <cell r="V32">
            <v>0</v>
          </cell>
          <cell r="Y32">
            <v>3.1900000000000001E-3</v>
          </cell>
          <cell r="AB32">
            <v>5.1000000000000004E-4</v>
          </cell>
          <cell r="AE32">
            <v>-4.0000000000000003E-5</v>
          </cell>
          <cell r="AH32">
            <v>3.0400000000000002E-3</v>
          </cell>
          <cell r="AK32">
            <v>7.7799999999999996E-3</v>
          </cell>
          <cell r="AN32">
            <v>4.0000000000000003E-5</v>
          </cell>
        </row>
        <row r="33">
          <cell r="P33">
            <v>1.755E-2</v>
          </cell>
          <cell r="S33">
            <v>-2.2000000000000001E-4</v>
          </cell>
          <cell r="V33">
            <v>0</v>
          </cell>
          <cell r="Y33">
            <v>2.4499999999999999E-3</v>
          </cell>
          <cell r="AB33">
            <v>3.8999999999999999E-4</v>
          </cell>
          <cell r="AE33">
            <v>-3.0000000000000001E-5</v>
          </cell>
          <cell r="AH33">
            <v>2.33E-3</v>
          </cell>
          <cell r="AK33">
            <v>5.9699999999999996E-3</v>
          </cell>
          <cell r="AN33">
            <v>3.0000000000000001E-5</v>
          </cell>
        </row>
        <row r="34">
          <cell r="P34">
            <v>1.404E-2</v>
          </cell>
          <cell r="S34">
            <v>-1.7000000000000001E-4</v>
          </cell>
          <cell r="V34">
            <v>0</v>
          </cell>
          <cell r="Y34">
            <v>1.9599999999999999E-3</v>
          </cell>
          <cell r="AB34">
            <v>3.2000000000000003E-4</v>
          </cell>
          <cell r="AE34">
            <v>-2.0000000000000002E-5</v>
          </cell>
          <cell r="AH34">
            <v>1.8699999999999999E-3</v>
          </cell>
          <cell r="AK34">
            <v>4.7699999999999999E-3</v>
          </cell>
          <cell r="AN34">
            <v>2.0000000000000002E-5</v>
          </cell>
        </row>
        <row r="35">
          <cell r="P35">
            <v>9.3600000000000003E-3</v>
          </cell>
          <cell r="S35">
            <v>-1.2E-4</v>
          </cell>
          <cell r="V35">
            <v>0</v>
          </cell>
          <cell r="Y35">
            <v>1.2999999999999999E-3</v>
          </cell>
          <cell r="AB35">
            <v>2.1000000000000001E-4</v>
          </cell>
          <cell r="AE35">
            <v>-2.0000000000000002E-5</v>
          </cell>
          <cell r="AH35">
            <v>1.24E-3</v>
          </cell>
          <cell r="AK35">
            <v>3.1800000000000001E-3</v>
          </cell>
          <cell r="AN35">
            <v>2.0000000000000002E-5</v>
          </cell>
        </row>
        <row r="36">
          <cell r="P36">
            <v>3.5100000000000001E-3</v>
          </cell>
          <cell r="S36">
            <v>-4.0000000000000003E-5</v>
          </cell>
          <cell r="V36">
            <v>0</v>
          </cell>
          <cell r="Y36">
            <v>4.8999999999999998E-4</v>
          </cell>
          <cell r="AB36">
            <v>8.0000000000000007E-5</v>
          </cell>
          <cell r="AE36">
            <v>-1.0000000000000001E-5</v>
          </cell>
          <cell r="AH36">
            <v>4.6999999999999999E-4</v>
          </cell>
          <cell r="AK36">
            <v>1.1900000000000001E-3</v>
          </cell>
          <cell r="AN36">
            <v>1.0000000000000001E-5</v>
          </cell>
        </row>
        <row r="37">
          <cell r="P37">
            <v>0</v>
          </cell>
          <cell r="S37">
            <v>0</v>
          </cell>
          <cell r="V37">
            <v>0</v>
          </cell>
          <cell r="Y37">
            <v>3.7499999999999999E-3</v>
          </cell>
          <cell r="AB37">
            <v>5.9999999999999995E-4</v>
          </cell>
          <cell r="AE37">
            <v>-4.0000000000000003E-5</v>
          </cell>
          <cell r="AH37">
            <v>3.47E-3</v>
          </cell>
          <cell r="AK37">
            <v>8.43E-3</v>
          </cell>
          <cell r="AN37">
            <v>5.0000000000000002E-5</v>
          </cell>
        </row>
        <row r="38">
          <cell r="P38">
            <v>0</v>
          </cell>
          <cell r="S38">
            <v>0</v>
          </cell>
          <cell r="V38">
            <v>0</v>
          </cell>
          <cell r="Y38">
            <v>3.3600000000000001E-3</v>
          </cell>
          <cell r="AB38">
            <v>5.4000000000000001E-4</v>
          </cell>
          <cell r="AE38">
            <v>-4.0000000000000003E-5</v>
          </cell>
          <cell r="AH38">
            <v>3.1099999999999999E-3</v>
          </cell>
          <cell r="AK38">
            <v>7.5399999999999998E-3</v>
          </cell>
          <cell r="AN38">
            <v>4.0000000000000003E-5</v>
          </cell>
        </row>
        <row r="39">
          <cell r="P39">
            <v>0</v>
          </cell>
          <cell r="S39">
            <v>0</v>
          </cell>
          <cell r="V39">
            <v>0</v>
          </cell>
          <cell r="Y39">
            <v>2.5699999999999998E-3</v>
          </cell>
          <cell r="AB39">
            <v>4.0999999999999999E-4</v>
          </cell>
          <cell r="AE39">
            <v>-3.0000000000000001E-5</v>
          </cell>
          <cell r="AH39">
            <v>2.3800000000000002E-3</v>
          </cell>
          <cell r="AK39">
            <v>5.7800000000000004E-3</v>
          </cell>
          <cell r="AN39">
            <v>3.0000000000000001E-5</v>
          </cell>
        </row>
        <row r="40">
          <cell r="P40">
            <v>0</v>
          </cell>
          <cell r="S40">
            <v>0</v>
          </cell>
          <cell r="V40">
            <v>0</v>
          </cell>
          <cell r="Y40">
            <v>2.0600000000000002E-3</v>
          </cell>
          <cell r="AB40">
            <v>3.3E-4</v>
          </cell>
          <cell r="AE40">
            <v>-2.0000000000000002E-5</v>
          </cell>
          <cell r="AH40">
            <v>1.91E-3</v>
          </cell>
          <cell r="AK40">
            <v>4.6299999999999996E-3</v>
          </cell>
          <cell r="AN40">
            <v>2.0000000000000002E-5</v>
          </cell>
        </row>
        <row r="41">
          <cell r="P41">
            <v>0</v>
          </cell>
          <cell r="S41">
            <v>0</v>
          </cell>
          <cell r="V41">
            <v>0</v>
          </cell>
          <cell r="Y41">
            <v>1.3699999999999999E-3</v>
          </cell>
          <cell r="AB41">
            <v>2.2000000000000001E-4</v>
          </cell>
          <cell r="AE41">
            <v>-2.0000000000000002E-5</v>
          </cell>
          <cell r="AH41">
            <v>1.2700000000000001E-3</v>
          </cell>
          <cell r="AK41">
            <v>3.0899999999999999E-3</v>
          </cell>
          <cell r="AN41">
            <v>2.0000000000000002E-5</v>
          </cell>
        </row>
        <row r="42">
          <cell r="P42">
            <v>0</v>
          </cell>
          <cell r="S42">
            <v>0</v>
          </cell>
          <cell r="V42">
            <v>0</v>
          </cell>
          <cell r="Y42">
            <v>5.1000000000000004E-4</v>
          </cell>
          <cell r="AB42">
            <v>8.0000000000000007E-5</v>
          </cell>
          <cell r="AE42">
            <v>-1.0000000000000001E-5</v>
          </cell>
          <cell r="AH42">
            <v>4.8000000000000001E-4</v>
          </cell>
          <cell r="AK42">
            <v>1.16E-3</v>
          </cell>
          <cell r="AN42">
            <v>1.0000000000000001E-5</v>
          </cell>
        </row>
        <row r="43">
          <cell r="P43">
            <v>0</v>
          </cell>
          <cell r="S43">
            <v>0</v>
          </cell>
          <cell r="V43">
            <v>0</v>
          </cell>
          <cell r="Y43">
            <v>0</v>
          </cell>
          <cell r="AB43">
            <v>0</v>
          </cell>
          <cell r="AE43">
            <v>-3.0000000000000001E-5</v>
          </cell>
          <cell r="AH43">
            <v>2.1900000000000001E-3</v>
          </cell>
          <cell r="AK43">
            <v>5.2399999999999999E-3</v>
          </cell>
          <cell r="AN43">
            <v>0</v>
          </cell>
        </row>
        <row r="44">
          <cell r="P44">
            <v>0</v>
          </cell>
          <cell r="S44">
            <v>0</v>
          </cell>
          <cell r="V44">
            <v>0</v>
          </cell>
          <cell r="Y44">
            <v>0</v>
          </cell>
          <cell r="AB44">
            <v>0</v>
          </cell>
          <cell r="AE44">
            <v>-2.0000000000000002E-5</v>
          </cell>
          <cell r="AH44">
            <v>1.9599999999999999E-3</v>
          </cell>
          <cell r="AK44">
            <v>4.6899999999999997E-3</v>
          </cell>
          <cell r="AN44">
            <v>0</v>
          </cell>
        </row>
        <row r="45">
          <cell r="P45">
            <v>0</v>
          </cell>
          <cell r="S45">
            <v>0</v>
          </cell>
          <cell r="V45">
            <v>0</v>
          </cell>
          <cell r="Y45">
            <v>0</v>
          </cell>
          <cell r="AB45">
            <v>0</v>
          </cell>
          <cell r="AE45">
            <v>-2.0000000000000002E-5</v>
          </cell>
          <cell r="AH45">
            <v>1.5E-3</v>
          </cell>
          <cell r="AK45">
            <v>3.5999999999999999E-3</v>
          </cell>
          <cell r="AN45">
            <v>0</v>
          </cell>
        </row>
        <row r="46">
          <cell r="P46">
            <v>0</v>
          </cell>
          <cell r="S46">
            <v>0</v>
          </cell>
          <cell r="V46">
            <v>0</v>
          </cell>
          <cell r="Y46">
            <v>0</v>
          </cell>
          <cell r="AB46">
            <v>0</v>
          </cell>
          <cell r="AE46">
            <v>-2.0000000000000002E-5</v>
          </cell>
          <cell r="AH46">
            <v>1.1999999999999999E-3</v>
          </cell>
          <cell r="AK46">
            <v>2.8800000000000002E-3</v>
          </cell>
          <cell r="AN46">
            <v>0</v>
          </cell>
        </row>
        <row r="47">
          <cell r="P47">
            <v>0</v>
          </cell>
          <cell r="S47">
            <v>0</v>
          </cell>
          <cell r="V47">
            <v>0</v>
          </cell>
          <cell r="Y47">
            <v>0</v>
          </cell>
          <cell r="AB47">
            <v>0</v>
          </cell>
          <cell r="AE47">
            <v>-1.0000000000000001E-5</v>
          </cell>
          <cell r="AH47">
            <v>8.0000000000000004E-4</v>
          </cell>
          <cell r="AK47">
            <v>1.92E-3</v>
          </cell>
          <cell r="AN47">
            <v>0</v>
          </cell>
        </row>
        <row r="48">
          <cell r="P48">
            <v>0</v>
          </cell>
          <cell r="S48">
            <v>0</v>
          </cell>
          <cell r="V48">
            <v>0</v>
          </cell>
          <cell r="Y48">
            <v>0</v>
          </cell>
          <cell r="AB48">
            <v>0</v>
          </cell>
          <cell r="AE48">
            <v>0</v>
          </cell>
          <cell r="AH48">
            <v>2.9999999999999997E-4</v>
          </cell>
          <cell r="AK48">
            <v>7.2000000000000005E-4</v>
          </cell>
          <cell r="AN48">
            <v>0</v>
          </cell>
        </row>
        <row r="49">
          <cell r="P49">
            <v>0</v>
          </cell>
          <cell r="S49">
            <v>0</v>
          </cell>
          <cell r="V49">
            <v>0</v>
          </cell>
          <cell r="Y49">
            <v>0</v>
          </cell>
          <cell r="AB49">
            <v>0</v>
          </cell>
          <cell r="AE49">
            <v>-3.0000000000000001E-5</v>
          </cell>
          <cell r="AH49">
            <v>2.31E-3</v>
          </cell>
          <cell r="AK49">
            <v>5.5900000000000004E-3</v>
          </cell>
          <cell r="AN49">
            <v>0</v>
          </cell>
        </row>
        <row r="50">
          <cell r="P50">
            <v>0</v>
          </cell>
          <cell r="S50">
            <v>0</v>
          </cell>
          <cell r="V50">
            <v>0</v>
          </cell>
          <cell r="Y50">
            <v>0</v>
          </cell>
          <cell r="AB50">
            <v>0</v>
          </cell>
          <cell r="AE50">
            <v>-3.0000000000000001E-5</v>
          </cell>
          <cell r="AH50">
            <v>2.0699999999999998E-3</v>
          </cell>
          <cell r="AK50">
            <v>5.0099999999999997E-3</v>
          </cell>
          <cell r="AN50">
            <v>0</v>
          </cell>
        </row>
        <row r="51">
          <cell r="P51">
            <v>0</v>
          </cell>
          <cell r="S51">
            <v>0</v>
          </cell>
          <cell r="V51">
            <v>0</v>
          </cell>
          <cell r="Y51">
            <v>0</v>
          </cell>
          <cell r="AB51">
            <v>0</v>
          </cell>
          <cell r="AE51">
            <v>-2.0000000000000002E-5</v>
          </cell>
          <cell r="AH51">
            <v>1.5900000000000001E-3</v>
          </cell>
          <cell r="AK51">
            <v>3.8400000000000001E-3</v>
          </cell>
          <cell r="AN51">
            <v>0</v>
          </cell>
        </row>
        <row r="52">
          <cell r="P52">
            <v>0</v>
          </cell>
          <cell r="S52">
            <v>0</v>
          </cell>
          <cell r="V52">
            <v>0</v>
          </cell>
          <cell r="Y52">
            <v>0</v>
          </cell>
          <cell r="AB52">
            <v>0</v>
          </cell>
          <cell r="AE52">
            <v>-2.0000000000000002E-5</v>
          </cell>
          <cell r="AH52">
            <v>1.2700000000000001E-3</v>
          </cell>
          <cell r="AK52">
            <v>3.0699999999999998E-3</v>
          </cell>
          <cell r="AN52">
            <v>0</v>
          </cell>
        </row>
        <row r="53">
          <cell r="P53">
            <v>0</v>
          </cell>
          <cell r="S53">
            <v>0</v>
          </cell>
          <cell r="V53">
            <v>0</v>
          </cell>
          <cell r="Y53">
            <v>0</v>
          </cell>
          <cell r="AB53">
            <v>0</v>
          </cell>
          <cell r="AE53">
            <v>-1.0000000000000001E-5</v>
          </cell>
          <cell r="AH53">
            <v>8.4999999999999995E-4</v>
          </cell>
          <cell r="AK53">
            <v>2.0500000000000002E-3</v>
          </cell>
          <cell r="AN53">
            <v>0</v>
          </cell>
        </row>
        <row r="54">
          <cell r="P54">
            <v>0</v>
          </cell>
          <cell r="S54">
            <v>0</v>
          </cell>
          <cell r="V54">
            <v>0</v>
          </cell>
          <cell r="Y54">
            <v>0</v>
          </cell>
          <cell r="AB54">
            <v>0</v>
          </cell>
          <cell r="AE54">
            <v>0</v>
          </cell>
          <cell r="AH54">
            <v>3.2000000000000003E-4</v>
          </cell>
          <cell r="AK54">
            <v>7.6999999999999996E-4</v>
          </cell>
          <cell r="AN54">
            <v>0</v>
          </cell>
        </row>
        <row r="55">
          <cell r="P55">
            <v>1.9529999999999999E-2</v>
          </cell>
          <cell r="S55">
            <v>-2.4000000000000001E-4</v>
          </cell>
          <cell r="V55">
            <v>0</v>
          </cell>
          <cell r="Y55">
            <v>2.7200000000000002E-3</v>
          </cell>
          <cell r="AB55">
            <v>4.4000000000000002E-4</v>
          </cell>
          <cell r="AE55">
            <v>-3.0000000000000001E-5</v>
          </cell>
          <cell r="AH55">
            <v>2.5200000000000001E-3</v>
          </cell>
          <cell r="AK55">
            <v>6.4200000000000004E-3</v>
          </cell>
          <cell r="AN55">
            <v>3.0000000000000001E-5</v>
          </cell>
        </row>
        <row r="56">
          <cell r="P56">
            <v>1.7479999999999999E-2</v>
          </cell>
          <cell r="S56">
            <v>-2.2000000000000001E-4</v>
          </cell>
          <cell r="V56">
            <v>0</v>
          </cell>
          <cell r="Y56">
            <v>2.4399999999999999E-3</v>
          </cell>
          <cell r="AB56">
            <v>3.8999999999999999E-4</v>
          </cell>
          <cell r="AE56">
            <v>-3.0000000000000001E-5</v>
          </cell>
          <cell r="AH56">
            <v>2.2599999999999999E-3</v>
          </cell>
          <cell r="AK56">
            <v>5.7499999999999999E-3</v>
          </cell>
          <cell r="AN56">
            <v>3.0000000000000001E-5</v>
          </cell>
        </row>
        <row r="57">
          <cell r="P57">
            <v>1.34E-2</v>
          </cell>
          <cell r="S57">
            <v>-1.7000000000000001E-4</v>
          </cell>
          <cell r="V57">
            <v>0</v>
          </cell>
          <cell r="Y57">
            <v>1.8699999999999999E-3</v>
          </cell>
          <cell r="AB57">
            <v>2.9999999999999997E-4</v>
          </cell>
          <cell r="AE57">
            <v>-2.0000000000000002E-5</v>
          </cell>
          <cell r="AH57">
            <v>1.73E-3</v>
          </cell>
          <cell r="AK57">
            <v>4.4099999999999999E-3</v>
          </cell>
          <cell r="AN57">
            <v>2.0000000000000002E-5</v>
          </cell>
        </row>
        <row r="58">
          <cell r="P58">
            <v>1.072E-2</v>
          </cell>
          <cell r="S58">
            <v>-1.2999999999999999E-4</v>
          </cell>
          <cell r="V58">
            <v>0</v>
          </cell>
          <cell r="Y58">
            <v>1.49E-3</v>
          </cell>
          <cell r="AB58">
            <v>2.4000000000000001E-4</v>
          </cell>
          <cell r="AE58">
            <v>-2.0000000000000002E-5</v>
          </cell>
          <cell r="AH58">
            <v>1.3799999999999999E-3</v>
          </cell>
          <cell r="AK58">
            <v>3.5300000000000002E-3</v>
          </cell>
          <cell r="AN58">
            <v>2.0000000000000002E-5</v>
          </cell>
        </row>
        <row r="59">
          <cell r="P59">
            <v>7.1500000000000001E-3</v>
          </cell>
          <cell r="S59">
            <v>-9.0000000000000006E-5</v>
          </cell>
          <cell r="V59">
            <v>0</v>
          </cell>
          <cell r="Y59">
            <v>1E-3</v>
          </cell>
          <cell r="AB59">
            <v>1.6000000000000001E-4</v>
          </cell>
          <cell r="AE59">
            <v>-1.0000000000000001E-5</v>
          </cell>
          <cell r="AH59">
            <v>9.2000000000000003E-4</v>
          </cell>
          <cell r="AK59">
            <v>2.3500000000000001E-3</v>
          </cell>
          <cell r="AN59">
            <v>1.0000000000000001E-5</v>
          </cell>
        </row>
        <row r="60">
          <cell r="P60">
            <v>2.6800000000000001E-3</v>
          </cell>
          <cell r="S60">
            <v>-3.0000000000000001E-5</v>
          </cell>
          <cell r="V60">
            <v>0</v>
          </cell>
          <cell r="Y60">
            <v>3.6999999999999999E-4</v>
          </cell>
          <cell r="AB60">
            <v>6.0000000000000002E-5</v>
          </cell>
          <cell r="AE60">
            <v>0</v>
          </cell>
          <cell r="AH60">
            <v>3.5E-4</v>
          </cell>
          <cell r="AK60">
            <v>8.8000000000000003E-4</v>
          </cell>
          <cell r="AN60">
            <v>0</v>
          </cell>
        </row>
        <row r="61">
          <cell r="P61">
            <v>0</v>
          </cell>
          <cell r="S61">
            <v>0</v>
          </cell>
          <cell r="V61">
            <v>0</v>
          </cell>
          <cell r="Y61">
            <v>3.1900000000000001E-3</v>
          </cell>
          <cell r="AB61">
            <v>5.1999999999999995E-4</v>
          </cell>
          <cell r="AE61">
            <v>-4.0000000000000003E-5</v>
          </cell>
          <cell r="AH61">
            <v>2.96E-3</v>
          </cell>
          <cell r="AK61">
            <v>7.6400000000000001E-3</v>
          </cell>
          <cell r="AN61">
            <v>4.0000000000000003E-5</v>
          </cell>
        </row>
        <row r="62">
          <cell r="P62">
            <v>0</v>
          </cell>
          <cell r="S62">
            <v>0</v>
          </cell>
          <cell r="V62">
            <v>0</v>
          </cell>
          <cell r="Y62">
            <v>2.8600000000000001E-3</v>
          </cell>
          <cell r="AB62">
            <v>4.6000000000000001E-4</v>
          </cell>
          <cell r="AE62">
            <v>-3.0000000000000001E-5</v>
          </cell>
          <cell r="AH62">
            <v>2.65E-3</v>
          </cell>
          <cell r="AK62">
            <v>6.8300000000000001E-3</v>
          </cell>
          <cell r="AN62">
            <v>4.0000000000000003E-5</v>
          </cell>
        </row>
        <row r="63">
          <cell r="P63">
            <v>0</v>
          </cell>
          <cell r="S63">
            <v>0</v>
          </cell>
          <cell r="V63">
            <v>0</v>
          </cell>
          <cell r="Y63">
            <v>2.1900000000000001E-3</v>
          </cell>
          <cell r="AB63">
            <v>3.5E-4</v>
          </cell>
          <cell r="AE63">
            <v>-2.0000000000000002E-5</v>
          </cell>
          <cell r="AH63">
            <v>2.0300000000000001E-3</v>
          </cell>
          <cell r="AK63">
            <v>5.2399999999999999E-3</v>
          </cell>
          <cell r="AN63">
            <v>3.0000000000000001E-5</v>
          </cell>
        </row>
        <row r="64">
          <cell r="P64">
            <v>0</v>
          </cell>
          <cell r="S64">
            <v>0</v>
          </cell>
          <cell r="V64">
            <v>0</v>
          </cell>
          <cell r="Y64">
            <v>1.75E-3</v>
          </cell>
          <cell r="AB64">
            <v>2.7999999999999998E-4</v>
          </cell>
          <cell r="AE64">
            <v>-2.0000000000000002E-5</v>
          </cell>
          <cell r="AH64">
            <v>1.6299999999999999E-3</v>
          </cell>
          <cell r="AK64">
            <v>4.1900000000000001E-3</v>
          </cell>
          <cell r="AN64">
            <v>2.0000000000000002E-5</v>
          </cell>
        </row>
        <row r="65">
          <cell r="P65">
            <v>0</v>
          </cell>
          <cell r="S65">
            <v>0</v>
          </cell>
          <cell r="V65">
            <v>0</v>
          </cell>
          <cell r="Y65">
            <v>1.17E-3</v>
          </cell>
          <cell r="AB65">
            <v>1.9000000000000001E-4</v>
          </cell>
          <cell r="AE65">
            <v>-1.0000000000000001E-5</v>
          </cell>
          <cell r="AH65">
            <v>1.08E-3</v>
          </cell>
          <cell r="AK65">
            <v>2.7899999999999999E-3</v>
          </cell>
          <cell r="AN65">
            <v>1.0000000000000001E-5</v>
          </cell>
        </row>
        <row r="66">
          <cell r="P66">
            <v>0</v>
          </cell>
          <cell r="S66">
            <v>0</v>
          </cell>
          <cell r="V66">
            <v>0</v>
          </cell>
          <cell r="Y66">
            <v>4.4000000000000002E-4</v>
          </cell>
          <cell r="AB66">
            <v>6.9999999999999994E-5</v>
          </cell>
          <cell r="AE66">
            <v>0</v>
          </cell>
          <cell r="AH66">
            <v>4.0999999999999999E-4</v>
          </cell>
          <cell r="AK66">
            <v>1.0499999999999999E-3</v>
          </cell>
          <cell r="AN66">
            <v>1.0000000000000001E-5</v>
          </cell>
        </row>
        <row r="67">
          <cell r="P67">
            <v>0</v>
          </cell>
          <cell r="S67">
            <v>0</v>
          </cell>
          <cell r="V67">
            <v>0</v>
          </cell>
          <cell r="Y67">
            <v>0</v>
          </cell>
          <cell r="AB67">
            <v>0</v>
          </cell>
          <cell r="AE67">
            <v>-3.0000000000000001E-5</v>
          </cell>
          <cell r="AH67">
            <v>2.1299999999999999E-3</v>
          </cell>
          <cell r="AK67">
            <v>5.4599999999999996E-3</v>
          </cell>
          <cell r="AN67">
            <v>0</v>
          </cell>
        </row>
        <row r="68">
          <cell r="P68">
            <v>0</v>
          </cell>
          <cell r="S68">
            <v>0</v>
          </cell>
          <cell r="V68">
            <v>0</v>
          </cell>
          <cell r="Y68">
            <v>0</v>
          </cell>
          <cell r="AB68">
            <v>0</v>
          </cell>
          <cell r="AE68">
            <v>-2.0000000000000002E-5</v>
          </cell>
          <cell r="AH68">
            <v>1.91E-3</v>
          </cell>
          <cell r="AK68">
            <v>4.8900000000000002E-3</v>
          </cell>
          <cell r="AN68">
            <v>0</v>
          </cell>
        </row>
        <row r="69">
          <cell r="P69">
            <v>0</v>
          </cell>
          <cell r="S69">
            <v>0</v>
          </cell>
          <cell r="V69">
            <v>0</v>
          </cell>
          <cell r="Y69">
            <v>0</v>
          </cell>
          <cell r="AB69">
            <v>0</v>
          </cell>
          <cell r="AE69">
            <v>-2.0000000000000002E-5</v>
          </cell>
          <cell r="AH69">
            <v>1.4599999999999999E-3</v>
          </cell>
          <cell r="AK69">
            <v>3.7499999999999999E-3</v>
          </cell>
          <cell r="AN69">
            <v>0</v>
          </cell>
        </row>
        <row r="70">
          <cell r="P70">
            <v>0</v>
          </cell>
          <cell r="S70">
            <v>0</v>
          </cell>
          <cell r="V70">
            <v>0</v>
          </cell>
          <cell r="Y70">
            <v>0</v>
          </cell>
          <cell r="AB70">
            <v>0</v>
          </cell>
          <cell r="AE70">
            <v>-1.0000000000000001E-5</v>
          </cell>
          <cell r="AH70">
            <v>1.17E-3</v>
          </cell>
          <cell r="AK70">
            <v>3.0000000000000001E-3</v>
          </cell>
          <cell r="AN70">
            <v>0</v>
          </cell>
        </row>
        <row r="71">
          <cell r="P71">
            <v>0</v>
          </cell>
          <cell r="S71">
            <v>0</v>
          </cell>
          <cell r="V71">
            <v>0</v>
          </cell>
          <cell r="Y71">
            <v>0</v>
          </cell>
          <cell r="AB71">
            <v>0</v>
          </cell>
          <cell r="AE71">
            <v>-1.0000000000000001E-5</v>
          </cell>
          <cell r="AH71">
            <v>7.7999999999999999E-4</v>
          </cell>
          <cell r="AK71">
            <v>2E-3</v>
          </cell>
          <cell r="AN71">
            <v>0</v>
          </cell>
        </row>
        <row r="72">
          <cell r="P72">
            <v>0</v>
          </cell>
          <cell r="S72">
            <v>0</v>
          </cell>
          <cell r="V72">
            <v>0</v>
          </cell>
          <cell r="Y72">
            <v>0</v>
          </cell>
          <cell r="AB72">
            <v>0</v>
          </cell>
          <cell r="AE72">
            <v>0</v>
          </cell>
          <cell r="AH72">
            <v>2.9E-4</v>
          </cell>
          <cell r="AK72">
            <v>7.5000000000000002E-4</v>
          </cell>
          <cell r="AN72">
            <v>0</v>
          </cell>
        </row>
        <row r="73">
          <cell r="P73">
            <v>0</v>
          </cell>
          <cell r="S73">
            <v>0</v>
          </cell>
          <cell r="V73">
            <v>0</v>
          </cell>
          <cell r="Y73">
            <v>0</v>
          </cell>
          <cell r="AB73">
            <v>0</v>
          </cell>
          <cell r="AE73">
            <v>-3.0000000000000001E-5</v>
          </cell>
          <cell r="AH73">
            <v>2.1099999999999999E-3</v>
          </cell>
          <cell r="AK73">
            <v>5.4599999999999996E-3</v>
          </cell>
          <cell r="AN73">
            <v>0</v>
          </cell>
        </row>
        <row r="74">
          <cell r="P74">
            <v>0</v>
          </cell>
          <cell r="S74">
            <v>0</v>
          </cell>
          <cell r="V74">
            <v>0</v>
          </cell>
          <cell r="Y74">
            <v>0</v>
          </cell>
          <cell r="AB74">
            <v>0</v>
          </cell>
          <cell r="AE74">
            <v>-2.0000000000000002E-5</v>
          </cell>
          <cell r="AH74">
            <v>1.89E-3</v>
          </cell>
          <cell r="AK74">
            <v>4.8900000000000002E-3</v>
          </cell>
          <cell r="AN74">
            <v>0</v>
          </cell>
        </row>
        <row r="75">
          <cell r="P75">
            <v>0</v>
          </cell>
          <cell r="S75">
            <v>0</v>
          </cell>
          <cell r="V75">
            <v>0</v>
          </cell>
          <cell r="Y75">
            <v>0</v>
          </cell>
          <cell r="AB75">
            <v>0</v>
          </cell>
          <cell r="AE75">
            <v>-2.0000000000000002E-5</v>
          </cell>
          <cell r="AH75">
            <v>1.4499999999999999E-3</v>
          </cell>
          <cell r="AK75">
            <v>3.7499999999999999E-3</v>
          </cell>
          <cell r="AN75">
            <v>0</v>
          </cell>
        </row>
        <row r="76">
          <cell r="P76">
            <v>0</v>
          </cell>
          <cell r="S76">
            <v>0</v>
          </cell>
          <cell r="V76">
            <v>0</v>
          </cell>
          <cell r="Y76">
            <v>0</v>
          </cell>
          <cell r="AB76">
            <v>0</v>
          </cell>
          <cell r="AE76">
            <v>-1.0000000000000001E-5</v>
          </cell>
          <cell r="AH76">
            <v>1.16E-3</v>
          </cell>
          <cell r="AK76">
            <v>3.0000000000000001E-3</v>
          </cell>
          <cell r="AN76">
            <v>0</v>
          </cell>
        </row>
        <row r="77">
          <cell r="P77">
            <v>0</v>
          </cell>
          <cell r="S77">
            <v>0</v>
          </cell>
          <cell r="V77">
            <v>0</v>
          </cell>
          <cell r="Y77">
            <v>0</v>
          </cell>
          <cell r="AB77">
            <v>0</v>
          </cell>
          <cell r="AE77">
            <v>-1.0000000000000001E-5</v>
          </cell>
          <cell r="AH77">
            <v>7.6999999999999996E-4</v>
          </cell>
          <cell r="AK77">
            <v>2E-3</v>
          </cell>
          <cell r="AN77">
            <v>0</v>
          </cell>
        </row>
        <row r="78">
          <cell r="P78">
            <v>0</v>
          </cell>
          <cell r="S78">
            <v>0</v>
          </cell>
          <cell r="V78">
            <v>0</v>
          </cell>
          <cell r="Y78">
            <v>0</v>
          </cell>
          <cell r="AB78">
            <v>0</v>
          </cell>
          <cell r="AE78">
            <v>0</v>
          </cell>
          <cell r="AH78">
            <v>2.9E-4</v>
          </cell>
          <cell r="AK78">
            <v>7.5000000000000002E-4</v>
          </cell>
          <cell r="AN78">
            <v>0</v>
          </cell>
        </row>
        <row r="79">
          <cell r="P79">
            <v>0</v>
          </cell>
          <cell r="S79">
            <v>0</v>
          </cell>
          <cell r="V79">
            <v>0</v>
          </cell>
          <cell r="Y79">
            <v>0</v>
          </cell>
          <cell r="AB79">
            <v>0</v>
          </cell>
          <cell r="AE79">
            <v>0</v>
          </cell>
          <cell r="AH79">
            <v>0</v>
          </cell>
          <cell r="AK79">
            <v>1.9000000000000001E-4</v>
          </cell>
          <cell r="AN79">
            <v>0</v>
          </cell>
        </row>
        <row r="80">
          <cell r="P80">
            <v>0</v>
          </cell>
          <cell r="S80">
            <v>0</v>
          </cell>
          <cell r="V80">
            <v>0</v>
          </cell>
          <cell r="Y80">
            <v>0</v>
          </cell>
          <cell r="AB80">
            <v>0</v>
          </cell>
          <cell r="AE80">
            <v>0</v>
          </cell>
          <cell r="AH80">
            <v>0</v>
          </cell>
          <cell r="AK80">
            <v>1.9000000000000001E-4</v>
          </cell>
          <cell r="AN80">
            <v>0</v>
          </cell>
        </row>
      </sheetData>
      <sheetData sheetId="4">
        <row r="13">
          <cell r="W13">
            <v>0.24073</v>
          </cell>
        </row>
      </sheetData>
      <sheetData sheetId="5">
        <row r="13">
          <cell r="M13">
            <v>3.0000000000000001E-5</v>
          </cell>
        </row>
        <row r="14">
          <cell r="M14">
            <v>0</v>
          </cell>
        </row>
        <row r="15">
          <cell r="M15">
            <v>2.0000000000000002E-5</v>
          </cell>
        </row>
        <row r="16">
          <cell r="M16">
            <v>2.0000000000000002E-5</v>
          </cell>
        </row>
        <row r="17">
          <cell r="M17">
            <v>2.0000000000000002E-5</v>
          </cell>
        </row>
        <row r="18">
          <cell r="M18">
            <v>3.0000000000000001E-5</v>
          </cell>
        </row>
        <row r="19">
          <cell r="M19">
            <v>1.0000000000000001E-5</v>
          </cell>
        </row>
        <row r="20">
          <cell r="M20">
            <v>1.0000000000000001E-5</v>
          </cell>
        </row>
        <row r="21">
          <cell r="M21">
            <v>1.0000000000000001E-5</v>
          </cell>
        </row>
        <row r="22">
          <cell r="M22">
            <v>1.0000000000000001E-5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1.0000000000000001E-5</v>
          </cell>
        </row>
        <row r="28">
          <cell r="M28">
            <v>1.0000000000000001E-5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1.0000000000000001E-5</v>
          </cell>
        </row>
        <row r="32">
          <cell r="M32">
            <v>1.0000000000000001E-5</v>
          </cell>
        </row>
        <row r="33">
          <cell r="M33">
            <v>1.0000000000000001E-5</v>
          </cell>
        </row>
        <row r="34">
          <cell r="M34">
            <v>1.0000000000000001E-5</v>
          </cell>
        </row>
        <row r="35">
          <cell r="M35">
            <v>1.0000000000000001E-5</v>
          </cell>
        </row>
        <row r="36">
          <cell r="M36">
            <v>1.0000000000000001E-5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2.0000000000000002E-5</v>
          </cell>
        </row>
        <row r="44">
          <cell r="M44">
            <v>2.0000000000000002E-5</v>
          </cell>
        </row>
        <row r="45">
          <cell r="M45">
            <v>2.0000000000000002E-5</v>
          </cell>
        </row>
        <row r="46">
          <cell r="M46">
            <v>1.0000000000000001E-5</v>
          </cell>
        </row>
        <row r="47">
          <cell r="M47">
            <v>1.0000000000000001E-5</v>
          </cell>
        </row>
        <row r="48">
          <cell r="M48">
            <v>1.0000000000000001E-5</v>
          </cell>
        </row>
        <row r="49">
          <cell r="M49">
            <v>1.0000000000000001E-5</v>
          </cell>
        </row>
        <row r="50">
          <cell r="M50">
            <v>1.0000000000000001E-5</v>
          </cell>
        </row>
        <row r="51">
          <cell r="M51">
            <v>1.0000000000000001E-5</v>
          </cell>
        </row>
        <row r="52">
          <cell r="M52">
            <v>1.0000000000000001E-5</v>
          </cell>
        </row>
        <row r="53">
          <cell r="M53">
            <v>1.0000000000000001E-5</v>
          </cell>
        </row>
        <row r="54">
          <cell r="M54">
            <v>1.0000000000000001E-5</v>
          </cell>
        </row>
        <row r="55">
          <cell r="M55">
            <v>1.0000000000000001E-5</v>
          </cell>
        </row>
        <row r="56">
          <cell r="M56">
            <v>1.0000000000000001E-5</v>
          </cell>
        </row>
        <row r="57">
          <cell r="M57">
            <v>1.0000000000000001E-5</v>
          </cell>
        </row>
        <row r="58">
          <cell r="M58">
            <v>1.0000000000000001E-5</v>
          </cell>
        </row>
        <row r="59">
          <cell r="M59">
            <v>1.0000000000000001E-5</v>
          </cell>
        </row>
        <row r="60">
          <cell r="M60">
            <v>1.0000000000000001E-5</v>
          </cell>
        </row>
        <row r="61">
          <cell r="M61">
            <v>1.0000000000000001E-5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1.0000000000000001E-5</v>
          </cell>
        </row>
        <row r="74">
          <cell r="M74">
            <v>1.0000000000000001E-5</v>
          </cell>
        </row>
        <row r="75">
          <cell r="M75">
            <v>1.0000000000000001E-5</v>
          </cell>
        </row>
        <row r="76">
          <cell r="M76">
            <v>1.0000000000000001E-5</v>
          </cell>
        </row>
        <row r="77">
          <cell r="M77">
            <v>1.0000000000000001E-5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</sheetData>
      <sheetData sheetId="6">
        <row r="13">
          <cell r="D13">
            <v>1.6683000000000003</v>
          </cell>
          <cell r="E13">
            <v>0.43274000000000001</v>
          </cell>
          <cell r="F13">
            <v>0.10337</v>
          </cell>
          <cell r="G13">
            <v>0</v>
          </cell>
        </row>
        <row r="14">
          <cell r="D14">
            <v>1.672639999999999</v>
          </cell>
          <cell r="E14">
            <v>0.43274000000000001</v>
          </cell>
          <cell r="F14">
            <v>0.10337</v>
          </cell>
          <cell r="G14">
            <v>0</v>
          </cell>
        </row>
        <row r="15">
          <cell r="D15">
            <v>1.3152700000000002</v>
          </cell>
          <cell r="E15">
            <v>0.43274000000000001</v>
          </cell>
          <cell r="F15">
            <v>0.10337</v>
          </cell>
          <cell r="G15">
            <v>0</v>
          </cell>
        </row>
        <row r="16">
          <cell r="D16">
            <v>1.2785399999999996</v>
          </cell>
          <cell r="E16">
            <v>0.43274000000000001</v>
          </cell>
          <cell r="F16">
            <v>0.10337</v>
          </cell>
          <cell r="G16">
            <v>0</v>
          </cell>
        </row>
        <row r="17">
          <cell r="D17">
            <v>1.2303099999999996</v>
          </cell>
          <cell r="E17">
            <v>0.43274000000000001</v>
          </cell>
          <cell r="F17">
            <v>0.10337</v>
          </cell>
        </row>
        <row r="18">
          <cell r="D18">
            <v>1.11591</v>
          </cell>
          <cell r="E18">
            <v>0.43274000000000001</v>
          </cell>
          <cell r="F18">
            <v>0.10337</v>
          </cell>
        </row>
        <row r="19">
          <cell r="D19">
            <v>1.0394899999999998</v>
          </cell>
          <cell r="E19">
            <v>0.43274000000000001</v>
          </cell>
        </row>
        <row r="20">
          <cell r="D20">
            <v>0.98116000000000014</v>
          </cell>
          <cell r="E20">
            <v>0.43274000000000001</v>
          </cell>
        </row>
        <row r="21">
          <cell r="D21">
            <v>0.94622000000000028</v>
          </cell>
          <cell r="E21">
            <v>0.43274000000000001</v>
          </cell>
        </row>
        <row r="22">
          <cell r="D22">
            <v>0.89908999999999961</v>
          </cell>
          <cell r="E22">
            <v>0.43274000000000001</v>
          </cell>
        </row>
        <row r="23">
          <cell r="D23">
            <v>0.96427000000000007</v>
          </cell>
          <cell r="E23">
            <v>0.43274000000000001</v>
          </cell>
        </row>
        <row r="24">
          <cell r="D24">
            <v>0.91047000000000022</v>
          </cell>
          <cell r="E24">
            <v>0.43274000000000001</v>
          </cell>
        </row>
        <row r="25">
          <cell r="D25">
            <v>0.90245000000000009</v>
          </cell>
          <cell r="E25">
            <v>0.43274000000000001</v>
          </cell>
        </row>
        <row r="26">
          <cell r="D26">
            <v>0.8560899999999998</v>
          </cell>
          <cell r="E26">
            <v>0.43274000000000001</v>
          </cell>
        </row>
        <row r="27">
          <cell r="D27">
            <v>0.64044000000000001</v>
          </cell>
          <cell r="E27">
            <v>0</v>
          </cell>
        </row>
        <row r="28">
          <cell r="D28">
            <v>0.5930200000000001</v>
          </cell>
          <cell r="E28">
            <v>0</v>
          </cell>
        </row>
        <row r="29">
          <cell r="D29">
            <v>0.62856000000000001</v>
          </cell>
          <cell r="E29">
            <v>0</v>
          </cell>
        </row>
        <row r="30">
          <cell r="D30">
            <v>0.58256000000000019</v>
          </cell>
          <cell r="E30">
            <v>0</v>
          </cell>
        </row>
        <row r="31">
          <cell r="D31">
            <v>0.79625999999999986</v>
          </cell>
          <cell r="E31">
            <v>0.43274000000000001</v>
          </cell>
        </row>
        <row r="32">
          <cell r="D32">
            <v>0.77026999999999957</v>
          </cell>
          <cell r="E32">
            <v>0.43274000000000001</v>
          </cell>
        </row>
        <row r="33">
          <cell r="D33">
            <v>0.71862999999999988</v>
          </cell>
          <cell r="E33">
            <v>0.43274000000000001</v>
          </cell>
        </row>
        <row r="34">
          <cell r="D34">
            <v>0.68461000000000016</v>
          </cell>
          <cell r="E34">
            <v>0.43274000000000001</v>
          </cell>
        </row>
        <row r="35">
          <cell r="D35">
            <v>0.63927</v>
          </cell>
          <cell r="E35">
            <v>0.43274000000000001</v>
          </cell>
        </row>
        <row r="36">
          <cell r="D36">
            <v>0.58259000000000005</v>
          </cell>
          <cell r="E36">
            <v>0.43274000000000001</v>
          </cell>
        </row>
        <row r="37">
          <cell r="D37">
            <v>0.73169000000000006</v>
          </cell>
          <cell r="E37">
            <v>0.43274000000000001</v>
          </cell>
        </row>
        <row r="38">
          <cell r="D38">
            <v>0.71257999999999988</v>
          </cell>
          <cell r="E38">
            <v>0.43274000000000001</v>
          </cell>
        </row>
        <row r="39">
          <cell r="D39">
            <v>0.67456999999999967</v>
          </cell>
          <cell r="E39">
            <v>0.43274000000000001</v>
          </cell>
        </row>
        <row r="40">
          <cell r="D40">
            <v>0.64957000000000009</v>
          </cell>
          <cell r="E40">
            <v>0.43274000000000001</v>
          </cell>
        </row>
        <row r="41">
          <cell r="D41">
            <v>0.61626000000000036</v>
          </cell>
          <cell r="E41">
            <v>0.43274000000000001</v>
          </cell>
        </row>
        <row r="42">
          <cell r="D42">
            <v>0.57454999999999989</v>
          </cell>
          <cell r="E42">
            <v>0.43274000000000001</v>
          </cell>
        </row>
        <row r="43">
          <cell r="D43">
            <v>0.40332000000000001</v>
          </cell>
          <cell r="E43">
            <v>0</v>
          </cell>
        </row>
        <row r="44">
          <cell r="D44">
            <v>0.38640000000000002</v>
          </cell>
          <cell r="E44">
            <v>0</v>
          </cell>
        </row>
        <row r="45">
          <cell r="D45">
            <v>0.35268999999999995</v>
          </cell>
          <cell r="E45">
            <v>0</v>
          </cell>
        </row>
        <row r="46">
          <cell r="D46">
            <v>0.33054000000000006</v>
          </cell>
          <cell r="E46">
            <v>0</v>
          </cell>
        </row>
        <row r="47">
          <cell r="D47">
            <v>0.30097000000000007</v>
          </cell>
          <cell r="E47">
            <v>0</v>
          </cell>
        </row>
        <row r="48">
          <cell r="D48">
            <v>0.26403000000000004</v>
          </cell>
          <cell r="E48">
            <v>0</v>
          </cell>
        </row>
        <row r="49">
          <cell r="D49">
            <v>0.40095999999999998</v>
          </cell>
          <cell r="E49">
            <v>0</v>
          </cell>
        </row>
        <row r="50">
          <cell r="D50">
            <v>0.38426999999999989</v>
          </cell>
          <cell r="E50">
            <v>0</v>
          </cell>
        </row>
        <row r="51">
          <cell r="D51">
            <v>0.35105000000000003</v>
          </cell>
          <cell r="E51">
            <v>0</v>
          </cell>
        </row>
        <row r="52">
          <cell r="D52">
            <v>0.32922000000000012</v>
          </cell>
          <cell r="E52">
            <v>0</v>
          </cell>
        </row>
        <row r="53">
          <cell r="D53">
            <v>0.30008999999999997</v>
          </cell>
          <cell r="E53">
            <v>0</v>
          </cell>
        </row>
        <row r="54">
          <cell r="D54">
            <v>0.26369000000000009</v>
          </cell>
          <cell r="E54">
            <v>0</v>
          </cell>
        </row>
        <row r="55">
          <cell r="D55">
            <v>0.71133000000000013</v>
          </cell>
          <cell r="E55">
            <v>0.43274000000000001</v>
          </cell>
        </row>
        <row r="56">
          <cell r="D56">
            <v>0.69042999999999966</v>
          </cell>
          <cell r="E56">
            <v>0.43274000000000001</v>
          </cell>
        </row>
        <row r="57">
          <cell r="D57">
            <v>0.64878000000000013</v>
          </cell>
          <cell r="E57">
            <v>0.43274000000000001</v>
          </cell>
        </row>
        <row r="58">
          <cell r="D58">
            <v>0.62140999999999991</v>
          </cell>
          <cell r="E58">
            <v>0.43274000000000001</v>
          </cell>
        </row>
        <row r="59">
          <cell r="D59">
            <v>0.58492999999999984</v>
          </cell>
          <cell r="E59">
            <v>0.43274000000000001</v>
          </cell>
        </row>
        <row r="60">
          <cell r="D60">
            <v>0.53925000000000001</v>
          </cell>
          <cell r="E60">
            <v>0.43274000000000001</v>
          </cell>
        </row>
        <row r="61">
          <cell r="D61">
            <v>0.69063999999999992</v>
          </cell>
          <cell r="E61">
            <v>0.43274000000000001</v>
          </cell>
        </row>
        <row r="62">
          <cell r="D62">
            <v>0.67198999999999998</v>
          </cell>
          <cell r="E62">
            <v>0.43274000000000001</v>
          </cell>
        </row>
        <row r="63">
          <cell r="D63">
            <v>0.63488999999999995</v>
          </cell>
          <cell r="E63">
            <v>0.43274000000000001</v>
          </cell>
        </row>
        <row r="64">
          <cell r="D64">
            <v>0.61047999999999969</v>
          </cell>
          <cell r="E64">
            <v>0.43274000000000001</v>
          </cell>
        </row>
        <row r="65">
          <cell r="D65">
            <v>0.57791000000000003</v>
          </cell>
          <cell r="E65">
            <v>0.43274000000000001</v>
          </cell>
        </row>
        <row r="66">
          <cell r="D66">
            <v>0.53723999999999983</v>
          </cell>
          <cell r="E66">
            <v>0.43274000000000001</v>
          </cell>
        </row>
        <row r="67">
          <cell r="D67">
            <v>0.39076</v>
          </cell>
          <cell r="E67">
            <v>0</v>
          </cell>
        </row>
        <row r="68">
          <cell r="D68">
            <v>0.37516000000000005</v>
          </cell>
          <cell r="E68">
            <v>0</v>
          </cell>
        </row>
        <row r="69">
          <cell r="D69">
            <v>0.34404999999999997</v>
          </cell>
          <cell r="E69">
            <v>0</v>
          </cell>
        </row>
        <row r="70">
          <cell r="D70">
            <v>0.3236</v>
          </cell>
          <cell r="E70">
            <v>0</v>
          </cell>
        </row>
        <row r="71">
          <cell r="D71">
            <v>0.29632999999999998</v>
          </cell>
          <cell r="E71">
            <v>0</v>
          </cell>
        </row>
        <row r="72">
          <cell r="D72">
            <v>0.26221000000000005</v>
          </cell>
          <cell r="E72">
            <v>0</v>
          </cell>
        </row>
        <row r="73">
          <cell r="D73">
            <v>0.39346999999999999</v>
          </cell>
          <cell r="E73">
            <v>0</v>
          </cell>
        </row>
        <row r="74">
          <cell r="D74">
            <v>0.37758000000000003</v>
          </cell>
          <cell r="E74">
            <v>0</v>
          </cell>
        </row>
        <row r="75">
          <cell r="D75">
            <v>0.34592000000000001</v>
          </cell>
          <cell r="E75">
            <v>0</v>
          </cell>
        </row>
        <row r="76">
          <cell r="D76">
            <v>0.32511000000000001</v>
          </cell>
          <cell r="E76">
            <v>0</v>
          </cell>
        </row>
        <row r="77">
          <cell r="D77">
            <v>0.29735999999999996</v>
          </cell>
          <cell r="E77">
            <v>0</v>
          </cell>
        </row>
        <row r="78">
          <cell r="D78">
            <v>0.26266000000000006</v>
          </cell>
          <cell r="E78">
            <v>0</v>
          </cell>
        </row>
        <row r="79">
          <cell r="D79">
            <v>0.24684999999999996</v>
          </cell>
          <cell r="E79">
            <v>0</v>
          </cell>
        </row>
        <row r="80">
          <cell r="D80">
            <v>0.24684999999999996</v>
          </cell>
          <cell r="E80">
            <v>0</v>
          </cell>
        </row>
      </sheetData>
      <sheetData sheetId="7">
        <row r="13">
          <cell r="D13">
            <v>0.29749999999999999</v>
          </cell>
          <cell r="W13">
            <v>0.29243999999999998</v>
          </cell>
        </row>
        <row r="14">
          <cell r="D14">
            <v>0.27344999999999997</v>
          </cell>
          <cell r="W14">
            <v>0.22691</v>
          </cell>
        </row>
        <row r="15">
          <cell r="D15">
            <v>0.22096000000000002</v>
          </cell>
          <cell r="W15">
            <v>0.17731999999999998</v>
          </cell>
        </row>
        <row r="16">
          <cell r="D16">
            <v>0.20892999999999998</v>
          </cell>
          <cell r="W16">
            <v>0.16456000000000004</v>
          </cell>
        </row>
        <row r="17">
          <cell r="D17">
            <v>0.15035000000000001</v>
          </cell>
          <cell r="W17">
            <v>0.10452</v>
          </cell>
        </row>
        <row r="18">
          <cell r="D18">
            <v>0.26727000000000001</v>
          </cell>
          <cell r="W18">
            <v>0.29042999999999997</v>
          </cell>
        </row>
        <row r="19">
          <cell r="D19">
            <v>0.19066999999999998</v>
          </cell>
          <cell r="W19">
            <v>0.14546999999999999</v>
          </cell>
        </row>
        <row r="20">
          <cell r="D20">
            <v>0.18178999999999998</v>
          </cell>
          <cell r="W20">
            <v>0.13657999999999998</v>
          </cell>
        </row>
        <row r="21">
          <cell r="D21">
            <v>0.14201</v>
          </cell>
          <cell r="W21">
            <v>9.6619999999999984E-2</v>
          </cell>
        </row>
        <row r="22">
          <cell r="D22">
            <v>0.13903999999999997</v>
          </cell>
          <cell r="W22">
            <v>9.3590000000000007E-2</v>
          </cell>
        </row>
        <row r="23">
          <cell r="D23">
            <v>0.14699999999999999</v>
          </cell>
          <cell r="W23">
            <v>0.13558999999999999</v>
          </cell>
        </row>
        <row r="24">
          <cell r="D24">
            <v>0.13892999999999997</v>
          </cell>
          <cell r="W24">
            <v>0.12733</v>
          </cell>
        </row>
        <row r="25">
          <cell r="D25">
            <v>0.10593</v>
          </cell>
          <cell r="W25">
            <v>9.262999999999999E-2</v>
          </cell>
        </row>
        <row r="26">
          <cell r="D26">
            <v>0.10284999999999997</v>
          </cell>
          <cell r="W26">
            <v>8.9550000000000018E-2</v>
          </cell>
        </row>
        <row r="27">
          <cell r="D27">
            <v>0.26258999999999999</v>
          </cell>
          <cell r="W27">
            <v>0.26261000000000001</v>
          </cell>
        </row>
        <row r="28">
          <cell r="D28">
            <v>0.26011000000000001</v>
          </cell>
          <cell r="W28">
            <v>0.26005</v>
          </cell>
        </row>
        <row r="29">
          <cell r="D29">
            <v>0.26074999999999998</v>
          </cell>
          <cell r="W29">
            <v>0.26072000000000001</v>
          </cell>
        </row>
        <row r="30">
          <cell r="D30">
            <v>0.25850000000000001</v>
          </cell>
          <cell r="W30">
            <v>0.25839000000000001</v>
          </cell>
        </row>
        <row r="31">
          <cell r="D31">
            <v>0.15741999999999998</v>
          </cell>
          <cell r="W31">
            <v>0.11216000000000004</v>
          </cell>
        </row>
        <row r="32">
          <cell r="D32">
            <v>0.15304999999999999</v>
          </cell>
          <cell r="W32">
            <v>0.10781000000000002</v>
          </cell>
        </row>
        <row r="33">
          <cell r="D33">
            <v>0.14438999999999999</v>
          </cell>
          <cell r="W33">
            <v>9.916999999999998E-2</v>
          </cell>
        </row>
        <row r="34">
          <cell r="D34">
            <v>0.13869000000000001</v>
          </cell>
          <cell r="W34">
            <v>9.3500000000000028E-2</v>
          </cell>
        </row>
        <row r="35">
          <cell r="D35">
            <v>0.13108</v>
          </cell>
          <cell r="W35">
            <v>8.5880000000000012E-2</v>
          </cell>
        </row>
        <row r="36">
          <cell r="D36">
            <v>0.12156999999999998</v>
          </cell>
          <cell r="W36">
            <v>7.6420000000000016E-2</v>
          </cell>
        </row>
        <row r="37">
          <cell r="D37">
            <v>0.13253999999999996</v>
          </cell>
          <cell r="W37">
            <v>8.7280000000000024E-2</v>
          </cell>
        </row>
        <row r="38">
          <cell r="D38">
            <v>0.13088999999999998</v>
          </cell>
          <cell r="W38">
            <v>8.5579999999999989E-2</v>
          </cell>
        </row>
        <row r="39">
          <cell r="D39">
            <v>0.12760999999999997</v>
          </cell>
          <cell r="W39">
            <v>8.2180000000000031E-2</v>
          </cell>
        </row>
        <row r="40">
          <cell r="D40">
            <v>0.12544999999999998</v>
          </cell>
          <cell r="W40">
            <v>7.9979999999999996E-2</v>
          </cell>
        </row>
        <row r="41">
          <cell r="D41">
            <v>0.12257999999999999</v>
          </cell>
          <cell r="W41">
            <v>7.7000000000000013E-2</v>
          </cell>
        </row>
        <row r="42">
          <cell r="D42">
            <v>0.11898</v>
          </cell>
          <cell r="W42">
            <v>7.3289999999999994E-2</v>
          </cell>
        </row>
        <row r="43">
          <cell r="D43">
            <v>0.24890000000000001</v>
          </cell>
          <cell r="W43">
            <v>0.2485</v>
          </cell>
        </row>
        <row r="44">
          <cell r="D44">
            <v>0.24815999999999999</v>
          </cell>
          <cell r="W44">
            <v>0.24773000000000001</v>
          </cell>
        </row>
        <row r="45">
          <cell r="D45">
            <v>0.24668999999999999</v>
          </cell>
          <cell r="W45">
            <v>0.24618000000000001</v>
          </cell>
        </row>
        <row r="46">
          <cell r="D46">
            <v>0.24573</v>
          </cell>
          <cell r="W46">
            <v>0.24515000000000001</v>
          </cell>
        </row>
        <row r="47">
          <cell r="D47">
            <v>0.24443000000000001</v>
          </cell>
          <cell r="W47">
            <v>0.24379999999999999</v>
          </cell>
        </row>
        <row r="48">
          <cell r="D48">
            <v>0.24282999999999999</v>
          </cell>
          <cell r="W48">
            <v>0.24210999999999999</v>
          </cell>
        </row>
        <row r="49">
          <cell r="D49">
            <v>0.24934999999999999</v>
          </cell>
          <cell r="W49">
            <v>0.24896000000000001</v>
          </cell>
        </row>
        <row r="50">
          <cell r="D50">
            <v>0.24856</v>
          </cell>
          <cell r="W50">
            <v>0.24814</v>
          </cell>
        </row>
        <row r="51">
          <cell r="D51">
            <v>0.24698999999999999</v>
          </cell>
          <cell r="W51">
            <v>0.2465</v>
          </cell>
        </row>
        <row r="52">
          <cell r="D52">
            <v>0.24596000000000001</v>
          </cell>
          <cell r="W52">
            <v>0.24540999999999999</v>
          </cell>
        </row>
        <row r="53">
          <cell r="D53">
            <v>0.24459</v>
          </cell>
          <cell r="W53">
            <v>0.24398</v>
          </cell>
        </row>
        <row r="54">
          <cell r="D54">
            <v>0.24287</v>
          </cell>
          <cell r="W54">
            <v>0.24218000000000001</v>
          </cell>
        </row>
        <row r="55">
          <cell r="D55">
            <v>0.10987</v>
          </cell>
          <cell r="W55">
            <v>9.7640000000000005E-2</v>
          </cell>
        </row>
        <row r="56">
          <cell r="D56">
            <v>0.10666</v>
          </cell>
          <cell r="W56">
            <v>9.4349999999999989E-2</v>
          </cell>
        </row>
        <row r="57">
          <cell r="D57">
            <v>0.10023999999999997</v>
          </cell>
          <cell r="W57">
            <v>8.7799999999999989E-2</v>
          </cell>
        </row>
        <row r="58">
          <cell r="D58">
            <v>9.6029999999999976E-2</v>
          </cell>
          <cell r="W58">
            <v>8.3490000000000009E-2</v>
          </cell>
        </row>
        <row r="59">
          <cell r="D59">
            <v>9.0409999999999963E-2</v>
          </cell>
          <cell r="W59">
            <v>7.7759999999999996E-2</v>
          </cell>
        </row>
        <row r="60">
          <cell r="D60">
            <v>8.3339999999999997E-2</v>
          </cell>
          <cell r="W60">
            <v>7.0589999999999986E-2</v>
          </cell>
        </row>
        <row r="61">
          <cell r="D61">
            <v>9.4369999999999982E-2</v>
          </cell>
          <cell r="W61">
            <v>8.0899999999999972E-2</v>
          </cell>
        </row>
        <row r="62">
          <cell r="D62">
            <v>9.286999999999998E-2</v>
          </cell>
          <cell r="W62">
            <v>7.9390000000000016E-2</v>
          </cell>
        </row>
        <row r="63">
          <cell r="D63">
            <v>8.9900000000000008E-2</v>
          </cell>
          <cell r="W63">
            <v>7.6409999999999978E-2</v>
          </cell>
        </row>
        <row r="64">
          <cell r="D64">
            <v>8.792999999999998E-2</v>
          </cell>
          <cell r="W64">
            <v>7.4449999999999988E-2</v>
          </cell>
        </row>
        <row r="65">
          <cell r="D65">
            <v>8.5309999999999997E-2</v>
          </cell>
          <cell r="W65">
            <v>7.1839999999999987E-2</v>
          </cell>
        </row>
        <row r="66">
          <cell r="D66">
            <v>8.2059999999999994E-2</v>
          </cell>
          <cell r="W66">
            <v>6.8589999999999984E-2</v>
          </cell>
        </row>
        <row r="67">
          <cell r="D67">
            <v>0.24907000000000001</v>
          </cell>
          <cell r="W67">
            <v>0.24864</v>
          </cell>
        </row>
        <row r="68">
          <cell r="D68">
            <v>0.24831</v>
          </cell>
          <cell r="W68">
            <v>0.24786</v>
          </cell>
        </row>
        <row r="69">
          <cell r="D69">
            <v>0.24678</v>
          </cell>
          <cell r="W69">
            <v>0.24626999999999999</v>
          </cell>
        </row>
        <row r="70">
          <cell r="D70">
            <v>0.24578</v>
          </cell>
          <cell r="W70">
            <v>0.24524000000000001</v>
          </cell>
        </row>
        <row r="71">
          <cell r="D71">
            <v>0.24443999999999999</v>
          </cell>
          <cell r="W71">
            <v>0.24385000000000001</v>
          </cell>
        </row>
        <row r="72">
          <cell r="D72">
            <v>0.24276999999999999</v>
          </cell>
          <cell r="W72">
            <v>0.24212</v>
          </cell>
        </row>
        <row r="73">
          <cell r="D73">
            <v>0.24917</v>
          </cell>
          <cell r="W73">
            <v>0.24862999999999999</v>
          </cell>
        </row>
        <row r="74">
          <cell r="D74">
            <v>0.24840999999999999</v>
          </cell>
          <cell r="W74">
            <v>0.24784999999999999</v>
          </cell>
        </row>
        <row r="75">
          <cell r="D75">
            <v>0.24687000000000001</v>
          </cell>
          <cell r="W75">
            <v>0.24626999999999999</v>
          </cell>
        </row>
        <row r="76">
          <cell r="D76">
            <v>0.24586</v>
          </cell>
          <cell r="W76">
            <v>0.24524000000000001</v>
          </cell>
        </row>
        <row r="77">
          <cell r="D77">
            <v>0.24451999999999999</v>
          </cell>
          <cell r="W77">
            <v>0.24385000000000001</v>
          </cell>
        </row>
        <row r="78">
          <cell r="D78">
            <v>0.24285000000000001</v>
          </cell>
          <cell r="W78">
            <v>0.24212</v>
          </cell>
        </row>
        <row r="79">
          <cell r="D79">
            <v>0.24193999999999999</v>
          </cell>
          <cell r="W79">
            <v>0.24127000000000001</v>
          </cell>
        </row>
        <row r="80">
          <cell r="D80">
            <v>0.24193999999999999</v>
          </cell>
          <cell r="W80">
            <v>0.24127000000000001</v>
          </cell>
        </row>
      </sheetData>
      <sheetData sheetId="8">
        <row r="13">
          <cell r="F13">
            <v>2.4000000000000001E-4</v>
          </cell>
        </row>
        <row r="14">
          <cell r="F14">
            <v>1.6000000000000001E-4</v>
          </cell>
        </row>
        <row r="15">
          <cell r="F15">
            <v>1.1E-4</v>
          </cell>
        </row>
        <row r="16">
          <cell r="F16">
            <v>1E-4</v>
          </cell>
        </row>
        <row r="17">
          <cell r="F17">
            <v>9.0000000000000006E-5</v>
          </cell>
        </row>
        <row r="18">
          <cell r="F18">
            <v>2.5999999999999998E-4</v>
          </cell>
        </row>
        <row r="19">
          <cell r="F19">
            <v>8.0000000000000007E-5</v>
          </cell>
        </row>
        <row r="20">
          <cell r="F20">
            <v>6.9999999999999994E-5</v>
          </cell>
        </row>
        <row r="21">
          <cell r="F21">
            <v>6.9999999999999994E-5</v>
          </cell>
        </row>
        <row r="22">
          <cell r="F22">
            <v>6.0000000000000002E-5</v>
          </cell>
        </row>
        <row r="23">
          <cell r="F23">
            <v>6.9999999999999994E-5</v>
          </cell>
        </row>
        <row r="24">
          <cell r="F24">
            <v>6.0000000000000002E-5</v>
          </cell>
        </row>
        <row r="25">
          <cell r="F25">
            <v>6.9999999999999994E-5</v>
          </cell>
        </row>
        <row r="26">
          <cell r="F26">
            <v>6.0000000000000002E-5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4.0000000000000003E-5</v>
          </cell>
        </row>
        <row r="32">
          <cell r="F32">
            <v>4.0000000000000003E-5</v>
          </cell>
        </row>
        <row r="33">
          <cell r="F33">
            <v>3.0000000000000001E-5</v>
          </cell>
        </row>
        <row r="34">
          <cell r="F34">
            <v>2.0000000000000002E-5</v>
          </cell>
        </row>
        <row r="35">
          <cell r="F35">
            <v>2.0000000000000002E-5</v>
          </cell>
        </row>
        <row r="36">
          <cell r="F36">
            <v>1.0000000000000001E-5</v>
          </cell>
        </row>
        <row r="37">
          <cell r="F37">
            <v>5.0000000000000002E-5</v>
          </cell>
        </row>
        <row r="38">
          <cell r="F38">
            <v>4.0000000000000003E-5</v>
          </cell>
        </row>
        <row r="39">
          <cell r="F39">
            <v>3.0000000000000001E-5</v>
          </cell>
        </row>
        <row r="40">
          <cell r="F40">
            <v>2.0000000000000002E-5</v>
          </cell>
        </row>
        <row r="41">
          <cell r="F41">
            <v>2.0000000000000002E-5</v>
          </cell>
        </row>
        <row r="42">
          <cell r="F42">
            <v>1.0000000000000001E-5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3.0000000000000001E-5</v>
          </cell>
        </row>
        <row r="56">
          <cell r="F56">
            <v>3.0000000000000001E-5</v>
          </cell>
        </row>
        <row r="57">
          <cell r="F57">
            <v>2.0000000000000002E-5</v>
          </cell>
        </row>
        <row r="58">
          <cell r="F58">
            <v>2.0000000000000002E-5</v>
          </cell>
        </row>
        <row r="59">
          <cell r="F59">
            <v>1.0000000000000001E-5</v>
          </cell>
        </row>
        <row r="60">
          <cell r="F60">
            <v>0</v>
          </cell>
        </row>
        <row r="61">
          <cell r="F61">
            <v>4.0000000000000003E-5</v>
          </cell>
        </row>
        <row r="62">
          <cell r="F62">
            <v>4.0000000000000003E-5</v>
          </cell>
        </row>
        <row r="63">
          <cell r="F63">
            <v>3.0000000000000001E-5</v>
          </cell>
        </row>
        <row r="64">
          <cell r="F64">
            <v>2.0000000000000002E-5</v>
          </cell>
        </row>
        <row r="65">
          <cell r="F65">
            <v>1.0000000000000001E-5</v>
          </cell>
        </row>
        <row r="66">
          <cell r="F66">
            <v>1.0000000000000001E-5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</sheetData>
      <sheetData sheetId="9">
        <row r="13">
          <cell r="G13">
            <v>5.5</v>
          </cell>
          <cell r="I13">
            <v>3.6833857922138522</v>
          </cell>
        </row>
        <row r="14">
          <cell r="G14">
            <v>7</v>
          </cell>
          <cell r="I14">
            <v>1.6574174576721861</v>
          </cell>
        </row>
        <row r="15">
          <cell r="G15">
            <v>8</v>
          </cell>
          <cell r="I15">
            <v>-2.5409041087411151</v>
          </cell>
        </row>
        <row r="16">
          <cell r="G16">
            <v>22</v>
          </cell>
          <cell r="I16">
            <v>-26.320758584764796</v>
          </cell>
        </row>
        <row r="17">
          <cell r="G17">
            <v>22</v>
          </cell>
          <cell r="I17">
            <v>-107.16257090345997</v>
          </cell>
        </row>
        <row r="18">
          <cell r="G18">
            <v>9</v>
          </cell>
          <cell r="I18">
            <v>9</v>
          </cell>
        </row>
        <row r="19">
          <cell r="G19">
            <v>250</v>
          </cell>
          <cell r="I19">
            <v>-265.08785319123695</v>
          </cell>
        </row>
        <row r="22">
          <cell r="G22">
            <v>250</v>
          </cell>
          <cell r="I22">
            <v>-372.72278920943302</v>
          </cell>
        </row>
        <row r="25">
          <cell r="G25">
            <v>250</v>
          </cell>
          <cell r="I25">
            <v>250</v>
          </cell>
        </row>
        <row r="28">
          <cell r="G28">
            <v>250</v>
          </cell>
          <cell r="I28">
            <v>250</v>
          </cell>
        </row>
        <row r="31">
          <cell r="G31">
            <v>500</v>
          </cell>
          <cell r="I31">
            <v>-15.087853191236945</v>
          </cell>
        </row>
        <row r="34">
          <cell r="G34">
            <v>500</v>
          </cell>
          <cell r="I34">
            <v>500</v>
          </cell>
        </row>
        <row r="37">
          <cell r="G37">
            <v>1300</v>
          </cell>
          <cell r="I37">
            <v>-3842.2693365131181</v>
          </cell>
        </row>
        <row r="44">
          <cell r="G44">
            <v>1300</v>
          </cell>
          <cell r="I44">
            <v>-1522.7999799999998</v>
          </cell>
        </row>
        <row r="51">
          <cell r="G51">
            <v>1550</v>
          </cell>
          <cell r="I51">
            <v>-3592.2693365131181</v>
          </cell>
        </row>
        <row r="58">
          <cell r="G58">
            <v>1550</v>
          </cell>
          <cell r="I58">
            <v>-2395.7691048183847</v>
          </cell>
        </row>
        <row r="65">
          <cell r="G65">
            <v>1300</v>
          </cell>
          <cell r="I65">
            <v>-3842.2693365131181</v>
          </cell>
        </row>
        <row r="72">
          <cell r="G72">
            <v>1300</v>
          </cell>
          <cell r="I72">
            <v>-2645.7691048183847</v>
          </cell>
        </row>
        <row r="79">
          <cell r="G79">
            <v>1550</v>
          </cell>
          <cell r="I79">
            <v>1550</v>
          </cell>
        </row>
        <row r="86">
          <cell r="G86">
            <v>1550</v>
          </cell>
          <cell r="I86">
            <v>-2395.7691048183847</v>
          </cell>
        </row>
        <row r="93">
          <cell r="G93">
            <v>38000</v>
          </cell>
          <cell r="I93">
            <v>38000</v>
          </cell>
        </row>
        <row r="94">
          <cell r="G94">
            <v>38000</v>
          </cell>
          <cell r="I94">
            <v>38000</v>
          </cell>
        </row>
      </sheetData>
      <sheetData sheetId="10">
        <row r="13">
          <cell r="D13">
            <v>1.6683000000000003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Provider Instructions"/>
      <sheetName val="Input"/>
      <sheetName val="Pricing Submission Changes"/>
      <sheetName val="ARC RRC Summary_Service Group"/>
      <sheetName val="ARC RRC Monthly Charges"/>
      <sheetName val="Unit Rates - ARC RRC"/>
      <sheetName val="ARC RRC Resource Baselines"/>
      <sheetName val="Fixed Vrb Summary_Service Gro "/>
      <sheetName val="Fixed Variable Monthly Charges"/>
      <sheetName val="Unit Rates - Fixed Variable"/>
      <sheetName val="Fixed Variable Volumes"/>
      <sheetName val="Analytics_Implied Unit Rates"/>
      <sheetName val="Analytics_Unit Rate Analysis"/>
      <sheetName val="Reim - Managed Third Party"/>
      <sheetName val="Reim - Pass-Throughs"/>
      <sheetName val="One-Time Transition"/>
      <sheetName val="One-Time Transformation"/>
      <sheetName val="Termination Charges Overall"/>
      <sheetName val="Termination Charges"/>
      <sheetName val="Role Descriptions"/>
      <sheetName val="Daily Rates"/>
      <sheetName val="Skill Set Descriptions"/>
      <sheetName val="Rate Card"/>
      <sheetName val="Rate Card #2"/>
      <sheetName val="Configure Pricing EvalDashboard"/>
      <sheetName val="Pricing Eval RU Summary"/>
    </sheetNames>
    <sheetDataSet>
      <sheetData sheetId="0"/>
      <sheetData sheetId="1" refreshError="1"/>
      <sheetData sheetId="2">
        <row r="8">
          <cell r="B8">
            <v>44287</v>
          </cell>
        </row>
        <row r="12">
          <cell r="B12">
            <v>44287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dy"/>
      <sheetName val="Excluded"/>
      <sheetName val="upload"/>
      <sheetName val="upload (2)"/>
      <sheetName val="upload (3)"/>
      <sheetName val="Combined"/>
      <sheetName val="month check"/>
      <sheetName val="Tweak"/>
      <sheetName val="Chenoweth"/>
      <sheetName val="Admin transfer effect"/>
      <sheetName val="month check-Dehning"/>
      <sheetName val="scratch 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 and Resources by Task"/>
      <sheetName val="Build Cycles"/>
      <sheetName val="TGG Resources - H1"/>
      <sheetName val="Integrations"/>
    </sheetNames>
    <sheetDataSet>
      <sheetData sheetId="0" refreshError="1"/>
      <sheetData sheetId="1" refreshError="1"/>
      <sheetData sheetId="2" refreshError="1">
        <row r="2">
          <cell r="B2">
            <v>150</v>
          </cell>
        </row>
      </sheetData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Amort forecas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 refreshError="1"/>
      <sheetData sheetId="1" refreshError="1"/>
      <sheetData sheetId="2">
        <row r="17">
          <cell r="B17">
            <v>7.0800000000000002E-2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Amort forecas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 refreshError="1"/>
      <sheetData sheetId="1" refreshError="1"/>
      <sheetData sheetId="2">
        <row r="17">
          <cell r="B17">
            <v>7.0800000000000002E-2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Rec"/>
      <sheetName val="Bank Rec 0309"/>
      <sheetName val="Mar B. Statement"/>
      <sheetName val="Mar GL"/>
      <sheetName val="Checks not In BS"/>
      <sheetName val="Mar Check Register"/>
      <sheetName val="FEB GL"/>
      <sheetName val="FEB BK Statement"/>
      <sheetName val="Feb Check Register"/>
      <sheetName val="Recon pg2"/>
      <sheetName val="Recon pg1"/>
      <sheetName val="Bank Rec 02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Change Control Tab"/>
      <sheetName val="Totals from Amort Schedules"/>
      <sheetName val="UNBILLED BLOCK MODEL"/>
      <sheetName val="CIS Data"/>
      <sheetName val="Old Journal Page"/>
      <sheetName val="Journal Page"/>
      <sheetName val="OR AMORT"/>
      <sheetName val="151816 Int Res"/>
      <sheetName val="151862 SEC Defer Int Amort"/>
      <sheetName val="151734"/>
      <sheetName val="151736"/>
      <sheetName val="151380"/>
      <sheetName val="151803"/>
      <sheetName val="151805"/>
      <sheetName val="151818"/>
      <sheetName val="151819"/>
      <sheetName val="151912"/>
      <sheetName val="151820"/>
      <sheetName val="151826"/>
      <sheetName val="151828"/>
      <sheetName val="151830"/>
      <sheetName val="151832"/>
      <sheetName val="151834"/>
      <sheetName val="151836"/>
      <sheetName val="151848"/>
      <sheetName val="151852"/>
      <sheetName val="151868"/>
      <sheetName val="151876"/>
      <sheetName val="151880"/>
      <sheetName val="151882"/>
      <sheetName val="151888"/>
      <sheetName val="151900"/>
      <sheetName val="151902"/>
      <sheetName val="151917"/>
      <sheetName val="151919"/>
      <sheetName val="151934"/>
      <sheetName val="151510"/>
      <sheetName val="151525"/>
      <sheetName val="232045"/>
      <sheetName val="232065"/>
      <sheetName val="186227"/>
      <sheetName val="186271"/>
      <sheetName val="232070"/>
      <sheetName val="232085"/>
      <sheetName val="232090"/>
      <sheetName val="WA AMORT"/>
      <sheetName val="151385"/>
      <sheetName val="151817"/>
      <sheetName val="151914"/>
      <sheetName val="151822"/>
      <sheetName val="151824"/>
      <sheetName val="151890"/>
      <sheetName val="151892"/>
      <sheetName val="151894"/>
      <sheetName val="151896"/>
      <sheetName val="151918"/>
      <sheetName val="151545"/>
      <sheetName val="151555"/>
      <sheetName val="232050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232075"/>
      <sheetName val="186027"/>
      <sheetName val="151916"/>
      <sheetName val="Storage Credit 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D6">
            <v>3312013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Change Control Tab"/>
      <sheetName val="Totals from Amort Schedules"/>
      <sheetName val="CIS Data"/>
      <sheetName val="UNBILLED BLOCK MODEL"/>
      <sheetName val="Old Journal Page"/>
      <sheetName val="Journal Page"/>
      <sheetName val="OR AMORT"/>
      <sheetName val="151862 SEC Defer Int Amort"/>
      <sheetName val="151734"/>
      <sheetName val="151736"/>
      <sheetName val="151380"/>
      <sheetName val="151803"/>
      <sheetName val="151805"/>
      <sheetName val="151820"/>
      <sheetName val="151828"/>
      <sheetName val="151832"/>
      <sheetName val="151836"/>
      <sheetName val="151848"/>
      <sheetName val="151852"/>
      <sheetName val="151868"/>
      <sheetName val="151880"/>
      <sheetName val="151882"/>
      <sheetName val="151888"/>
      <sheetName val="151900"/>
      <sheetName val="151902"/>
      <sheetName val="151912"/>
      <sheetName val="151934"/>
      <sheetName val="151942"/>
      <sheetName val="151943"/>
      <sheetName val="151944"/>
      <sheetName val="151510"/>
      <sheetName val="151525"/>
      <sheetName val="232065"/>
      <sheetName val="186227"/>
      <sheetName val="186271"/>
      <sheetName val="232070"/>
      <sheetName val="232085"/>
      <sheetName val="232090"/>
      <sheetName val="151819"/>
      <sheetName val="WA AMORT"/>
      <sheetName val="151385"/>
      <sheetName val="151824"/>
      <sheetName val="151829"/>
      <sheetName val="151892"/>
      <sheetName val="151889"/>
      <sheetName val="151894"/>
      <sheetName val="151914"/>
      <sheetName val="151545"/>
      <sheetName val="151555"/>
      <sheetName val="232050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186027"/>
      <sheetName val="151916"/>
      <sheetName val="151817"/>
      <sheetName val="Storage Credit 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>
        <row r="6">
          <cell r="D6">
            <v>3312013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37">
          <cell r="AC137">
            <v>-9221.8900000000012</v>
          </cell>
        </row>
      </sheetData>
      <sheetData sheetId="42" refreshError="1"/>
      <sheetData sheetId="43" refreshError="1"/>
      <sheetData sheetId="44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Change Control Tab"/>
      <sheetName val="Totals from Amort Schedules"/>
      <sheetName val="CIS Data"/>
      <sheetName val="UNBILLED BLOCK MODEL"/>
      <sheetName val="Old Journal Page"/>
      <sheetName val="Journal Page"/>
      <sheetName val="OR AMORT"/>
      <sheetName val="151816 Int Res"/>
      <sheetName val="151862 SEC Defer Int Amort"/>
      <sheetName val="151734"/>
      <sheetName val="151736"/>
      <sheetName val="151380"/>
      <sheetName val="151803"/>
      <sheetName val="151805"/>
      <sheetName val="151818"/>
      <sheetName val="151912"/>
      <sheetName val="151820"/>
      <sheetName val="151826"/>
      <sheetName val="151828"/>
      <sheetName val="151830"/>
      <sheetName val="151832"/>
      <sheetName val="151834"/>
      <sheetName val="151836"/>
      <sheetName val="151848"/>
      <sheetName val="151852"/>
      <sheetName val="151868"/>
      <sheetName val="151876"/>
      <sheetName val="151880"/>
      <sheetName val="151882"/>
      <sheetName val="151888"/>
      <sheetName val="151900"/>
      <sheetName val="151902"/>
      <sheetName val="151917"/>
      <sheetName val="151919"/>
      <sheetName val="151934"/>
      <sheetName val="151510"/>
      <sheetName val="151525"/>
      <sheetName val="232045"/>
      <sheetName val="232065"/>
      <sheetName val="186227"/>
      <sheetName val="186271"/>
      <sheetName val="232070"/>
      <sheetName val="232085"/>
      <sheetName val="232090"/>
      <sheetName val="151819"/>
      <sheetName val="WA AMORT"/>
      <sheetName val="151385"/>
      <sheetName val="151914"/>
      <sheetName val="151822"/>
      <sheetName val="151824"/>
      <sheetName val="151827"/>
      <sheetName val="151887"/>
      <sheetName val="151890"/>
      <sheetName val="151892"/>
      <sheetName val="151894"/>
      <sheetName val="151896"/>
      <sheetName val="151918"/>
      <sheetName val="151545"/>
      <sheetName val="151555"/>
      <sheetName val="232050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232075"/>
      <sheetName val="186027"/>
      <sheetName val="151916"/>
      <sheetName val="151817"/>
      <sheetName val="Storage Credit 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D6">
            <v>3312013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30">
          <cell r="AB130">
            <v>-25112.339999999989</v>
          </cell>
        </row>
        <row r="136">
          <cell r="AB136">
            <v>14388.71</v>
          </cell>
        </row>
      </sheetData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1011"/>
      <sheetName val="OR Amort Rates1011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86237 Amort PUC Fee"/>
      <sheetName val="186233 Amort Ind DSM"/>
      <sheetName val="186307 Amort AMR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0 WA Furn now EE GEN"/>
      <sheetName val="186312 WA EE (ETO)"/>
      <sheetName val="186316 WA Amort catchall"/>
      <sheetName val="186314 WA LIEE"/>
      <sheetName val="186315 WA Amort WA LIEE"/>
      <sheetName val="186234 GREAT"/>
      <sheetName val="186235 GREAT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E3">
            <v>2.24E-2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dec 09 balances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2.24E-2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dec 09 balances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2.24E-2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  <sheetName val="Pipeline Charges:Summary"/>
      <sheetName val="Pipeline Charges:Wacog"/>
    </sheetNames>
    <sheetDataSet>
      <sheetData sheetId="0"/>
      <sheetData sheetId="1"/>
      <sheetData sheetId="2"/>
      <sheetData sheetId="3"/>
      <sheetData sheetId="4" refreshError="1">
        <row r="3">
          <cell r="B3" t="str">
            <v>PIPELINE CHARGES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5">
          <cell r="B5" t="str">
            <v>CURSOR AT A3</v>
          </cell>
        </row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4">
          <cell r="B4" t="str">
            <v>CURFSOR AT q93</v>
          </cell>
        </row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3">
          <cell r="K3">
            <v>0</v>
          </cell>
        </row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3">
          <cell r="C3" t="str">
            <v>From Dispatch</v>
          </cell>
        </row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>
        <row r="3">
          <cell r="A3" t="str">
            <v xml:space="preserve"> </v>
          </cell>
        </row>
        <row r="38">
          <cell r="B38" t="str">
            <v>TOTAL DEMAND</v>
          </cell>
          <cell r="E38">
            <v>83129577.644173995</v>
          </cell>
        </row>
        <row r="41">
          <cell r="B41" t="str">
            <v>COMMODITY CHARGES</v>
          </cell>
        </row>
        <row r="42">
          <cell r="B42" t="str">
            <v>COMMODITY COSTS</v>
          </cell>
        </row>
        <row r="43">
          <cell r="B43" t="str">
            <v>VOLUMETRIC COST</v>
          </cell>
        </row>
        <row r="44">
          <cell r="B44" t="str">
            <v>TOTAL WACOG</v>
          </cell>
          <cell r="C44">
            <v>733353247.03401208</v>
          </cell>
          <cell r="D44">
            <v>0.33773999999999998</v>
          </cell>
          <cell r="E44">
            <v>247682725.65326723</v>
          </cell>
        </row>
      </sheetData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  <sheetName val="Pipeline Charges:Summary"/>
      <sheetName val="Pipeline Charges:Wacog"/>
    </sheetNames>
    <sheetDataSet>
      <sheetData sheetId="0"/>
      <sheetData sheetId="1"/>
      <sheetData sheetId="2"/>
      <sheetData sheetId="3"/>
      <sheetData sheetId="4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2.32 ANALYSIS"/>
      <sheetName val="WORKSHEET"/>
      <sheetName val="MAIN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Officers"/>
      <sheetName val="Exempt"/>
      <sheetName val="Office"/>
      <sheetName val="Field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  <sheetName val="page1:CLP with elas"/>
      <sheetName val="New SMPE:Proposed 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</sheetData>
      <sheetData sheetId="16">
        <row r="1">
          <cell r="A1" t="str">
            <v>NW Natural</v>
          </cell>
        </row>
      </sheetData>
      <sheetData sheetId="17">
        <row r="2">
          <cell r="A2" t="str">
            <v>NW Natural</v>
          </cell>
        </row>
      </sheetData>
      <sheetData sheetId="18">
        <row r="1">
          <cell r="A1" t="str">
            <v>NW Natural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  <sheetName val="page1:CLP with elas"/>
      <sheetName val="New SMPE:Proposed 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</sheetData>
      <sheetData sheetId="16">
        <row r="1">
          <cell r="A1" t="str">
            <v>NW Natural</v>
          </cell>
        </row>
      </sheetData>
      <sheetData sheetId="17">
        <row r="2">
          <cell r="A2" t="str">
            <v>NW Natural</v>
          </cell>
        </row>
      </sheetData>
      <sheetData sheetId="18">
        <row r="1">
          <cell r="A1" t="str">
            <v>NW Natural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  <sheetName val="Conversion Pivot"/>
    </sheetNames>
    <sheetDataSet>
      <sheetData sheetId="0"/>
      <sheetData sheetId="1"/>
      <sheetData sheetId="2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  <sheetName val="Conversion Pivot"/>
    </sheetNames>
    <sheetDataSet>
      <sheetData sheetId="0"/>
      <sheetData sheetId="1"/>
      <sheetData sheetId="2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Income Model"/>
      <sheetName val="Export to REV-0 in margin model"/>
      <sheetName val="Volumes from Margin Model"/>
      <sheetName val="WA Amort Rates0708"/>
      <sheetName val="OR Amort Rates0708"/>
      <sheetName val="Balances"/>
      <sheetName val="Accum"/>
      <sheetName val="Amort"/>
      <sheetName val="Transfers"/>
      <sheetName val="Interest"/>
      <sheetName val="Check"/>
      <sheetName val="186291"/>
      <sheetName val="186292"/>
      <sheetName val="186229"/>
      <sheetName val="186259"/>
      <sheetName val="186275"/>
      <sheetName val="186277"/>
      <sheetName val="186270"/>
      <sheetName val="186271"/>
      <sheetName val="186276"/>
      <sheetName val="186286"/>
      <sheetName val="186278"/>
      <sheetName val="186288"/>
      <sheetName val="186231"/>
      <sheetName val="186267"/>
      <sheetName val="191400"/>
      <sheetName val="191401"/>
      <sheetName val="191410"/>
      <sheetName val="191411"/>
      <sheetName val="191031"/>
      <sheetName val="191450"/>
      <sheetName val="191417"/>
      <sheetName val="186311"/>
      <sheetName val="186312"/>
      <sheetName val="186314"/>
      <sheetName val="186316"/>
      <sheetName val="191420"/>
      <sheetName val="191421"/>
      <sheetName val="191430"/>
      <sheetName val="191431"/>
      <sheetName val="191432"/>
      <sheetName val="186302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F1">
            <v>6.7699999999999996E-2</v>
          </cell>
        </row>
      </sheetData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>
            <v>3.2500000000000001E-2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>
            <v>3.2500000000000001E-2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Total Commodity Summary old"/>
      <sheetName val="Commodity Cost from Vol Pipe"/>
      <sheetName val="download for JV28A"/>
      <sheetName val="Commodity Cost from Supply VERT"/>
      <sheetName val="Hedged Spot Dispatch &amp; Cost"/>
      <sheetName val="Commodity Cost from Supply"/>
      <sheetName val="Commodity Supply Dispatch"/>
      <sheetName val="Commodity Cost from Gas Reserve"/>
      <sheetName val="Gas Reserves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Gas Reserve Data"/>
      <sheetName val="Spot contracts"/>
      <sheetName val="Supply Contracts"/>
      <sheetName val="COG Inputs -FCST MGN file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E10">
            <v>4.3720000000000002E-2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ost and Revenues"/>
      <sheetName val="Aver Bill by RS"/>
      <sheetName val="Deferral"/>
      <sheetName val="Fixed Credits"/>
      <sheetName val="Volumes"/>
      <sheetName val="Tables for Filing"/>
      <sheetName val="Customer Impacts_DNU"/>
      <sheetName val="2024 Volumes"/>
      <sheetName val="2025 Volumes"/>
    </sheetNames>
    <sheetDataSet>
      <sheetData sheetId="0"/>
      <sheetData sheetId="1"/>
      <sheetData sheetId="2">
        <row r="13">
          <cell r="J13">
            <v>1.816614207786148</v>
          </cell>
        </row>
        <row r="14">
          <cell r="J14">
            <v>5.3425825423278139</v>
          </cell>
        </row>
        <row r="15">
          <cell r="J15">
            <v>10.540904108741115</v>
          </cell>
        </row>
        <row r="16">
          <cell r="J16">
            <v>48.320758584764796</v>
          </cell>
        </row>
        <row r="17">
          <cell r="J17">
            <v>129.16257090345997</v>
          </cell>
        </row>
        <row r="18">
          <cell r="J18">
            <v>0</v>
          </cell>
        </row>
        <row r="19">
          <cell r="J19">
            <v>515.08785319123695</v>
          </cell>
        </row>
        <row r="22">
          <cell r="J22">
            <v>622.72278920943302</v>
          </cell>
        </row>
        <row r="25">
          <cell r="J25">
            <v>515.08785319123695</v>
          </cell>
        </row>
        <row r="28">
          <cell r="J28">
            <v>622.72278920943302</v>
          </cell>
        </row>
        <row r="31">
          <cell r="J31">
            <v>515.08785319123695</v>
          </cell>
        </row>
        <row r="34">
          <cell r="J34">
            <v>622.72278920943302</v>
          </cell>
        </row>
        <row r="37">
          <cell r="J37">
            <v>5142.2693365131181</v>
          </cell>
        </row>
        <row r="44">
          <cell r="J44">
            <v>3945.7691048183847</v>
          </cell>
        </row>
        <row r="51">
          <cell r="J51">
            <v>5142.2693365131181</v>
          </cell>
        </row>
        <row r="58">
          <cell r="J58">
            <v>3945.7691048183847</v>
          </cell>
        </row>
        <row r="65">
          <cell r="J65">
            <v>5142.2693365131181</v>
          </cell>
        </row>
        <row r="72">
          <cell r="J72">
            <v>3945.7691048183847</v>
          </cell>
        </row>
        <row r="79">
          <cell r="J79">
            <v>5142.2693365131181</v>
          </cell>
        </row>
        <row r="86">
          <cell r="J86">
            <v>3945.7691048183847</v>
          </cell>
        </row>
        <row r="93">
          <cell r="J93"/>
        </row>
        <row r="94">
          <cell r="J94"/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Summary by Month"/>
      <sheetName val="WA AMORT 2024-25"/>
      <sheetName val="PGA Summary"/>
      <sheetName val="151822 GREAT"/>
      <sheetName val="151824 GREAT AMORT"/>
      <sheetName val="151890 WA-LIEE"/>
      <sheetName val="151892 WA-LIEE  AMORT"/>
      <sheetName val="151894 Historical DSM Amort"/>
      <sheetName val="151898 WA EE True-Up"/>
      <sheetName val="151540 Defer WACOG"/>
      <sheetName val="151941 WA Tariffs"/>
      <sheetName val="151545 Amort WACOG"/>
      <sheetName val="151550 Defer Demand"/>
      <sheetName val="151555 Amort Demand"/>
      <sheetName val="232035 Storage Sharing"/>
      <sheetName val="232050 Amort Gain on Prop"/>
      <sheetName val="232075 Defer WA Property Sales"/>
      <sheetName val="151827 WUTC Defer"/>
      <sheetName val="151829 WUTC Fee Amort"/>
      <sheetName val="151887 WA EE Audit Defer"/>
      <sheetName val="151889 WA EE Audit AMORT"/>
      <sheetName val="151914 Rate Mitigation Amort"/>
      <sheetName val="151884 Participatory Fund Defer"/>
      <sheetName val="151823 Demand Response Defer"/>
      <sheetName val="186310 Energy Eff General"/>
      <sheetName val="186312 Energy Eff Res &amp; Comm"/>
      <sheetName val="186311 Furnace Program"/>
      <sheetName val="186317 Historical DSM"/>
      <sheetName val="254307 PROP SALES"/>
      <sheetName val="254317 PROP SLS AMORT"/>
      <sheetName val="191432"/>
    </sheetNames>
    <sheetDataSet>
      <sheetData sheetId="0"/>
      <sheetData sheetId="1">
        <row r="82">
          <cell r="AE82">
            <v>1707.2200000000003</v>
          </cell>
          <cell r="AF82">
            <v>-576.28</v>
          </cell>
          <cell r="AG82">
            <v>-1750.6800000000003</v>
          </cell>
          <cell r="AH82">
            <v>-816.13</v>
          </cell>
          <cell r="AQ82">
            <v>901.61</v>
          </cell>
          <cell r="AR82">
            <v>-350.21</v>
          </cell>
          <cell r="AS82">
            <v>-546.44000000000005</v>
          </cell>
          <cell r="AT82">
            <v>-436.51</v>
          </cell>
        </row>
      </sheetData>
      <sheetData sheetId="2">
        <row r="16">
          <cell r="J16">
            <v>744450</v>
          </cell>
        </row>
      </sheetData>
      <sheetData sheetId="3">
        <row r="218">
          <cell r="I218">
            <v>585080.04999999981</v>
          </cell>
        </row>
        <row r="219">
          <cell r="G219">
            <v>3656.75</v>
          </cell>
        </row>
        <row r="220">
          <cell r="G220">
            <v>3679.61</v>
          </cell>
        </row>
      </sheetData>
      <sheetData sheetId="4">
        <row r="219">
          <cell r="I219">
            <v>159153.54643603571</v>
          </cell>
        </row>
        <row r="220">
          <cell r="D220">
            <v>-24624.870000000003</v>
          </cell>
          <cell r="G220">
            <v>917.76</v>
          </cell>
        </row>
        <row r="221">
          <cell r="D221">
            <v>-13597.850000000002</v>
          </cell>
          <cell r="G221">
            <v>804.05</v>
          </cell>
        </row>
      </sheetData>
      <sheetData sheetId="5">
        <row r="242">
          <cell r="X242">
            <v>97391.199999999924</v>
          </cell>
        </row>
        <row r="243">
          <cell r="G243">
            <v>608.69000000000005</v>
          </cell>
        </row>
        <row r="244">
          <cell r="G244">
            <v>612.5</v>
          </cell>
        </row>
      </sheetData>
      <sheetData sheetId="6">
        <row r="205">
          <cell r="I205">
            <v>21490.910100000096</v>
          </cell>
        </row>
        <row r="206">
          <cell r="D206">
            <v>-3281.6</v>
          </cell>
          <cell r="G206">
            <v>124.06</v>
          </cell>
        </row>
        <row r="207">
          <cell r="D207">
            <v>-1811.6200000000001</v>
          </cell>
          <cell r="G207">
            <v>108.92</v>
          </cell>
        </row>
      </sheetData>
      <sheetData sheetId="7">
        <row r="259">
          <cell r="I259">
            <v>59658.208188029967</v>
          </cell>
        </row>
        <row r="260">
          <cell r="D260">
            <v>-11175.609999999999</v>
          </cell>
          <cell r="G260">
            <v>337.94</v>
          </cell>
        </row>
        <row r="261">
          <cell r="D261">
            <v>-6263.579999999999</v>
          </cell>
          <cell r="G261">
            <v>285.55</v>
          </cell>
        </row>
      </sheetData>
      <sheetData sheetId="8">
        <row r="87">
          <cell r="G87">
            <v>108574.00305196176</v>
          </cell>
        </row>
        <row r="88">
          <cell r="D88">
            <v>-137088.38000000003</v>
          </cell>
        </row>
        <row r="89">
          <cell r="D89">
            <v>-76835.919999999984</v>
          </cell>
        </row>
      </sheetData>
      <sheetData sheetId="9">
        <row r="242">
          <cell r="G242">
            <v>-63612.63</v>
          </cell>
          <cell r="I242">
            <v>-10533163.483584771</v>
          </cell>
        </row>
        <row r="243">
          <cell r="G243">
            <v>-65832.27</v>
          </cell>
        </row>
      </sheetData>
      <sheetData sheetId="10"/>
      <sheetData sheetId="11">
        <row r="259">
          <cell r="I259">
            <v>-1854493.9615735998</v>
          </cell>
        </row>
        <row r="260">
          <cell r="D260">
            <v>290187.96999999997</v>
          </cell>
          <cell r="G260">
            <v>-10683.75</v>
          </cell>
        </row>
        <row r="261">
          <cell r="D261">
            <v>154325.26</v>
          </cell>
          <cell r="G261">
            <v>-9361.42</v>
          </cell>
        </row>
      </sheetData>
      <sheetData sheetId="12">
        <row r="242">
          <cell r="I242">
            <v>669608.69159762096</v>
          </cell>
        </row>
        <row r="243">
          <cell r="G243">
            <v>4185.05</v>
          </cell>
        </row>
        <row r="244">
          <cell r="G244">
            <v>4211.21</v>
          </cell>
        </row>
      </sheetData>
      <sheetData sheetId="13">
        <row r="259">
          <cell r="I259">
            <v>-1113718.0518584608</v>
          </cell>
        </row>
        <row r="260">
          <cell r="D260">
            <v>47715.8</v>
          </cell>
          <cell r="G260">
            <v>-6811.63</v>
          </cell>
        </row>
        <row r="261">
          <cell r="D261">
            <v>24750.930000000004</v>
          </cell>
          <cell r="G261">
            <v>-6627.74</v>
          </cell>
        </row>
      </sheetData>
      <sheetData sheetId="14">
        <row r="241">
          <cell r="G241">
            <v>-1912909.8400000003</v>
          </cell>
        </row>
      </sheetData>
      <sheetData sheetId="15">
        <row r="76">
          <cell r="I76">
            <v>-11226.409123499925</v>
          </cell>
        </row>
        <row r="77">
          <cell r="D77">
            <v>1707.2200000000003</v>
          </cell>
          <cell r="G77">
            <v>-64.83</v>
          </cell>
        </row>
        <row r="78">
          <cell r="D78">
            <v>901.61</v>
          </cell>
          <cell r="G78">
            <v>-57.08</v>
          </cell>
        </row>
      </sheetData>
      <sheetData sheetId="16"/>
      <sheetData sheetId="17"/>
      <sheetData sheetId="18">
        <row r="223">
          <cell r="J223">
            <v>2782.7999999999683</v>
          </cell>
        </row>
        <row r="224">
          <cell r="D224">
            <v>-816.13</v>
          </cell>
          <cell r="G224">
            <v>14.84</v>
          </cell>
        </row>
        <row r="225">
          <cell r="D225">
            <v>-436.51</v>
          </cell>
          <cell r="G225">
            <v>11.02</v>
          </cell>
        </row>
      </sheetData>
      <sheetData sheetId="19">
        <row r="221">
          <cell r="I221">
            <v>-21556.77</v>
          </cell>
        </row>
        <row r="222">
          <cell r="G222">
            <v>-134.72999999999999</v>
          </cell>
        </row>
        <row r="223">
          <cell r="G223">
            <v>-135.57</v>
          </cell>
        </row>
      </sheetData>
      <sheetData sheetId="20">
        <row r="223">
          <cell r="J223">
            <v>30741.759999999998</v>
          </cell>
        </row>
        <row r="224">
          <cell r="D224">
            <v>-1750.6800000000003</v>
          </cell>
          <cell r="G224">
            <v>186.67</v>
          </cell>
        </row>
        <row r="225">
          <cell r="D225">
            <v>-546.44000000000005</v>
          </cell>
          <cell r="G225">
            <v>180.65</v>
          </cell>
        </row>
      </sheetData>
      <sheetData sheetId="21">
        <row r="223">
          <cell r="F223">
            <v>4.5699999999999998E-2</v>
          </cell>
          <cell r="I223">
            <v>5025.4758480155888</v>
          </cell>
        </row>
        <row r="224">
          <cell r="D224">
            <v>-576.28</v>
          </cell>
          <cell r="G224">
            <v>18.04</v>
          </cell>
        </row>
        <row r="225">
          <cell r="D225">
            <v>-350.21</v>
          </cell>
          <cell r="G225">
            <v>16.350000000000001</v>
          </cell>
        </row>
      </sheetData>
      <sheetData sheetId="22">
        <row r="222">
          <cell r="J222">
            <v>0</v>
          </cell>
        </row>
        <row r="223">
          <cell r="G223">
            <v>0</v>
          </cell>
        </row>
        <row r="224">
          <cell r="G224">
            <v>0</v>
          </cell>
        </row>
      </sheetData>
      <sheetData sheetId="23">
        <row r="221">
          <cell r="J221">
            <v>136996.75999999998</v>
          </cell>
        </row>
        <row r="222">
          <cell r="G222">
            <v>536.23</v>
          </cell>
        </row>
        <row r="223">
          <cell r="G223">
            <v>538.33000000000004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equal ¢ per therm"/>
      <sheetName val="Allocation = % of revenue"/>
      <sheetName val="Rates in detail"/>
      <sheetName val="Allocation = % of margin"/>
      <sheetName val="Permanents"/>
      <sheetName val="Temporaries"/>
      <sheetName val="Rates in summary"/>
      <sheetName val="Avg Bill by RS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/>
      <sheetData sheetId="2">
        <row r="85">
          <cell r="M85">
            <v>90908754.476871997</v>
          </cell>
        </row>
        <row r="86">
          <cell r="M86">
            <v>11239544.658402635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ison to current WA"/>
      <sheetName val="Winter WACOG WA"/>
      <sheetName val="Derivation of Demand rates WA"/>
      <sheetName val="Demand Charges"/>
      <sheetName val="Total Commodity Summary"/>
      <sheetName val="RNG RTC Costs - HC"/>
      <sheetName val="Commodity Cost from Vol Pipe"/>
      <sheetName val="Hedged Spot Dispatch &amp; Cost"/>
      <sheetName val="Commodity Cost from Supply"/>
      <sheetName val="Commodity Supply Dispatch"/>
      <sheetName val="download for JV28A"/>
      <sheetName val="Commodity Cost from Supply VERT"/>
      <sheetName val="Commodity Cost from RNG"/>
      <sheetName val="RNG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</sheetNames>
    <sheetDataSet>
      <sheetData sheetId="0"/>
      <sheetData sheetId="1"/>
      <sheetData sheetId="2">
        <row r="20">
          <cell r="F20">
            <v>0.10032000000000001</v>
          </cell>
        </row>
      </sheetData>
      <sheetData sheetId="3"/>
      <sheetData sheetId="4">
        <row r="59">
          <cell r="P59">
            <v>0.40640999999999999</v>
          </cell>
        </row>
      </sheetData>
      <sheetData sheetId="5">
        <row r="4">
          <cell r="AE4">
            <v>151557.16119633711</v>
          </cell>
        </row>
      </sheetData>
      <sheetData sheetId="6">
        <row r="30">
          <cell r="F30">
            <v>87590</v>
          </cell>
        </row>
      </sheetData>
      <sheetData sheetId="7">
        <row r="20">
          <cell r="D20">
            <v>30</v>
          </cell>
        </row>
      </sheetData>
      <sheetData sheetId="8">
        <row r="17">
          <cell r="CG17">
            <v>10104560.629507305</v>
          </cell>
        </row>
      </sheetData>
      <sheetData sheetId="9"/>
      <sheetData sheetId="10"/>
      <sheetData sheetId="11">
        <row r="111">
          <cell r="U111">
            <v>80727602.781165048</v>
          </cell>
        </row>
      </sheetData>
      <sheetData sheetId="12">
        <row r="38">
          <cell r="D38">
            <v>0</v>
          </cell>
        </row>
      </sheetData>
      <sheetData sheetId="13">
        <row r="34">
          <cell r="K34">
            <v>0</v>
          </cell>
        </row>
      </sheetData>
      <sheetData sheetId="14">
        <row r="34">
          <cell r="D34">
            <v>0</v>
          </cell>
        </row>
      </sheetData>
      <sheetData sheetId="15">
        <row r="16">
          <cell r="F16">
            <v>0</v>
          </cell>
        </row>
      </sheetData>
      <sheetData sheetId="16">
        <row r="13">
          <cell r="E13">
            <v>0.19319999999999998</v>
          </cell>
        </row>
      </sheetData>
      <sheetData sheetId="17"/>
      <sheetData sheetId="18">
        <row r="12">
          <cell r="F12">
            <v>0.98613150000000005</v>
          </cell>
        </row>
      </sheetData>
      <sheetData sheetId="19">
        <row r="10">
          <cell r="E10">
            <v>4.3568999999999997E-2</v>
          </cell>
        </row>
        <row r="77">
          <cell r="E77">
            <v>0.10337</v>
          </cell>
        </row>
        <row r="78">
          <cell r="E78">
            <v>3.6119999999999999E-2</v>
          </cell>
        </row>
      </sheetData>
      <sheetData sheetId="20"/>
      <sheetData sheetId="21">
        <row r="1">
          <cell r="A1" t="str">
            <v>NW Natural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 Upload"/>
      <sheetName val="UNBILLED BLOCK MODEL"/>
      <sheetName val="Totals from Amort Schedules"/>
      <sheetName val="Old Journal Page"/>
      <sheetName val="CIS Data"/>
      <sheetName val="Journal Page"/>
      <sheetName val="OR AMORT"/>
      <sheetName val="186231 Int Res"/>
      <sheetName val="186274 SEC Defer Int Amort"/>
      <sheetName val="186183"/>
      <sheetName val="186232"/>
      <sheetName val="186236"/>
      <sheetName val="186233"/>
      <sheetName val="186237"/>
      <sheetName val="186238"/>
      <sheetName val="186239"/>
      <sheetName val="186244"/>
      <sheetName val="186245"/>
      <sheetName val="186266"/>
      <sheetName val="186269"/>
      <sheetName val="186277"/>
      <sheetName val="186286"/>
      <sheetName val="186288"/>
      <sheetName val="186311"/>
      <sheetName val="186320"/>
      <sheetName val="186321"/>
      <sheetName val="186424"/>
      <sheetName val="191401"/>
      <sheetName val="191411"/>
      <sheetName val="254305"/>
      <sheetName val="254313"/>
      <sheetName val="186227"/>
      <sheetName val="186271"/>
      <sheetName val="254315"/>
      <sheetName val="254320"/>
      <sheetName val="254321"/>
      <sheetName val="WA AMORT"/>
      <sheetName val="186184"/>
      <sheetName val="186234"/>
      <sheetName val="186235"/>
      <sheetName val="186314"/>
      <sheetName val="186315"/>
      <sheetName val="186316"/>
      <sheetName val="186317"/>
      <sheetName val="186423"/>
      <sheetName val="191421"/>
      <sheetName val="191431"/>
      <sheetName val="254307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254317"/>
      <sheetName val="186027"/>
      <sheetName val="186422"/>
      <sheetName val="254121"/>
      <sheetName val="Storage Credit "/>
      <sheetName val="Change Control Tab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32">
          <cell r="AB132">
            <v>-88002.670000000027</v>
          </cell>
        </row>
        <row r="136">
          <cell r="AB136">
            <v>35414.700000000019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Journal Page"/>
      <sheetName val="151827"/>
      <sheetName val="Deferral Calc"/>
      <sheetName val="151845 - Accrual Account"/>
    </sheetNames>
    <sheetDataSet>
      <sheetData sheetId="0"/>
      <sheetData sheetId="1"/>
      <sheetData sheetId="2"/>
      <sheetData sheetId="3"/>
      <sheetData sheetId="4"/>
      <sheetData sheetId="5">
        <row r="193">
          <cell r="D193">
            <v>210823.5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Change Control Tab"/>
      <sheetName val="Totals from Amort Schedules"/>
      <sheetName val="Journal Page"/>
      <sheetName val="UNBILLED BLOCK MODEL"/>
      <sheetName val="CIS Data"/>
      <sheetName val="Old Journal Page"/>
      <sheetName val="OR AMORT"/>
      <sheetName val="151862 SEC Defer Int Amort"/>
      <sheetName val="151734"/>
      <sheetName val="151736"/>
      <sheetName val="151380"/>
      <sheetName val="151803"/>
      <sheetName val="151805"/>
      <sheetName val="151820"/>
      <sheetName val="151828"/>
      <sheetName val="151832"/>
      <sheetName val="151836"/>
      <sheetName val="151848"/>
      <sheetName val="151852"/>
      <sheetName val="151868"/>
      <sheetName val="151880"/>
      <sheetName val="151882"/>
      <sheetName val="151888"/>
      <sheetName val="151900"/>
      <sheetName val="151902"/>
      <sheetName val="151912"/>
      <sheetName val="151934"/>
      <sheetName val="151942"/>
      <sheetName val="151943"/>
      <sheetName val="151944"/>
      <sheetName val="232065"/>
      <sheetName val="232070"/>
      <sheetName val="232094"/>
      <sheetName val="151510"/>
      <sheetName val="151525"/>
      <sheetName val="186227"/>
      <sheetName val="186271"/>
      <sheetName val="232085"/>
      <sheetName val="232090"/>
      <sheetName val="151819"/>
      <sheetName val="WA AMORT"/>
      <sheetName val="151385"/>
      <sheetName val="151824"/>
      <sheetName val="151829"/>
      <sheetName val="151892"/>
      <sheetName val="151889"/>
      <sheetName val="151894"/>
      <sheetName val="151914"/>
      <sheetName val="151545"/>
      <sheetName val="151555"/>
      <sheetName val="232050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186027"/>
      <sheetName val="151916"/>
      <sheetName val="151817"/>
      <sheetName val="Storage Credit "/>
      <sheetName val="Documentation"/>
      <sheetName val="FERC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AU87">
            <v>83731.820000000007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29">
          <cell r="AC129">
            <v>-63335.560000000012</v>
          </cell>
        </row>
        <row r="136">
          <cell r="AC136">
            <v>-1658.9599999999998</v>
          </cell>
        </row>
        <row r="137">
          <cell r="AC137">
            <v>-2101.8500000000004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-02 ECRM"/>
      <sheetName val="25-04 R&amp;C Eng. Effic."/>
      <sheetName val="25-05 GREAT &amp; WA-LIEE"/>
      <sheetName val="20-8 Interim Tax Deferral"/>
      <sheetName val="25-06 Regulatory Fee"/>
      <sheetName val="25-06 Rate Mitigation"/>
      <sheetName val="25-06 Property Sales"/>
      <sheetName val="25-06 Industrial EE Audit"/>
      <sheetName val="25-06 Residual"/>
      <sheetName val="25-07 Mist Recall"/>
      <sheetName val="25-08 PGA"/>
      <sheetName val="25-08 Combined"/>
      <sheetName val="Revenue Senstive"/>
      <sheetName val="CCA Recovery"/>
      <sheetName val="Res. Bill Discount"/>
    </sheetNames>
    <sheetDataSet>
      <sheetData sheetId="0">
        <row r="3">
          <cell r="A3" t="str">
            <v xml:space="preserve">2025-26 Washington: September Filing </v>
          </cell>
        </row>
      </sheetData>
      <sheetData sheetId="1"/>
      <sheetData sheetId="2"/>
      <sheetData sheetId="3"/>
      <sheetData sheetId="4">
        <row r="12">
          <cell r="F12">
            <v>-28382</v>
          </cell>
        </row>
        <row r="15">
          <cell r="F15">
            <v>1694</v>
          </cell>
        </row>
      </sheetData>
      <sheetData sheetId="5">
        <row r="12">
          <cell r="F12">
            <v>-70974</v>
          </cell>
        </row>
        <row r="15">
          <cell r="F15">
            <v>19399</v>
          </cell>
        </row>
      </sheetData>
      <sheetData sheetId="6">
        <row r="12">
          <cell r="F12">
            <v>56576</v>
          </cell>
          <cell r="H12" t="str">
            <v>NWN 2024-25 PGA WA Rate Development_September Filing.xlsx</v>
          </cell>
        </row>
        <row r="15">
          <cell r="F15">
            <v>-9512</v>
          </cell>
          <cell r="H15" t="str">
            <v>NWN 2025-26 PGA WA Rate Development September Filing.xlsx</v>
          </cell>
        </row>
      </sheetData>
      <sheetData sheetId="7">
        <row r="12">
          <cell r="F12">
            <v>-24811</v>
          </cell>
        </row>
        <row r="15">
          <cell r="F15">
            <v>7603</v>
          </cell>
        </row>
      </sheetData>
      <sheetData sheetId="8"/>
      <sheetData sheetId="9"/>
      <sheetData sheetId="10"/>
      <sheetData sheetId="11">
        <row r="36">
          <cell r="B36" t="str">
            <v>2024 Washington CBR Normalized Total Revenues</v>
          </cell>
          <cell r="F36">
            <v>109949934.64991099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F927-83EC-4496-BAEA-2E1F7409CF7B}">
  <sheetPr>
    <tabColor theme="0" tint="-0.14999847407452621"/>
    <pageSetUpPr fitToPage="1"/>
  </sheetPr>
  <dimension ref="A1:AM90"/>
  <sheetViews>
    <sheetView view="pageLayout" topLeftCell="S1" zoomScaleNormal="100" workbookViewId="0">
      <selection activeCell="F38" sqref="F38"/>
    </sheetView>
  </sheetViews>
  <sheetFormatPr defaultColWidth="8.453125" defaultRowHeight="14.5" outlineLevelCol="1" x14ac:dyDescent="0.35"/>
  <cols>
    <col min="1" max="1" width="3.453125" style="5" customWidth="1"/>
    <col min="2" max="2" width="14.26953125" style="5" bestFit="1" customWidth="1"/>
    <col min="3" max="3" width="8.54296875" style="5" customWidth="1"/>
    <col min="4" max="4" width="14.453125" style="5" customWidth="1"/>
    <col min="5" max="5" width="31.54296875" style="5" customWidth="1"/>
    <col min="6" max="6" width="12.54296875" style="15" hidden="1" customWidth="1"/>
    <col min="7" max="14" width="12.54296875" style="5" hidden="1" customWidth="1"/>
    <col min="15" max="19" width="12.54296875" style="5" customWidth="1" outlineLevel="1"/>
    <col min="20" max="20" width="20" style="5" customWidth="1" outlineLevel="1"/>
    <col min="21" max="23" width="20" style="5" hidden="1" customWidth="1" outlineLevel="1"/>
    <col min="24" max="24" width="8.453125" style="5"/>
    <col min="25" max="25" width="27" style="5" bestFit="1" customWidth="1"/>
    <col min="26" max="26" width="8.453125" style="5"/>
    <col min="27" max="27" width="15.26953125" style="5" bestFit="1" customWidth="1"/>
    <col min="28" max="28" width="15.7265625" style="5" bestFit="1" customWidth="1"/>
    <col min="29" max="29" width="15.453125" style="5" bestFit="1" customWidth="1"/>
    <col min="30" max="33" width="15.453125" style="5" customWidth="1"/>
    <col min="34" max="34" width="8.453125" style="5"/>
    <col min="35" max="35" width="12.7265625" style="5" bestFit="1" customWidth="1"/>
    <col min="36" max="37" width="12.54296875" style="5" customWidth="1"/>
    <col min="38" max="38" width="11.1796875" style="5" bestFit="1" customWidth="1"/>
    <col min="39" max="39" width="8.453125" style="163"/>
    <col min="40" max="16384" width="8.453125" style="5"/>
  </cols>
  <sheetData>
    <row r="1" spans="1:38" x14ac:dyDescent="0.35">
      <c r="A1" s="162" t="str">
        <f>+'[13]Washington volumes'!A1</f>
        <v>NW Natural</v>
      </c>
      <c r="F1" s="5"/>
    </row>
    <row r="2" spans="1:38" x14ac:dyDescent="0.35">
      <c r="A2" s="162" t="str">
        <f>+'[13]Washington volumes'!A2</f>
        <v>Rates &amp; Regulatory Affairs</v>
      </c>
      <c r="F2" s="5"/>
    </row>
    <row r="3" spans="1:38" x14ac:dyDescent="0.35">
      <c r="A3" s="162" t="s">
        <v>126</v>
      </c>
      <c r="F3" s="5"/>
    </row>
    <row r="4" spans="1:38" x14ac:dyDescent="0.35">
      <c r="A4" s="162" t="s">
        <v>127</v>
      </c>
      <c r="F4" s="5"/>
    </row>
    <row r="5" spans="1:38" x14ac:dyDescent="0.35">
      <c r="A5" s="162"/>
      <c r="B5" s="162"/>
      <c r="C5" s="162"/>
      <c r="D5" s="162"/>
      <c r="F5" s="127"/>
      <c r="K5" s="127"/>
    </row>
    <row r="6" spans="1:38" ht="15" thickBot="1" x14ac:dyDescent="0.4">
      <c r="U6" s="164" t="s">
        <v>128</v>
      </c>
    </row>
    <row r="7" spans="1:38" ht="15" customHeight="1" thickBot="1" x14ac:dyDescent="0.4">
      <c r="A7" s="15">
        <v>1</v>
      </c>
      <c r="D7" s="15" t="s">
        <v>129</v>
      </c>
      <c r="E7" s="162"/>
      <c r="F7" s="165" t="str">
        <f>+[13]Inputs!C36</f>
        <v>WACOG Deferral</v>
      </c>
      <c r="G7" s="166"/>
      <c r="H7" s="167"/>
      <c r="I7" s="165" t="str">
        <f>+[13]Inputs!C38</f>
        <v>Demand Deferral - FIRM</v>
      </c>
      <c r="J7" s="166"/>
      <c r="K7" s="167"/>
      <c r="L7" s="165" t="str">
        <f>+[13]Inputs!C40</f>
        <v>Demand Deferral - INTERRUPTIBLE</v>
      </c>
      <c r="M7" s="166"/>
      <c r="N7" s="167"/>
      <c r="O7" s="693" t="str">
        <f>[13]Inputs!C48</f>
        <v xml:space="preserve">Residential Rate Mitigation </v>
      </c>
      <c r="P7" s="694"/>
      <c r="Q7" s="695"/>
      <c r="R7" s="693" t="s">
        <v>130</v>
      </c>
      <c r="S7" s="694"/>
      <c r="T7" s="695"/>
      <c r="U7" s="693" t="s">
        <v>131</v>
      </c>
      <c r="V7" s="694"/>
      <c r="W7" s="695"/>
      <c r="Y7" s="23" t="s">
        <v>132</v>
      </c>
    </row>
    <row r="8" spans="1:38" ht="15" customHeight="1" thickBot="1" x14ac:dyDescent="0.4">
      <c r="A8" s="15">
        <f t="shared" ref="A8:A71" si="0">+A7+1</f>
        <v>2</v>
      </c>
      <c r="D8" s="15" t="s">
        <v>12</v>
      </c>
      <c r="E8" s="168" t="s">
        <v>16</v>
      </c>
      <c r="F8" s="169">
        <f>+[13]Inputs!B36</f>
        <v>-12589508</v>
      </c>
      <c r="G8" s="35" t="s">
        <v>133</v>
      </c>
      <c r="H8" s="170"/>
      <c r="I8" s="169">
        <f>+[13]Inputs!B38</f>
        <v>-2349128</v>
      </c>
      <c r="J8" s="35" t="s">
        <v>133</v>
      </c>
      <c r="K8" s="170"/>
      <c r="L8" s="169">
        <f>+[13]Inputs!B40</f>
        <v>-34545</v>
      </c>
      <c r="M8" s="35" t="s">
        <v>133</v>
      </c>
      <c r="N8" s="170"/>
      <c r="O8" s="171">
        <f>[13]Inputs!B48</f>
        <v>18554</v>
      </c>
      <c r="P8" s="35" t="s">
        <v>133</v>
      </c>
      <c r="Q8" s="170"/>
      <c r="R8" s="169">
        <f>[13]Inputs!B54</f>
        <v>7272</v>
      </c>
      <c r="S8" s="35" t="s">
        <v>133</v>
      </c>
      <c r="T8" s="170"/>
      <c r="U8" s="169">
        <v>33907088.383769512</v>
      </c>
      <c r="V8" s="35" t="s">
        <v>133</v>
      </c>
      <c r="W8" s="170"/>
      <c r="Y8" s="38">
        <f>F8+I8+L8+O8+R8+U8</f>
        <v>18959733.383769512</v>
      </c>
    </row>
    <row r="9" spans="1:38" ht="15" customHeight="1" thickBot="1" x14ac:dyDescent="0.4">
      <c r="A9" s="15">
        <f t="shared" si="0"/>
        <v>3</v>
      </c>
      <c r="D9" s="15" t="s">
        <v>17</v>
      </c>
      <c r="E9" s="168" t="s">
        <v>24</v>
      </c>
      <c r="F9" s="172">
        <f>IF([13]Inputs!$G36="yes",[13]Inputs!$B$30,"N/A")</f>
        <v>4.3568999999999997E-2</v>
      </c>
      <c r="G9" s="35" t="s">
        <v>25</v>
      </c>
      <c r="H9" s="170"/>
      <c r="I9" s="172">
        <f>IF([13]Inputs!$G38="yes",[13]Inputs!$B$30,"N/A")</f>
        <v>4.3568999999999997E-2</v>
      </c>
      <c r="J9" s="35" t="s">
        <v>25</v>
      </c>
      <c r="K9" s="170"/>
      <c r="L9" s="172">
        <f>IF([13]Inputs!$G40="yes",[13]Inputs!$B$30,"N/A")</f>
        <v>4.3568999999999997E-2</v>
      </c>
      <c r="M9" s="35" t="s">
        <v>25</v>
      </c>
      <c r="N9" s="170"/>
      <c r="O9" s="172">
        <f>IF([13]Inputs!$G48="yes",[13]Inputs!$B$30,"N/A")</f>
        <v>4.3568999999999997E-2</v>
      </c>
      <c r="P9" s="35" t="s">
        <v>25</v>
      </c>
      <c r="Q9" s="170"/>
      <c r="R9" s="172">
        <f>IF([13]Inputs!$G54="yes",[13]Inputs!$B$30,"N/A")</f>
        <v>4.3568999999999997E-2</v>
      </c>
      <c r="S9" s="35" t="s">
        <v>25</v>
      </c>
      <c r="T9" s="170"/>
      <c r="U9" s="172"/>
      <c r="V9" s="35" t="s">
        <v>25</v>
      </c>
      <c r="W9" s="170"/>
      <c r="Y9" s="47">
        <f>COUNTIF(F9:U9,revsens)</f>
        <v>5</v>
      </c>
    </row>
    <row r="10" spans="1:38" s="58" customFormat="1" ht="15" customHeight="1" thickBot="1" x14ac:dyDescent="0.4">
      <c r="A10" s="15">
        <f t="shared" si="0"/>
        <v>4</v>
      </c>
      <c r="B10" s="5"/>
      <c r="C10" s="5"/>
      <c r="D10" s="173" t="s">
        <v>134</v>
      </c>
      <c r="E10" s="174" t="s">
        <v>34</v>
      </c>
      <c r="F10" s="169">
        <f>ROUND(+F8/(1-F9),0)</f>
        <v>-13163007</v>
      </c>
      <c r="G10" s="175" t="str">
        <f>[13]Inputs!F36</f>
        <v>All sales</v>
      </c>
      <c r="H10" s="176"/>
      <c r="I10" s="169">
        <f>ROUND(+I8/(1-I9),0)</f>
        <v>-2456140</v>
      </c>
      <c r="J10" s="175" t="str">
        <f>[13]Inputs!F38</f>
        <v>All firm sales</v>
      </c>
      <c r="K10" s="176"/>
      <c r="L10" s="169">
        <f>ROUND(+L8/(1-L9),0)</f>
        <v>-36119</v>
      </c>
      <c r="M10" s="175" t="str">
        <f>[13]Inputs!F40</f>
        <v>All interruptible sales</v>
      </c>
      <c r="N10" s="176"/>
      <c r="O10" s="177">
        <f>IF(O9="N/A",O8,ROUND(+O8/(1-O9),0))</f>
        <v>19399</v>
      </c>
      <c r="P10" s="56" t="str">
        <f>[13]Inputs!F48</f>
        <v xml:space="preserve">Residential Only </v>
      </c>
      <c r="Q10" s="178"/>
      <c r="R10" s="177">
        <f>IF(R9="N/A",R8,ROUND(+R8/(1-R9),0))</f>
        <v>7603</v>
      </c>
      <c r="S10" s="56" t="str">
        <f>[13]Inputs!F54</f>
        <v>All Industrial and Transport Customers</v>
      </c>
      <c r="T10" s="178"/>
      <c r="U10" s="177">
        <f>IF(U9="N/A",U8,ROUND(+U8/(1-U9),0))</f>
        <v>33907088</v>
      </c>
      <c r="V10" s="56" t="str">
        <f>[13]Inputs!F64</f>
        <v>All Customers</v>
      </c>
      <c r="W10" s="178"/>
      <c r="Y10" s="59">
        <f>SUM(F10:U10)</f>
        <v>18278824</v>
      </c>
      <c r="AB10" s="58" t="s">
        <v>135</v>
      </c>
      <c r="AC10" s="58" t="s">
        <v>136</v>
      </c>
      <c r="AD10" s="58" t="s">
        <v>137</v>
      </c>
      <c r="AE10" s="58" t="s">
        <v>138</v>
      </c>
      <c r="AI10" s="179"/>
      <c r="AJ10" s="180"/>
      <c r="AK10" s="180"/>
    </row>
    <row r="11" spans="1:38" s="58" customFormat="1" x14ac:dyDescent="0.35">
      <c r="A11" s="15">
        <f t="shared" si="0"/>
        <v>5</v>
      </c>
      <c r="B11" s="5"/>
      <c r="C11" s="5"/>
      <c r="E11" s="181"/>
      <c r="F11" s="67" t="s">
        <v>38</v>
      </c>
      <c r="G11" s="69" t="s">
        <v>139</v>
      </c>
      <c r="H11" s="182" t="s">
        <v>40</v>
      </c>
      <c r="I11" s="67" t="s">
        <v>38</v>
      </c>
      <c r="J11" s="69" t="s">
        <v>139</v>
      </c>
      <c r="K11" s="182" t="s">
        <v>40</v>
      </c>
      <c r="L11" s="67" t="s">
        <v>38</v>
      </c>
      <c r="M11" s="69" t="s">
        <v>139</v>
      </c>
      <c r="N11" s="182" t="s">
        <v>40</v>
      </c>
      <c r="O11" s="67" t="s">
        <v>38</v>
      </c>
      <c r="P11" s="69" t="s">
        <v>139</v>
      </c>
      <c r="Q11" s="182" t="s">
        <v>40</v>
      </c>
      <c r="R11" s="67" t="s">
        <v>38</v>
      </c>
      <c r="S11" s="69" t="s">
        <v>139</v>
      </c>
      <c r="T11" s="182" t="s">
        <v>40</v>
      </c>
      <c r="U11" s="67" t="s">
        <v>38</v>
      </c>
      <c r="V11" s="69" t="s">
        <v>139</v>
      </c>
      <c r="W11" s="182" t="s">
        <v>40</v>
      </c>
      <c r="AA11" s="58" t="s">
        <v>140</v>
      </c>
      <c r="AB11" s="58" t="s">
        <v>141</v>
      </c>
      <c r="AC11" s="58" t="s">
        <v>142</v>
      </c>
      <c r="AD11" s="58" t="s">
        <v>143</v>
      </c>
      <c r="AE11" s="58" t="s">
        <v>144</v>
      </c>
      <c r="AF11" s="58" t="s">
        <v>145</v>
      </c>
      <c r="AG11" s="58" t="s">
        <v>49</v>
      </c>
      <c r="AI11" s="696" t="s">
        <v>146</v>
      </c>
      <c r="AJ11" s="696"/>
      <c r="AK11" s="696"/>
      <c r="AL11" s="696"/>
    </row>
    <row r="12" spans="1:38" s="58" customFormat="1" x14ac:dyDescent="0.35">
      <c r="A12" s="15">
        <f t="shared" si="0"/>
        <v>6</v>
      </c>
      <c r="B12" s="183" t="s">
        <v>50</v>
      </c>
      <c r="C12" s="183" t="s">
        <v>51</v>
      </c>
      <c r="D12" s="76" t="s">
        <v>52</v>
      </c>
      <c r="E12" s="184"/>
      <c r="F12" s="75" t="s">
        <v>53</v>
      </c>
      <c r="G12" s="76" t="s">
        <v>54</v>
      </c>
      <c r="H12" s="185" t="s">
        <v>55</v>
      </c>
      <c r="I12" s="75" t="s">
        <v>56</v>
      </c>
      <c r="J12" s="76" t="s">
        <v>147</v>
      </c>
      <c r="K12" s="185" t="s">
        <v>58</v>
      </c>
      <c r="L12" s="75" t="s">
        <v>59</v>
      </c>
      <c r="M12" s="76" t="s">
        <v>125</v>
      </c>
      <c r="N12" s="185" t="s">
        <v>60</v>
      </c>
      <c r="O12" s="75" t="s">
        <v>61</v>
      </c>
      <c r="P12" s="76" t="s">
        <v>62</v>
      </c>
      <c r="Q12" s="185" t="s">
        <v>63</v>
      </c>
      <c r="R12" s="75" t="s">
        <v>64</v>
      </c>
      <c r="S12" s="76" t="s">
        <v>65</v>
      </c>
      <c r="T12" s="185" t="s">
        <v>66</v>
      </c>
      <c r="U12" s="75" t="s">
        <v>67</v>
      </c>
      <c r="V12" s="76" t="s">
        <v>68</v>
      </c>
      <c r="W12" s="185" t="s">
        <v>69</v>
      </c>
      <c r="AA12" s="58" t="s">
        <v>75</v>
      </c>
      <c r="AB12" s="58" t="s">
        <v>75</v>
      </c>
      <c r="AC12" s="58" t="s">
        <v>75</v>
      </c>
      <c r="AD12" s="58" t="s">
        <v>75</v>
      </c>
      <c r="AE12" s="58" t="s">
        <v>75</v>
      </c>
      <c r="AF12" s="58" t="s">
        <v>75</v>
      </c>
      <c r="AG12" s="58" t="s">
        <v>75</v>
      </c>
      <c r="AI12" s="69" t="s">
        <v>148</v>
      </c>
      <c r="AJ12" s="69" t="s">
        <v>149</v>
      </c>
      <c r="AK12" s="69" t="s">
        <v>150</v>
      </c>
      <c r="AL12" s="69" t="s">
        <v>151</v>
      </c>
    </row>
    <row r="13" spans="1:38" x14ac:dyDescent="0.35">
      <c r="A13" s="15">
        <f t="shared" si="0"/>
        <v>7</v>
      </c>
      <c r="B13" s="186" t="s">
        <v>76</v>
      </c>
      <c r="C13" s="186"/>
      <c r="D13" s="89">
        <f>'[13]Washington volumes'!J13</f>
        <v>179824.1</v>
      </c>
      <c r="E13" s="187"/>
      <c r="F13" s="88">
        <v>1</v>
      </c>
      <c r="G13" s="89">
        <f t="shared" ref="G13:G80" si="1">+$D13*F13</f>
        <v>179824.1</v>
      </c>
      <c r="H13" s="188">
        <f t="shared" ref="H13:H76" si="2">+F13*$H$83</f>
        <v>-0.14299000000000001</v>
      </c>
      <c r="I13" s="88">
        <v>1</v>
      </c>
      <c r="J13" s="89">
        <f t="shared" ref="J13:J80" si="3">+$D13*I13</f>
        <v>179824.1</v>
      </c>
      <c r="K13" s="188">
        <f t="shared" ref="K13:K76" si="4">+I13*$K$83</f>
        <v>-2.7019999999999999E-2</v>
      </c>
      <c r="L13" s="88">
        <v>0</v>
      </c>
      <c r="M13" s="89">
        <f>+$D13*L13</f>
        <v>0</v>
      </c>
      <c r="N13" s="188">
        <f t="shared" ref="N13:N76" si="5">+L13*$N$83</f>
        <v>0</v>
      </c>
      <c r="O13" s="88">
        <v>0</v>
      </c>
      <c r="P13" s="89">
        <f>+$D13*O13</f>
        <v>0</v>
      </c>
      <c r="Q13" s="188">
        <f t="shared" ref="Q13:Q76" si="6">+O13*$Q$83</f>
        <v>0</v>
      </c>
      <c r="R13" s="88">
        <v>0</v>
      </c>
      <c r="S13" s="89">
        <f t="shared" ref="S13:S80" si="7">+$D13*R13</f>
        <v>0</v>
      </c>
      <c r="T13" s="188">
        <f t="shared" ref="T13:T76" si="8">+R13*$T$83</f>
        <v>0</v>
      </c>
      <c r="U13" s="88">
        <v>1</v>
      </c>
      <c r="V13" s="89">
        <v>291644</v>
      </c>
      <c r="W13" s="189">
        <v>0.24073</v>
      </c>
      <c r="AA13" s="128">
        <f>H13*D13</f>
        <v>-25713.048059000001</v>
      </c>
      <c r="AB13" s="128">
        <f>K13*D13</f>
        <v>-4858.8471819999995</v>
      </c>
      <c r="AC13" s="128">
        <f>N13*D13</f>
        <v>0</v>
      </c>
      <c r="AD13" s="128">
        <f>Q13*D13</f>
        <v>0</v>
      </c>
      <c r="AE13" s="128">
        <f>T13*D13</f>
        <v>0</v>
      </c>
      <c r="AF13" s="128">
        <f>W13*D13</f>
        <v>43289.055593000005</v>
      </c>
      <c r="AG13" s="128">
        <f>SUM(AA13:AE13)</f>
        <v>-30571.895240999998</v>
      </c>
      <c r="AI13" s="190">
        <f>'[13]Allocation = % of margin'!P13+'[13]Allocation = % of margin'!S13+'[13]Allocation = % of margin'!V13+'[13]Allocation = % of margin'!Y13+'[13]Allocation = % of margin'!AB13+'[13]Allocation = % of margin'!AE13+'[13]Allocation = % of margin'!AH13+'[13]Allocation = % of margin'!AK13+'[13]Allocation = % of margin'!AN13+'Calc of Avg Cent Increments'!H13+'Calc of Avg Cent Increments'!K13+'Calc of Avg Cent Increments'!N13+'Calc of Avg Cent Increments'!Q13+'Calc of Avg Cent Increments'!T13+'Calc of Avg Cent Increments'!W13+'[13]Allocation = % of revenue'!M13</f>
        <v>0.29267999999999988</v>
      </c>
      <c r="AJ13" s="5">
        <f>[13]Temporaries!W13</f>
        <v>0.29243999999999998</v>
      </c>
      <c r="AK13" s="191">
        <f>[13]Permanents!F13</f>
        <v>2.4000000000000001E-4</v>
      </c>
      <c r="AL13" s="190">
        <f>AI13-AJ13-AK13</f>
        <v>-9.3051651453568418E-17</v>
      </c>
    </row>
    <row r="14" spans="1:38" x14ac:dyDescent="0.35">
      <c r="A14" s="15">
        <f t="shared" si="0"/>
        <v>8</v>
      </c>
      <c r="B14" s="186" t="s">
        <v>77</v>
      </c>
      <c r="C14" s="186"/>
      <c r="D14" s="89">
        <f>'[13]Washington volumes'!J14</f>
        <v>18807.400000000001</v>
      </c>
      <c r="E14" s="187"/>
      <c r="F14" s="88">
        <v>1</v>
      </c>
      <c r="G14" s="89">
        <f t="shared" si="1"/>
        <v>18807.400000000001</v>
      </c>
      <c r="H14" s="188">
        <f t="shared" si="2"/>
        <v>-0.14299000000000001</v>
      </c>
      <c r="I14" s="88">
        <v>1</v>
      </c>
      <c r="J14" s="89">
        <f t="shared" si="3"/>
        <v>18807.400000000001</v>
      </c>
      <c r="K14" s="188">
        <f t="shared" si="4"/>
        <v>-2.7019999999999999E-2</v>
      </c>
      <c r="L14" s="88">
        <v>0</v>
      </c>
      <c r="M14" s="89">
        <f t="shared" ref="M14:M80" si="9">+$D14*L14</f>
        <v>0</v>
      </c>
      <c r="N14" s="188">
        <f t="shared" si="5"/>
        <v>0</v>
      </c>
      <c r="O14" s="88">
        <v>0</v>
      </c>
      <c r="P14" s="89">
        <f t="shared" ref="P14:P80" si="10">+$D14*O14</f>
        <v>0</v>
      </c>
      <c r="Q14" s="188">
        <f t="shared" si="6"/>
        <v>0</v>
      </c>
      <c r="R14" s="88">
        <v>0</v>
      </c>
      <c r="S14" s="89">
        <f t="shared" si="7"/>
        <v>0</v>
      </c>
      <c r="T14" s="188">
        <f t="shared" si="8"/>
        <v>0</v>
      </c>
      <c r="U14" s="88">
        <v>1</v>
      </c>
      <c r="V14" s="89">
        <v>14841.6</v>
      </c>
      <c r="W14" s="189">
        <f>W13</f>
        <v>0.24073</v>
      </c>
      <c r="AA14" s="128">
        <f t="shared" ref="AA14:AA81" si="11">H14*D14</f>
        <v>-2689.2701260000003</v>
      </c>
      <c r="AB14" s="128">
        <f t="shared" ref="AB14:AB81" si="12">K14*D14</f>
        <v>-508.17594800000001</v>
      </c>
      <c r="AC14" s="128">
        <f t="shared" ref="AC14:AC81" si="13">N14*D14</f>
        <v>0</v>
      </c>
      <c r="AD14" s="128">
        <f t="shared" ref="AD14:AD77" si="14">Q14*D14</f>
        <v>0</v>
      </c>
      <c r="AE14" s="128">
        <f t="shared" ref="AE14:AE77" si="15">T14*D14</f>
        <v>0</v>
      </c>
      <c r="AF14" s="128">
        <f t="shared" ref="AF14:AF77" si="16">W14*D14</f>
        <v>4527.5054020000007</v>
      </c>
      <c r="AG14" s="128">
        <f t="shared" ref="AG14:AG77" si="17">SUM(AA14:AE14)</f>
        <v>-3197.4460740000004</v>
      </c>
      <c r="AI14" s="190">
        <f>'[13]Allocation = % of margin'!P14+'[13]Allocation = % of margin'!S14+'[13]Allocation = % of margin'!V14+'[13]Allocation = % of margin'!Y14+'[13]Allocation = % of margin'!AB14+'[13]Allocation = % of margin'!AE14+'[13]Allocation = % of margin'!AH14+'[13]Allocation = % of margin'!AK14+'[13]Allocation = % of margin'!AN14+'Calc of Avg Cent Increments'!H14+'Calc of Avg Cent Increments'!K14+'Calc of Avg Cent Increments'!N14+'Calc of Avg Cent Increments'!Q14+'Calc of Avg Cent Increments'!T14+'Calc of Avg Cent Increments'!W14+'[13]Allocation = % of revenue'!M14</f>
        <v>0.22706999999999999</v>
      </c>
      <c r="AJ14" s="5">
        <f>[13]Temporaries!W14</f>
        <v>0.22691</v>
      </c>
      <c r="AK14" s="191">
        <f>[13]Permanents!F14</f>
        <v>1.6000000000000001E-4</v>
      </c>
      <c r="AL14" s="190">
        <f t="shared" ref="AL14:AL77" si="18">AI14-AJ14-AK14</f>
        <v>-6.5323180892251642E-18</v>
      </c>
    </row>
    <row r="15" spans="1:38" x14ac:dyDescent="0.35">
      <c r="A15" s="15">
        <f t="shared" si="0"/>
        <v>9</v>
      </c>
      <c r="B15" s="186" t="s">
        <v>78</v>
      </c>
      <c r="C15" s="186"/>
      <c r="D15" s="89">
        <f>'[13]Washington volumes'!J15</f>
        <v>59991191.600000001</v>
      </c>
      <c r="E15" s="187"/>
      <c r="F15" s="88">
        <v>1</v>
      </c>
      <c r="G15" s="89">
        <f t="shared" si="1"/>
        <v>59991191.600000001</v>
      </c>
      <c r="H15" s="188">
        <f t="shared" si="2"/>
        <v>-0.14299000000000001</v>
      </c>
      <c r="I15" s="88">
        <v>1</v>
      </c>
      <c r="J15" s="89">
        <f t="shared" si="3"/>
        <v>59991191.600000001</v>
      </c>
      <c r="K15" s="188">
        <f t="shared" si="4"/>
        <v>-2.7019999999999999E-2</v>
      </c>
      <c r="L15" s="88">
        <v>0</v>
      </c>
      <c r="M15" s="89">
        <f t="shared" si="9"/>
        <v>0</v>
      </c>
      <c r="N15" s="188">
        <f t="shared" si="5"/>
        <v>0</v>
      </c>
      <c r="O15" s="88">
        <v>1</v>
      </c>
      <c r="P15" s="89">
        <f t="shared" si="10"/>
        <v>59991191.600000001</v>
      </c>
      <c r="Q15" s="188">
        <f t="shared" si="6"/>
        <v>3.2000000000000003E-4</v>
      </c>
      <c r="R15" s="88">
        <v>0</v>
      </c>
      <c r="S15" s="89">
        <f t="shared" si="7"/>
        <v>0</v>
      </c>
      <c r="T15" s="188">
        <f t="shared" si="8"/>
        <v>0</v>
      </c>
      <c r="U15" s="88">
        <v>1</v>
      </c>
      <c r="V15" s="89">
        <v>53751573.899999999</v>
      </c>
      <c r="W15" s="189">
        <f t="shared" ref="W15:W78" si="19">W14</f>
        <v>0.24073</v>
      </c>
      <c r="AA15" s="128">
        <f t="shared" si="11"/>
        <v>-8578140.4868839998</v>
      </c>
      <c r="AB15" s="128">
        <f t="shared" si="12"/>
        <v>-1620961.997032</v>
      </c>
      <c r="AC15" s="128">
        <f t="shared" si="13"/>
        <v>0</v>
      </c>
      <c r="AD15" s="128">
        <f t="shared" si="14"/>
        <v>19197.181312000001</v>
      </c>
      <c r="AE15" s="128">
        <f t="shared" si="15"/>
        <v>0</v>
      </c>
      <c r="AF15" s="128">
        <f t="shared" si="16"/>
        <v>14441679.553867999</v>
      </c>
      <c r="AG15" s="128">
        <f t="shared" si="17"/>
        <v>-10179905.302603999</v>
      </c>
      <c r="AI15" s="190">
        <f>'[13]Allocation = % of margin'!P15+'[13]Allocation = % of margin'!S15+'[13]Allocation = % of margin'!V15+'[13]Allocation = % of margin'!Y15+'[13]Allocation = % of margin'!AB15+'[13]Allocation = % of margin'!AE15+'[13]Allocation = % of margin'!AH15+'[13]Allocation = % of margin'!AK15+'[13]Allocation = % of margin'!AN15+'Calc of Avg Cent Increments'!H15+'Calc of Avg Cent Increments'!K15+'Calc of Avg Cent Increments'!N15+'Calc of Avg Cent Increments'!Q15+'Calc of Avg Cent Increments'!T15+'Calc of Avg Cent Increments'!W15+'[13]Allocation = % of revenue'!M15</f>
        <v>0.17742999999999995</v>
      </c>
      <c r="AJ15" s="5">
        <f>[13]Temporaries!W15</f>
        <v>0.17731999999999998</v>
      </c>
      <c r="AK15" s="191">
        <f>[13]Permanents!F15</f>
        <v>1.1E-4</v>
      </c>
      <c r="AL15" s="190">
        <f t="shared" si="18"/>
        <v>-2.8772015152334074E-17</v>
      </c>
    </row>
    <row r="16" spans="1:38" x14ac:dyDescent="0.35">
      <c r="A16" s="15">
        <f t="shared" si="0"/>
        <v>10</v>
      </c>
      <c r="B16" s="186" t="s">
        <v>79</v>
      </c>
      <c r="C16" s="186"/>
      <c r="D16" s="89">
        <f>'[13]Washington volumes'!J16</f>
        <v>21359578.800000001</v>
      </c>
      <c r="E16" s="187"/>
      <c r="F16" s="88">
        <v>1</v>
      </c>
      <c r="G16" s="89">
        <f t="shared" si="1"/>
        <v>21359578.800000001</v>
      </c>
      <c r="H16" s="188">
        <f t="shared" si="2"/>
        <v>-0.14299000000000001</v>
      </c>
      <c r="I16" s="88">
        <v>1</v>
      </c>
      <c r="J16" s="89">
        <f t="shared" si="3"/>
        <v>21359578.800000001</v>
      </c>
      <c r="K16" s="188">
        <f t="shared" si="4"/>
        <v>-2.7019999999999999E-2</v>
      </c>
      <c r="L16" s="88">
        <v>0</v>
      </c>
      <c r="M16" s="89">
        <f t="shared" si="9"/>
        <v>0</v>
      </c>
      <c r="N16" s="188">
        <f t="shared" si="5"/>
        <v>0</v>
      </c>
      <c r="O16" s="88">
        <v>0</v>
      </c>
      <c r="P16" s="89">
        <f t="shared" si="10"/>
        <v>0</v>
      </c>
      <c r="Q16" s="188">
        <f t="shared" si="6"/>
        <v>0</v>
      </c>
      <c r="R16" s="88">
        <v>0</v>
      </c>
      <c r="S16" s="89">
        <f t="shared" si="7"/>
        <v>0</v>
      </c>
      <c r="T16" s="188">
        <f t="shared" si="8"/>
        <v>0</v>
      </c>
      <c r="U16" s="88">
        <v>1</v>
      </c>
      <c r="V16" s="89">
        <v>19577451.700000003</v>
      </c>
      <c r="W16" s="189">
        <f t="shared" si="19"/>
        <v>0.24073</v>
      </c>
      <c r="AA16" s="128">
        <f t="shared" si="11"/>
        <v>-3054206.1726120003</v>
      </c>
      <c r="AB16" s="128">
        <f t="shared" si="12"/>
        <v>-577135.81917599996</v>
      </c>
      <c r="AC16" s="128">
        <f t="shared" si="13"/>
        <v>0</v>
      </c>
      <c r="AD16" s="128">
        <f t="shared" si="14"/>
        <v>0</v>
      </c>
      <c r="AE16" s="128">
        <f t="shared" si="15"/>
        <v>0</v>
      </c>
      <c r="AF16" s="128">
        <f t="shared" si="16"/>
        <v>5141891.4045240004</v>
      </c>
      <c r="AG16" s="128">
        <f t="shared" si="17"/>
        <v>-3631341.9917880003</v>
      </c>
      <c r="AI16" s="190">
        <f>'[13]Allocation = % of margin'!P16+'[13]Allocation = % of margin'!S16+'[13]Allocation = % of margin'!V16+'[13]Allocation = % of margin'!Y16+'[13]Allocation = % of margin'!AB16+'[13]Allocation = % of margin'!AE16+'[13]Allocation = % of margin'!AH16+'[13]Allocation = % of margin'!AK16+'[13]Allocation = % of margin'!AN16+'Calc of Avg Cent Increments'!H16+'Calc of Avg Cent Increments'!K16+'Calc of Avg Cent Increments'!N16+'Calc of Avg Cent Increments'!Q16+'Calc of Avg Cent Increments'!T16+'Calc of Avg Cent Increments'!W16+'[13]Allocation = % of revenue'!M16</f>
        <v>0.16466</v>
      </c>
      <c r="AJ16" s="5">
        <f>[13]Temporaries!W16</f>
        <v>0.16456000000000004</v>
      </c>
      <c r="AK16" s="191">
        <f>[13]Permanents!F16</f>
        <v>1E-4</v>
      </c>
      <c r="AL16" s="190">
        <f t="shared" si="18"/>
        <v>-3.8773780193512852E-17</v>
      </c>
    </row>
    <row r="17" spans="1:38" x14ac:dyDescent="0.35">
      <c r="A17" s="15">
        <f t="shared" si="0"/>
        <v>11</v>
      </c>
      <c r="B17" s="186" t="s">
        <v>80</v>
      </c>
      <c r="C17" s="186"/>
      <c r="D17" s="89">
        <f>'[13]Washington volumes'!J17</f>
        <v>192102.2</v>
      </c>
      <c r="E17" s="187"/>
      <c r="F17" s="88">
        <v>1</v>
      </c>
      <c r="G17" s="89">
        <f t="shared" si="1"/>
        <v>192102.2</v>
      </c>
      <c r="H17" s="188">
        <f t="shared" si="2"/>
        <v>-0.14299000000000001</v>
      </c>
      <c r="I17" s="88">
        <v>1</v>
      </c>
      <c r="J17" s="89">
        <f t="shared" si="3"/>
        <v>192102.2</v>
      </c>
      <c r="K17" s="188">
        <f t="shared" si="4"/>
        <v>-2.7019999999999999E-2</v>
      </c>
      <c r="L17" s="88">
        <v>0</v>
      </c>
      <c r="M17" s="89">
        <f t="shared" si="9"/>
        <v>0</v>
      </c>
      <c r="N17" s="188">
        <f t="shared" si="5"/>
        <v>0</v>
      </c>
      <c r="O17" s="88">
        <v>0</v>
      </c>
      <c r="P17" s="89">
        <f t="shared" si="10"/>
        <v>0</v>
      </c>
      <c r="Q17" s="188">
        <f t="shared" si="6"/>
        <v>0</v>
      </c>
      <c r="R17" s="88">
        <v>1</v>
      </c>
      <c r="S17" s="89">
        <f t="shared" si="7"/>
        <v>192102.2</v>
      </c>
      <c r="T17" s="188">
        <f t="shared" si="8"/>
        <v>3.5E-4</v>
      </c>
      <c r="U17" s="88">
        <v>1</v>
      </c>
      <c r="V17" s="89">
        <v>194783.29999999996</v>
      </c>
      <c r="W17" s="189">
        <f t="shared" si="19"/>
        <v>0.24073</v>
      </c>
      <c r="AA17" s="128">
        <f t="shared" si="11"/>
        <v>-27468.693578000002</v>
      </c>
      <c r="AB17" s="128">
        <f t="shared" si="12"/>
        <v>-5190.6014439999999</v>
      </c>
      <c r="AC17" s="128">
        <f t="shared" si="13"/>
        <v>0</v>
      </c>
      <c r="AD17" s="128">
        <f t="shared" si="14"/>
        <v>0</v>
      </c>
      <c r="AE17" s="128">
        <f t="shared" si="15"/>
        <v>67.235770000000002</v>
      </c>
      <c r="AF17" s="128">
        <f t="shared" si="16"/>
        <v>46244.762606000004</v>
      </c>
      <c r="AG17" s="128">
        <f t="shared" si="17"/>
        <v>-32592.059252000003</v>
      </c>
      <c r="AI17" s="190">
        <f>'[13]Allocation = % of margin'!P17+'[13]Allocation = % of margin'!S17+'[13]Allocation = % of margin'!V17+'[13]Allocation = % of margin'!Y17+'[13]Allocation = % of margin'!AB17+'[13]Allocation = % of margin'!AE17+'[13]Allocation = % of margin'!AH17+'[13]Allocation = % of margin'!AK17+'[13]Allocation = % of margin'!AN17+'Calc of Avg Cent Increments'!H17+'Calc of Avg Cent Increments'!K17+'Calc of Avg Cent Increments'!N17+'Calc of Avg Cent Increments'!Q17+'Calc of Avg Cent Increments'!T17+'Calc of Avg Cent Increments'!W17+'[13]Allocation = % of revenue'!M17</f>
        <v>0.10460999999999999</v>
      </c>
      <c r="AJ17" s="5">
        <f>[13]Temporaries!W17</f>
        <v>0.10452</v>
      </c>
      <c r="AK17" s="191">
        <f>[13]Permanents!F17</f>
        <v>9.0000000000000006E-5</v>
      </c>
      <c r="AL17" s="190">
        <f t="shared" si="18"/>
        <v>-7.1421818112482605E-18</v>
      </c>
    </row>
    <row r="18" spans="1:38" x14ac:dyDescent="0.35">
      <c r="A18" s="15">
        <f t="shared" si="0"/>
        <v>12</v>
      </c>
      <c r="B18" s="192">
        <v>27</v>
      </c>
      <c r="C18" s="192"/>
      <c r="D18" s="89">
        <f>'[13]Washington volumes'!J18</f>
        <v>34823.1</v>
      </c>
      <c r="E18" s="187"/>
      <c r="F18" s="88">
        <v>1</v>
      </c>
      <c r="G18" s="89">
        <f t="shared" si="1"/>
        <v>34823.1</v>
      </c>
      <c r="H18" s="188">
        <f t="shared" si="2"/>
        <v>-0.14299000000000001</v>
      </c>
      <c r="I18" s="88">
        <v>1</v>
      </c>
      <c r="J18" s="89">
        <f t="shared" si="3"/>
        <v>34823.1</v>
      </c>
      <c r="K18" s="188">
        <f t="shared" si="4"/>
        <v>-2.7019999999999999E-2</v>
      </c>
      <c r="L18" s="88">
        <v>0</v>
      </c>
      <c r="M18" s="89">
        <f t="shared" si="9"/>
        <v>0</v>
      </c>
      <c r="N18" s="188">
        <f t="shared" si="5"/>
        <v>0</v>
      </c>
      <c r="O18" s="88">
        <v>0</v>
      </c>
      <c r="P18" s="89">
        <f t="shared" si="10"/>
        <v>0</v>
      </c>
      <c r="Q18" s="188">
        <f t="shared" si="6"/>
        <v>0</v>
      </c>
      <c r="R18" s="88">
        <v>0</v>
      </c>
      <c r="S18" s="89">
        <f t="shared" si="7"/>
        <v>0</v>
      </c>
      <c r="T18" s="188">
        <f t="shared" si="8"/>
        <v>0</v>
      </c>
      <c r="U18" s="88">
        <v>1</v>
      </c>
      <c r="V18" s="89">
        <v>57238.8</v>
      </c>
      <c r="W18" s="189">
        <f t="shared" si="19"/>
        <v>0.24073</v>
      </c>
      <c r="AA18" s="128">
        <f t="shared" si="11"/>
        <v>-4979.3550690000002</v>
      </c>
      <c r="AB18" s="128">
        <f t="shared" si="12"/>
        <v>-940.92016199999989</v>
      </c>
      <c r="AC18" s="128">
        <f t="shared" si="13"/>
        <v>0</v>
      </c>
      <c r="AD18" s="128">
        <f t="shared" si="14"/>
        <v>0</v>
      </c>
      <c r="AE18" s="128">
        <f t="shared" si="15"/>
        <v>0</v>
      </c>
      <c r="AF18" s="128">
        <f t="shared" si="16"/>
        <v>8382.9648629999992</v>
      </c>
      <c r="AG18" s="128">
        <f t="shared" si="17"/>
        <v>-5920.2752309999996</v>
      </c>
      <c r="AI18" s="190">
        <f>'[13]Allocation = % of margin'!P18+'[13]Allocation = % of margin'!S18+'[13]Allocation = % of margin'!V18+'[13]Allocation = % of margin'!Y18+'[13]Allocation = % of margin'!AB18+'[13]Allocation = % of margin'!AE18+'[13]Allocation = % of margin'!AH18+'[13]Allocation = % of margin'!AK18+'[13]Allocation = % of margin'!AN18+'Calc of Avg Cent Increments'!H18+'Calc of Avg Cent Increments'!K18+'Calc of Avg Cent Increments'!N18+'Calc of Avg Cent Increments'!Q18+'Calc of Avg Cent Increments'!T18+'Calc of Avg Cent Increments'!W18+'[13]Allocation = % of revenue'!M18</f>
        <v>0.29068999999999995</v>
      </c>
      <c r="AJ18" s="5">
        <f>[13]Temporaries!W18</f>
        <v>0.29042999999999997</v>
      </c>
      <c r="AK18" s="191">
        <f>[13]Permanents!F18</f>
        <v>2.5999999999999998E-4</v>
      </c>
      <c r="AL18" s="190">
        <f t="shared" si="18"/>
        <v>-1.7509865085640897E-17</v>
      </c>
    </row>
    <row r="19" spans="1:38" x14ac:dyDescent="0.35">
      <c r="A19" s="15">
        <f t="shared" si="0"/>
        <v>13</v>
      </c>
      <c r="B19" s="15" t="s">
        <v>81</v>
      </c>
      <c r="C19" s="193" t="s">
        <v>82</v>
      </c>
      <c r="D19" s="127">
        <f>'[13]Washington volumes'!J19</f>
        <v>1665389.3</v>
      </c>
      <c r="E19" s="194"/>
      <c r="F19" s="113">
        <v>1</v>
      </c>
      <c r="G19" s="127">
        <f t="shared" si="1"/>
        <v>1665389.3</v>
      </c>
      <c r="H19" s="195">
        <f t="shared" si="2"/>
        <v>-0.14299000000000001</v>
      </c>
      <c r="I19" s="113">
        <v>1</v>
      </c>
      <c r="J19" s="127">
        <f t="shared" si="3"/>
        <v>1665389.3</v>
      </c>
      <c r="K19" s="195">
        <f t="shared" si="4"/>
        <v>-2.7019999999999999E-2</v>
      </c>
      <c r="L19" s="113">
        <v>0</v>
      </c>
      <c r="M19" s="127">
        <f t="shared" si="9"/>
        <v>0</v>
      </c>
      <c r="N19" s="195">
        <f t="shared" si="5"/>
        <v>0</v>
      </c>
      <c r="O19" s="113">
        <v>0</v>
      </c>
      <c r="P19" s="127">
        <f t="shared" si="10"/>
        <v>0</v>
      </c>
      <c r="Q19" s="195">
        <f t="shared" si="6"/>
        <v>0</v>
      </c>
      <c r="R19" s="113">
        <v>0</v>
      </c>
      <c r="S19" s="127">
        <f t="shared" si="7"/>
        <v>0</v>
      </c>
      <c r="T19" s="195">
        <f t="shared" si="8"/>
        <v>0</v>
      </c>
      <c r="U19" s="113">
        <v>1</v>
      </c>
      <c r="V19" s="127">
        <v>1372877.5000000002</v>
      </c>
      <c r="W19" s="142">
        <f t="shared" si="19"/>
        <v>0.24073</v>
      </c>
      <c r="AA19" s="128">
        <f t="shared" si="11"/>
        <v>-238134.01600700003</v>
      </c>
      <c r="AB19" s="128">
        <f t="shared" si="12"/>
        <v>-44998.818886000001</v>
      </c>
      <c r="AC19" s="128">
        <f t="shared" si="13"/>
        <v>0</v>
      </c>
      <c r="AD19" s="128">
        <f t="shared" si="14"/>
        <v>0</v>
      </c>
      <c r="AE19" s="128">
        <f t="shared" si="15"/>
        <v>0</v>
      </c>
      <c r="AF19" s="128">
        <f t="shared" si="16"/>
        <v>400909.16618900001</v>
      </c>
      <c r="AG19" s="128">
        <f t="shared" si="17"/>
        <v>-283132.83489300002</v>
      </c>
      <c r="AI19" s="190">
        <f>'[13]Allocation = % of margin'!P19+'[13]Allocation = % of margin'!S19+'[13]Allocation = % of margin'!V19+'[13]Allocation = % of margin'!Y19+'[13]Allocation = % of margin'!AB19+'[13]Allocation = % of margin'!AE19+'[13]Allocation = % of margin'!AH19+'[13]Allocation = % of margin'!AK19+'[13]Allocation = % of margin'!AN19+'Calc of Avg Cent Increments'!H19+'Calc of Avg Cent Increments'!K19+'Calc of Avg Cent Increments'!N19+'Calc of Avg Cent Increments'!Q19+'Calc of Avg Cent Increments'!T19+'Calc of Avg Cent Increments'!W19+'[13]Allocation = % of revenue'!M19</f>
        <v>0.14555000000000001</v>
      </c>
      <c r="AJ19" s="5">
        <f>[13]Temporaries!W19</f>
        <v>0.14546999999999999</v>
      </c>
      <c r="AK19" s="191">
        <f>[13]Permanents!F19</f>
        <v>8.0000000000000007E-5</v>
      </c>
      <c r="AL19" s="190">
        <f t="shared" si="18"/>
        <v>2.4489416571016331E-17</v>
      </c>
    </row>
    <row r="20" spans="1:38" x14ac:dyDescent="0.35">
      <c r="A20" s="15">
        <f t="shared" si="0"/>
        <v>14</v>
      </c>
      <c r="B20" s="192"/>
      <c r="C20" s="196" t="s">
        <v>83</v>
      </c>
      <c r="D20" s="89">
        <f>'[13]Washington volumes'!J20</f>
        <v>2698480.8</v>
      </c>
      <c r="E20" s="187"/>
      <c r="F20" s="88">
        <v>1</v>
      </c>
      <c r="G20" s="89">
        <f t="shared" si="1"/>
        <v>2698480.8</v>
      </c>
      <c r="H20" s="188">
        <f t="shared" si="2"/>
        <v>-0.14299000000000001</v>
      </c>
      <c r="I20" s="88">
        <v>1</v>
      </c>
      <c r="J20" s="89">
        <f t="shared" si="3"/>
        <v>2698480.8</v>
      </c>
      <c r="K20" s="188">
        <f t="shared" si="4"/>
        <v>-2.7019999999999999E-2</v>
      </c>
      <c r="L20" s="88">
        <v>0</v>
      </c>
      <c r="M20" s="89">
        <f t="shared" si="9"/>
        <v>0</v>
      </c>
      <c r="N20" s="188">
        <f t="shared" si="5"/>
        <v>0</v>
      </c>
      <c r="O20" s="88">
        <v>0</v>
      </c>
      <c r="P20" s="89">
        <f t="shared" si="10"/>
        <v>0</v>
      </c>
      <c r="Q20" s="188">
        <f t="shared" si="6"/>
        <v>0</v>
      </c>
      <c r="R20" s="88">
        <v>0</v>
      </c>
      <c r="S20" s="89">
        <f t="shared" si="7"/>
        <v>0</v>
      </c>
      <c r="T20" s="188">
        <f t="shared" si="8"/>
        <v>0</v>
      </c>
      <c r="U20" s="88">
        <v>1</v>
      </c>
      <c r="V20" s="89">
        <v>2229000.4000000004</v>
      </c>
      <c r="W20" s="189">
        <f t="shared" si="19"/>
        <v>0.24073</v>
      </c>
      <c r="AA20" s="128">
        <f t="shared" si="11"/>
        <v>-385855.769592</v>
      </c>
      <c r="AB20" s="128">
        <f t="shared" si="12"/>
        <v>-72912.951215999987</v>
      </c>
      <c r="AC20" s="128">
        <f t="shared" si="13"/>
        <v>0</v>
      </c>
      <c r="AD20" s="128">
        <f t="shared" si="14"/>
        <v>0</v>
      </c>
      <c r="AE20" s="128">
        <f t="shared" si="15"/>
        <v>0</v>
      </c>
      <c r="AF20" s="128">
        <f t="shared" si="16"/>
        <v>649605.28298399993</v>
      </c>
      <c r="AG20" s="128">
        <f t="shared" si="17"/>
        <v>-458768.72080799995</v>
      </c>
      <c r="AI20" s="190">
        <f>'[13]Allocation = % of margin'!P20+'[13]Allocation = % of margin'!S20+'[13]Allocation = % of margin'!V20+'[13]Allocation = % of margin'!Y20+'[13]Allocation = % of margin'!AB20+'[13]Allocation = % of margin'!AE20+'[13]Allocation = % of margin'!AH20+'[13]Allocation = % of margin'!AK20+'[13]Allocation = % of margin'!AN20+'Calc of Avg Cent Increments'!H20+'Calc of Avg Cent Increments'!K20+'Calc of Avg Cent Increments'!N20+'Calc of Avg Cent Increments'!Q20+'Calc of Avg Cent Increments'!T20+'Calc of Avg Cent Increments'!W20+'[13]Allocation = % of revenue'!M20</f>
        <v>0.13664999999999999</v>
      </c>
      <c r="AJ20" s="5">
        <f>[13]Temporaries!W20</f>
        <v>0.13657999999999998</v>
      </c>
      <c r="AK20" s="191">
        <f>[13]Permanents!F20</f>
        <v>6.9999999999999994E-5</v>
      </c>
      <c r="AL20" s="190">
        <f t="shared" si="18"/>
        <v>1.4501204056993622E-17</v>
      </c>
    </row>
    <row r="21" spans="1:38" x14ac:dyDescent="0.35">
      <c r="A21" s="15">
        <f t="shared" si="0"/>
        <v>15</v>
      </c>
      <c r="B21" s="15" t="s">
        <v>84</v>
      </c>
      <c r="C21" s="193" t="s">
        <v>82</v>
      </c>
      <c r="D21" s="127">
        <f>'[13]Washington volumes'!J21</f>
        <v>331379.44452066539</v>
      </c>
      <c r="E21" s="194"/>
      <c r="F21" s="113">
        <v>1</v>
      </c>
      <c r="G21" s="127">
        <f t="shared" si="1"/>
        <v>331379.44452066539</v>
      </c>
      <c r="H21" s="195">
        <f t="shared" si="2"/>
        <v>-0.14299000000000001</v>
      </c>
      <c r="I21" s="113">
        <v>1</v>
      </c>
      <c r="J21" s="127">
        <f t="shared" si="3"/>
        <v>331379.44452066539</v>
      </c>
      <c r="K21" s="195">
        <f t="shared" si="4"/>
        <v>-2.7019999999999999E-2</v>
      </c>
      <c r="L21" s="113">
        <v>0</v>
      </c>
      <c r="M21" s="127">
        <f t="shared" si="9"/>
        <v>0</v>
      </c>
      <c r="N21" s="195">
        <f t="shared" si="5"/>
        <v>0</v>
      </c>
      <c r="O21" s="113">
        <v>0</v>
      </c>
      <c r="P21" s="127">
        <f t="shared" si="10"/>
        <v>0</v>
      </c>
      <c r="Q21" s="195">
        <f t="shared" si="6"/>
        <v>0</v>
      </c>
      <c r="R21" s="113">
        <v>1</v>
      </c>
      <c r="S21" s="127">
        <f t="shared" si="7"/>
        <v>331379.44452066539</v>
      </c>
      <c r="T21" s="195">
        <f t="shared" si="8"/>
        <v>3.5E-4</v>
      </c>
      <c r="U21" s="113">
        <v>1</v>
      </c>
      <c r="V21" s="127">
        <v>329824.69999999995</v>
      </c>
      <c r="W21" s="142">
        <f t="shared" si="19"/>
        <v>0.24073</v>
      </c>
      <c r="AA21" s="128">
        <f>H21*D21</f>
        <v>-47383.946772009949</v>
      </c>
      <c r="AB21" s="128">
        <f>K21*D21</f>
        <v>-8953.8725909483783</v>
      </c>
      <c r="AC21" s="128">
        <f>N21*D21</f>
        <v>0</v>
      </c>
      <c r="AD21" s="128">
        <f>Q21*D21</f>
        <v>0</v>
      </c>
      <c r="AE21" s="128">
        <f>T21*D21</f>
        <v>115.98280558223288</v>
      </c>
      <c r="AF21" s="128">
        <f t="shared" si="16"/>
        <v>79772.973679459785</v>
      </c>
      <c r="AG21" s="128">
        <f t="shared" si="17"/>
        <v>-56221.836557376089</v>
      </c>
      <c r="AI21" s="190">
        <f>'[13]Allocation = % of margin'!P21+'[13]Allocation = % of margin'!S21+'[13]Allocation = % of margin'!V21+'[13]Allocation = % of margin'!Y21+'[13]Allocation = % of margin'!AB21+'[13]Allocation = % of margin'!AE21+'[13]Allocation = % of margin'!AH21+'[13]Allocation = % of margin'!AK21+'[13]Allocation = % of margin'!AN21+'Calc of Avg Cent Increments'!H21+'Calc of Avg Cent Increments'!K21+'Calc of Avg Cent Increments'!N21+'Calc of Avg Cent Increments'!Q21+'Calc of Avg Cent Increments'!T21+'Calc of Avg Cent Increments'!W21+'[13]Allocation = % of revenue'!M21</f>
        <v>9.6689999999999984E-2</v>
      </c>
      <c r="AJ21" s="5">
        <f>[13]Temporaries!W21</f>
        <v>9.6619999999999984E-2</v>
      </c>
      <c r="AK21" s="191">
        <f>[13]Permanents!F21</f>
        <v>6.9999999999999994E-5</v>
      </c>
      <c r="AL21" s="190">
        <f t="shared" si="18"/>
        <v>6.2341624917916505E-19</v>
      </c>
    </row>
    <row r="22" spans="1:38" x14ac:dyDescent="0.35">
      <c r="A22" s="15">
        <f t="shared" si="0"/>
        <v>16</v>
      </c>
      <c r="B22" s="192"/>
      <c r="C22" s="196" t="s">
        <v>83</v>
      </c>
      <c r="D22" s="89">
        <f>'[13]Washington volumes'!J22</f>
        <v>593486.75547933462</v>
      </c>
      <c r="E22" s="187"/>
      <c r="F22" s="88">
        <v>1</v>
      </c>
      <c r="G22" s="89">
        <f t="shared" si="1"/>
        <v>593486.75547933462</v>
      </c>
      <c r="H22" s="188">
        <f t="shared" si="2"/>
        <v>-0.14299000000000001</v>
      </c>
      <c r="I22" s="88">
        <v>1</v>
      </c>
      <c r="J22" s="89">
        <f t="shared" si="3"/>
        <v>593486.75547933462</v>
      </c>
      <c r="K22" s="188">
        <f t="shared" si="4"/>
        <v>-2.7019999999999999E-2</v>
      </c>
      <c r="L22" s="88">
        <v>0</v>
      </c>
      <c r="M22" s="89">
        <f t="shared" si="9"/>
        <v>0</v>
      </c>
      <c r="N22" s="188">
        <f t="shared" si="5"/>
        <v>0</v>
      </c>
      <c r="O22" s="88">
        <v>0</v>
      </c>
      <c r="P22" s="89">
        <f t="shared" si="10"/>
        <v>0</v>
      </c>
      <c r="Q22" s="188">
        <f t="shared" si="6"/>
        <v>0</v>
      </c>
      <c r="R22" s="88">
        <v>1</v>
      </c>
      <c r="S22" s="89">
        <f t="shared" si="7"/>
        <v>593486.75547933462</v>
      </c>
      <c r="T22" s="188">
        <f t="shared" si="8"/>
        <v>3.5E-4</v>
      </c>
      <c r="U22" s="88">
        <v>1</v>
      </c>
      <c r="V22" s="89">
        <v>735387.7</v>
      </c>
      <c r="W22" s="189">
        <f t="shared" si="19"/>
        <v>0.24073</v>
      </c>
      <c r="AA22" s="128">
        <f>H22*D22</f>
        <v>-84862.671165990061</v>
      </c>
      <c r="AB22" s="128">
        <f>K22*D22</f>
        <v>-16036.012133051621</v>
      </c>
      <c r="AC22" s="128">
        <f>N22*D22</f>
        <v>0</v>
      </c>
      <c r="AD22" s="128">
        <f>Q22*D22</f>
        <v>0</v>
      </c>
      <c r="AE22" s="128">
        <f>T22*D22</f>
        <v>207.72036441776712</v>
      </c>
      <c r="AF22" s="128">
        <f t="shared" si="16"/>
        <v>142870.06664654022</v>
      </c>
      <c r="AG22" s="128">
        <f t="shared" si="17"/>
        <v>-100690.96293462392</v>
      </c>
      <c r="AI22" s="190">
        <f>'[13]Allocation = % of margin'!P22+'[13]Allocation = % of margin'!S22+'[13]Allocation = % of margin'!V22+'[13]Allocation = % of margin'!Y22+'[13]Allocation = % of margin'!AB22+'[13]Allocation = % of margin'!AE22+'[13]Allocation = % of margin'!AH22+'[13]Allocation = % of margin'!AK22+'[13]Allocation = % of margin'!AN22+'Calc of Avg Cent Increments'!H22+'Calc of Avg Cent Increments'!K22+'Calc of Avg Cent Increments'!N22+'Calc of Avg Cent Increments'!Q22+'Calc of Avg Cent Increments'!T22+'Calc of Avg Cent Increments'!W22+'[13]Allocation = % of revenue'!M22</f>
        <v>9.3649999999999997E-2</v>
      </c>
      <c r="AJ22" s="5">
        <f>[13]Temporaries!W22</f>
        <v>9.3590000000000007E-2</v>
      </c>
      <c r="AK22" s="191">
        <f>[13]Permanents!F22</f>
        <v>6.0000000000000002E-5</v>
      </c>
      <c r="AL22" s="190">
        <f t="shared" si="18"/>
        <v>-9.3851250555776478E-18</v>
      </c>
    </row>
    <row r="23" spans="1:38" x14ac:dyDescent="0.35">
      <c r="A23" s="15">
        <f t="shared" si="0"/>
        <v>17</v>
      </c>
      <c r="B23" s="15" t="s">
        <v>85</v>
      </c>
      <c r="C23" s="193" t="s">
        <v>82</v>
      </c>
      <c r="D23" s="127">
        <f>'[13]Washington volumes'!J23</f>
        <v>0</v>
      </c>
      <c r="E23" s="194"/>
      <c r="F23" s="113">
        <v>1</v>
      </c>
      <c r="G23" s="127">
        <f t="shared" si="1"/>
        <v>0</v>
      </c>
      <c r="H23" s="195">
        <f t="shared" si="2"/>
        <v>-0.14299000000000001</v>
      </c>
      <c r="I23" s="113">
        <v>0</v>
      </c>
      <c r="J23" s="127">
        <f t="shared" si="3"/>
        <v>0</v>
      </c>
      <c r="K23" s="195">
        <f t="shared" si="4"/>
        <v>0</v>
      </c>
      <c r="L23" s="113">
        <v>1</v>
      </c>
      <c r="M23" s="127">
        <f t="shared" si="9"/>
        <v>0</v>
      </c>
      <c r="N23" s="195">
        <f t="shared" si="5"/>
        <v>-3.1469999999999998E-2</v>
      </c>
      <c r="O23" s="113">
        <v>0</v>
      </c>
      <c r="P23" s="127">
        <f t="shared" si="10"/>
        <v>0</v>
      </c>
      <c r="Q23" s="195">
        <f t="shared" si="6"/>
        <v>0</v>
      </c>
      <c r="R23" s="113">
        <v>0</v>
      </c>
      <c r="S23" s="127">
        <f t="shared" si="7"/>
        <v>0</v>
      </c>
      <c r="T23" s="195">
        <f t="shared" si="8"/>
        <v>0</v>
      </c>
      <c r="U23" s="113">
        <v>1</v>
      </c>
      <c r="V23" s="127">
        <v>0</v>
      </c>
      <c r="W23" s="142">
        <f t="shared" si="19"/>
        <v>0.24073</v>
      </c>
      <c r="AA23" s="128">
        <f t="shared" si="11"/>
        <v>0</v>
      </c>
      <c r="AB23" s="128">
        <f t="shared" si="12"/>
        <v>0</v>
      </c>
      <c r="AC23" s="128">
        <f t="shared" si="13"/>
        <v>0</v>
      </c>
      <c r="AD23" s="128">
        <f t="shared" si="14"/>
        <v>0</v>
      </c>
      <c r="AE23" s="128">
        <f t="shared" si="15"/>
        <v>0</v>
      </c>
      <c r="AF23" s="128">
        <f t="shared" si="16"/>
        <v>0</v>
      </c>
      <c r="AG23" s="128">
        <f t="shared" si="17"/>
        <v>0</v>
      </c>
      <c r="AI23" s="190">
        <f>'[13]Allocation = % of margin'!P23+'[13]Allocation = % of margin'!S23+'[13]Allocation = % of margin'!V23+'[13]Allocation = % of margin'!Y23+'[13]Allocation = % of margin'!AB23+'[13]Allocation = % of margin'!AE23+'[13]Allocation = % of margin'!AH23+'[13]Allocation = % of margin'!AK23+'[13]Allocation = % of margin'!AN23+'Calc of Avg Cent Increments'!H23+'Calc of Avg Cent Increments'!K23+'Calc of Avg Cent Increments'!N23+'Calc of Avg Cent Increments'!Q23+'Calc of Avg Cent Increments'!T23+'Calc of Avg Cent Increments'!W23+'[13]Allocation = % of revenue'!M23</f>
        <v>0.13566</v>
      </c>
      <c r="AJ23" s="5">
        <f>[13]Temporaries!W23</f>
        <v>0.13558999999999999</v>
      </c>
      <c r="AK23" s="191">
        <f>[13]Permanents!F23</f>
        <v>6.9999999999999994E-5</v>
      </c>
      <c r="AL23" s="190">
        <f t="shared" si="18"/>
        <v>1.4501204056993622E-17</v>
      </c>
    </row>
    <row r="24" spans="1:38" x14ac:dyDescent="0.35">
      <c r="A24" s="15">
        <f t="shared" si="0"/>
        <v>18</v>
      </c>
      <c r="B24" s="192"/>
      <c r="C24" s="196" t="s">
        <v>83</v>
      </c>
      <c r="D24" s="89">
        <f>'[13]Washington volumes'!J24</f>
        <v>0</v>
      </c>
      <c r="E24" s="187"/>
      <c r="F24" s="88">
        <v>1</v>
      </c>
      <c r="G24" s="89">
        <f t="shared" si="1"/>
        <v>0</v>
      </c>
      <c r="H24" s="188">
        <f t="shared" si="2"/>
        <v>-0.14299000000000001</v>
      </c>
      <c r="I24" s="88">
        <v>0</v>
      </c>
      <c r="J24" s="89">
        <f t="shared" si="3"/>
        <v>0</v>
      </c>
      <c r="K24" s="188">
        <f t="shared" si="4"/>
        <v>0</v>
      </c>
      <c r="L24" s="88">
        <v>1</v>
      </c>
      <c r="M24" s="89">
        <f t="shared" si="9"/>
        <v>0</v>
      </c>
      <c r="N24" s="188">
        <f t="shared" si="5"/>
        <v>-3.1469999999999998E-2</v>
      </c>
      <c r="O24" s="88">
        <v>0</v>
      </c>
      <c r="P24" s="89">
        <f t="shared" si="10"/>
        <v>0</v>
      </c>
      <c r="Q24" s="188">
        <f t="shared" si="6"/>
        <v>0</v>
      </c>
      <c r="R24" s="88">
        <v>0</v>
      </c>
      <c r="S24" s="89">
        <f t="shared" si="7"/>
        <v>0</v>
      </c>
      <c r="T24" s="188">
        <f t="shared" si="8"/>
        <v>0</v>
      </c>
      <c r="U24" s="88">
        <v>1</v>
      </c>
      <c r="V24" s="89">
        <v>0</v>
      </c>
      <c r="W24" s="189">
        <f t="shared" si="19"/>
        <v>0.24073</v>
      </c>
      <c r="AA24" s="128">
        <f t="shared" si="11"/>
        <v>0</v>
      </c>
      <c r="AB24" s="128">
        <f t="shared" si="12"/>
        <v>0</v>
      </c>
      <c r="AC24" s="128">
        <f t="shared" si="13"/>
        <v>0</v>
      </c>
      <c r="AD24" s="128">
        <f t="shared" si="14"/>
        <v>0</v>
      </c>
      <c r="AE24" s="128">
        <f t="shared" si="15"/>
        <v>0</v>
      </c>
      <c r="AF24" s="128">
        <f t="shared" si="16"/>
        <v>0</v>
      </c>
      <c r="AG24" s="128">
        <f t="shared" si="17"/>
        <v>0</v>
      </c>
      <c r="AI24" s="190">
        <f>'[13]Allocation = % of margin'!P24+'[13]Allocation = % of margin'!S24+'[13]Allocation = % of margin'!V24+'[13]Allocation = % of margin'!Y24+'[13]Allocation = % of margin'!AB24+'[13]Allocation = % of margin'!AE24+'[13]Allocation = % of margin'!AH24+'[13]Allocation = % of margin'!AK24+'[13]Allocation = % of margin'!AN24+'Calc of Avg Cent Increments'!H24+'Calc of Avg Cent Increments'!K24+'Calc of Avg Cent Increments'!N24+'Calc of Avg Cent Increments'!Q24+'Calc of Avg Cent Increments'!T24+'Calc of Avg Cent Increments'!W24+'[13]Allocation = % of revenue'!M24</f>
        <v>0.12738999999999998</v>
      </c>
      <c r="AJ24" s="5">
        <f>[13]Temporaries!W24</f>
        <v>0.12733</v>
      </c>
      <c r="AK24" s="191">
        <f>[13]Permanents!F24</f>
        <v>6.0000000000000002E-5</v>
      </c>
      <c r="AL24" s="190">
        <f t="shared" si="18"/>
        <v>-2.3262912863392105E-17</v>
      </c>
    </row>
    <row r="25" spans="1:38" x14ac:dyDescent="0.35">
      <c r="A25" s="15">
        <f t="shared" si="0"/>
        <v>19</v>
      </c>
      <c r="B25" s="15" t="s">
        <v>86</v>
      </c>
      <c r="C25" s="193" t="s">
        <v>82</v>
      </c>
      <c r="D25" s="127">
        <f>'[13]Washington volumes'!J25</f>
        <v>0</v>
      </c>
      <c r="E25" s="194"/>
      <c r="F25" s="113">
        <v>1</v>
      </c>
      <c r="G25" s="127">
        <f t="shared" si="1"/>
        <v>0</v>
      </c>
      <c r="H25" s="195">
        <f t="shared" si="2"/>
        <v>-0.14299000000000001</v>
      </c>
      <c r="I25" s="113">
        <v>0</v>
      </c>
      <c r="J25" s="127">
        <f t="shared" si="3"/>
        <v>0</v>
      </c>
      <c r="K25" s="195">
        <f t="shared" si="4"/>
        <v>0</v>
      </c>
      <c r="L25" s="113">
        <v>1</v>
      </c>
      <c r="M25" s="127">
        <f t="shared" si="9"/>
        <v>0</v>
      </c>
      <c r="N25" s="195">
        <f t="shared" si="5"/>
        <v>-3.1469999999999998E-2</v>
      </c>
      <c r="O25" s="113">
        <v>0</v>
      </c>
      <c r="P25" s="127">
        <f t="shared" si="10"/>
        <v>0</v>
      </c>
      <c r="Q25" s="195">
        <f t="shared" si="6"/>
        <v>0</v>
      </c>
      <c r="R25" s="113">
        <v>1</v>
      </c>
      <c r="S25" s="127">
        <f t="shared" si="7"/>
        <v>0</v>
      </c>
      <c r="T25" s="195">
        <f t="shared" si="8"/>
        <v>3.5E-4</v>
      </c>
      <c r="U25" s="113">
        <v>1</v>
      </c>
      <c r="V25" s="127">
        <v>0</v>
      </c>
      <c r="W25" s="142">
        <f t="shared" si="19"/>
        <v>0.24073</v>
      </c>
      <c r="AA25" s="128">
        <f>H25*D25</f>
        <v>0</v>
      </c>
      <c r="AB25" s="128">
        <f>K25*D25</f>
        <v>0</v>
      </c>
      <c r="AC25" s="128">
        <f>N25*D25</f>
        <v>0</v>
      </c>
      <c r="AD25" s="128">
        <f>Q25*D25</f>
        <v>0</v>
      </c>
      <c r="AE25" s="128">
        <f>T25*D25</f>
        <v>0</v>
      </c>
      <c r="AF25" s="128">
        <f t="shared" si="16"/>
        <v>0</v>
      </c>
      <c r="AG25" s="128">
        <f t="shared" si="17"/>
        <v>0</v>
      </c>
      <c r="AI25" s="190">
        <f>'[13]Allocation = % of margin'!P25+'[13]Allocation = % of margin'!S25+'[13]Allocation = % of margin'!V25+'[13]Allocation = % of margin'!Y25+'[13]Allocation = % of margin'!AB25+'[13]Allocation = % of margin'!AE25+'[13]Allocation = % of margin'!AH25+'[13]Allocation = % of margin'!AK25+'[13]Allocation = % of margin'!AN25+'Calc of Avg Cent Increments'!H25+'Calc of Avg Cent Increments'!K25+'Calc of Avg Cent Increments'!N25+'Calc of Avg Cent Increments'!Q25+'Calc of Avg Cent Increments'!T25+'Calc of Avg Cent Increments'!W25+'[13]Allocation = % of revenue'!M25</f>
        <v>9.2699999999999977E-2</v>
      </c>
      <c r="AJ25" s="5">
        <f>[13]Temporaries!W25</f>
        <v>9.262999999999999E-2</v>
      </c>
      <c r="AK25" s="191">
        <f>[13]Permanents!F25</f>
        <v>6.9999999999999994E-5</v>
      </c>
      <c r="AL25" s="190">
        <f t="shared" si="18"/>
        <v>-1.3254371558635292E-17</v>
      </c>
    </row>
    <row r="26" spans="1:38" x14ac:dyDescent="0.35">
      <c r="A26" s="15">
        <f t="shared" si="0"/>
        <v>20</v>
      </c>
      <c r="B26" s="192"/>
      <c r="C26" s="196" t="s">
        <v>83</v>
      </c>
      <c r="D26" s="89">
        <f>'[13]Washington volumes'!J26</f>
        <v>0</v>
      </c>
      <c r="E26" s="187"/>
      <c r="F26" s="88">
        <v>1</v>
      </c>
      <c r="G26" s="89">
        <f t="shared" si="1"/>
        <v>0</v>
      </c>
      <c r="H26" s="188">
        <f t="shared" si="2"/>
        <v>-0.14299000000000001</v>
      </c>
      <c r="I26" s="88">
        <v>0</v>
      </c>
      <c r="J26" s="89">
        <f t="shared" si="3"/>
        <v>0</v>
      </c>
      <c r="K26" s="188">
        <f t="shared" si="4"/>
        <v>0</v>
      </c>
      <c r="L26" s="88">
        <v>1</v>
      </c>
      <c r="M26" s="89">
        <f t="shared" si="9"/>
        <v>0</v>
      </c>
      <c r="N26" s="188">
        <f t="shared" si="5"/>
        <v>-3.1469999999999998E-2</v>
      </c>
      <c r="O26" s="88">
        <v>0</v>
      </c>
      <c r="P26" s="89">
        <f t="shared" si="10"/>
        <v>0</v>
      </c>
      <c r="Q26" s="188">
        <f t="shared" si="6"/>
        <v>0</v>
      </c>
      <c r="R26" s="88">
        <v>1</v>
      </c>
      <c r="S26" s="89">
        <f t="shared" si="7"/>
        <v>0</v>
      </c>
      <c r="T26" s="188">
        <f t="shared" si="8"/>
        <v>3.5E-4</v>
      </c>
      <c r="U26" s="88">
        <v>1</v>
      </c>
      <c r="V26" s="89">
        <v>0</v>
      </c>
      <c r="W26" s="189">
        <f t="shared" si="19"/>
        <v>0.24073</v>
      </c>
      <c r="AA26" s="128">
        <f>H26*D26</f>
        <v>0</v>
      </c>
      <c r="AB26" s="128">
        <f>K26*D26</f>
        <v>0</v>
      </c>
      <c r="AC26" s="128">
        <f>N26*D26</f>
        <v>0</v>
      </c>
      <c r="AD26" s="128">
        <f>Q26*D26</f>
        <v>0</v>
      </c>
      <c r="AE26" s="128">
        <f>T26*D26</f>
        <v>0</v>
      </c>
      <c r="AF26" s="128">
        <f t="shared" si="16"/>
        <v>0</v>
      </c>
      <c r="AG26" s="128">
        <f t="shared" si="17"/>
        <v>0</v>
      </c>
      <c r="AI26" s="190">
        <f>'[13]Allocation = % of margin'!P26+'[13]Allocation = % of margin'!S26+'[13]Allocation = % of margin'!V26+'[13]Allocation = % of margin'!Y26+'[13]Allocation = % of margin'!AB26+'[13]Allocation = % of margin'!AE26+'[13]Allocation = % of margin'!AH26+'[13]Allocation = % of margin'!AK26+'[13]Allocation = % of margin'!AN26+'Calc of Avg Cent Increments'!H26+'Calc of Avg Cent Increments'!K26+'Calc of Avg Cent Increments'!N26+'Calc of Avg Cent Increments'!Q26+'Calc of Avg Cent Increments'!T26+'Calc of Avg Cent Increments'!W26+'[13]Allocation = % of revenue'!M26</f>
        <v>8.9609999999999995E-2</v>
      </c>
      <c r="AJ26" s="5">
        <f>[13]Temporaries!W26</f>
        <v>8.9550000000000018E-2</v>
      </c>
      <c r="AK26" s="191">
        <f>[13]Permanents!F26</f>
        <v>6.0000000000000002E-5</v>
      </c>
      <c r="AL26" s="190">
        <f t="shared" si="18"/>
        <v>-2.3262912863392105E-17</v>
      </c>
    </row>
    <row r="27" spans="1:38" x14ac:dyDescent="0.35">
      <c r="A27" s="15">
        <f t="shared" si="0"/>
        <v>21</v>
      </c>
      <c r="B27" s="15" t="s">
        <v>87</v>
      </c>
      <c r="C27" s="193" t="s">
        <v>82</v>
      </c>
      <c r="D27" s="127">
        <f>'[13]Washington volumes'!J27</f>
        <v>123242.73967014518</v>
      </c>
      <c r="E27" s="194"/>
      <c r="F27" s="113">
        <v>0</v>
      </c>
      <c r="G27" s="127">
        <f t="shared" si="1"/>
        <v>0</v>
      </c>
      <c r="H27" s="195">
        <f t="shared" si="2"/>
        <v>0</v>
      </c>
      <c r="I27" s="113">
        <v>0</v>
      </c>
      <c r="J27" s="127">
        <f t="shared" si="3"/>
        <v>0</v>
      </c>
      <c r="K27" s="195">
        <f t="shared" si="4"/>
        <v>0</v>
      </c>
      <c r="L27" s="113">
        <v>0</v>
      </c>
      <c r="M27" s="127">
        <f t="shared" si="9"/>
        <v>0</v>
      </c>
      <c r="N27" s="195">
        <f t="shared" si="5"/>
        <v>0</v>
      </c>
      <c r="O27" s="113">
        <v>0</v>
      </c>
      <c r="P27" s="127">
        <f t="shared" si="10"/>
        <v>0</v>
      </c>
      <c r="Q27" s="195">
        <f t="shared" si="6"/>
        <v>0</v>
      </c>
      <c r="R27" s="113">
        <v>1</v>
      </c>
      <c r="S27" s="127">
        <f t="shared" si="7"/>
        <v>123242.73967014518</v>
      </c>
      <c r="T27" s="195">
        <f t="shared" si="8"/>
        <v>3.5E-4</v>
      </c>
      <c r="U27" s="113">
        <v>1</v>
      </c>
      <c r="V27" s="127">
        <v>151507</v>
      </c>
      <c r="W27" s="142">
        <f t="shared" si="19"/>
        <v>0.24073</v>
      </c>
      <c r="AA27" s="128">
        <f t="shared" si="11"/>
        <v>0</v>
      </c>
      <c r="AB27" s="128">
        <f t="shared" si="12"/>
        <v>0</v>
      </c>
      <c r="AC27" s="128">
        <f t="shared" si="13"/>
        <v>0</v>
      </c>
      <c r="AD27" s="128">
        <f t="shared" si="14"/>
        <v>0</v>
      </c>
      <c r="AE27" s="128">
        <f t="shared" si="15"/>
        <v>43.134958884550812</v>
      </c>
      <c r="AF27" s="128">
        <f t="shared" si="16"/>
        <v>29668.224720794049</v>
      </c>
      <c r="AG27" s="128">
        <f t="shared" si="17"/>
        <v>43.134958884550812</v>
      </c>
      <c r="AI27" s="190">
        <f>'[13]Allocation = % of margin'!P27+'[13]Allocation = % of margin'!S27+'[13]Allocation = % of margin'!V27+'[13]Allocation = % of margin'!Y27+'[13]Allocation = % of margin'!AB27+'[13]Allocation = % of margin'!AE27+'[13]Allocation = % of margin'!AH27+'[13]Allocation = % of margin'!AK27+'[13]Allocation = % of margin'!AN27+'Calc of Avg Cent Increments'!H27+'Calc of Avg Cent Increments'!K27+'Calc of Avg Cent Increments'!N27+'Calc of Avg Cent Increments'!Q27+'Calc of Avg Cent Increments'!T27+'Calc of Avg Cent Increments'!W27+'[13]Allocation = % of revenue'!M27</f>
        <v>0.26261000000000001</v>
      </c>
      <c r="AJ27" s="5">
        <f>[13]Temporaries!W27</f>
        <v>0.26261000000000001</v>
      </c>
      <c r="AK27" s="191">
        <f>[13]Permanents!F27</f>
        <v>0</v>
      </c>
      <c r="AL27" s="190">
        <f t="shared" si="18"/>
        <v>0</v>
      </c>
    </row>
    <row r="28" spans="1:38" x14ac:dyDescent="0.35">
      <c r="A28" s="15">
        <f t="shared" si="0"/>
        <v>22</v>
      </c>
      <c r="B28" s="192"/>
      <c r="C28" s="196" t="s">
        <v>83</v>
      </c>
      <c r="D28" s="89">
        <f>'[13]Washington volumes'!J28</f>
        <v>284875.42061605473</v>
      </c>
      <c r="E28" s="187"/>
      <c r="F28" s="88">
        <v>0</v>
      </c>
      <c r="G28" s="89">
        <f t="shared" si="1"/>
        <v>0</v>
      </c>
      <c r="H28" s="188">
        <f t="shared" si="2"/>
        <v>0</v>
      </c>
      <c r="I28" s="88">
        <v>0</v>
      </c>
      <c r="J28" s="89">
        <f t="shared" si="3"/>
        <v>0</v>
      </c>
      <c r="K28" s="188">
        <f t="shared" si="4"/>
        <v>0</v>
      </c>
      <c r="L28" s="88">
        <v>0</v>
      </c>
      <c r="M28" s="89">
        <f t="shared" si="9"/>
        <v>0</v>
      </c>
      <c r="N28" s="188">
        <f t="shared" si="5"/>
        <v>0</v>
      </c>
      <c r="O28" s="88">
        <v>0</v>
      </c>
      <c r="P28" s="89">
        <f t="shared" si="10"/>
        <v>0</v>
      </c>
      <c r="Q28" s="188">
        <f t="shared" si="6"/>
        <v>0</v>
      </c>
      <c r="R28" s="88">
        <v>1</v>
      </c>
      <c r="S28" s="89">
        <f t="shared" si="7"/>
        <v>284875.42061605473</v>
      </c>
      <c r="T28" s="188">
        <f t="shared" si="8"/>
        <v>3.5E-4</v>
      </c>
      <c r="U28" s="88">
        <v>1</v>
      </c>
      <c r="V28" s="89">
        <v>253149</v>
      </c>
      <c r="W28" s="189">
        <f t="shared" si="19"/>
        <v>0.24073</v>
      </c>
      <c r="AA28" s="128">
        <f t="shared" si="11"/>
        <v>0</v>
      </c>
      <c r="AB28" s="128">
        <f t="shared" si="12"/>
        <v>0</v>
      </c>
      <c r="AC28" s="128">
        <f t="shared" si="13"/>
        <v>0</v>
      </c>
      <c r="AD28" s="128">
        <f t="shared" si="14"/>
        <v>0</v>
      </c>
      <c r="AE28" s="128">
        <f t="shared" si="15"/>
        <v>99.706397215619162</v>
      </c>
      <c r="AF28" s="128">
        <f t="shared" si="16"/>
        <v>68578.060004902858</v>
      </c>
      <c r="AG28" s="128">
        <f t="shared" si="17"/>
        <v>99.706397215619162</v>
      </c>
      <c r="AI28" s="190">
        <f>'[13]Allocation = % of margin'!P28+'[13]Allocation = % of margin'!S28+'[13]Allocation = % of margin'!V28+'[13]Allocation = % of margin'!Y28+'[13]Allocation = % of margin'!AB28+'[13]Allocation = % of margin'!AE28+'[13]Allocation = % of margin'!AH28+'[13]Allocation = % of margin'!AK28+'[13]Allocation = % of margin'!AN28+'Calc of Avg Cent Increments'!H28+'Calc of Avg Cent Increments'!K28+'Calc of Avg Cent Increments'!N28+'Calc of Avg Cent Increments'!Q28+'Calc of Avg Cent Increments'!T28+'Calc of Avg Cent Increments'!W28+'[13]Allocation = % of revenue'!M28</f>
        <v>0.26005</v>
      </c>
      <c r="AJ28" s="5">
        <f>[13]Temporaries!W28</f>
        <v>0.26005</v>
      </c>
      <c r="AK28" s="191">
        <f>[13]Permanents!F28</f>
        <v>0</v>
      </c>
      <c r="AL28" s="190">
        <f t="shared" si="18"/>
        <v>0</v>
      </c>
    </row>
    <row r="29" spans="1:38" x14ac:dyDescent="0.35">
      <c r="A29" s="15">
        <f t="shared" si="0"/>
        <v>23</v>
      </c>
      <c r="B29" s="15" t="s">
        <v>152</v>
      </c>
      <c r="C29" s="193" t="s">
        <v>82</v>
      </c>
      <c r="D29" s="197">
        <f>'[13]Washington volumes'!J29</f>
        <v>0</v>
      </c>
      <c r="E29" s="198"/>
      <c r="F29" s="199">
        <v>0</v>
      </c>
      <c r="G29" s="197">
        <f t="shared" si="1"/>
        <v>0</v>
      </c>
      <c r="H29" s="200">
        <f t="shared" si="2"/>
        <v>0</v>
      </c>
      <c r="I29" s="199">
        <v>0</v>
      </c>
      <c r="J29" s="197">
        <f t="shared" si="3"/>
        <v>0</v>
      </c>
      <c r="K29" s="200">
        <f t="shared" si="4"/>
        <v>0</v>
      </c>
      <c r="L29" s="199">
        <v>0</v>
      </c>
      <c r="M29" s="197">
        <f t="shared" si="9"/>
        <v>0</v>
      </c>
      <c r="N29" s="200">
        <f t="shared" si="5"/>
        <v>0</v>
      </c>
      <c r="O29" s="199">
        <v>0</v>
      </c>
      <c r="P29" s="197">
        <f t="shared" si="10"/>
        <v>0</v>
      </c>
      <c r="Q29" s="200">
        <f t="shared" si="6"/>
        <v>0</v>
      </c>
      <c r="R29" s="199">
        <v>1</v>
      </c>
      <c r="S29" s="197">
        <f t="shared" si="7"/>
        <v>0</v>
      </c>
      <c r="T29" s="200">
        <f t="shared" si="8"/>
        <v>3.5E-4</v>
      </c>
      <c r="U29" s="199">
        <v>1</v>
      </c>
      <c r="V29" s="197">
        <v>0</v>
      </c>
      <c r="W29" s="201">
        <f t="shared" si="19"/>
        <v>0.24073</v>
      </c>
      <c r="AA29" s="128">
        <f t="shared" si="11"/>
        <v>0</v>
      </c>
      <c r="AB29" s="128">
        <f t="shared" si="12"/>
        <v>0</v>
      </c>
      <c r="AC29" s="128">
        <f t="shared" si="13"/>
        <v>0</v>
      </c>
      <c r="AD29" s="128">
        <f t="shared" si="14"/>
        <v>0</v>
      </c>
      <c r="AE29" s="128">
        <f t="shared" si="15"/>
        <v>0</v>
      </c>
      <c r="AF29" s="128">
        <f t="shared" si="16"/>
        <v>0</v>
      </c>
      <c r="AG29" s="128">
        <f t="shared" si="17"/>
        <v>0</v>
      </c>
      <c r="AI29" s="190">
        <f>'[13]Allocation = % of margin'!P29+'[13]Allocation = % of margin'!S29+'[13]Allocation = % of margin'!V29+'[13]Allocation = % of margin'!Y29+'[13]Allocation = % of margin'!AB29+'[13]Allocation = % of margin'!AE29+'[13]Allocation = % of margin'!AH29+'[13]Allocation = % of margin'!AK29+'[13]Allocation = % of margin'!AN29+'Calc of Avg Cent Increments'!H29+'Calc of Avg Cent Increments'!K29+'Calc of Avg Cent Increments'!N29+'Calc of Avg Cent Increments'!Q29+'Calc of Avg Cent Increments'!T29+'Calc of Avg Cent Increments'!W29+'[13]Allocation = % of revenue'!M29</f>
        <v>0.26072000000000001</v>
      </c>
      <c r="AJ29" s="5">
        <f>[13]Temporaries!W29</f>
        <v>0.26072000000000001</v>
      </c>
      <c r="AK29" s="191">
        <f>[13]Permanents!F29</f>
        <v>0</v>
      </c>
      <c r="AL29" s="190">
        <f t="shared" si="18"/>
        <v>0</v>
      </c>
    </row>
    <row r="30" spans="1:38" x14ac:dyDescent="0.35">
      <c r="A30" s="15">
        <f t="shared" si="0"/>
        <v>24</v>
      </c>
      <c r="B30" s="15"/>
      <c r="C30" s="196" t="s">
        <v>83</v>
      </c>
      <c r="D30" s="89">
        <f>'[13]Washington volumes'!J30</f>
        <v>0</v>
      </c>
      <c r="E30" s="187"/>
      <c r="F30" s="88">
        <v>0</v>
      </c>
      <c r="G30" s="89">
        <f t="shared" si="1"/>
        <v>0</v>
      </c>
      <c r="H30" s="188">
        <f t="shared" si="2"/>
        <v>0</v>
      </c>
      <c r="I30" s="88">
        <v>0</v>
      </c>
      <c r="J30" s="89">
        <f t="shared" si="3"/>
        <v>0</v>
      </c>
      <c r="K30" s="188">
        <f t="shared" si="4"/>
        <v>0</v>
      </c>
      <c r="L30" s="88">
        <v>0</v>
      </c>
      <c r="M30" s="89">
        <f t="shared" si="9"/>
        <v>0</v>
      </c>
      <c r="N30" s="188">
        <f t="shared" si="5"/>
        <v>0</v>
      </c>
      <c r="O30" s="88">
        <v>0</v>
      </c>
      <c r="P30" s="89">
        <f t="shared" si="10"/>
        <v>0</v>
      </c>
      <c r="Q30" s="188">
        <f t="shared" si="6"/>
        <v>0</v>
      </c>
      <c r="R30" s="88">
        <v>1</v>
      </c>
      <c r="S30" s="89">
        <f t="shared" si="7"/>
        <v>0</v>
      </c>
      <c r="T30" s="188">
        <f t="shared" si="8"/>
        <v>3.5E-4</v>
      </c>
      <c r="U30" s="88">
        <v>1</v>
      </c>
      <c r="V30" s="89">
        <v>0</v>
      </c>
      <c r="W30" s="189">
        <f t="shared" si="19"/>
        <v>0.24073</v>
      </c>
      <c r="AA30" s="128">
        <f t="shared" si="11"/>
        <v>0</v>
      </c>
      <c r="AB30" s="128">
        <f t="shared" si="12"/>
        <v>0</v>
      </c>
      <c r="AC30" s="128">
        <f t="shared" si="13"/>
        <v>0</v>
      </c>
      <c r="AD30" s="128">
        <f t="shared" si="14"/>
        <v>0</v>
      </c>
      <c r="AE30" s="128">
        <f t="shared" si="15"/>
        <v>0</v>
      </c>
      <c r="AF30" s="128">
        <f t="shared" si="16"/>
        <v>0</v>
      </c>
      <c r="AG30" s="128">
        <f t="shared" si="17"/>
        <v>0</v>
      </c>
      <c r="AI30" s="190">
        <f>'[13]Allocation = % of margin'!P30+'[13]Allocation = % of margin'!S30+'[13]Allocation = % of margin'!V30+'[13]Allocation = % of margin'!Y30+'[13]Allocation = % of margin'!AB30+'[13]Allocation = % of margin'!AE30+'[13]Allocation = % of margin'!AH30+'[13]Allocation = % of margin'!AK30+'[13]Allocation = % of margin'!AN30+'Calc of Avg Cent Increments'!H30+'Calc of Avg Cent Increments'!K30+'Calc of Avg Cent Increments'!N30+'Calc of Avg Cent Increments'!Q30+'Calc of Avg Cent Increments'!T30+'Calc of Avg Cent Increments'!W30+'[13]Allocation = % of revenue'!M30</f>
        <v>0.25839000000000001</v>
      </c>
      <c r="AJ30" s="5">
        <f>[13]Temporaries!W30</f>
        <v>0.25839000000000001</v>
      </c>
      <c r="AK30" s="191">
        <f>[13]Permanents!F30</f>
        <v>0</v>
      </c>
      <c r="AL30" s="190">
        <f t="shared" si="18"/>
        <v>0</v>
      </c>
    </row>
    <row r="31" spans="1:38" x14ac:dyDescent="0.35">
      <c r="A31" s="15">
        <f t="shared" si="0"/>
        <v>25</v>
      </c>
      <c r="B31" s="15" t="s">
        <v>89</v>
      </c>
      <c r="C31" s="193" t="s">
        <v>82</v>
      </c>
      <c r="D31" s="127">
        <f>'[13]Washington volumes'!J31</f>
        <v>820212.7</v>
      </c>
      <c r="E31" s="194"/>
      <c r="F31" s="113">
        <v>1</v>
      </c>
      <c r="G31" s="127">
        <f t="shared" si="1"/>
        <v>820212.7</v>
      </c>
      <c r="H31" s="195">
        <f t="shared" si="2"/>
        <v>-0.14299000000000001</v>
      </c>
      <c r="I31" s="113">
        <v>1</v>
      </c>
      <c r="J31" s="127">
        <f t="shared" si="3"/>
        <v>820212.7</v>
      </c>
      <c r="K31" s="195">
        <f t="shared" si="4"/>
        <v>-2.7019999999999999E-2</v>
      </c>
      <c r="L31" s="113">
        <v>0</v>
      </c>
      <c r="M31" s="127">
        <f t="shared" si="9"/>
        <v>0</v>
      </c>
      <c r="N31" s="195">
        <f t="shared" si="5"/>
        <v>0</v>
      </c>
      <c r="O31" s="113">
        <v>0</v>
      </c>
      <c r="P31" s="127">
        <f t="shared" si="10"/>
        <v>0</v>
      </c>
      <c r="Q31" s="195">
        <f t="shared" si="6"/>
        <v>0</v>
      </c>
      <c r="R31" s="113">
        <v>0</v>
      </c>
      <c r="S31" s="127">
        <f t="shared" si="7"/>
        <v>0</v>
      </c>
      <c r="T31" s="195">
        <f t="shared" si="8"/>
        <v>0</v>
      </c>
      <c r="U31" s="113">
        <v>1</v>
      </c>
      <c r="V31" s="127">
        <v>629200.4</v>
      </c>
      <c r="W31" s="142">
        <f t="shared" si="19"/>
        <v>0.24073</v>
      </c>
      <c r="AA31" s="128">
        <f t="shared" si="11"/>
        <v>-117282.21397300001</v>
      </c>
      <c r="AB31" s="128">
        <f t="shared" si="12"/>
        <v>-22162.147153999998</v>
      </c>
      <c r="AC31" s="128">
        <f t="shared" si="13"/>
        <v>0</v>
      </c>
      <c r="AD31" s="128">
        <f t="shared" si="14"/>
        <v>0</v>
      </c>
      <c r="AE31" s="128">
        <f t="shared" si="15"/>
        <v>0</v>
      </c>
      <c r="AF31" s="128">
        <f t="shared" si="16"/>
        <v>197449.80327099998</v>
      </c>
      <c r="AG31" s="128">
        <f t="shared" si="17"/>
        <v>-139444.36112700001</v>
      </c>
      <c r="AI31" s="190">
        <f>'[13]Allocation = % of margin'!P31+'[13]Allocation = % of margin'!S31+'[13]Allocation = % of margin'!V31+'[13]Allocation = % of margin'!Y31+'[13]Allocation = % of margin'!AB31+'[13]Allocation = % of margin'!AE31+'[13]Allocation = % of margin'!AH31+'[13]Allocation = % of margin'!AK31+'[13]Allocation = % of margin'!AN31+'Calc of Avg Cent Increments'!H31+'Calc of Avg Cent Increments'!K31+'Calc of Avg Cent Increments'!N31+'Calc of Avg Cent Increments'!Q31+'Calc of Avg Cent Increments'!T31+'Calc of Avg Cent Increments'!W31+'[13]Allocation = % of revenue'!M31</f>
        <v>0.11219999999999998</v>
      </c>
      <c r="AJ31" s="5">
        <f>[13]Temporaries!W31</f>
        <v>0.11216000000000004</v>
      </c>
      <c r="AK31" s="191">
        <f>[13]Permanents!F31</f>
        <v>4.0000000000000003E-5</v>
      </c>
      <c r="AL31" s="190">
        <f t="shared" si="18"/>
        <v>-5.7144230753564118E-17</v>
      </c>
    </row>
    <row r="32" spans="1:38" x14ac:dyDescent="0.35">
      <c r="A32" s="15">
        <f t="shared" si="0"/>
        <v>26</v>
      </c>
      <c r="B32" s="15"/>
      <c r="C32" s="193" t="s">
        <v>83</v>
      </c>
      <c r="D32" s="127">
        <f>'[13]Washington volumes'!J32</f>
        <v>926222.5</v>
      </c>
      <c r="E32" s="194"/>
      <c r="F32" s="113">
        <v>1</v>
      </c>
      <c r="G32" s="127">
        <f t="shared" si="1"/>
        <v>926222.5</v>
      </c>
      <c r="H32" s="195">
        <f t="shared" si="2"/>
        <v>-0.14299000000000001</v>
      </c>
      <c r="I32" s="113">
        <v>1</v>
      </c>
      <c r="J32" s="127">
        <f t="shared" si="3"/>
        <v>926222.5</v>
      </c>
      <c r="K32" s="195">
        <f t="shared" si="4"/>
        <v>-2.7019999999999999E-2</v>
      </c>
      <c r="L32" s="113">
        <v>0</v>
      </c>
      <c r="M32" s="127">
        <f t="shared" si="9"/>
        <v>0</v>
      </c>
      <c r="N32" s="195">
        <f t="shared" si="5"/>
        <v>0</v>
      </c>
      <c r="O32" s="113">
        <v>0</v>
      </c>
      <c r="P32" s="127">
        <f t="shared" si="10"/>
        <v>0</v>
      </c>
      <c r="Q32" s="195">
        <f t="shared" si="6"/>
        <v>0</v>
      </c>
      <c r="R32" s="113">
        <v>0</v>
      </c>
      <c r="S32" s="127">
        <f t="shared" si="7"/>
        <v>0</v>
      </c>
      <c r="T32" s="195">
        <f t="shared" si="8"/>
        <v>0</v>
      </c>
      <c r="U32" s="113">
        <v>1</v>
      </c>
      <c r="V32" s="127">
        <v>853171.49999999988</v>
      </c>
      <c r="W32" s="142">
        <f t="shared" si="19"/>
        <v>0.24073</v>
      </c>
      <c r="AA32" s="128">
        <f t="shared" si="11"/>
        <v>-132440.55527499999</v>
      </c>
      <c r="AB32" s="128">
        <f t="shared" si="12"/>
        <v>-25026.531950000001</v>
      </c>
      <c r="AC32" s="128">
        <f t="shared" si="13"/>
        <v>0</v>
      </c>
      <c r="AD32" s="128">
        <f t="shared" si="14"/>
        <v>0</v>
      </c>
      <c r="AE32" s="128">
        <f t="shared" si="15"/>
        <v>0</v>
      </c>
      <c r="AF32" s="128">
        <f t="shared" si="16"/>
        <v>222969.54242499999</v>
      </c>
      <c r="AG32" s="128">
        <f t="shared" si="17"/>
        <v>-157467.087225</v>
      </c>
      <c r="AI32" s="190">
        <f>'[13]Allocation = % of margin'!P32+'[13]Allocation = % of margin'!S32+'[13]Allocation = % of margin'!V32+'[13]Allocation = % of margin'!Y32+'[13]Allocation = % of margin'!AB32+'[13]Allocation = % of margin'!AE32+'[13]Allocation = % of margin'!AH32+'[13]Allocation = % of margin'!AK32+'[13]Allocation = % of margin'!AN32+'Calc of Avg Cent Increments'!H32+'Calc of Avg Cent Increments'!K32+'Calc of Avg Cent Increments'!N32+'Calc of Avg Cent Increments'!Q32+'Calc of Avg Cent Increments'!T32+'Calc of Avg Cent Increments'!W32+'[13]Allocation = % of revenue'!M32</f>
        <v>0.10784999999999999</v>
      </c>
      <c r="AJ32" s="5">
        <f>[13]Temporaries!W32</f>
        <v>0.10781000000000002</v>
      </c>
      <c r="AK32" s="191">
        <f>[13]Permanents!F32</f>
        <v>4.0000000000000003E-5</v>
      </c>
      <c r="AL32" s="190">
        <f t="shared" si="18"/>
        <v>-2.9388655137935205E-17</v>
      </c>
    </row>
    <row r="33" spans="1:38" x14ac:dyDescent="0.35">
      <c r="A33" s="15">
        <f t="shared" si="0"/>
        <v>27</v>
      </c>
      <c r="B33" s="15"/>
      <c r="C33" s="193" t="s">
        <v>90</v>
      </c>
      <c r="D33" s="127">
        <f>'[13]Washington volumes'!J33</f>
        <v>323675.40000000002</v>
      </c>
      <c r="E33" s="194"/>
      <c r="F33" s="113">
        <v>1</v>
      </c>
      <c r="G33" s="127">
        <f t="shared" si="1"/>
        <v>323675.40000000002</v>
      </c>
      <c r="H33" s="195">
        <f t="shared" si="2"/>
        <v>-0.14299000000000001</v>
      </c>
      <c r="I33" s="113">
        <v>1</v>
      </c>
      <c r="J33" s="127">
        <f t="shared" si="3"/>
        <v>323675.40000000002</v>
      </c>
      <c r="K33" s="195">
        <f t="shared" si="4"/>
        <v>-2.7019999999999999E-2</v>
      </c>
      <c r="L33" s="113">
        <v>0</v>
      </c>
      <c r="M33" s="127">
        <f t="shared" si="9"/>
        <v>0</v>
      </c>
      <c r="N33" s="195">
        <f t="shared" si="5"/>
        <v>0</v>
      </c>
      <c r="O33" s="113">
        <v>0</v>
      </c>
      <c r="P33" s="127">
        <f t="shared" si="10"/>
        <v>0</v>
      </c>
      <c r="Q33" s="195">
        <f t="shared" si="6"/>
        <v>0</v>
      </c>
      <c r="R33" s="113">
        <v>0</v>
      </c>
      <c r="S33" s="127">
        <f t="shared" si="7"/>
        <v>0</v>
      </c>
      <c r="T33" s="195">
        <f t="shared" si="8"/>
        <v>0</v>
      </c>
      <c r="U33" s="113">
        <v>1</v>
      </c>
      <c r="V33" s="127">
        <v>334173.40000000002</v>
      </c>
      <c r="W33" s="142">
        <f t="shared" si="19"/>
        <v>0.24073</v>
      </c>
      <c r="AA33" s="128">
        <f t="shared" si="11"/>
        <v>-46282.345446000007</v>
      </c>
      <c r="AB33" s="128">
        <f t="shared" si="12"/>
        <v>-8745.7093079999995</v>
      </c>
      <c r="AC33" s="128">
        <f t="shared" si="13"/>
        <v>0</v>
      </c>
      <c r="AD33" s="128">
        <f t="shared" si="14"/>
        <v>0</v>
      </c>
      <c r="AE33" s="128">
        <f t="shared" si="15"/>
        <v>0</v>
      </c>
      <c r="AF33" s="128">
        <f t="shared" si="16"/>
        <v>77918.379042</v>
      </c>
      <c r="AG33" s="128">
        <f t="shared" si="17"/>
        <v>-55028.054754000004</v>
      </c>
      <c r="AI33" s="190">
        <f>'[13]Allocation = % of margin'!P33+'[13]Allocation = % of margin'!S33+'[13]Allocation = % of margin'!V33+'[13]Allocation = % of margin'!Y33+'[13]Allocation = % of margin'!AB33+'[13]Allocation = % of margin'!AE33+'[13]Allocation = % of margin'!AH33+'[13]Allocation = % of margin'!AK33+'[13]Allocation = % of margin'!AN33+'Calc of Avg Cent Increments'!H33+'Calc of Avg Cent Increments'!K33+'Calc of Avg Cent Increments'!N33+'Calc of Avg Cent Increments'!Q33+'Calc of Avg Cent Increments'!T33+'Calc of Avg Cent Increments'!W33+'[13]Allocation = % of revenue'!M33</f>
        <v>9.9199999999999997E-2</v>
      </c>
      <c r="AJ33" s="5">
        <f>[13]Temporaries!W33</f>
        <v>9.916999999999998E-2</v>
      </c>
      <c r="AK33" s="191">
        <f>[13]Permanents!F33</f>
        <v>3.0000000000000001E-5</v>
      </c>
      <c r="AL33" s="190">
        <f t="shared" si="18"/>
        <v>1.6124119183932861E-17</v>
      </c>
    </row>
    <row r="34" spans="1:38" x14ac:dyDescent="0.35">
      <c r="A34" s="15">
        <f t="shared" si="0"/>
        <v>28</v>
      </c>
      <c r="B34" s="15"/>
      <c r="C34" s="193" t="s">
        <v>91</v>
      </c>
      <c r="D34" s="127">
        <f>'[13]Washington volumes'!J34</f>
        <v>84982.8</v>
      </c>
      <c r="E34" s="194"/>
      <c r="F34" s="113">
        <v>1</v>
      </c>
      <c r="G34" s="127">
        <f t="shared" si="1"/>
        <v>84982.8</v>
      </c>
      <c r="H34" s="195">
        <f t="shared" si="2"/>
        <v>-0.14299000000000001</v>
      </c>
      <c r="I34" s="113">
        <v>1</v>
      </c>
      <c r="J34" s="127">
        <f t="shared" si="3"/>
        <v>84982.8</v>
      </c>
      <c r="K34" s="195">
        <f t="shared" si="4"/>
        <v>-2.7019999999999999E-2</v>
      </c>
      <c r="L34" s="113">
        <v>0</v>
      </c>
      <c r="M34" s="127">
        <f t="shared" si="9"/>
        <v>0</v>
      </c>
      <c r="N34" s="195">
        <f t="shared" si="5"/>
        <v>0</v>
      </c>
      <c r="O34" s="113">
        <v>0</v>
      </c>
      <c r="P34" s="127">
        <f t="shared" si="10"/>
        <v>0</v>
      </c>
      <c r="Q34" s="195">
        <f t="shared" si="6"/>
        <v>0</v>
      </c>
      <c r="R34" s="113">
        <v>0</v>
      </c>
      <c r="S34" s="127">
        <f t="shared" si="7"/>
        <v>0</v>
      </c>
      <c r="T34" s="195">
        <f t="shared" si="8"/>
        <v>0</v>
      </c>
      <c r="U34" s="113">
        <v>1</v>
      </c>
      <c r="V34" s="127">
        <v>73268.400000000009</v>
      </c>
      <c r="W34" s="142">
        <f t="shared" si="19"/>
        <v>0.24073</v>
      </c>
      <c r="AA34" s="128">
        <f t="shared" si="11"/>
        <v>-12151.690572000001</v>
      </c>
      <c r="AB34" s="128">
        <f t="shared" si="12"/>
        <v>-2296.2352559999999</v>
      </c>
      <c r="AC34" s="128">
        <f t="shared" si="13"/>
        <v>0</v>
      </c>
      <c r="AD34" s="128">
        <f t="shared" si="14"/>
        <v>0</v>
      </c>
      <c r="AE34" s="128">
        <f t="shared" si="15"/>
        <v>0</v>
      </c>
      <c r="AF34" s="128">
        <f t="shared" si="16"/>
        <v>20457.909444000001</v>
      </c>
      <c r="AG34" s="128">
        <f t="shared" si="17"/>
        <v>-14447.925828000001</v>
      </c>
      <c r="AI34" s="190">
        <f>'[13]Allocation = % of margin'!P34+'[13]Allocation = % of margin'!S34+'[13]Allocation = % of margin'!V34+'[13]Allocation = % of margin'!Y34+'[13]Allocation = % of margin'!AB34+'[13]Allocation = % of margin'!AE34+'[13]Allocation = % of margin'!AH34+'[13]Allocation = % of margin'!AK34+'[13]Allocation = % of margin'!AN34+'Calc of Avg Cent Increments'!H34+'Calc of Avg Cent Increments'!K34+'Calc of Avg Cent Increments'!N34+'Calc of Avg Cent Increments'!Q34+'Calc of Avg Cent Increments'!T34+'Calc of Avg Cent Increments'!W34+'[13]Allocation = % of revenue'!M34</f>
        <v>9.3520000000000006E-2</v>
      </c>
      <c r="AJ34" s="5">
        <f>[13]Temporaries!W34</f>
        <v>9.3500000000000028E-2</v>
      </c>
      <c r="AK34" s="191">
        <f>[13]Permanents!F34</f>
        <v>2.0000000000000002E-5</v>
      </c>
      <c r="AL34" s="190">
        <f t="shared" si="18"/>
        <v>-2.1633221472874831E-17</v>
      </c>
    </row>
    <row r="35" spans="1:38" x14ac:dyDescent="0.35">
      <c r="A35" s="15">
        <f t="shared" si="0"/>
        <v>29</v>
      </c>
      <c r="B35" s="15"/>
      <c r="C35" s="193" t="s">
        <v>92</v>
      </c>
      <c r="D35" s="127">
        <f>'[13]Washington volumes'!J35</f>
        <v>0</v>
      </c>
      <c r="E35" s="194"/>
      <c r="F35" s="113">
        <v>1</v>
      </c>
      <c r="G35" s="127">
        <f t="shared" si="1"/>
        <v>0</v>
      </c>
      <c r="H35" s="195">
        <f t="shared" si="2"/>
        <v>-0.14299000000000001</v>
      </c>
      <c r="I35" s="113">
        <v>1</v>
      </c>
      <c r="J35" s="127">
        <f t="shared" si="3"/>
        <v>0</v>
      </c>
      <c r="K35" s="195">
        <f t="shared" si="4"/>
        <v>-2.7019999999999999E-2</v>
      </c>
      <c r="L35" s="113">
        <v>0</v>
      </c>
      <c r="M35" s="127">
        <f t="shared" si="9"/>
        <v>0</v>
      </c>
      <c r="N35" s="195">
        <f t="shared" si="5"/>
        <v>0</v>
      </c>
      <c r="O35" s="113">
        <v>0</v>
      </c>
      <c r="P35" s="127">
        <f t="shared" si="10"/>
        <v>0</v>
      </c>
      <c r="Q35" s="195">
        <f t="shared" si="6"/>
        <v>0</v>
      </c>
      <c r="R35" s="113">
        <v>0</v>
      </c>
      <c r="S35" s="127">
        <f t="shared" si="7"/>
        <v>0</v>
      </c>
      <c r="T35" s="195">
        <f t="shared" si="8"/>
        <v>0</v>
      </c>
      <c r="U35" s="113">
        <v>1</v>
      </c>
      <c r="V35" s="127">
        <v>0</v>
      </c>
      <c r="W35" s="142">
        <f t="shared" si="19"/>
        <v>0.24073</v>
      </c>
      <c r="AA35" s="128">
        <f t="shared" si="11"/>
        <v>0</v>
      </c>
      <c r="AB35" s="128">
        <f t="shared" si="12"/>
        <v>0</v>
      </c>
      <c r="AC35" s="128">
        <f t="shared" si="13"/>
        <v>0</v>
      </c>
      <c r="AD35" s="128">
        <f t="shared" si="14"/>
        <v>0</v>
      </c>
      <c r="AE35" s="128">
        <f t="shared" si="15"/>
        <v>0</v>
      </c>
      <c r="AF35" s="128">
        <f t="shared" si="16"/>
        <v>0</v>
      </c>
      <c r="AG35" s="128">
        <f t="shared" si="17"/>
        <v>0</v>
      </c>
      <c r="AI35" s="190">
        <f>'[13]Allocation = % of margin'!P35+'[13]Allocation = % of margin'!S35+'[13]Allocation = % of margin'!V35+'[13]Allocation = % of margin'!Y35+'[13]Allocation = % of margin'!AB35+'[13]Allocation = % of margin'!AE35+'[13]Allocation = % of margin'!AH35+'[13]Allocation = % of margin'!AK35+'[13]Allocation = % of margin'!AN35+'Calc of Avg Cent Increments'!H35+'Calc of Avg Cent Increments'!K35+'Calc of Avg Cent Increments'!N35+'Calc of Avg Cent Increments'!Q35+'Calc of Avg Cent Increments'!T35+'Calc of Avg Cent Increments'!W35+'[13]Allocation = % of revenue'!M35</f>
        <v>8.589999999999999E-2</v>
      </c>
      <c r="AJ35" s="5">
        <f>[13]Temporaries!W35</f>
        <v>8.5880000000000012E-2</v>
      </c>
      <c r="AK35" s="191">
        <f>[13]Permanents!F35</f>
        <v>2.0000000000000002E-5</v>
      </c>
      <c r="AL35" s="190">
        <f t="shared" si="18"/>
        <v>-2.1633221472874831E-17</v>
      </c>
    </row>
    <row r="36" spans="1:38" x14ac:dyDescent="0.35">
      <c r="A36" s="15">
        <f t="shared" si="0"/>
        <v>30</v>
      </c>
      <c r="B36" s="192"/>
      <c r="C36" s="196" t="s">
        <v>93</v>
      </c>
      <c r="D36" s="89">
        <f>'[13]Washington volumes'!J36</f>
        <v>0</v>
      </c>
      <c r="E36" s="187"/>
      <c r="F36" s="88">
        <v>1</v>
      </c>
      <c r="G36" s="89">
        <f t="shared" si="1"/>
        <v>0</v>
      </c>
      <c r="H36" s="188">
        <f t="shared" si="2"/>
        <v>-0.14299000000000001</v>
      </c>
      <c r="I36" s="88">
        <v>1</v>
      </c>
      <c r="J36" s="89">
        <f t="shared" si="3"/>
        <v>0</v>
      </c>
      <c r="K36" s="188">
        <f t="shared" si="4"/>
        <v>-2.7019999999999999E-2</v>
      </c>
      <c r="L36" s="88">
        <v>0</v>
      </c>
      <c r="M36" s="89">
        <f t="shared" si="9"/>
        <v>0</v>
      </c>
      <c r="N36" s="188">
        <f t="shared" si="5"/>
        <v>0</v>
      </c>
      <c r="O36" s="88">
        <v>0</v>
      </c>
      <c r="P36" s="89">
        <f t="shared" si="10"/>
        <v>0</v>
      </c>
      <c r="Q36" s="188">
        <f t="shared" si="6"/>
        <v>0</v>
      </c>
      <c r="R36" s="88">
        <v>0</v>
      </c>
      <c r="S36" s="89">
        <f t="shared" si="7"/>
        <v>0</v>
      </c>
      <c r="T36" s="188">
        <f t="shared" si="8"/>
        <v>0</v>
      </c>
      <c r="U36" s="88">
        <v>1</v>
      </c>
      <c r="V36" s="89">
        <v>0</v>
      </c>
      <c r="W36" s="189">
        <f t="shared" si="19"/>
        <v>0.24073</v>
      </c>
      <c r="AA36" s="128">
        <f t="shared" si="11"/>
        <v>0</v>
      </c>
      <c r="AB36" s="128">
        <f t="shared" si="12"/>
        <v>0</v>
      </c>
      <c r="AC36" s="128">
        <f t="shared" si="13"/>
        <v>0</v>
      </c>
      <c r="AD36" s="128">
        <f t="shared" si="14"/>
        <v>0</v>
      </c>
      <c r="AE36" s="128">
        <f t="shared" si="15"/>
        <v>0</v>
      </c>
      <c r="AF36" s="128">
        <f t="shared" si="16"/>
        <v>0</v>
      </c>
      <c r="AG36" s="128">
        <f t="shared" si="17"/>
        <v>0</v>
      </c>
      <c r="AI36" s="190">
        <f>'[13]Allocation = % of margin'!P36+'[13]Allocation = % of margin'!S36+'[13]Allocation = % of margin'!V36+'[13]Allocation = % of margin'!Y36+'[13]Allocation = % of margin'!AB36+'[13]Allocation = % of margin'!AE36+'[13]Allocation = % of margin'!AH36+'[13]Allocation = % of margin'!AK36+'[13]Allocation = % of margin'!AN36+'Calc of Avg Cent Increments'!H36+'Calc of Avg Cent Increments'!K36+'Calc of Avg Cent Increments'!N36+'Calc of Avg Cent Increments'!Q36+'Calc of Avg Cent Increments'!T36+'Calc of Avg Cent Increments'!W36+'[13]Allocation = % of revenue'!M36</f>
        <v>7.6430000000000012E-2</v>
      </c>
      <c r="AJ36" s="5">
        <f>[13]Temporaries!W36</f>
        <v>7.6420000000000016E-2</v>
      </c>
      <c r="AK36" s="191">
        <f>[13]Permanents!F36</f>
        <v>1.0000000000000001E-5</v>
      </c>
      <c r="AL36" s="190">
        <f t="shared" si="18"/>
        <v>-3.877716832530187E-18</v>
      </c>
    </row>
    <row r="37" spans="1:38" x14ac:dyDescent="0.35">
      <c r="A37" s="15">
        <f t="shared" si="0"/>
        <v>31</v>
      </c>
      <c r="B37" s="15" t="s">
        <v>94</v>
      </c>
      <c r="C37" s="193" t="s">
        <v>82</v>
      </c>
      <c r="D37" s="127">
        <f>'[13]Washington volumes'!J37</f>
        <v>887029.75709862076</v>
      </c>
      <c r="E37" s="194"/>
      <c r="F37" s="113">
        <v>1</v>
      </c>
      <c r="G37" s="127">
        <f t="shared" si="1"/>
        <v>887029.75709862076</v>
      </c>
      <c r="H37" s="195">
        <f t="shared" si="2"/>
        <v>-0.14299000000000001</v>
      </c>
      <c r="I37" s="113">
        <v>1</v>
      </c>
      <c r="J37" s="127">
        <f t="shared" si="3"/>
        <v>887029.75709862076</v>
      </c>
      <c r="K37" s="195">
        <f t="shared" si="4"/>
        <v>-2.7019999999999999E-2</v>
      </c>
      <c r="L37" s="113">
        <v>0</v>
      </c>
      <c r="M37" s="127">
        <f t="shared" si="9"/>
        <v>0</v>
      </c>
      <c r="N37" s="195">
        <f t="shared" si="5"/>
        <v>0</v>
      </c>
      <c r="O37" s="113">
        <v>0</v>
      </c>
      <c r="P37" s="127">
        <f t="shared" si="10"/>
        <v>0</v>
      </c>
      <c r="Q37" s="195">
        <f t="shared" si="6"/>
        <v>0</v>
      </c>
      <c r="R37" s="113">
        <v>1</v>
      </c>
      <c r="S37" s="127">
        <f t="shared" si="7"/>
        <v>887029.75709862076</v>
      </c>
      <c r="T37" s="195">
        <f t="shared" si="8"/>
        <v>3.5E-4</v>
      </c>
      <c r="U37" s="113">
        <v>1</v>
      </c>
      <c r="V37" s="127">
        <v>892387.80000000016</v>
      </c>
      <c r="W37" s="142">
        <f t="shared" si="19"/>
        <v>0.24073</v>
      </c>
      <c r="AA37" s="128">
        <f t="shared" si="11"/>
        <v>-126836.38496753179</v>
      </c>
      <c r="AB37" s="128">
        <f t="shared" si="12"/>
        <v>-23967.544036804731</v>
      </c>
      <c r="AC37" s="128">
        <f t="shared" si="13"/>
        <v>0</v>
      </c>
      <c r="AD37" s="128">
        <f t="shared" si="14"/>
        <v>0</v>
      </c>
      <c r="AE37" s="128">
        <f t="shared" si="15"/>
        <v>310.46041498451729</v>
      </c>
      <c r="AF37" s="128">
        <f t="shared" si="16"/>
        <v>213534.67342635099</v>
      </c>
      <c r="AG37" s="128">
        <f t="shared" si="17"/>
        <v>-150493.46858935201</v>
      </c>
      <c r="AI37" s="190">
        <f>'[13]Allocation = % of margin'!P37+'[13]Allocation = % of margin'!S37+'[13]Allocation = % of margin'!V37+'[13]Allocation = % of margin'!Y37+'[13]Allocation = % of margin'!AB37+'[13]Allocation = % of margin'!AE37+'[13]Allocation = % of margin'!AH37+'[13]Allocation = % of margin'!AK37+'[13]Allocation = % of margin'!AN37+'Calc of Avg Cent Increments'!H37+'Calc of Avg Cent Increments'!K37+'Calc of Avg Cent Increments'!N37+'Calc of Avg Cent Increments'!Q37+'Calc of Avg Cent Increments'!T37+'Calc of Avg Cent Increments'!W37+'[13]Allocation = % of revenue'!M37</f>
        <v>8.7329999999999991E-2</v>
      </c>
      <c r="AJ37" s="5">
        <f>[13]Temporaries!W37</f>
        <v>8.7280000000000024E-2</v>
      </c>
      <c r="AK37" s="191">
        <f>[13]Permanents!F37</f>
        <v>5.0000000000000002E-5</v>
      </c>
      <c r="AL37" s="190">
        <f t="shared" si="18"/>
        <v>-3.3264677904570883E-17</v>
      </c>
    </row>
    <row r="38" spans="1:38" x14ac:dyDescent="0.35">
      <c r="A38" s="15">
        <f t="shared" si="0"/>
        <v>32</v>
      </c>
      <c r="B38" s="15"/>
      <c r="C38" s="193" t="s">
        <v>83</v>
      </c>
      <c r="D38" s="127">
        <f>'[13]Washington volumes'!J38</f>
        <v>668287.37243846827</v>
      </c>
      <c r="E38" s="194"/>
      <c r="F38" s="113">
        <v>1</v>
      </c>
      <c r="G38" s="127">
        <f t="shared" si="1"/>
        <v>668287.37243846827</v>
      </c>
      <c r="H38" s="195">
        <f t="shared" si="2"/>
        <v>-0.14299000000000001</v>
      </c>
      <c r="I38" s="113">
        <v>1</v>
      </c>
      <c r="J38" s="127">
        <f t="shared" si="3"/>
        <v>668287.37243846827</v>
      </c>
      <c r="K38" s="195">
        <f t="shared" si="4"/>
        <v>-2.7019999999999999E-2</v>
      </c>
      <c r="L38" s="113">
        <v>0</v>
      </c>
      <c r="M38" s="127">
        <f t="shared" si="9"/>
        <v>0</v>
      </c>
      <c r="N38" s="195">
        <f t="shared" si="5"/>
        <v>0</v>
      </c>
      <c r="O38" s="113">
        <v>0</v>
      </c>
      <c r="P38" s="127">
        <f t="shared" si="10"/>
        <v>0</v>
      </c>
      <c r="Q38" s="195">
        <f t="shared" si="6"/>
        <v>0</v>
      </c>
      <c r="R38" s="113">
        <v>1</v>
      </c>
      <c r="S38" s="127">
        <f t="shared" si="7"/>
        <v>668287.37243846827</v>
      </c>
      <c r="T38" s="195">
        <f t="shared" si="8"/>
        <v>3.5E-4</v>
      </c>
      <c r="U38" s="113">
        <v>1</v>
      </c>
      <c r="V38" s="127">
        <v>653690.10000000009</v>
      </c>
      <c r="W38" s="142">
        <f t="shared" si="19"/>
        <v>0.24073</v>
      </c>
      <c r="AA38" s="128">
        <f t="shared" si="11"/>
        <v>-95558.411384976585</v>
      </c>
      <c r="AB38" s="128">
        <f t="shared" si="12"/>
        <v>-18057.124803287414</v>
      </c>
      <c r="AC38" s="128">
        <f t="shared" si="13"/>
        <v>0</v>
      </c>
      <c r="AD38" s="128">
        <f t="shared" si="14"/>
        <v>0</v>
      </c>
      <c r="AE38" s="128">
        <f t="shared" si="15"/>
        <v>233.90058035346388</v>
      </c>
      <c r="AF38" s="128">
        <f t="shared" si="16"/>
        <v>160876.81916711247</v>
      </c>
      <c r="AG38" s="128">
        <f t="shared" si="17"/>
        <v>-113381.63560791053</v>
      </c>
      <c r="AI38" s="190">
        <f>'[13]Allocation = % of margin'!P38+'[13]Allocation = % of margin'!S38+'[13]Allocation = % of margin'!V38+'[13]Allocation = % of margin'!Y38+'[13]Allocation = % of margin'!AB38+'[13]Allocation = % of margin'!AE38+'[13]Allocation = % of margin'!AH38+'[13]Allocation = % of margin'!AK38+'[13]Allocation = % of margin'!AN38+'Calc of Avg Cent Increments'!H38+'Calc of Avg Cent Increments'!K38+'Calc of Avg Cent Increments'!N38+'Calc of Avg Cent Increments'!Q38+'Calc of Avg Cent Increments'!T38+'Calc of Avg Cent Increments'!W38+'[13]Allocation = % of revenue'!M38</f>
        <v>8.5620000000000002E-2</v>
      </c>
      <c r="AJ38" s="5">
        <f>[13]Temporaries!W38</f>
        <v>8.5579999999999989E-2</v>
      </c>
      <c r="AK38" s="191">
        <f>[13]Permanents!F38</f>
        <v>4.0000000000000003E-5</v>
      </c>
      <c r="AL38" s="190">
        <f t="shared" si="18"/>
        <v>1.2244708285508166E-17</v>
      </c>
    </row>
    <row r="39" spans="1:38" x14ac:dyDescent="0.35">
      <c r="A39" s="15">
        <f t="shared" si="0"/>
        <v>33</v>
      </c>
      <c r="B39" s="15"/>
      <c r="C39" s="193" t="s">
        <v>90</v>
      </c>
      <c r="D39" s="127">
        <f>'[13]Washington volumes'!J39</f>
        <v>109047.67533172015</v>
      </c>
      <c r="E39" s="194"/>
      <c r="F39" s="113">
        <v>1</v>
      </c>
      <c r="G39" s="127">
        <f t="shared" si="1"/>
        <v>109047.67533172015</v>
      </c>
      <c r="H39" s="195">
        <f t="shared" si="2"/>
        <v>-0.14299000000000001</v>
      </c>
      <c r="I39" s="113">
        <v>1</v>
      </c>
      <c r="J39" s="127">
        <f t="shared" si="3"/>
        <v>109047.67533172015</v>
      </c>
      <c r="K39" s="195">
        <f t="shared" si="4"/>
        <v>-2.7019999999999999E-2</v>
      </c>
      <c r="L39" s="113">
        <v>0</v>
      </c>
      <c r="M39" s="127">
        <f t="shared" si="9"/>
        <v>0</v>
      </c>
      <c r="N39" s="195">
        <f t="shared" si="5"/>
        <v>0</v>
      </c>
      <c r="O39" s="113">
        <v>0</v>
      </c>
      <c r="P39" s="127">
        <f t="shared" si="10"/>
        <v>0</v>
      </c>
      <c r="Q39" s="195">
        <f t="shared" si="6"/>
        <v>0</v>
      </c>
      <c r="R39" s="113">
        <v>1</v>
      </c>
      <c r="S39" s="127">
        <f t="shared" si="7"/>
        <v>109047.67533172015</v>
      </c>
      <c r="T39" s="195">
        <f t="shared" si="8"/>
        <v>3.5E-4</v>
      </c>
      <c r="U39" s="113">
        <v>1</v>
      </c>
      <c r="V39" s="127">
        <v>94171.5</v>
      </c>
      <c r="W39" s="142">
        <f t="shared" si="19"/>
        <v>0.24073</v>
      </c>
      <c r="AA39" s="128">
        <f t="shared" si="11"/>
        <v>-15592.727095682665</v>
      </c>
      <c r="AB39" s="128">
        <f t="shared" si="12"/>
        <v>-2946.4681874630783</v>
      </c>
      <c r="AC39" s="128">
        <f t="shared" si="13"/>
        <v>0</v>
      </c>
      <c r="AD39" s="128">
        <f t="shared" si="14"/>
        <v>0</v>
      </c>
      <c r="AE39" s="128">
        <f t="shared" si="15"/>
        <v>38.166686366102056</v>
      </c>
      <c r="AF39" s="128">
        <f t="shared" si="16"/>
        <v>26251.046882604991</v>
      </c>
      <c r="AG39" s="128">
        <f t="shared" si="17"/>
        <v>-18501.028596779641</v>
      </c>
      <c r="AI39" s="190">
        <f>'[13]Allocation = % of margin'!P39+'[13]Allocation = % of margin'!S39+'[13]Allocation = % of margin'!V39+'[13]Allocation = % of margin'!Y39+'[13]Allocation = % of margin'!AB39+'[13]Allocation = % of margin'!AE39+'[13]Allocation = % of margin'!AH39+'[13]Allocation = % of margin'!AK39+'[13]Allocation = % of margin'!AN39+'Calc of Avg Cent Increments'!H39+'Calc of Avg Cent Increments'!K39+'Calc of Avg Cent Increments'!N39+'Calc of Avg Cent Increments'!Q39+'Calc of Avg Cent Increments'!T39+'Calc of Avg Cent Increments'!W39+'[13]Allocation = % of revenue'!M39</f>
        <v>8.2210000000000005E-2</v>
      </c>
      <c r="AJ39" s="5">
        <f>[13]Temporaries!W39</f>
        <v>8.2180000000000031E-2</v>
      </c>
      <c r="AK39" s="191">
        <f>[13]Permanents!F39</f>
        <v>3.0000000000000001E-5</v>
      </c>
      <c r="AL39" s="190">
        <f t="shared" si="18"/>
        <v>-2.5509244239510509E-17</v>
      </c>
    </row>
    <row r="40" spans="1:38" x14ac:dyDescent="0.35">
      <c r="A40" s="15">
        <f t="shared" si="0"/>
        <v>34</v>
      </c>
      <c r="B40" s="15"/>
      <c r="C40" s="193" t="s">
        <v>91</v>
      </c>
      <c r="D40" s="127">
        <f>'[13]Washington volumes'!J40</f>
        <v>24232.772003191028</v>
      </c>
      <c r="E40" s="194"/>
      <c r="F40" s="113">
        <v>1</v>
      </c>
      <c r="G40" s="127">
        <f t="shared" si="1"/>
        <v>24232.772003191028</v>
      </c>
      <c r="H40" s="195">
        <f t="shared" si="2"/>
        <v>-0.14299000000000001</v>
      </c>
      <c r="I40" s="113">
        <v>1</v>
      </c>
      <c r="J40" s="127">
        <f t="shared" si="3"/>
        <v>24232.772003191028</v>
      </c>
      <c r="K40" s="195">
        <f t="shared" si="4"/>
        <v>-2.7019999999999999E-2</v>
      </c>
      <c r="L40" s="113">
        <v>0</v>
      </c>
      <c r="M40" s="127">
        <f t="shared" si="9"/>
        <v>0</v>
      </c>
      <c r="N40" s="195">
        <f t="shared" si="5"/>
        <v>0</v>
      </c>
      <c r="O40" s="113">
        <v>0</v>
      </c>
      <c r="P40" s="127">
        <f t="shared" si="10"/>
        <v>0</v>
      </c>
      <c r="Q40" s="195">
        <f t="shared" si="6"/>
        <v>0</v>
      </c>
      <c r="R40" s="113">
        <v>1</v>
      </c>
      <c r="S40" s="127">
        <f t="shared" si="7"/>
        <v>24232.772003191028</v>
      </c>
      <c r="T40" s="195">
        <f t="shared" si="8"/>
        <v>3.5E-4</v>
      </c>
      <c r="U40" s="113">
        <v>1</v>
      </c>
      <c r="V40" s="127">
        <v>11180.4</v>
      </c>
      <c r="W40" s="142">
        <f t="shared" si="19"/>
        <v>0.24073</v>
      </c>
      <c r="AA40" s="128">
        <f t="shared" si="11"/>
        <v>-3465.0440687362852</v>
      </c>
      <c r="AB40" s="128">
        <f t="shared" si="12"/>
        <v>-654.76949952622158</v>
      </c>
      <c r="AC40" s="128">
        <f t="shared" si="13"/>
        <v>0</v>
      </c>
      <c r="AD40" s="128">
        <f t="shared" si="14"/>
        <v>0</v>
      </c>
      <c r="AE40" s="128">
        <f t="shared" si="15"/>
        <v>8.4814702011168599</v>
      </c>
      <c r="AF40" s="128">
        <f t="shared" si="16"/>
        <v>5833.5552043281759</v>
      </c>
      <c r="AG40" s="128">
        <f t="shared" si="17"/>
        <v>-4111.3320980613898</v>
      </c>
      <c r="AI40" s="190">
        <f>'[13]Allocation = % of margin'!P40+'[13]Allocation = % of margin'!S40+'[13]Allocation = % of margin'!V40+'[13]Allocation = % of margin'!Y40+'[13]Allocation = % of margin'!AB40+'[13]Allocation = % of margin'!AE40+'[13]Allocation = % of margin'!AH40+'[13]Allocation = % of margin'!AK40+'[13]Allocation = % of margin'!AN40+'Calc of Avg Cent Increments'!H40+'Calc of Avg Cent Increments'!K40+'Calc of Avg Cent Increments'!N40+'Calc of Avg Cent Increments'!Q40+'Calc of Avg Cent Increments'!T40+'Calc of Avg Cent Increments'!W40+'[13]Allocation = % of revenue'!M40</f>
        <v>7.9999999999999988E-2</v>
      </c>
      <c r="AJ40" s="5">
        <f>[13]Temporaries!W40</f>
        <v>7.9979999999999996E-2</v>
      </c>
      <c r="AK40" s="191">
        <f>[13]Permanents!F40</f>
        <v>2.0000000000000002E-5</v>
      </c>
      <c r="AL40" s="190">
        <f t="shared" si="18"/>
        <v>-7.7554336650603739E-18</v>
      </c>
    </row>
    <row r="41" spans="1:38" x14ac:dyDescent="0.35">
      <c r="A41" s="15">
        <f t="shared" si="0"/>
        <v>35</v>
      </c>
      <c r="B41" s="15"/>
      <c r="C41" s="193" t="s">
        <v>92</v>
      </c>
      <c r="D41" s="127">
        <f>'[13]Washington volumes'!J41</f>
        <v>0</v>
      </c>
      <c r="E41" s="194"/>
      <c r="F41" s="113">
        <v>1</v>
      </c>
      <c r="G41" s="127">
        <f t="shared" si="1"/>
        <v>0</v>
      </c>
      <c r="H41" s="195">
        <f t="shared" si="2"/>
        <v>-0.14299000000000001</v>
      </c>
      <c r="I41" s="113">
        <v>1</v>
      </c>
      <c r="J41" s="127">
        <f t="shared" si="3"/>
        <v>0</v>
      </c>
      <c r="K41" s="195">
        <f t="shared" si="4"/>
        <v>-2.7019999999999999E-2</v>
      </c>
      <c r="L41" s="113">
        <v>0</v>
      </c>
      <c r="M41" s="127">
        <f t="shared" si="9"/>
        <v>0</v>
      </c>
      <c r="N41" s="195">
        <f t="shared" si="5"/>
        <v>0</v>
      </c>
      <c r="O41" s="113">
        <v>0</v>
      </c>
      <c r="P41" s="127">
        <f t="shared" si="10"/>
        <v>0</v>
      </c>
      <c r="Q41" s="195">
        <f t="shared" si="6"/>
        <v>0</v>
      </c>
      <c r="R41" s="113">
        <v>1</v>
      </c>
      <c r="S41" s="127">
        <f t="shared" si="7"/>
        <v>0</v>
      </c>
      <c r="T41" s="195">
        <f t="shared" si="8"/>
        <v>3.5E-4</v>
      </c>
      <c r="U41" s="113">
        <v>1</v>
      </c>
      <c r="V41" s="127">
        <v>0</v>
      </c>
      <c r="W41" s="142">
        <f t="shared" si="19"/>
        <v>0.24073</v>
      </c>
      <c r="AA41" s="128">
        <f t="shared" si="11"/>
        <v>0</v>
      </c>
      <c r="AB41" s="128">
        <f t="shared" si="12"/>
        <v>0</v>
      </c>
      <c r="AC41" s="128">
        <f t="shared" si="13"/>
        <v>0</v>
      </c>
      <c r="AD41" s="128">
        <f t="shared" si="14"/>
        <v>0</v>
      </c>
      <c r="AE41" s="128">
        <f t="shared" si="15"/>
        <v>0</v>
      </c>
      <c r="AF41" s="128">
        <f t="shared" si="16"/>
        <v>0</v>
      </c>
      <c r="AG41" s="128">
        <f t="shared" si="17"/>
        <v>0</v>
      </c>
      <c r="AI41" s="190">
        <f>'[13]Allocation = % of margin'!P41+'[13]Allocation = % of margin'!S41+'[13]Allocation = % of margin'!V41+'[13]Allocation = % of margin'!Y41+'[13]Allocation = % of margin'!AB41+'[13]Allocation = % of margin'!AE41+'[13]Allocation = % of margin'!AH41+'[13]Allocation = % of margin'!AK41+'[13]Allocation = % of margin'!AN41+'Calc of Avg Cent Increments'!H41+'Calc of Avg Cent Increments'!K41+'Calc of Avg Cent Increments'!N41+'Calc of Avg Cent Increments'!Q41+'Calc of Avg Cent Increments'!T41+'Calc of Avg Cent Increments'!W41+'[13]Allocation = % of revenue'!M41</f>
        <v>7.7020000000000005E-2</v>
      </c>
      <c r="AJ41" s="5">
        <f>[13]Temporaries!W41</f>
        <v>7.7000000000000013E-2</v>
      </c>
      <c r="AK41" s="191">
        <f>[13]Permanents!F41</f>
        <v>2.0000000000000002E-5</v>
      </c>
      <c r="AL41" s="190">
        <f t="shared" si="18"/>
        <v>-7.7554336650603739E-18</v>
      </c>
    </row>
    <row r="42" spans="1:38" x14ac:dyDescent="0.35">
      <c r="A42" s="15">
        <f t="shared" si="0"/>
        <v>36</v>
      </c>
      <c r="B42" s="192"/>
      <c r="C42" s="196" t="s">
        <v>93</v>
      </c>
      <c r="D42" s="89">
        <f>'[13]Washington volumes'!J42</f>
        <v>0</v>
      </c>
      <c r="E42" s="187"/>
      <c r="F42" s="88">
        <v>1</v>
      </c>
      <c r="G42" s="89">
        <f t="shared" si="1"/>
        <v>0</v>
      </c>
      <c r="H42" s="188">
        <f t="shared" si="2"/>
        <v>-0.14299000000000001</v>
      </c>
      <c r="I42" s="88">
        <v>1</v>
      </c>
      <c r="J42" s="127">
        <f t="shared" si="3"/>
        <v>0</v>
      </c>
      <c r="K42" s="188">
        <f t="shared" si="4"/>
        <v>-2.7019999999999999E-2</v>
      </c>
      <c r="L42" s="88">
        <v>0</v>
      </c>
      <c r="M42" s="89">
        <f t="shared" si="9"/>
        <v>0</v>
      </c>
      <c r="N42" s="188">
        <f t="shared" si="5"/>
        <v>0</v>
      </c>
      <c r="O42" s="88">
        <v>0</v>
      </c>
      <c r="P42" s="89">
        <f t="shared" si="10"/>
        <v>0</v>
      </c>
      <c r="Q42" s="188">
        <f t="shared" si="6"/>
        <v>0</v>
      </c>
      <c r="R42" s="88">
        <v>1</v>
      </c>
      <c r="S42" s="89">
        <f t="shared" si="7"/>
        <v>0</v>
      </c>
      <c r="T42" s="188">
        <f t="shared" si="8"/>
        <v>3.5E-4</v>
      </c>
      <c r="U42" s="88">
        <v>1</v>
      </c>
      <c r="V42" s="89">
        <v>0</v>
      </c>
      <c r="W42" s="189">
        <f t="shared" si="19"/>
        <v>0.24073</v>
      </c>
      <c r="AA42" s="128">
        <f t="shared" si="11"/>
        <v>0</v>
      </c>
      <c r="AB42" s="128">
        <f t="shared" si="12"/>
        <v>0</v>
      </c>
      <c r="AC42" s="128">
        <f t="shared" si="13"/>
        <v>0</v>
      </c>
      <c r="AD42" s="128">
        <f t="shared" si="14"/>
        <v>0</v>
      </c>
      <c r="AE42" s="128">
        <f t="shared" si="15"/>
        <v>0</v>
      </c>
      <c r="AF42" s="128">
        <f t="shared" si="16"/>
        <v>0</v>
      </c>
      <c r="AG42" s="128">
        <f t="shared" si="17"/>
        <v>0</v>
      </c>
      <c r="AI42" s="190">
        <f>'[13]Allocation = % of margin'!P42+'[13]Allocation = % of margin'!S42+'[13]Allocation = % of margin'!V42+'[13]Allocation = % of margin'!Y42+'[13]Allocation = % of margin'!AB42+'[13]Allocation = % of margin'!AE42+'[13]Allocation = % of margin'!AH42+'[13]Allocation = % of margin'!AK42+'[13]Allocation = % of margin'!AN42+'Calc of Avg Cent Increments'!H42+'Calc of Avg Cent Increments'!K42+'Calc of Avg Cent Increments'!N42+'Calc of Avg Cent Increments'!Q42+'Calc of Avg Cent Increments'!T42+'Calc of Avg Cent Increments'!W42+'[13]Allocation = % of revenue'!M42</f>
        <v>7.3300000000000004E-2</v>
      </c>
      <c r="AJ42" s="5">
        <f>[13]Temporaries!W42</f>
        <v>7.3289999999999994E-2</v>
      </c>
      <c r="AK42" s="191">
        <f>[13]Permanents!F42</f>
        <v>1.0000000000000001E-5</v>
      </c>
      <c r="AL42" s="190">
        <f t="shared" si="18"/>
        <v>1.000007097528427E-17</v>
      </c>
    </row>
    <row r="43" spans="1:38" x14ac:dyDescent="0.35">
      <c r="A43" s="15">
        <f t="shared" si="0"/>
        <v>37</v>
      </c>
      <c r="B43" s="15" t="s">
        <v>95</v>
      </c>
      <c r="C43" s="193" t="s">
        <v>82</v>
      </c>
      <c r="D43" s="127">
        <f>'[13]Washington volumes'!J43</f>
        <v>122543.87639893022</v>
      </c>
      <c r="E43" s="194"/>
      <c r="F43" s="113">
        <v>0</v>
      </c>
      <c r="G43" s="127">
        <f t="shared" si="1"/>
        <v>0</v>
      </c>
      <c r="H43" s="195">
        <f t="shared" si="2"/>
        <v>0</v>
      </c>
      <c r="I43" s="113">
        <v>0</v>
      </c>
      <c r="J43" s="127">
        <f t="shared" si="3"/>
        <v>0</v>
      </c>
      <c r="K43" s="195">
        <f t="shared" si="4"/>
        <v>0</v>
      </c>
      <c r="L43" s="113">
        <v>0</v>
      </c>
      <c r="M43" s="127">
        <f t="shared" si="9"/>
        <v>0</v>
      </c>
      <c r="N43" s="195">
        <f t="shared" si="5"/>
        <v>0</v>
      </c>
      <c r="O43" s="113">
        <v>0</v>
      </c>
      <c r="P43" s="127">
        <f t="shared" si="10"/>
        <v>0</v>
      </c>
      <c r="Q43" s="195">
        <f t="shared" si="6"/>
        <v>0</v>
      </c>
      <c r="R43" s="113">
        <v>1</v>
      </c>
      <c r="S43" s="127">
        <f t="shared" si="7"/>
        <v>122543.87639893022</v>
      </c>
      <c r="T43" s="195">
        <f t="shared" si="8"/>
        <v>3.5E-4</v>
      </c>
      <c r="U43" s="113">
        <v>1</v>
      </c>
      <c r="V43" s="127">
        <v>190000</v>
      </c>
      <c r="W43" s="142">
        <f t="shared" si="19"/>
        <v>0.24073</v>
      </c>
      <c r="AA43" s="128">
        <f t="shared" si="11"/>
        <v>0</v>
      </c>
      <c r="AB43" s="128">
        <f t="shared" si="12"/>
        <v>0</v>
      </c>
      <c r="AC43" s="128">
        <f t="shared" si="13"/>
        <v>0</v>
      </c>
      <c r="AD43" s="128">
        <f t="shared" si="14"/>
        <v>0</v>
      </c>
      <c r="AE43" s="128">
        <f t="shared" si="15"/>
        <v>42.890356739625581</v>
      </c>
      <c r="AF43" s="128">
        <f t="shared" si="16"/>
        <v>29499.987365514473</v>
      </c>
      <c r="AG43" s="128">
        <f t="shared" si="17"/>
        <v>42.890356739625581</v>
      </c>
      <c r="AI43" s="190">
        <f>'[13]Allocation = % of margin'!P43+'[13]Allocation = % of margin'!S43+'[13]Allocation = % of margin'!V43+'[13]Allocation = % of margin'!Y43+'[13]Allocation = % of margin'!AB43+'[13]Allocation = % of margin'!AE43+'[13]Allocation = % of margin'!AH43+'[13]Allocation = % of margin'!AK43+'[13]Allocation = % of margin'!AN43+'Calc of Avg Cent Increments'!H43+'Calc of Avg Cent Increments'!K43+'Calc of Avg Cent Increments'!N43+'Calc of Avg Cent Increments'!Q43+'Calc of Avg Cent Increments'!T43+'Calc of Avg Cent Increments'!W43+'[13]Allocation = % of revenue'!M43</f>
        <v>0.2485</v>
      </c>
      <c r="AJ43" s="5">
        <f>[13]Temporaries!W43</f>
        <v>0.2485</v>
      </c>
      <c r="AK43" s="191">
        <f>[13]Permanents!F43</f>
        <v>0</v>
      </c>
      <c r="AL43" s="190">
        <f t="shared" si="18"/>
        <v>0</v>
      </c>
    </row>
    <row r="44" spans="1:38" x14ac:dyDescent="0.35">
      <c r="A44" s="15">
        <f t="shared" si="0"/>
        <v>38</v>
      </c>
      <c r="B44" s="15"/>
      <c r="C44" s="193" t="s">
        <v>83</v>
      </c>
      <c r="D44" s="127">
        <f>'[13]Washington volumes'!J44</f>
        <v>245087.75279786045</v>
      </c>
      <c r="E44" s="194"/>
      <c r="F44" s="113">
        <v>0</v>
      </c>
      <c r="G44" s="127">
        <f t="shared" si="1"/>
        <v>0</v>
      </c>
      <c r="H44" s="195">
        <f t="shared" si="2"/>
        <v>0</v>
      </c>
      <c r="I44" s="113">
        <v>0</v>
      </c>
      <c r="J44" s="127">
        <f t="shared" si="3"/>
        <v>0</v>
      </c>
      <c r="K44" s="195">
        <f t="shared" si="4"/>
        <v>0</v>
      </c>
      <c r="L44" s="113">
        <v>0</v>
      </c>
      <c r="M44" s="127">
        <f t="shared" si="9"/>
        <v>0</v>
      </c>
      <c r="N44" s="195">
        <f t="shared" si="5"/>
        <v>0</v>
      </c>
      <c r="O44" s="113">
        <v>0</v>
      </c>
      <c r="P44" s="127">
        <f t="shared" si="10"/>
        <v>0</v>
      </c>
      <c r="Q44" s="195">
        <f t="shared" si="6"/>
        <v>0</v>
      </c>
      <c r="R44" s="113">
        <v>1</v>
      </c>
      <c r="S44" s="127">
        <f t="shared" si="7"/>
        <v>245087.75279786045</v>
      </c>
      <c r="T44" s="195">
        <f t="shared" si="8"/>
        <v>3.5E-4</v>
      </c>
      <c r="U44" s="113">
        <v>1</v>
      </c>
      <c r="V44" s="127">
        <v>380000</v>
      </c>
      <c r="W44" s="142">
        <f t="shared" si="19"/>
        <v>0.24073</v>
      </c>
      <c r="AA44" s="128">
        <f t="shared" si="11"/>
        <v>0</v>
      </c>
      <c r="AB44" s="128">
        <f t="shared" si="12"/>
        <v>0</v>
      </c>
      <c r="AC44" s="128">
        <f t="shared" si="13"/>
        <v>0</v>
      </c>
      <c r="AD44" s="128">
        <f t="shared" si="14"/>
        <v>0</v>
      </c>
      <c r="AE44" s="128">
        <f t="shared" si="15"/>
        <v>85.780713479251162</v>
      </c>
      <c r="AF44" s="128">
        <f t="shared" si="16"/>
        <v>58999.974731028946</v>
      </c>
      <c r="AG44" s="128">
        <f t="shared" si="17"/>
        <v>85.780713479251162</v>
      </c>
      <c r="AI44" s="190">
        <f>'[13]Allocation = % of margin'!P44+'[13]Allocation = % of margin'!S44+'[13]Allocation = % of margin'!V44+'[13]Allocation = % of margin'!Y44+'[13]Allocation = % of margin'!AB44+'[13]Allocation = % of margin'!AE44+'[13]Allocation = % of margin'!AH44+'[13]Allocation = % of margin'!AK44+'[13]Allocation = % of margin'!AN44+'Calc of Avg Cent Increments'!H44+'Calc of Avg Cent Increments'!K44+'Calc of Avg Cent Increments'!N44+'Calc of Avg Cent Increments'!Q44+'Calc of Avg Cent Increments'!T44+'Calc of Avg Cent Increments'!W44+'[13]Allocation = % of revenue'!M44</f>
        <v>0.24772999999999998</v>
      </c>
      <c r="AJ44" s="5">
        <f>[13]Temporaries!W44</f>
        <v>0.24773000000000001</v>
      </c>
      <c r="AK44" s="191">
        <f>[13]Permanents!F44</f>
        <v>0</v>
      </c>
      <c r="AL44" s="190">
        <f t="shared" si="18"/>
        <v>-2.7755575615628914E-17</v>
      </c>
    </row>
    <row r="45" spans="1:38" x14ac:dyDescent="0.35">
      <c r="A45" s="15">
        <f t="shared" si="0"/>
        <v>39</v>
      </c>
      <c r="B45" s="15"/>
      <c r="C45" s="193" t="s">
        <v>90</v>
      </c>
      <c r="D45" s="127">
        <f>'[13]Washington volumes'!J45</f>
        <v>245087.75279786045</v>
      </c>
      <c r="E45" s="194"/>
      <c r="F45" s="113">
        <v>0</v>
      </c>
      <c r="G45" s="127">
        <f t="shared" si="1"/>
        <v>0</v>
      </c>
      <c r="H45" s="195">
        <f t="shared" si="2"/>
        <v>0</v>
      </c>
      <c r="I45" s="113">
        <v>0</v>
      </c>
      <c r="J45" s="127">
        <f t="shared" si="3"/>
        <v>0</v>
      </c>
      <c r="K45" s="195">
        <f t="shared" si="4"/>
        <v>0</v>
      </c>
      <c r="L45" s="113">
        <v>0</v>
      </c>
      <c r="M45" s="127">
        <f t="shared" si="9"/>
        <v>0</v>
      </c>
      <c r="N45" s="195">
        <f t="shared" si="5"/>
        <v>0</v>
      </c>
      <c r="O45" s="113">
        <v>0</v>
      </c>
      <c r="P45" s="127">
        <f t="shared" si="10"/>
        <v>0</v>
      </c>
      <c r="Q45" s="195">
        <f t="shared" si="6"/>
        <v>0</v>
      </c>
      <c r="R45" s="113">
        <v>1</v>
      </c>
      <c r="S45" s="127">
        <f t="shared" si="7"/>
        <v>245087.75279786045</v>
      </c>
      <c r="T45" s="195">
        <f t="shared" si="8"/>
        <v>3.5E-4</v>
      </c>
      <c r="U45" s="113">
        <v>1</v>
      </c>
      <c r="V45" s="127">
        <v>380000</v>
      </c>
      <c r="W45" s="142">
        <f t="shared" si="19"/>
        <v>0.24073</v>
      </c>
      <c r="AA45" s="128">
        <f t="shared" si="11"/>
        <v>0</v>
      </c>
      <c r="AB45" s="128">
        <f t="shared" si="12"/>
        <v>0</v>
      </c>
      <c r="AC45" s="128">
        <f t="shared" si="13"/>
        <v>0</v>
      </c>
      <c r="AD45" s="128">
        <f t="shared" si="14"/>
        <v>0</v>
      </c>
      <c r="AE45" s="128">
        <f t="shared" si="15"/>
        <v>85.780713479251162</v>
      </c>
      <c r="AF45" s="128">
        <f t="shared" si="16"/>
        <v>58999.974731028946</v>
      </c>
      <c r="AG45" s="128">
        <f t="shared" si="17"/>
        <v>85.780713479251162</v>
      </c>
      <c r="AI45" s="190">
        <f>'[13]Allocation = % of margin'!P45+'[13]Allocation = % of margin'!S45+'[13]Allocation = % of margin'!V45+'[13]Allocation = % of margin'!Y45+'[13]Allocation = % of margin'!AB45+'[13]Allocation = % of margin'!AE45+'[13]Allocation = % of margin'!AH45+'[13]Allocation = % of margin'!AK45+'[13]Allocation = % of margin'!AN45+'Calc of Avg Cent Increments'!H45+'Calc of Avg Cent Increments'!K45+'Calc of Avg Cent Increments'!N45+'Calc of Avg Cent Increments'!Q45+'Calc of Avg Cent Increments'!T45+'Calc of Avg Cent Increments'!W45+'[13]Allocation = % of revenue'!M45</f>
        <v>0.24617999999999998</v>
      </c>
      <c r="AJ45" s="5">
        <f>[13]Temporaries!W45</f>
        <v>0.24618000000000001</v>
      </c>
      <c r="AK45" s="191">
        <f>[13]Permanents!F45</f>
        <v>0</v>
      </c>
      <c r="AL45" s="190">
        <f t="shared" si="18"/>
        <v>-2.7755575615628914E-17</v>
      </c>
    </row>
    <row r="46" spans="1:38" x14ac:dyDescent="0.35">
      <c r="A46" s="15">
        <f t="shared" si="0"/>
        <v>40</v>
      </c>
      <c r="B46" s="15"/>
      <c r="C46" s="193" t="s">
        <v>91</v>
      </c>
      <c r="D46" s="127">
        <f>'[13]Washington volumes'!J46</f>
        <v>403343.97837634891</v>
      </c>
      <c r="E46" s="194"/>
      <c r="F46" s="113">
        <v>0</v>
      </c>
      <c r="G46" s="127">
        <f t="shared" si="1"/>
        <v>0</v>
      </c>
      <c r="H46" s="195">
        <f t="shared" si="2"/>
        <v>0</v>
      </c>
      <c r="I46" s="113">
        <v>0</v>
      </c>
      <c r="J46" s="127">
        <f t="shared" si="3"/>
        <v>0</v>
      </c>
      <c r="K46" s="195">
        <f t="shared" si="4"/>
        <v>0</v>
      </c>
      <c r="L46" s="113">
        <v>0</v>
      </c>
      <c r="M46" s="127">
        <f t="shared" si="9"/>
        <v>0</v>
      </c>
      <c r="N46" s="195">
        <f t="shared" si="5"/>
        <v>0</v>
      </c>
      <c r="O46" s="113">
        <v>0</v>
      </c>
      <c r="P46" s="127">
        <f t="shared" si="10"/>
        <v>0</v>
      </c>
      <c r="Q46" s="195">
        <f t="shared" si="6"/>
        <v>0</v>
      </c>
      <c r="R46" s="113">
        <v>1</v>
      </c>
      <c r="S46" s="127">
        <f t="shared" si="7"/>
        <v>403343.97837634891</v>
      </c>
      <c r="T46" s="195">
        <f t="shared" si="8"/>
        <v>3.5E-4</v>
      </c>
      <c r="U46" s="113">
        <v>1</v>
      </c>
      <c r="V46" s="127">
        <v>557763</v>
      </c>
      <c r="W46" s="142">
        <f t="shared" si="19"/>
        <v>0.24073</v>
      </c>
      <c r="AA46" s="128">
        <f t="shared" si="11"/>
        <v>0</v>
      </c>
      <c r="AB46" s="128">
        <f t="shared" si="12"/>
        <v>0</v>
      </c>
      <c r="AC46" s="128">
        <f t="shared" si="13"/>
        <v>0</v>
      </c>
      <c r="AD46" s="128">
        <f t="shared" si="14"/>
        <v>0</v>
      </c>
      <c r="AE46" s="128">
        <f t="shared" si="15"/>
        <v>141.17039243172212</v>
      </c>
      <c r="AF46" s="128">
        <f t="shared" si="16"/>
        <v>97096.995914538478</v>
      </c>
      <c r="AG46" s="128">
        <f t="shared" si="17"/>
        <v>141.17039243172212</v>
      </c>
      <c r="AI46" s="190">
        <f>'[13]Allocation = % of margin'!P46+'[13]Allocation = % of margin'!S46+'[13]Allocation = % of margin'!V46+'[13]Allocation = % of margin'!Y46+'[13]Allocation = % of margin'!AB46+'[13]Allocation = % of margin'!AE46+'[13]Allocation = % of margin'!AH46+'[13]Allocation = % of margin'!AK46+'[13]Allocation = % of margin'!AN46+'Calc of Avg Cent Increments'!H46+'Calc of Avg Cent Increments'!K46+'Calc of Avg Cent Increments'!N46+'Calc of Avg Cent Increments'!Q46+'Calc of Avg Cent Increments'!T46+'Calc of Avg Cent Increments'!W46+'[13]Allocation = % of revenue'!M46</f>
        <v>0.24515000000000001</v>
      </c>
      <c r="AJ46" s="5">
        <f>[13]Temporaries!W46</f>
        <v>0.24515000000000001</v>
      </c>
      <c r="AK46" s="191">
        <f>[13]Permanents!F46</f>
        <v>0</v>
      </c>
      <c r="AL46" s="190">
        <f t="shared" si="18"/>
        <v>0</v>
      </c>
    </row>
    <row r="47" spans="1:38" x14ac:dyDescent="0.35">
      <c r="A47" s="15">
        <f t="shared" si="0"/>
        <v>41</v>
      </c>
      <c r="B47" s="15"/>
      <c r="C47" s="193" t="s">
        <v>92</v>
      </c>
      <c r="D47" s="127">
        <f>'[13]Washington volumes'!J47</f>
        <v>0</v>
      </c>
      <c r="E47" s="194"/>
      <c r="F47" s="113">
        <v>0</v>
      </c>
      <c r="G47" s="127">
        <f t="shared" si="1"/>
        <v>0</v>
      </c>
      <c r="H47" s="195">
        <f t="shared" si="2"/>
        <v>0</v>
      </c>
      <c r="I47" s="113">
        <v>0</v>
      </c>
      <c r="J47" s="127">
        <f t="shared" si="3"/>
        <v>0</v>
      </c>
      <c r="K47" s="195">
        <f t="shared" si="4"/>
        <v>0</v>
      </c>
      <c r="L47" s="113">
        <v>0</v>
      </c>
      <c r="M47" s="127">
        <f t="shared" si="9"/>
        <v>0</v>
      </c>
      <c r="N47" s="195">
        <f t="shared" si="5"/>
        <v>0</v>
      </c>
      <c r="O47" s="113">
        <v>0</v>
      </c>
      <c r="P47" s="127">
        <f t="shared" si="10"/>
        <v>0</v>
      </c>
      <c r="Q47" s="195">
        <f t="shared" si="6"/>
        <v>0</v>
      </c>
      <c r="R47" s="113">
        <v>1</v>
      </c>
      <c r="S47" s="127">
        <f t="shared" si="7"/>
        <v>0</v>
      </c>
      <c r="T47" s="195">
        <f t="shared" si="8"/>
        <v>3.5E-4</v>
      </c>
      <c r="U47" s="113">
        <v>1</v>
      </c>
      <c r="V47" s="127">
        <v>0</v>
      </c>
      <c r="W47" s="142">
        <f t="shared" si="19"/>
        <v>0.24073</v>
      </c>
      <c r="AA47" s="128">
        <f t="shared" si="11"/>
        <v>0</v>
      </c>
      <c r="AB47" s="128">
        <f t="shared" si="12"/>
        <v>0</v>
      </c>
      <c r="AC47" s="128">
        <f t="shared" si="13"/>
        <v>0</v>
      </c>
      <c r="AD47" s="128">
        <f t="shared" si="14"/>
        <v>0</v>
      </c>
      <c r="AE47" s="128">
        <f t="shared" si="15"/>
        <v>0</v>
      </c>
      <c r="AF47" s="128">
        <f t="shared" si="16"/>
        <v>0</v>
      </c>
      <c r="AG47" s="128">
        <f t="shared" si="17"/>
        <v>0</v>
      </c>
      <c r="AI47" s="190">
        <f>'[13]Allocation = % of margin'!P47+'[13]Allocation = % of margin'!S47+'[13]Allocation = % of margin'!V47+'[13]Allocation = % of margin'!Y47+'[13]Allocation = % of margin'!AB47+'[13]Allocation = % of margin'!AE47+'[13]Allocation = % of margin'!AH47+'[13]Allocation = % of margin'!AK47+'[13]Allocation = % of margin'!AN47+'Calc of Avg Cent Increments'!H47+'Calc of Avg Cent Increments'!K47+'Calc of Avg Cent Increments'!N47+'Calc of Avg Cent Increments'!Q47+'Calc of Avg Cent Increments'!T47+'Calc of Avg Cent Increments'!W47+'[13]Allocation = % of revenue'!M47</f>
        <v>0.24380000000000002</v>
      </c>
      <c r="AJ47" s="5">
        <f>[13]Temporaries!W47</f>
        <v>0.24379999999999999</v>
      </c>
      <c r="AK47" s="191">
        <f>[13]Permanents!F47</f>
        <v>0</v>
      </c>
      <c r="AL47" s="190">
        <f t="shared" si="18"/>
        <v>2.7755575615628914E-17</v>
      </c>
    </row>
    <row r="48" spans="1:38" x14ac:dyDescent="0.35">
      <c r="A48" s="15">
        <f t="shared" si="0"/>
        <v>42</v>
      </c>
      <c r="B48" s="192"/>
      <c r="C48" s="196" t="s">
        <v>93</v>
      </c>
      <c r="D48" s="89">
        <f>'[13]Washington volumes'!J48</f>
        <v>0</v>
      </c>
      <c r="E48" s="187"/>
      <c r="F48" s="88">
        <v>0</v>
      </c>
      <c r="G48" s="89">
        <f t="shared" si="1"/>
        <v>0</v>
      </c>
      <c r="H48" s="188">
        <f t="shared" si="2"/>
        <v>0</v>
      </c>
      <c r="I48" s="88">
        <v>0</v>
      </c>
      <c r="J48" s="89">
        <f t="shared" si="3"/>
        <v>0</v>
      </c>
      <c r="K48" s="188">
        <f t="shared" si="4"/>
        <v>0</v>
      </c>
      <c r="L48" s="88">
        <v>0</v>
      </c>
      <c r="M48" s="89">
        <f t="shared" si="9"/>
        <v>0</v>
      </c>
      <c r="N48" s="188">
        <f t="shared" si="5"/>
        <v>0</v>
      </c>
      <c r="O48" s="88">
        <v>0</v>
      </c>
      <c r="P48" s="89">
        <f t="shared" si="10"/>
        <v>0</v>
      </c>
      <c r="Q48" s="188">
        <f t="shared" si="6"/>
        <v>0</v>
      </c>
      <c r="R48" s="88">
        <v>1</v>
      </c>
      <c r="S48" s="89">
        <f t="shared" si="7"/>
        <v>0</v>
      </c>
      <c r="T48" s="188">
        <f t="shared" si="8"/>
        <v>3.5E-4</v>
      </c>
      <c r="U48" s="88">
        <v>1</v>
      </c>
      <c r="V48" s="89">
        <v>0</v>
      </c>
      <c r="W48" s="189">
        <f t="shared" si="19"/>
        <v>0.24073</v>
      </c>
      <c r="AA48" s="128">
        <f t="shared" si="11"/>
        <v>0</v>
      </c>
      <c r="AB48" s="128">
        <f t="shared" si="12"/>
        <v>0</v>
      </c>
      <c r="AC48" s="128">
        <f t="shared" si="13"/>
        <v>0</v>
      </c>
      <c r="AD48" s="128">
        <f t="shared" si="14"/>
        <v>0</v>
      </c>
      <c r="AE48" s="128">
        <f t="shared" si="15"/>
        <v>0</v>
      </c>
      <c r="AF48" s="128">
        <f t="shared" si="16"/>
        <v>0</v>
      </c>
      <c r="AG48" s="128">
        <f t="shared" si="17"/>
        <v>0</v>
      </c>
      <c r="AI48" s="190">
        <f>'[13]Allocation = % of margin'!P48+'[13]Allocation = % of margin'!S48+'[13]Allocation = % of margin'!V48+'[13]Allocation = % of margin'!Y48+'[13]Allocation = % of margin'!AB48+'[13]Allocation = % of margin'!AE48+'[13]Allocation = % of margin'!AH48+'[13]Allocation = % of margin'!AK48+'[13]Allocation = % of margin'!AN48+'Calc of Avg Cent Increments'!H48+'Calc of Avg Cent Increments'!K48+'Calc of Avg Cent Increments'!N48+'Calc of Avg Cent Increments'!Q48+'Calc of Avg Cent Increments'!T48+'Calc of Avg Cent Increments'!W48+'[13]Allocation = % of revenue'!M48</f>
        <v>0.24211000000000002</v>
      </c>
      <c r="AJ48" s="5">
        <f>[13]Temporaries!W48</f>
        <v>0.24210999999999999</v>
      </c>
      <c r="AK48" s="191">
        <f>[13]Permanents!F48</f>
        <v>0</v>
      </c>
      <c r="AL48" s="190">
        <f t="shared" si="18"/>
        <v>2.7755575615628914E-17</v>
      </c>
    </row>
    <row r="49" spans="1:38" x14ac:dyDescent="0.35">
      <c r="A49" s="15">
        <f t="shared" si="0"/>
        <v>43</v>
      </c>
      <c r="B49" s="15" t="s">
        <v>96</v>
      </c>
      <c r="C49" s="193" t="s">
        <v>82</v>
      </c>
      <c r="D49" s="127">
        <f>'[13]Washington volumes'!J49</f>
        <v>933451.95163091726</v>
      </c>
      <c r="E49" s="194"/>
      <c r="F49" s="113">
        <v>0</v>
      </c>
      <c r="G49" s="127">
        <f t="shared" si="1"/>
        <v>0</v>
      </c>
      <c r="H49" s="195">
        <f t="shared" si="2"/>
        <v>0</v>
      </c>
      <c r="I49" s="113">
        <v>0</v>
      </c>
      <c r="J49" s="127">
        <f t="shared" si="3"/>
        <v>0</v>
      </c>
      <c r="K49" s="195">
        <f t="shared" si="4"/>
        <v>0</v>
      </c>
      <c r="L49" s="113">
        <v>0</v>
      </c>
      <c r="M49" s="127">
        <f t="shared" si="9"/>
        <v>0</v>
      </c>
      <c r="N49" s="195">
        <f t="shared" si="5"/>
        <v>0</v>
      </c>
      <c r="O49" s="113">
        <v>0</v>
      </c>
      <c r="P49" s="127">
        <f t="shared" si="10"/>
        <v>0</v>
      </c>
      <c r="Q49" s="195">
        <f t="shared" si="6"/>
        <v>0</v>
      </c>
      <c r="R49" s="113">
        <v>1</v>
      </c>
      <c r="S49" s="127">
        <f t="shared" si="7"/>
        <v>933451.95163091726</v>
      </c>
      <c r="T49" s="195">
        <f t="shared" si="8"/>
        <v>3.5E-4</v>
      </c>
      <c r="U49" s="113">
        <v>1</v>
      </c>
      <c r="V49" s="127">
        <v>786713</v>
      </c>
      <c r="W49" s="142">
        <f t="shared" si="19"/>
        <v>0.24073</v>
      </c>
      <c r="AA49" s="128">
        <f t="shared" si="11"/>
        <v>0</v>
      </c>
      <c r="AB49" s="128">
        <f t="shared" si="12"/>
        <v>0</v>
      </c>
      <c r="AC49" s="128">
        <f t="shared" si="13"/>
        <v>0</v>
      </c>
      <c r="AD49" s="128">
        <f t="shared" si="14"/>
        <v>0</v>
      </c>
      <c r="AE49" s="128">
        <f t="shared" si="15"/>
        <v>326.70818307082106</v>
      </c>
      <c r="AF49" s="128">
        <f t="shared" si="16"/>
        <v>224709.88831611071</v>
      </c>
      <c r="AG49" s="128">
        <f t="shared" si="17"/>
        <v>326.70818307082106</v>
      </c>
      <c r="AI49" s="190">
        <f>'[13]Allocation = % of margin'!P49+'[13]Allocation = % of margin'!S49+'[13]Allocation = % of margin'!V49+'[13]Allocation = % of margin'!Y49+'[13]Allocation = % of margin'!AB49+'[13]Allocation = % of margin'!AE49+'[13]Allocation = % of margin'!AH49+'[13]Allocation = % of margin'!AK49+'[13]Allocation = % of margin'!AN49+'Calc of Avg Cent Increments'!H49+'Calc of Avg Cent Increments'!K49+'Calc of Avg Cent Increments'!N49+'Calc of Avg Cent Increments'!Q49+'Calc of Avg Cent Increments'!T49+'Calc of Avg Cent Increments'!W49+'[13]Allocation = % of revenue'!M49</f>
        <v>0.24896000000000001</v>
      </c>
      <c r="AJ49" s="5">
        <f>[13]Temporaries!W49</f>
        <v>0.24896000000000001</v>
      </c>
      <c r="AK49" s="191">
        <f>[13]Permanents!F49</f>
        <v>0</v>
      </c>
      <c r="AL49" s="190">
        <f t="shared" si="18"/>
        <v>0</v>
      </c>
    </row>
    <row r="50" spans="1:38" x14ac:dyDescent="0.35">
      <c r="A50" s="15">
        <f t="shared" si="0"/>
        <v>44</v>
      </c>
      <c r="B50" s="15"/>
      <c r="C50" s="193" t="s">
        <v>83</v>
      </c>
      <c r="D50" s="127">
        <f>'[13]Washington volumes'!J50</f>
        <v>1354331.8549391942</v>
      </c>
      <c r="E50" s="194"/>
      <c r="F50" s="113">
        <v>0</v>
      </c>
      <c r="G50" s="127">
        <f t="shared" si="1"/>
        <v>0</v>
      </c>
      <c r="H50" s="195">
        <f t="shared" si="2"/>
        <v>0</v>
      </c>
      <c r="I50" s="113">
        <v>0</v>
      </c>
      <c r="J50" s="127">
        <f t="shared" si="3"/>
        <v>0</v>
      </c>
      <c r="K50" s="195">
        <f t="shared" si="4"/>
        <v>0</v>
      </c>
      <c r="L50" s="113">
        <v>0</v>
      </c>
      <c r="M50" s="127">
        <f t="shared" si="9"/>
        <v>0</v>
      </c>
      <c r="N50" s="195">
        <f t="shared" si="5"/>
        <v>0</v>
      </c>
      <c r="O50" s="113">
        <v>0</v>
      </c>
      <c r="P50" s="127">
        <f t="shared" si="10"/>
        <v>0</v>
      </c>
      <c r="Q50" s="195">
        <f t="shared" si="6"/>
        <v>0</v>
      </c>
      <c r="R50" s="113">
        <v>1</v>
      </c>
      <c r="S50" s="127">
        <f t="shared" si="7"/>
        <v>1354331.8549391942</v>
      </c>
      <c r="T50" s="195">
        <f t="shared" si="8"/>
        <v>3.5E-4</v>
      </c>
      <c r="U50" s="113">
        <v>1</v>
      </c>
      <c r="V50" s="127">
        <v>1136740</v>
      </c>
      <c r="W50" s="142">
        <f t="shared" si="19"/>
        <v>0.24073</v>
      </c>
      <c r="AA50" s="128">
        <f t="shared" si="11"/>
        <v>0</v>
      </c>
      <c r="AB50" s="128">
        <f t="shared" si="12"/>
        <v>0</v>
      </c>
      <c r="AC50" s="128">
        <f t="shared" si="13"/>
        <v>0</v>
      </c>
      <c r="AD50" s="128">
        <f t="shared" si="14"/>
        <v>0</v>
      </c>
      <c r="AE50" s="128">
        <f t="shared" si="15"/>
        <v>474.01614922871795</v>
      </c>
      <c r="AF50" s="128">
        <f t="shared" si="16"/>
        <v>326028.30743951222</v>
      </c>
      <c r="AG50" s="128">
        <f t="shared" si="17"/>
        <v>474.01614922871795</v>
      </c>
      <c r="AI50" s="190">
        <f>'[13]Allocation = % of margin'!P50+'[13]Allocation = % of margin'!S50+'[13]Allocation = % of margin'!V50+'[13]Allocation = % of margin'!Y50+'[13]Allocation = % of margin'!AB50+'[13]Allocation = % of margin'!AE50+'[13]Allocation = % of margin'!AH50+'[13]Allocation = % of margin'!AK50+'[13]Allocation = % of margin'!AN50+'Calc of Avg Cent Increments'!H50+'Calc of Avg Cent Increments'!K50+'Calc of Avg Cent Increments'!N50+'Calc of Avg Cent Increments'!Q50+'Calc of Avg Cent Increments'!T50+'Calc of Avg Cent Increments'!W50+'[13]Allocation = % of revenue'!M50</f>
        <v>0.24814</v>
      </c>
      <c r="AJ50" s="5">
        <f>[13]Temporaries!W50</f>
        <v>0.24814</v>
      </c>
      <c r="AK50" s="191">
        <f>[13]Permanents!F50</f>
        <v>0</v>
      </c>
      <c r="AL50" s="190">
        <f t="shared" si="18"/>
        <v>0</v>
      </c>
    </row>
    <row r="51" spans="1:38" x14ac:dyDescent="0.35">
      <c r="A51" s="15">
        <f t="shared" si="0"/>
        <v>45</v>
      </c>
      <c r="B51" s="15"/>
      <c r="C51" s="193" t="s">
        <v>90</v>
      </c>
      <c r="D51" s="127">
        <f>'[13]Washington volumes'!J51</f>
        <v>1182764.9803330612</v>
      </c>
      <c r="E51" s="194"/>
      <c r="F51" s="113">
        <v>0</v>
      </c>
      <c r="G51" s="127">
        <f t="shared" si="1"/>
        <v>0</v>
      </c>
      <c r="H51" s="195">
        <f t="shared" si="2"/>
        <v>0</v>
      </c>
      <c r="I51" s="113">
        <v>0</v>
      </c>
      <c r="J51" s="127">
        <f t="shared" si="3"/>
        <v>0</v>
      </c>
      <c r="K51" s="195">
        <f t="shared" si="4"/>
        <v>0</v>
      </c>
      <c r="L51" s="113">
        <v>0</v>
      </c>
      <c r="M51" s="127">
        <f t="shared" si="9"/>
        <v>0</v>
      </c>
      <c r="N51" s="195">
        <f t="shared" si="5"/>
        <v>0</v>
      </c>
      <c r="O51" s="113">
        <v>0</v>
      </c>
      <c r="P51" s="127">
        <f t="shared" si="10"/>
        <v>0</v>
      </c>
      <c r="Q51" s="195">
        <f t="shared" si="6"/>
        <v>0</v>
      </c>
      <c r="R51" s="113">
        <v>1</v>
      </c>
      <c r="S51" s="127">
        <f t="shared" si="7"/>
        <v>1182764.9803330612</v>
      </c>
      <c r="T51" s="195">
        <f t="shared" si="8"/>
        <v>3.5E-4</v>
      </c>
      <c r="U51" s="113">
        <v>1</v>
      </c>
      <c r="V51" s="127">
        <v>1026635</v>
      </c>
      <c r="W51" s="142">
        <f t="shared" si="19"/>
        <v>0.24073</v>
      </c>
      <c r="AA51" s="128">
        <f t="shared" si="11"/>
        <v>0</v>
      </c>
      <c r="AB51" s="128">
        <f t="shared" si="12"/>
        <v>0</v>
      </c>
      <c r="AC51" s="128">
        <f t="shared" si="13"/>
        <v>0</v>
      </c>
      <c r="AD51" s="128">
        <f t="shared" si="14"/>
        <v>0</v>
      </c>
      <c r="AE51" s="128">
        <f t="shared" si="15"/>
        <v>413.9677431165714</v>
      </c>
      <c r="AF51" s="128">
        <f t="shared" si="16"/>
        <v>284727.01371557784</v>
      </c>
      <c r="AG51" s="128">
        <f t="shared" si="17"/>
        <v>413.9677431165714</v>
      </c>
      <c r="AI51" s="190">
        <f>'[13]Allocation = % of margin'!P51+'[13]Allocation = % of margin'!S51+'[13]Allocation = % of margin'!V51+'[13]Allocation = % of margin'!Y51+'[13]Allocation = % of margin'!AB51+'[13]Allocation = % of margin'!AE51+'[13]Allocation = % of margin'!AH51+'[13]Allocation = % of margin'!AK51+'[13]Allocation = % of margin'!AN51+'Calc of Avg Cent Increments'!H51+'Calc of Avg Cent Increments'!K51+'Calc of Avg Cent Increments'!N51+'Calc of Avg Cent Increments'!Q51+'Calc of Avg Cent Increments'!T51+'Calc of Avg Cent Increments'!W51+'[13]Allocation = % of revenue'!M51</f>
        <v>0.2465</v>
      </c>
      <c r="AJ51" s="5">
        <f>[13]Temporaries!W51</f>
        <v>0.2465</v>
      </c>
      <c r="AK51" s="191">
        <f>[13]Permanents!F51</f>
        <v>0</v>
      </c>
      <c r="AL51" s="190">
        <f t="shared" si="18"/>
        <v>0</v>
      </c>
    </row>
    <row r="52" spans="1:38" x14ac:dyDescent="0.35">
      <c r="A52" s="15">
        <f t="shared" si="0"/>
        <v>46</v>
      </c>
      <c r="B52" s="15"/>
      <c r="C52" s="193" t="s">
        <v>91</v>
      </c>
      <c r="D52" s="127">
        <f>'[13]Washington volumes'!J52</f>
        <v>2743941.1371104051</v>
      </c>
      <c r="E52" s="194"/>
      <c r="F52" s="113">
        <v>0</v>
      </c>
      <c r="G52" s="127">
        <f t="shared" si="1"/>
        <v>0</v>
      </c>
      <c r="H52" s="195">
        <f t="shared" si="2"/>
        <v>0</v>
      </c>
      <c r="I52" s="113">
        <v>0</v>
      </c>
      <c r="J52" s="127">
        <f t="shared" si="3"/>
        <v>0</v>
      </c>
      <c r="K52" s="195">
        <f t="shared" si="4"/>
        <v>0</v>
      </c>
      <c r="L52" s="113">
        <v>0</v>
      </c>
      <c r="M52" s="127">
        <f t="shared" si="9"/>
        <v>0</v>
      </c>
      <c r="N52" s="195">
        <f t="shared" si="5"/>
        <v>0</v>
      </c>
      <c r="O52" s="113">
        <v>0</v>
      </c>
      <c r="P52" s="127">
        <f t="shared" si="10"/>
        <v>0</v>
      </c>
      <c r="Q52" s="195">
        <f t="shared" si="6"/>
        <v>0</v>
      </c>
      <c r="R52" s="113">
        <v>1</v>
      </c>
      <c r="S52" s="127">
        <f t="shared" si="7"/>
        <v>2743941.1371104051</v>
      </c>
      <c r="T52" s="195">
        <f t="shared" si="8"/>
        <v>3.5E-4</v>
      </c>
      <c r="U52" s="113">
        <v>1</v>
      </c>
      <c r="V52" s="127">
        <v>2414188</v>
      </c>
      <c r="W52" s="142">
        <f t="shared" si="19"/>
        <v>0.24073</v>
      </c>
      <c r="AA52" s="128">
        <f t="shared" si="11"/>
        <v>0</v>
      </c>
      <c r="AB52" s="128">
        <f t="shared" si="12"/>
        <v>0</v>
      </c>
      <c r="AC52" s="128">
        <f t="shared" si="13"/>
        <v>0</v>
      </c>
      <c r="AD52" s="128">
        <f t="shared" si="14"/>
        <v>0</v>
      </c>
      <c r="AE52" s="128">
        <f t="shared" si="15"/>
        <v>960.37939798864181</v>
      </c>
      <c r="AF52" s="128">
        <f t="shared" si="16"/>
        <v>660548.94993658783</v>
      </c>
      <c r="AG52" s="128">
        <f t="shared" si="17"/>
        <v>960.37939798864181</v>
      </c>
      <c r="AI52" s="190">
        <f>'[13]Allocation = % of margin'!P52+'[13]Allocation = % of margin'!S52+'[13]Allocation = % of margin'!V52+'[13]Allocation = % of margin'!Y52+'[13]Allocation = % of margin'!AB52+'[13]Allocation = % of margin'!AE52+'[13]Allocation = % of margin'!AH52+'[13]Allocation = % of margin'!AK52+'[13]Allocation = % of margin'!AN52+'Calc of Avg Cent Increments'!H52+'Calc of Avg Cent Increments'!K52+'Calc of Avg Cent Increments'!N52+'Calc of Avg Cent Increments'!Q52+'Calc of Avg Cent Increments'!T52+'Calc of Avg Cent Increments'!W52+'[13]Allocation = % of revenue'!M52</f>
        <v>0.24541000000000002</v>
      </c>
      <c r="AJ52" s="5">
        <f>[13]Temporaries!W52</f>
        <v>0.24540999999999999</v>
      </c>
      <c r="AK52" s="191">
        <f>[13]Permanents!F52</f>
        <v>0</v>
      </c>
      <c r="AL52" s="190">
        <f t="shared" si="18"/>
        <v>2.7755575615628914E-17</v>
      </c>
    </row>
    <row r="53" spans="1:38" x14ac:dyDescent="0.35">
      <c r="A53" s="15">
        <f t="shared" si="0"/>
        <v>47</v>
      </c>
      <c r="B53" s="15"/>
      <c r="C53" s="193" t="s">
        <v>92</v>
      </c>
      <c r="D53" s="127">
        <f>'[13]Washington volumes'!J53</f>
        <v>1030133.9063092957</v>
      </c>
      <c r="E53" s="194"/>
      <c r="F53" s="113">
        <v>0</v>
      </c>
      <c r="G53" s="127">
        <f t="shared" si="1"/>
        <v>0</v>
      </c>
      <c r="H53" s="195">
        <f t="shared" si="2"/>
        <v>0</v>
      </c>
      <c r="I53" s="113">
        <v>0</v>
      </c>
      <c r="J53" s="127">
        <f t="shared" si="3"/>
        <v>0</v>
      </c>
      <c r="K53" s="195">
        <f t="shared" si="4"/>
        <v>0</v>
      </c>
      <c r="L53" s="113">
        <v>0</v>
      </c>
      <c r="M53" s="127">
        <f t="shared" si="9"/>
        <v>0</v>
      </c>
      <c r="N53" s="195">
        <f t="shared" si="5"/>
        <v>0</v>
      </c>
      <c r="O53" s="113">
        <v>0</v>
      </c>
      <c r="P53" s="127">
        <f t="shared" si="10"/>
        <v>0</v>
      </c>
      <c r="Q53" s="195">
        <f t="shared" si="6"/>
        <v>0</v>
      </c>
      <c r="R53" s="113">
        <v>1</v>
      </c>
      <c r="S53" s="127">
        <f t="shared" si="7"/>
        <v>1030133.9063092957</v>
      </c>
      <c r="T53" s="195">
        <f t="shared" si="8"/>
        <v>3.5E-4</v>
      </c>
      <c r="U53" s="113">
        <v>1</v>
      </c>
      <c r="V53" s="127">
        <v>844917</v>
      </c>
      <c r="W53" s="142">
        <f t="shared" si="19"/>
        <v>0.24073</v>
      </c>
      <c r="AA53" s="128">
        <f t="shared" si="11"/>
        <v>0</v>
      </c>
      <c r="AB53" s="128">
        <f t="shared" si="12"/>
        <v>0</v>
      </c>
      <c r="AC53" s="128">
        <f t="shared" si="13"/>
        <v>0</v>
      </c>
      <c r="AD53" s="128">
        <f t="shared" si="14"/>
        <v>0</v>
      </c>
      <c r="AE53" s="128">
        <f t="shared" si="15"/>
        <v>360.5468672082535</v>
      </c>
      <c r="AF53" s="128">
        <f t="shared" si="16"/>
        <v>247984.13526583675</v>
      </c>
      <c r="AG53" s="128">
        <f t="shared" si="17"/>
        <v>360.5468672082535</v>
      </c>
      <c r="AI53" s="190">
        <f>'[13]Allocation = % of margin'!P53+'[13]Allocation = % of margin'!S53+'[13]Allocation = % of margin'!V53+'[13]Allocation = % of margin'!Y53+'[13]Allocation = % of margin'!AB53+'[13]Allocation = % of margin'!AE53+'[13]Allocation = % of margin'!AH53+'[13]Allocation = % of margin'!AK53+'[13]Allocation = % of margin'!AN53+'Calc of Avg Cent Increments'!H53+'Calc of Avg Cent Increments'!K53+'Calc of Avg Cent Increments'!N53+'Calc of Avg Cent Increments'!Q53+'Calc of Avg Cent Increments'!T53+'Calc of Avg Cent Increments'!W53+'[13]Allocation = % of revenue'!M53</f>
        <v>0.24398</v>
      </c>
      <c r="AJ53" s="5">
        <f>[13]Temporaries!W53</f>
        <v>0.24398</v>
      </c>
      <c r="AK53" s="191">
        <f>[13]Permanents!F53</f>
        <v>0</v>
      </c>
      <c r="AL53" s="190">
        <f t="shared" si="18"/>
        <v>0</v>
      </c>
    </row>
    <row r="54" spans="1:38" x14ac:dyDescent="0.35">
      <c r="A54" s="15">
        <f t="shared" si="0"/>
        <v>48</v>
      </c>
      <c r="B54" s="192"/>
      <c r="C54" s="196" t="s">
        <v>93</v>
      </c>
      <c r="D54" s="89">
        <f>'[13]Washington volumes'!J54</f>
        <v>0</v>
      </c>
      <c r="E54" s="187"/>
      <c r="F54" s="88">
        <v>0</v>
      </c>
      <c r="G54" s="89">
        <f t="shared" si="1"/>
        <v>0</v>
      </c>
      <c r="H54" s="188">
        <f t="shared" si="2"/>
        <v>0</v>
      </c>
      <c r="I54" s="88">
        <v>0</v>
      </c>
      <c r="J54" s="89">
        <f t="shared" si="3"/>
        <v>0</v>
      </c>
      <c r="K54" s="188">
        <f t="shared" si="4"/>
        <v>0</v>
      </c>
      <c r="L54" s="88">
        <v>0</v>
      </c>
      <c r="M54" s="89">
        <f t="shared" si="9"/>
        <v>0</v>
      </c>
      <c r="N54" s="188">
        <f t="shared" si="5"/>
        <v>0</v>
      </c>
      <c r="O54" s="88">
        <v>0</v>
      </c>
      <c r="P54" s="89">
        <f t="shared" si="10"/>
        <v>0</v>
      </c>
      <c r="Q54" s="188">
        <f t="shared" si="6"/>
        <v>0</v>
      </c>
      <c r="R54" s="88">
        <v>1</v>
      </c>
      <c r="S54" s="89">
        <f t="shared" si="7"/>
        <v>0</v>
      </c>
      <c r="T54" s="188">
        <f t="shared" si="8"/>
        <v>3.5E-4</v>
      </c>
      <c r="U54" s="88">
        <v>1</v>
      </c>
      <c r="V54" s="89">
        <v>0</v>
      </c>
      <c r="W54" s="189">
        <f t="shared" si="19"/>
        <v>0.24073</v>
      </c>
      <c r="AA54" s="128">
        <f t="shared" si="11"/>
        <v>0</v>
      </c>
      <c r="AB54" s="128">
        <f t="shared" si="12"/>
        <v>0</v>
      </c>
      <c r="AC54" s="128">
        <f t="shared" si="13"/>
        <v>0</v>
      </c>
      <c r="AD54" s="128">
        <f t="shared" si="14"/>
        <v>0</v>
      </c>
      <c r="AE54" s="128">
        <f t="shared" si="15"/>
        <v>0</v>
      </c>
      <c r="AF54" s="128">
        <f t="shared" si="16"/>
        <v>0</v>
      </c>
      <c r="AG54" s="128">
        <f t="shared" si="17"/>
        <v>0</v>
      </c>
      <c r="AI54" s="190">
        <f>'[13]Allocation = % of margin'!P54+'[13]Allocation = % of margin'!S54+'[13]Allocation = % of margin'!V54+'[13]Allocation = % of margin'!Y54+'[13]Allocation = % of margin'!AB54+'[13]Allocation = % of margin'!AE54+'[13]Allocation = % of margin'!AH54+'[13]Allocation = % of margin'!AK54+'[13]Allocation = % of margin'!AN54+'Calc of Avg Cent Increments'!H54+'Calc of Avg Cent Increments'!K54+'Calc of Avg Cent Increments'!N54+'Calc of Avg Cent Increments'!Q54+'Calc of Avg Cent Increments'!T54+'Calc of Avg Cent Increments'!W54+'[13]Allocation = % of revenue'!M54</f>
        <v>0.24218000000000001</v>
      </c>
      <c r="AJ54" s="5">
        <f>[13]Temporaries!W54</f>
        <v>0.24218000000000001</v>
      </c>
      <c r="AK54" s="191">
        <f>[13]Permanents!F54</f>
        <v>0</v>
      </c>
      <c r="AL54" s="190">
        <f t="shared" si="18"/>
        <v>0</v>
      </c>
    </row>
    <row r="55" spans="1:38" x14ac:dyDescent="0.35">
      <c r="A55" s="15">
        <f t="shared" si="0"/>
        <v>49</v>
      </c>
      <c r="B55" s="15" t="s">
        <v>97</v>
      </c>
      <c r="C55" s="193" t="s">
        <v>82</v>
      </c>
      <c r="D55" s="127">
        <f>'[13]Washington volumes'!J55</f>
        <v>237823.79371068976</v>
      </c>
      <c r="E55" s="194"/>
      <c r="F55" s="113">
        <v>1</v>
      </c>
      <c r="G55" s="127">
        <f t="shared" si="1"/>
        <v>237823.79371068976</v>
      </c>
      <c r="H55" s="195">
        <f t="shared" si="2"/>
        <v>-0.14299000000000001</v>
      </c>
      <c r="I55" s="113">
        <v>0</v>
      </c>
      <c r="J55" s="127">
        <f t="shared" si="3"/>
        <v>0</v>
      </c>
      <c r="K55" s="195">
        <f t="shared" si="4"/>
        <v>0</v>
      </c>
      <c r="L55" s="113">
        <v>1</v>
      </c>
      <c r="M55" s="127">
        <f t="shared" si="9"/>
        <v>237823.79371068976</v>
      </c>
      <c r="N55" s="195">
        <f t="shared" si="5"/>
        <v>-3.1469999999999998E-2</v>
      </c>
      <c r="O55" s="113">
        <v>0</v>
      </c>
      <c r="P55" s="127">
        <f t="shared" si="10"/>
        <v>0</v>
      </c>
      <c r="Q55" s="195">
        <f t="shared" si="6"/>
        <v>0</v>
      </c>
      <c r="R55" s="113">
        <v>0</v>
      </c>
      <c r="S55" s="127">
        <f t="shared" si="7"/>
        <v>0</v>
      </c>
      <c r="T55" s="195">
        <f t="shared" si="8"/>
        <v>0</v>
      </c>
      <c r="U55" s="113">
        <v>1</v>
      </c>
      <c r="V55" s="127">
        <v>240000</v>
      </c>
      <c r="W55" s="142">
        <f t="shared" si="19"/>
        <v>0.24073</v>
      </c>
      <c r="AA55" s="128">
        <f t="shared" si="11"/>
        <v>-34006.424262691529</v>
      </c>
      <c r="AB55" s="128">
        <f t="shared" si="12"/>
        <v>0</v>
      </c>
      <c r="AC55" s="128">
        <f t="shared" si="13"/>
        <v>-7484.3147880754059</v>
      </c>
      <c r="AD55" s="128">
        <f t="shared" si="14"/>
        <v>0</v>
      </c>
      <c r="AE55" s="128">
        <f t="shared" si="15"/>
        <v>0</v>
      </c>
      <c r="AF55" s="128">
        <f t="shared" si="16"/>
        <v>57251.321859974349</v>
      </c>
      <c r="AG55" s="128">
        <f t="shared" si="17"/>
        <v>-41490.739050766933</v>
      </c>
      <c r="AI55" s="190">
        <f>'[13]Allocation = % of margin'!P55+'[13]Allocation = % of margin'!S55+'[13]Allocation = % of margin'!V55+'[13]Allocation = % of margin'!Y55+'[13]Allocation = % of margin'!AB55+'[13]Allocation = % of margin'!AE55+'[13]Allocation = % of margin'!AH55+'[13]Allocation = % of margin'!AK55+'[13]Allocation = % of margin'!AN55+'Calc of Avg Cent Increments'!H55+'Calc of Avg Cent Increments'!K55+'Calc of Avg Cent Increments'!N55+'Calc of Avg Cent Increments'!Q55+'Calc of Avg Cent Increments'!T55+'Calc of Avg Cent Increments'!W55+'[13]Allocation = % of revenue'!M55</f>
        <v>9.7669999999999993E-2</v>
      </c>
      <c r="AJ55" s="5">
        <f>[13]Temporaries!W55</f>
        <v>9.7640000000000005E-2</v>
      </c>
      <c r="AK55" s="191">
        <f>[13]Permanents!F55</f>
        <v>3.0000000000000001E-5</v>
      </c>
      <c r="AL55" s="190">
        <f t="shared" si="18"/>
        <v>-1.1631456431696052E-17</v>
      </c>
    </row>
    <row r="56" spans="1:38" x14ac:dyDescent="0.35">
      <c r="A56" s="15">
        <f t="shared" si="0"/>
        <v>50</v>
      </c>
      <c r="B56" s="15"/>
      <c r="C56" s="193" t="s">
        <v>83</v>
      </c>
      <c r="D56" s="127">
        <f>'[13]Washington volumes'!J56</f>
        <v>449890.27963003801</v>
      </c>
      <c r="E56" s="194"/>
      <c r="F56" s="113">
        <v>1</v>
      </c>
      <c r="G56" s="127">
        <f t="shared" si="1"/>
        <v>449890.27963003801</v>
      </c>
      <c r="H56" s="195">
        <f t="shared" si="2"/>
        <v>-0.14299000000000001</v>
      </c>
      <c r="I56" s="113">
        <v>0</v>
      </c>
      <c r="J56" s="127">
        <f t="shared" si="3"/>
        <v>0</v>
      </c>
      <c r="K56" s="195">
        <f t="shared" si="4"/>
        <v>0</v>
      </c>
      <c r="L56" s="113">
        <v>1</v>
      </c>
      <c r="M56" s="127">
        <f t="shared" si="9"/>
        <v>449890.27963003801</v>
      </c>
      <c r="N56" s="195">
        <f t="shared" si="5"/>
        <v>-3.1469999999999998E-2</v>
      </c>
      <c r="O56" s="113">
        <v>0</v>
      </c>
      <c r="P56" s="127">
        <f t="shared" si="10"/>
        <v>0</v>
      </c>
      <c r="Q56" s="195">
        <f t="shared" si="6"/>
        <v>0</v>
      </c>
      <c r="R56" s="113">
        <v>0</v>
      </c>
      <c r="S56" s="127">
        <f t="shared" si="7"/>
        <v>0</v>
      </c>
      <c r="T56" s="195">
        <f t="shared" si="8"/>
        <v>0</v>
      </c>
      <c r="U56" s="113">
        <v>1</v>
      </c>
      <c r="V56" s="127">
        <v>456502</v>
      </c>
      <c r="W56" s="142">
        <f t="shared" si="19"/>
        <v>0.24073</v>
      </c>
      <c r="AA56" s="128">
        <f t="shared" si="11"/>
        <v>-64329.811084299137</v>
      </c>
      <c r="AB56" s="128">
        <f t="shared" si="12"/>
        <v>0</v>
      </c>
      <c r="AC56" s="128">
        <f t="shared" si="13"/>
        <v>-14158.047099957295</v>
      </c>
      <c r="AD56" s="128">
        <f t="shared" si="14"/>
        <v>0</v>
      </c>
      <c r="AE56" s="128">
        <f t="shared" si="15"/>
        <v>0</v>
      </c>
      <c r="AF56" s="128">
        <f t="shared" si="16"/>
        <v>108302.08701533906</v>
      </c>
      <c r="AG56" s="128">
        <f t="shared" si="17"/>
        <v>-78487.858184256431</v>
      </c>
      <c r="AI56" s="190">
        <f>'[13]Allocation = % of margin'!P56+'[13]Allocation = % of margin'!S56+'[13]Allocation = % of margin'!V56+'[13]Allocation = % of margin'!Y56+'[13]Allocation = % of margin'!AB56+'[13]Allocation = % of margin'!AE56+'[13]Allocation = % of margin'!AH56+'[13]Allocation = % of margin'!AK56+'[13]Allocation = % of margin'!AN56+'Calc of Avg Cent Increments'!H56+'Calc of Avg Cent Increments'!K56+'Calc of Avg Cent Increments'!N56+'Calc of Avg Cent Increments'!Q56+'Calc of Avg Cent Increments'!T56+'Calc of Avg Cent Increments'!W56+'[13]Allocation = % of revenue'!M56</f>
        <v>9.4380000000000006E-2</v>
      </c>
      <c r="AJ56" s="5">
        <f>[13]Temporaries!W56</f>
        <v>9.4349999999999989E-2</v>
      </c>
      <c r="AK56" s="191">
        <f>[13]Permanents!F56</f>
        <v>3.0000000000000001E-5</v>
      </c>
      <c r="AL56" s="190">
        <f t="shared" si="18"/>
        <v>1.6124119183932861E-17</v>
      </c>
    </row>
    <row r="57" spans="1:38" x14ac:dyDescent="0.35">
      <c r="A57" s="15">
        <f t="shared" si="0"/>
        <v>51</v>
      </c>
      <c r="B57" s="15"/>
      <c r="C57" s="193" t="s">
        <v>90</v>
      </c>
      <c r="D57" s="127">
        <f>'[13]Washington volumes'!J57</f>
        <v>201896.54594079489</v>
      </c>
      <c r="E57" s="194"/>
      <c r="F57" s="113">
        <v>1</v>
      </c>
      <c r="G57" s="127">
        <f t="shared" si="1"/>
        <v>201896.54594079489</v>
      </c>
      <c r="H57" s="195">
        <f t="shared" si="2"/>
        <v>-0.14299000000000001</v>
      </c>
      <c r="I57" s="113">
        <v>0</v>
      </c>
      <c r="J57" s="127">
        <f t="shared" si="3"/>
        <v>0</v>
      </c>
      <c r="K57" s="195">
        <f t="shared" si="4"/>
        <v>0</v>
      </c>
      <c r="L57" s="113">
        <v>1</v>
      </c>
      <c r="M57" s="127">
        <f t="shared" si="9"/>
        <v>201896.54594079489</v>
      </c>
      <c r="N57" s="195">
        <f t="shared" si="5"/>
        <v>-3.1469999999999998E-2</v>
      </c>
      <c r="O57" s="113">
        <v>0</v>
      </c>
      <c r="P57" s="127">
        <f t="shared" si="10"/>
        <v>0</v>
      </c>
      <c r="Q57" s="195">
        <f t="shared" si="6"/>
        <v>0</v>
      </c>
      <c r="R57" s="113">
        <v>0</v>
      </c>
      <c r="S57" s="127">
        <f t="shared" si="7"/>
        <v>0</v>
      </c>
      <c r="T57" s="195">
        <f t="shared" si="8"/>
        <v>0</v>
      </c>
      <c r="U57" s="113">
        <v>1</v>
      </c>
      <c r="V57" s="127">
        <v>205609</v>
      </c>
      <c r="W57" s="142">
        <f t="shared" si="19"/>
        <v>0.24073</v>
      </c>
      <c r="AA57" s="128">
        <f t="shared" si="11"/>
        <v>-28869.187104074263</v>
      </c>
      <c r="AB57" s="128">
        <f t="shared" si="12"/>
        <v>0</v>
      </c>
      <c r="AC57" s="128">
        <f t="shared" si="13"/>
        <v>-6353.684300756815</v>
      </c>
      <c r="AD57" s="128">
        <f t="shared" si="14"/>
        <v>0</v>
      </c>
      <c r="AE57" s="128">
        <f t="shared" si="15"/>
        <v>0</v>
      </c>
      <c r="AF57" s="128">
        <f t="shared" si="16"/>
        <v>48602.555504327553</v>
      </c>
      <c r="AG57" s="128">
        <f t="shared" si="17"/>
        <v>-35222.871404831079</v>
      </c>
      <c r="AI57" s="190">
        <f>'[13]Allocation = % of margin'!P57+'[13]Allocation = % of margin'!S57+'[13]Allocation = % of margin'!V57+'[13]Allocation = % of margin'!Y57+'[13]Allocation = % of margin'!AB57+'[13]Allocation = % of margin'!AE57+'[13]Allocation = % of margin'!AH57+'[13]Allocation = % of margin'!AK57+'[13]Allocation = % of margin'!AN57+'Calc of Avg Cent Increments'!H57+'Calc of Avg Cent Increments'!K57+'Calc of Avg Cent Increments'!N57+'Calc of Avg Cent Increments'!Q57+'Calc of Avg Cent Increments'!T57+'Calc of Avg Cent Increments'!W57+'[13]Allocation = % of revenue'!M57</f>
        <v>8.7819999999999995E-2</v>
      </c>
      <c r="AJ57" s="5">
        <f>[13]Temporaries!W57</f>
        <v>8.7799999999999989E-2</v>
      </c>
      <c r="AK57" s="191">
        <f>[13]Permanents!F57</f>
        <v>2.0000000000000002E-5</v>
      </c>
      <c r="AL57" s="190">
        <f t="shared" si="18"/>
        <v>6.1223541427540829E-18</v>
      </c>
    </row>
    <row r="58" spans="1:38" x14ac:dyDescent="0.35">
      <c r="A58" s="15">
        <f t="shared" si="0"/>
        <v>52</v>
      </c>
      <c r="B58" s="15"/>
      <c r="C58" s="193" t="s">
        <v>91</v>
      </c>
      <c r="D58" s="127">
        <f>'[13]Washington volumes'!J58</f>
        <v>59595.669906477466</v>
      </c>
      <c r="E58" s="194"/>
      <c r="F58" s="113">
        <v>1</v>
      </c>
      <c r="G58" s="127">
        <f t="shared" si="1"/>
        <v>59595.669906477466</v>
      </c>
      <c r="H58" s="195">
        <f t="shared" si="2"/>
        <v>-0.14299000000000001</v>
      </c>
      <c r="I58" s="113">
        <v>0</v>
      </c>
      <c r="J58" s="127">
        <f t="shared" si="3"/>
        <v>0</v>
      </c>
      <c r="K58" s="195">
        <f t="shared" si="4"/>
        <v>0</v>
      </c>
      <c r="L58" s="113">
        <v>1</v>
      </c>
      <c r="M58" s="127">
        <f t="shared" si="9"/>
        <v>59595.669906477466</v>
      </c>
      <c r="N58" s="195">
        <f t="shared" si="5"/>
        <v>-3.1469999999999998E-2</v>
      </c>
      <c r="O58" s="113">
        <v>0</v>
      </c>
      <c r="P58" s="127">
        <f t="shared" si="10"/>
        <v>0</v>
      </c>
      <c r="Q58" s="195">
        <f t="shared" si="6"/>
        <v>0</v>
      </c>
      <c r="R58" s="113">
        <v>0</v>
      </c>
      <c r="S58" s="127">
        <f t="shared" si="7"/>
        <v>0</v>
      </c>
      <c r="T58" s="195">
        <f t="shared" si="8"/>
        <v>0</v>
      </c>
      <c r="U58" s="113">
        <v>1</v>
      </c>
      <c r="V58" s="127">
        <v>31562</v>
      </c>
      <c r="W58" s="142">
        <f t="shared" si="19"/>
        <v>0.24073</v>
      </c>
      <c r="AA58" s="128">
        <f t="shared" si="11"/>
        <v>-8521.5848399272127</v>
      </c>
      <c r="AB58" s="128">
        <f t="shared" si="12"/>
        <v>0</v>
      </c>
      <c r="AC58" s="128">
        <f t="shared" si="13"/>
        <v>-1875.4757319568457</v>
      </c>
      <c r="AD58" s="128">
        <f t="shared" si="14"/>
        <v>0</v>
      </c>
      <c r="AE58" s="128">
        <f t="shared" si="15"/>
        <v>0</v>
      </c>
      <c r="AF58" s="128">
        <f t="shared" si="16"/>
        <v>14346.46561658632</v>
      </c>
      <c r="AG58" s="128">
        <f t="shared" si="17"/>
        <v>-10397.060571884058</v>
      </c>
      <c r="AI58" s="190">
        <f>'[13]Allocation = % of margin'!P58+'[13]Allocation = % of margin'!S58+'[13]Allocation = % of margin'!V58+'[13]Allocation = % of margin'!Y58+'[13]Allocation = % of margin'!AB58+'[13]Allocation = % of margin'!AE58+'[13]Allocation = % of margin'!AH58+'[13]Allocation = % of margin'!AK58+'[13]Allocation = % of margin'!AN58+'Calc of Avg Cent Increments'!H58+'Calc of Avg Cent Increments'!K58+'Calc of Avg Cent Increments'!N58+'Calc of Avg Cent Increments'!Q58+'Calc of Avg Cent Increments'!T58+'Calc of Avg Cent Increments'!W58+'[13]Allocation = % of revenue'!M58</f>
        <v>8.3509999999999987E-2</v>
      </c>
      <c r="AJ58" s="5">
        <f>[13]Temporaries!W58</f>
        <v>8.3490000000000009E-2</v>
      </c>
      <c r="AK58" s="191">
        <f>[13]Permanents!F58</f>
        <v>2.0000000000000002E-5</v>
      </c>
      <c r="AL58" s="190">
        <f t="shared" si="18"/>
        <v>-2.1633221472874831E-17</v>
      </c>
    </row>
    <row r="59" spans="1:38" x14ac:dyDescent="0.35">
      <c r="A59" s="15">
        <f t="shared" si="0"/>
        <v>53</v>
      </c>
      <c r="B59" s="15"/>
      <c r="C59" s="193" t="s">
        <v>92</v>
      </c>
      <c r="D59" s="127">
        <f>'[13]Washington volumes'!J59</f>
        <v>0</v>
      </c>
      <c r="E59" s="194"/>
      <c r="F59" s="113">
        <v>1</v>
      </c>
      <c r="G59" s="127">
        <f t="shared" si="1"/>
        <v>0</v>
      </c>
      <c r="H59" s="195">
        <f t="shared" si="2"/>
        <v>-0.14299000000000001</v>
      </c>
      <c r="I59" s="113">
        <v>0</v>
      </c>
      <c r="J59" s="127">
        <f t="shared" si="3"/>
        <v>0</v>
      </c>
      <c r="K59" s="195">
        <f t="shared" si="4"/>
        <v>0</v>
      </c>
      <c r="L59" s="113">
        <v>1</v>
      </c>
      <c r="M59" s="127">
        <f t="shared" si="9"/>
        <v>0</v>
      </c>
      <c r="N59" s="195">
        <f t="shared" si="5"/>
        <v>-3.1469999999999998E-2</v>
      </c>
      <c r="O59" s="113">
        <v>0</v>
      </c>
      <c r="P59" s="127">
        <f t="shared" si="10"/>
        <v>0</v>
      </c>
      <c r="Q59" s="195">
        <f t="shared" si="6"/>
        <v>0</v>
      </c>
      <c r="R59" s="113">
        <v>0</v>
      </c>
      <c r="S59" s="127">
        <f t="shared" si="7"/>
        <v>0</v>
      </c>
      <c r="T59" s="195">
        <f t="shared" si="8"/>
        <v>0</v>
      </c>
      <c r="U59" s="113">
        <v>1</v>
      </c>
      <c r="V59" s="127">
        <v>0</v>
      </c>
      <c r="W59" s="142">
        <f t="shared" si="19"/>
        <v>0.24073</v>
      </c>
      <c r="AA59" s="128">
        <f t="shared" si="11"/>
        <v>0</v>
      </c>
      <c r="AB59" s="128">
        <f t="shared" si="12"/>
        <v>0</v>
      </c>
      <c r="AC59" s="128">
        <f t="shared" si="13"/>
        <v>0</v>
      </c>
      <c r="AD59" s="128">
        <f t="shared" si="14"/>
        <v>0</v>
      </c>
      <c r="AE59" s="128">
        <f t="shared" si="15"/>
        <v>0</v>
      </c>
      <c r="AF59" s="128">
        <f t="shared" si="16"/>
        <v>0</v>
      </c>
      <c r="AG59" s="128">
        <f t="shared" si="17"/>
        <v>0</v>
      </c>
      <c r="AI59" s="190">
        <f>'[13]Allocation = % of margin'!P59+'[13]Allocation = % of margin'!S59+'[13]Allocation = % of margin'!V59+'[13]Allocation = % of margin'!Y59+'[13]Allocation = % of margin'!AB59+'[13]Allocation = % of margin'!AE59+'[13]Allocation = % of margin'!AH59+'[13]Allocation = % of margin'!AK59+'[13]Allocation = % of margin'!AN59+'Calc of Avg Cent Increments'!H59+'Calc of Avg Cent Increments'!K59+'Calc of Avg Cent Increments'!N59+'Calc of Avg Cent Increments'!Q59+'Calc of Avg Cent Increments'!T59+'Calc of Avg Cent Increments'!W59+'[13]Allocation = % of revenue'!M59</f>
        <v>7.7769999999999992E-2</v>
      </c>
      <c r="AJ59" s="5">
        <f>[13]Temporaries!W59</f>
        <v>7.7759999999999996E-2</v>
      </c>
      <c r="AK59" s="191">
        <f>[13]Permanents!F59</f>
        <v>1.0000000000000001E-5</v>
      </c>
      <c r="AL59" s="190">
        <f t="shared" si="18"/>
        <v>-3.877716832530187E-18</v>
      </c>
    </row>
    <row r="60" spans="1:38" x14ac:dyDescent="0.35">
      <c r="A60" s="15">
        <f t="shared" si="0"/>
        <v>54</v>
      </c>
      <c r="B60" s="192"/>
      <c r="C60" s="196" t="s">
        <v>93</v>
      </c>
      <c r="D60" s="89">
        <f>'[13]Washington volumes'!J60</f>
        <v>0</v>
      </c>
      <c r="E60" s="187"/>
      <c r="F60" s="88">
        <v>1</v>
      </c>
      <c r="G60" s="89">
        <f t="shared" si="1"/>
        <v>0</v>
      </c>
      <c r="H60" s="188">
        <f t="shared" si="2"/>
        <v>-0.14299000000000001</v>
      </c>
      <c r="I60" s="88">
        <v>0</v>
      </c>
      <c r="J60" s="89">
        <f t="shared" si="3"/>
        <v>0</v>
      </c>
      <c r="K60" s="188">
        <f t="shared" si="4"/>
        <v>0</v>
      </c>
      <c r="L60" s="88">
        <v>1</v>
      </c>
      <c r="M60" s="89">
        <f t="shared" si="9"/>
        <v>0</v>
      </c>
      <c r="N60" s="188">
        <f t="shared" si="5"/>
        <v>-3.1469999999999998E-2</v>
      </c>
      <c r="O60" s="88">
        <v>0</v>
      </c>
      <c r="P60" s="89">
        <f t="shared" si="10"/>
        <v>0</v>
      </c>
      <c r="Q60" s="188">
        <f t="shared" si="6"/>
        <v>0</v>
      </c>
      <c r="R60" s="88">
        <v>0</v>
      </c>
      <c r="S60" s="89">
        <f t="shared" si="7"/>
        <v>0</v>
      </c>
      <c r="T60" s="188">
        <f t="shared" si="8"/>
        <v>0</v>
      </c>
      <c r="U60" s="88">
        <v>1</v>
      </c>
      <c r="V60" s="89">
        <v>0</v>
      </c>
      <c r="W60" s="189">
        <f t="shared" si="19"/>
        <v>0.24073</v>
      </c>
      <c r="AA60" s="128">
        <f t="shared" si="11"/>
        <v>0</v>
      </c>
      <c r="AB60" s="128">
        <f t="shared" si="12"/>
        <v>0</v>
      </c>
      <c r="AC60" s="128">
        <f t="shared" si="13"/>
        <v>0</v>
      </c>
      <c r="AD60" s="128">
        <f t="shared" si="14"/>
        <v>0</v>
      </c>
      <c r="AE60" s="128">
        <f t="shared" si="15"/>
        <v>0</v>
      </c>
      <c r="AF60" s="128">
        <f t="shared" si="16"/>
        <v>0</v>
      </c>
      <c r="AG60" s="128">
        <f t="shared" si="17"/>
        <v>0</v>
      </c>
      <c r="AI60" s="190">
        <f>'[13]Allocation = % of margin'!P60+'[13]Allocation = % of margin'!S60+'[13]Allocation = % of margin'!V60+'[13]Allocation = % of margin'!Y60+'[13]Allocation = % of margin'!AB60+'[13]Allocation = % of margin'!AE60+'[13]Allocation = % of margin'!AH60+'[13]Allocation = % of margin'!AK60+'[13]Allocation = % of margin'!AN60+'Calc of Avg Cent Increments'!H60+'Calc of Avg Cent Increments'!K60+'Calc of Avg Cent Increments'!N60+'Calc of Avg Cent Increments'!Q60+'Calc of Avg Cent Increments'!T60+'Calc of Avg Cent Increments'!W60+'[13]Allocation = % of revenue'!M60</f>
        <v>7.059E-2</v>
      </c>
      <c r="AJ60" s="5">
        <f>[13]Temporaries!W60</f>
        <v>7.0589999999999986E-2</v>
      </c>
      <c r="AK60" s="191">
        <f>[13]Permanents!F60</f>
        <v>0</v>
      </c>
      <c r="AL60" s="190">
        <f t="shared" si="18"/>
        <v>1.3877787807814457E-17</v>
      </c>
    </row>
    <row r="61" spans="1:38" x14ac:dyDescent="0.35">
      <c r="A61" s="15">
        <f t="shared" si="0"/>
        <v>55</v>
      </c>
      <c r="B61" s="15" t="s">
        <v>98</v>
      </c>
      <c r="C61" s="193" t="s">
        <v>82</v>
      </c>
      <c r="D61" s="127">
        <f>'[13]Washington volumes'!J61</f>
        <v>171532.62817612645</v>
      </c>
      <c r="E61" s="194"/>
      <c r="F61" s="113">
        <v>1</v>
      </c>
      <c r="G61" s="127">
        <f t="shared" si="1"/>
        <v>171532.62817612645</v>
      </c>
      <c r="H61" s="195">
        <f t="shared" si="2"/>
        <v>-0.14299000000000001</v>
      </c>
      <c r="I61" s="113">
        <v>0</v>
      </c>
      <c r="J61" s="127">
        <f t="shared" si="3"/>
        <v>0</v>
      </c>
      <c r="K61" s="195">
        <f t="shared" si="4"/>
        <v>0</v>
      </c>
      <c r="L61" s="113">
        <v>1</v>
      </c>
      <c r="M61" s="127">
        <f t="shared" si="9"/>
        <v>171532.62817612645</v>
      </c>
      <c r="N61" s="195">
        <f t="shared" si="5"/>
        <v>-3.1469999999999998E-2</v>
      </c>
      <c r="O61" s="113">
        <v>0</v>
      </c>
      <c r="P61" s="127">
        <f t="shared" si="10"/>
        <v>0</v>
      </c>
      <c r="Q61" s="195">
        <f t="shared" si="6"/>
        <v>0</v>
      </c>
      <c r="R61" s="113">
        <v>1</v>
      </c>
      <c r="S61" s="127">
        <f t="shared" si="7"/>
        <v>171532.62817612645</v>
      </c>
      <c r="T61" s="195">
        <f t="shared" si="8"/>
        <v>3.5E-4</v>
      </c>
      <c r="U61" s="113">
        <v>1</v>
      </c>
      <c r="V61" s="127">
        <v>120000</v>
      </c>
      <c r="W61" s="142">
        <f t="shared" si="19"/>
        <v>0.24073</v>
      </c>
      <c r="AA61" s="128">
        <f t="shared" si="11"/>
        <v>-24527.450502904321</v>
      </c>
      <c r="AB61" s="128">
        <f t="shared" si="12"/>
        <v>0</v>
      </c>
      <c r="AC61" s="128">
        <f t="shared" si="13"/>
        <v>-5398.1318087026993</v>
      </c>
      <c r="AD61" s="128">
        <f t="shared" si="14"/>
        <v>0</v>
      </c>
      <c r="AE61" s="128">
        <f t="shared" si="15"/>
        <v>60.036419861644255</v>
      </c>
      <c r="AF61" s="128">
        <f t="shared" si="16"/>
        <v>41293.049580838924</v>
      </c>
      <c r="AG61" s="128">
        <f t="shared" si="17"/>
        <v>-29865.545891745376</v>
      </c>
      <c r="AI61" s="190">
        <f>'[13]Allocation = % of margin'!P61+'[13]Allocation = % of margin'!S61+'[13]Allocation = % of margin'!V61+'[13]Allocation = % of margin'!Y61+'[13]Allocation = % of margin'!AB61+'[13]Allocation = % of margin'!AE61+'[13]Allocation = % of margin'!AH61+'[13]Allocation = % of margin'!AK61+'[13]Allocation = % of margin'!AN61+'Calc of Avg Cent Increments'!H61+'Calc of Avg Cent Increments'!K61+'Calc of Avg Cent Increments'!N61+'Calc of Avg Cent Increments'!Q61+'Calc of Avg Cent Increments'!T61+'Calc of Avg Cent Increments'!W61+'[13]Allocation = % of revenue'!M61</f>
        <v>8.093999999999997E-2</v>
      </c>
      <c r="AJ61" s="5">
        <f>[13]Temporaries!W61</f>
        <v>8.0899999999999972E-2</v>
      </c>
      <c r="AK61" s="191">
        <f>[13]Permanents!F61</f>
        <v>4.0000000000000003E-5</v>
      </c>
      <c r="AL61" s="190">
        <f t="shared" si="18"/>
        <v>-1.6330795223062911E-18</v>
      </c>
    </row>
    <row r="62" spans="1:38" x14ac:dyDescent="0.35">
      <c r="A62" s="15">
        <f t="shared" si="0"/>
        <v>56</v>
      </c>
      <c r="B62" s="15"/>
      <c r="C62" s="193" t="s">
        <v>83</v>
      </c>
      <c r="D62" s="127">
        <f>'[13]Washington volumes'!J62</f>
        <v>27036.058789873507</v>
      </c>
      <c r="E62" s="194"/>
      <c r="F62" s="113">
        <v>1</v>
      </c>
      <c r="G62" s="127">
        <f t="shared" si="1"/>
        <v>27036.058789873507</v>
      </c>
      <c r="H62" s="195">
        <f t="shared" si="2"/>
        <v>-0.14299000000000001</v>
      </c>
      <c r="I62" s="113">
        <v>0</v>
      </c>
      <c r="J62" s="127">
        <f t="shared" si="3"/>
        <v>0</v>
      </c>
      <c r="K62" s="195">
        <f t="shared" si="4"/>
        <v>0</v>
      </c>
      <c r="L62" s="113">
        <v>1</v>
      </c>
      <c r="M62" s="127">
        <f t="shared" si="9"/>
        <v>27036.058789873507</v>
      </c>
      <c r="N62" s="195">
        <f t="shared" si="5"/>
        <v>-3.1469999999999998E-2</v>
      </c>
      <c r="O62" s="113">
        <v>0</v>
      </c>
      <c r="P62" s="127">
        <f t="shared" si="10"/>
        <v>0</v>
      </c>
      <c r="Q62" s="195">
        <f t="shared" si="6"/>
        <v>0</v>
      </c>
      <c r="R62" s="113">
        <v>1</v>
      </c>
      <c r="S62" s="127">
        <f t="shared" si="7"/>
        <v>27036.058789873507</v>
      </c>
      <c r="T62" s="195">
        <f t="shared" si="8"/>
        <v>3.5E-4</v>
      </c>
      <c r="U62" s="113">
        <v>1</v>
      </c>
      <c r="V62" s="127">
        <v>76352</v>
      </c>
      <c r="W62" s="142">
        <f t="shared" si="19"/>
        <v>0.24073</v>
      </c>
      <c r="AA62" s="128">
        <f t="shared" si="11"/>
        <v>-3865.8860463640131</v>
      </c>
      <c r="AB62" s="128">
        <f t="shared" si="12"/>
        <v>0</v>
      </c>
      <c r="AC62" s="128">
        <f t="shared" si="13"/>
        <v>-850.82477011731919</v>
      </c>
      <c r="AD62" s="128">
        <f t="shared" si="14"/>
        <v>0</v>
      </c>
      <c r="AE62" s="128">
        <f t="shared" si="15"/>
        <v>9.462620576455727</v>
      </c>
      <c r="AF62" s="128">
        <f t="shared" si="16"/>
        <v>6508.3904324862497</v>
      </c>
      <c r="AG62" s="128">
        <f t="shared" si="17"/>
        <v>-4707.2481959048764</v>
      </c>
      <c r="AI62" s="190">
        <f>'[13]Allocation = % of margin'!P62+'[13]Allocation = % of margin'!S62+'[13]Allocation = % of margin'!V62+'[13]Allocation = % of margin'!Y62+'[13]Allocation = % of margin'!AB62+'[13]Allocation = % of margin'!AE62+'[13]Allocation = % of margin'!AH62+'[13]Allocation = % of margin'!AK62+'[13]Allocation = % of margin'!AN62+'Calc of Avg Cent Increments'!H62+'Calc of Avg Cent Increments'!K62+'Calc of Avg Cent Increments'!N62+'Calc of Avg Cent Increments'!Q62+'Calc of Avg Cent Increments'!T62+'Calc of Avg Cent Increments'!W62+'[13]Allocation = % of revenue'!M62</f>
        <v>7.9429999999999973E-2</v>
      </c>
      <c r="AJ62" s="5">
        <f>[13]Temporaries!W62</f>
        <v>7.9390000000000016E-2</v>
      </c>
      <c r="AK62" s="191">
        <f>[13]Permanents!F62</f>
        <v>4.0000000000000003E-5</v>
      </c>
      <c r="AL62" s="190">
        <f t="shared" si="18"/>
        <v>-4.3266442945749661E-17</v>
      </c>
    </row>
    <row r="63" spans="1:38" x14ac:dyDescent="0.35">
      <c r="A63" s="15">
        <f t="shared" si="0"/>
        <v>57</v>
      </c>
      <c r="B63" s="15"/>
      <c r="C63" s="193" t="s">
        <v>90</v>
      </c>
      <c r="D63" s="127">
        <f>'[13]Washington volumes'!J63</f>
        <v>0</v>
      </c>
      <c r="E63" s="194"/>
      <c r="F63" s="113">
        <v>1</v>
      </c>
      <c r="G63" s="127">
        <f t="shared" si="1"/>
        <v>0</v>
      </c>
      <c r="H63" s="195">
        <f t="shared" si="2"/>
        <v>-0.14299000000000001</v>
      </c>
      <c r="I63" s="113">
        <v>0</v>
      </c>
      <c r="J63" s="127">
        <f t="shared" si="3"/>
        <v>0</v>
      </c>
      <c r="K63" s="195">
        <f t="shared" si="4"/>
        <v>0</v>
      </c>
      <c r="L63" s="113">
        <v>1</v>
      </c>
      <c r="M63" s="127">
        <f t="shared" si="9"/>
        <v>0</v>
      </c>
      <c r="N63" s="195">
        <f t="shared" si="5"/>
        <v>-3.1469999999999998E-2</v>
      </c>
      <c r="O63" s="113">
        <v>0</v>
      </c>
      <c r="P63" s="127">
        <f t="shared" si="10"/>
        <v>0</v>
      </c>
      <c r="Q63" s="195">
        <f t="shared" si="6"/>
        <v>0</v>
      </c>
      <c r="R63" s="113">
        <v>1</v>
      </c>
      <c r="S63" s="127">
        <f t="shared" si="7"/>
        <v>0</v>
      </c>
      <c r="T63" s="195">
        <f t="shared" si="8"/>
        <v>3.5E-4</v>
      </c>
      <c r="U63" s="113">
        <v>1</v>
      </c>
      <c r="V63" s="127">
        <v>0</v>
      </c>
      <c r="W63" s="142">
        <f t="shared" si="19"/>
        <v>0.24073</v>
      </c>
      <c r="AA63" s="128">
        <f t="shared" si="11"/>
        <v>0</v>
      </c>
      <c r="AB63" s="128">
        <f t="shared" si="12"/>
        <v>0</v>
      </c>
      <c r="AC63" s="128">
        <f t="shared" si="13"/>
        <v>0</v>
      </c>
      <c r="AD63" s="128">
        <f t="shared" si="14"/>
        <v>0</v>
      </c>
      <c r="AE63" s="128">
        <f t="shared" si="15"/>
        <v>0</v>
      </c>
      <c r="AF63" s="128">
        <f t="shared" si="16"/>
        <v>0</v>
      </c>
      <c r="AG63" s="128">
        <f t="shared" si="17"/>
        <v>0</v>
      </c>
      <c r="AI63" s="190">
        <f>'[13]Allocation = % of margin'!P63+'[13]Allocation = % of margin'!S63+'[13]Allocation = % of margin'!V63+'[13]Allocation = % of margin'!Y63+'[13]Allocation = % of margin'!AB63+'[13]Allocation = % of margin'!AE63+'[13]Allocation = % of margin'!AH63+'[13]Allocation = % of margin'!AK63+'[13]Allocation = % of margin'!AN63+'Calc of Avg Cent Increments'!H63+'Calc of Avg Cent Increments'!K63+'Calc of Avg Cent Increments'!N63+'Calc of Avg Cent Increments'!Q63+'Calc of Avg Cent Increments'!T63+'Calc of Avg Cent Increments'!W63+'[13]Allocation = % of revenue'!M63</f>
        <v>7.643999999999998E-2</v>
      </c>
      <c r="AJ63" s="5">
        <f>[13]Temporaries!W63</f>
        <v>7.6409999999999978E-2</v>
      </c>
      <c r="AK63" s="191">
        <f>[13]Permanents!F63</f>
        <v>3.0000000000000001E-5</v>
      </c>
      <c r="AL63" s="190">
        <f t="shared" si="18"/>
        <v>2.2463313761184045E-18</v>
      </c>
    </row>
    <row r="64" spans="1:38" x14ac:dyDescent="0.35">
      <c r="A64" s="15">
        <f t="shared" si="0"/>
        <v>58</v>
      </c>
      <c r="B64" s="15"/>
      <c r="C64" s="193" t="s">
        <v>91</v>
      </c>
      <c r="D64" s="127">
        <f>'[13]Washington volumes'!J64</f>
        <v>0</v>
      </c>
      <c r="E64" s="194"/>
      <c r="F64" s="113">
        <v>1</v>
      </c>
      <c r="G64" s="127">
        <f t="shared" si="1"/>
        <v>0</v>
      </c>
      <c r="H64" s="195">
        <f t="shared" si="2"/>
        <v>-0.14299000000000001</v>
      </c>
      <c r="I64" s="113">
        <v>0</v>
      </c>
      <c r="J64" s="127">
        <f t="shared" si="3"/>
        <v>0</v>
      </c>
      <c r="K64" s="195">
        <f t="shared" si="4"/>
        <v>0</v>
      </c>
      <c r="L64" s="113">
        <v>1</v>
      </c>
      <c r="M64" s="127">
        <f t="shared" si="9"/>
        <v>0</v>
      </c>
      <c r="N64" s="195">
        <f t="shared" si="5"/>
        <v>-3.1469999999999998E-2</v>
      </c>
      <c r="O64" s="113">
        <v>0</v>
      </c>
      <c r="P64" s="127">
        <f t="shared" si="10"/>
        <v>0</v>
      </c>
      <c r="Q64" s="195">
        <f t="shared" si="6"/>
        <v>0</v>
      </c>
      <c r="R64" s="113">
        <v>1</v>
      </c>
      <c r="S64" s="127">
        <f t="shared" si="7"/>
        <v>0</v>
      </c>
      <c r="T64" s="195">
        <f t="shared" si="8"/>
        <v>3.5E-4</v>
      </c>
      <c r="U64" s="113">
        <v>1</v>
      </c>
      <c r="V64" s="127">
        <v>0</v>
      </c>
      <c r="W64" s="142">
        <f t="shared" si="19"/>
        <v>0.24073</v>
      </c>
      <c r="AA64" s="128">
        <f t="shared" si="11"/>
        <v>0</v>
      </c>
      <c r="AB64" s="128">
        <f t="shared" si="12"/>
        <v>0</v>
      </c>
      <c r="AC64" s="128">
        <f t="shared" si="13"/>
        <v>0</v>
      </c>
      <c r="AD64" s="128">
        <f t="shared" si="14"/>
        <v>0</v>
      </c>
      <c r="AE64" s="128">
        <f t="shared" si="15"/>
        <v>0</v>
      </c>
      <c r="AF64" s="128">
        <f t="shared" si="16"/>
        <v>0</v>
      </c>
      <c r="AG64" s="128">
        <f t="shared" si="17"/>
        <v>0</v>
      </c>
      <c r="AI64" s="190">
        <f>'[13]Allocation = % of margin'!P64+'[13]Allocation = % of margin'!S64+'[13]Allocation = % of margin'!V64+'[13]Allocation = % of margin'!Y64+'[13]Allocation = % of margin'!AB64+'[13]Allocation = % of margin'!AE64+'[13]Allocation = % of margin'!AH64+'[13]Allocation = % of margin'!AK64+'[13]Allocation = % of margin'!AN64+'Calc of Avg Cent Increments'!H64+'Calc of Avg Cent Increments'!K64+'Calc of Avg Cent Increments'!N64+'Calc of Avg Cent Increments'!Q64+'Calc of Avg Cent Increments'!T64+'Calc of Avg Cent Increments'!W64+'[13]Allocation = % of revenue'!M64</f>
        <v>7.4469999999999981E-2</v>
      </c>
      <c r="AJ64" s="5">
        <f>[13]Temporaries!W64</f>
        <v>7.4449999999999988E-2</v>
      </c>
      <c r="AK64" s="191">
        <f>[13]Permanents!F64</f>
        <v>2.0000000000000002E-5</v>
      </c>
      <c r="AL64" s="190">
        <f t="shared" si="18"/>
        <v>-7.7554336650603739E-18</v>
      </c>
    </row>
    <row r="65" spans="1:38" x14ac:dyDescent="0.35">
      <c r="A65" s="15">
        <f t="shared" si="0"/>
        <v>59</v>
      </c>
      <c r="B65" s="15"/>
      <c r="C65" s="193" t="s">
        <v>92</v>
      </c>
      <c r="D65" s="127">
        <f>'[13]Washington volumes'!J65</f>
        <v>0</v>
      </c>
      <c r="E65" s="194"/>
      <c r="F65" s="113">
        <v>1</v>
      </c>
      <c r="G65" s="127">
        <f t="shared" si="1"/>
        <v>0</v>
      </c>
      <c r="H65" s="195">
        <f t="shared" si="2"/>
        <v>-0.14299000000000001</v>
      </c>
      <c r="I65" s="113">
        <v>0</v>
      </c>
      <c r="J65" s="127">
        <f t="shared" si="3"/>
        <v>0</v>
      </c>
      <c r="K65" s="195">
        <f t="shared" si="4"/>
        <v>0</v>
      </c>
      <c r="L65" s="113">
        <v>1</v>
      </c>
      <c r="M65" s="127">
        <f t="shared" si="9"/>
        <v>0</v>
      </c>
      <c r="N65" s="195">
        <f t="shared" si="5"/>
        <v>-3.1469999999999998E-2</v>
      </c>
      <c r="O65" s="113">
        <v>0</v>
      </c>
      <c r="P65" s="127">
        <f t="shared" si="10"/>
        <v>0</v>
      </c>
      <c r="Q65" s="195">
        <f t="shared" si="6"/>
        <v>0</v>
      </c>
      <c r="R65" s="113">
        <v>1</v>
      </c>
      <c r="S65" s="127">
        <f t="shared" si="7"/>
        <v>0</v>
      </c>
      <c r="T65" s="195">
        <f t="shared" si="8"/>
        <v>3.5E-4</v>
      </c>
      <c r="U65" s="113">
        <v>1</v>
      </c>
      <c r="V65" s="127">
        <v>0</v>
      </c>
      <c r="W65" s="142">
        <f t="shared" si="19"/>
        <v>0.24073</v>
      </c>
      <c r="AA65" s="128">
        <f t="shared" si="11"/>
        <v>0</v>
      </c>
      <c r="AB65" s="128">
        <f t="shared" si="12"/>
        <v>0</v>
      </c>
      <c r="AC65" s="128">
        <f t="shared" si="13"/>
        <v>0</v>
      </c>
      <c r="AD65" s="128">
        <f t="shared" si="14"/>
        <v>0</v>
      </c>
      <c r="AE65" s="128">
        <f t="shared" si="15"/>
        <v>0</v>
      </c>
      <c r="AF65" s="128">
        <f t="shared" si="16"/>
        <v>0</v>
      </c>
      <c r="AG65" s="128">
        <f t="shared" si="17"/>
        <v>0</v>
      </c>
      <c r="AI65" s="190">
        <f>'[13]Allocation = % of margin'!P65+'[13]Allocation = % of margin'!S65+'[13]Allocation = % of margin'!V65+'[13]Allocation = % of margin'!Y65+'[13]Allocation = % of margin'!AB65+'[13]Allocation = % of margin'!AE65+'[13]Allocation = % of margin'!AH65+'[13]Allocation = % of margin'!AK65+'[13]Allocation = % of margin'!AN65+'Calc of Avg Cent Increments'!H65+'Calc of Avg Cent Increments'!K65+'Calc of Avg Cent Increments'!N65+'Calc of Avg Cent Increments'!Q65+'Calc of Avg Cent Increments'!T65+'Calc of Avg Cent Increments'!W65+'[13]Allocation = % of revenue'!M65</f>
        <v>7.1849999999999997E-2</v>
      </c>
      <c r="AJ65" s="5">
        <f>[13]Temporaries!W65</f>
        <v>7.1839999999999987E-2</v>
      </c>
      <c r="AK65" s="191">
        <f>[13]Permanents!F65</f>
        <v>1.0000000000000001E-5</v>
      </c>
      <c r="AL65" s="190">
        <f t="shared" si="18"/>
        <v>1.000007097528427E-17</v>
      </c>
    </row>
    <row r="66" spans="1:38" x14ac:dyDescent="0.35">
      <c r="A66" s="15">
        <f t="shared" si="0"/>
        <v>60</v>
      </c>
      <c r="B66" s="192"/>
      <c r="C66" s="196" t="s">
        <v>93</v>
      </c>
      <c r="D66" s="89">
        <f>'[13]Washington volumes'!J66</f>
        <v>0</v>
      </c>
      <c r="E66" s="187"/>
      <c r="F66" s="88">
        <v>1</v>
      </c>
      <c r="G66" s="89">
        <f t="shared" si="1"/>
        <v>0</v>
      </c>
      <c r="H66" s="188">
        <f t="shared" si="2"/>
        <v>-0.14299000000000001</v>
      </c>
      <c r="I66" s="88">
        <v>0</v>
      </c>
      <c r="J66" s="89">
        <f t="shared" si="3"/>
        <v>0</v>
      </c>
      <c r="K66" s="188">
        <f t="shared" si="4"/>
        <v>0</v>
      </c>
      <c r="L66" s="88">
        <v>1</v>
      </c>
      <c r="M66" s="89">
        <f t="shared" si="9"/>
        <v>0</v>
      </c>
      <c r="N66" s="188">
        <f t="shared" si="5"/>
        <v>-3.1469999999999998E-2</v>
      </c>
      <c r="O66" s="88">
        <v>0</v>
      </c>
      <c r="P66" s="89">
        <f t="shared" si="10"/>
        <v>0</v>
      </c>
      <c r="Q66" s="188">
        <f t="shared" si="6"/>
        <v>0</v>
      </c>
      <c r="R66" s="88">
        <v>1</v>
      </c>
      <c r="S66" s="89">
        <f t="shared" si="7"/>
        <v>0</v>
      </c>
      <c r="T66" s="188">
        <f t="shared" si="8"/>
        <v>3.5E-4</v>
      </c>
      <c r="U66" s="88">
        <v>1</v>
      </c>
      <c r="V66" s="89">
        <v>0</v>
      </c>
      <c r="W66" s="189">
        <f t="shared" si="19"/>
        <v>0.24073</v>
      </c>
      <c r="AA66" s="128">
        <f t="shared" si="11"/>
        <v>0</v>
      </c>
      <c r="AB66" s="128">
        <f t="shared" si="12"/>
        <v>0</v>
      </c>
      <c r="AC66" s="128">
        <f t="shared" si="13"/>
        <v>0</v>
      </c>
      <c r="AD66" s="128">
        <f t="shared" si="14"/>
        <v>0</v>
      </c>
      <c r="AE66" s="128">
        <f t="shared" si="15"/>
        <v>0</v>
      </c>
      <c r="AF66" s="128">
        <f t="shared" si="16"/>
        <v>0</v>
      </c>
      <c r="AG66" s="128">
        <f t="shared" si="17"/>
        <v>0</v>
      </c>
      <c r="AI66" s="190">
        <f>'[13]Allocation = % of margin'!P66+'[13]Allocation = % of margin'!S66+'[13]Allocation = % of margin'!V66+'[13]Allocation = % of margin'!Y66+'[13]Allocation = % of margin'!AB66+'[13]Allocation = % of margin'!AE66+'[13]Allocation = % of margin'!AH66+'[13]Allocation = % of margin'!AK66+'[13]Allocation = % of margin'!AN66+'Calc of Avg Cent Increments'!H66+'Calc of Avg Cent Increments'!K66+'Calc of Avg Cent Increments'!N66+'Calc of Avg Cent Increments'!Q66+'Calc of Avg Cent Increments'!T66+'Calc of Avg Cent Increments'!W66+'[13]Allocation = % of revenue'!M66</f>
        <v>6.8599999999999994E-2</v>
      </c>
      <c r="AJ66" s="5">
        <f>[13]Temporaries!W66</f>
        <v>6.8589999999999984E-2</v>
      </c>
      <c r="AK66" s="191">
        <f>[13]Permanents!F66</f>
        <v>1.0000000000000001E-5</v>
      </c>
      <c r="AL66" s="190">
        <f t="shared" si="18"/>
        <v>1.000007097528427E-17</v>
      </c>
    </row>
    <row r="67" spans="1:38" x14ac:dyDescent="0.35">
      <c r="A67" s="15">
        <f t="shared" si="0"/>
        <v>61</v>
      </c>
      <c r="B67" s="15" t="s">
        <v>99</v>
      </c>
      <c r="C67" s="193" t="s">
        <v>82</v>
      </c>
      <c r="D67" s="127">
        <f>'[13]Washington volumes'!J67</f>
        <v>0</v>
      </c>
      <c r="E67" s="194"/>
      <c r="F67" s="113">
        <v>0</v>
      </c>
      <c r="G67" s="127">
        <f t="shared" si="1"/>
        <v>0</v>
      </c>
      <c r="H67" s="195">
        <f t="shared" si="2"/>
        <v>0</v>
      </c>
      <c r="I67" s="113">
        <v>0</v>
      </c>
      <c r="J67" s="127">
        <f t="shared" si="3"/>
        <v>0</v>
      </c>
      <c r="K67" s="195">
        <f t="shared" si="4"/>
        <v>0</v>
      </c>
      <c r="L67" s="113">
        <v>0</v>
      </c>
      <c r="M67" s="127">
        <f t="shared" si="9"/>
        <v>0</v>
      </c>
      <c r="N67" s="195">
        <f t="shared" si="5"/>
        <v>0</v>
      </c>
      <c r="O67" s="113">
        <v>0</v>
      </c>
      <c r="P67" s="127">
        <f t="shared" si="10"/>
        <v>0</v>
      </c>
      <c r="Q67" s="195">
        <f t="shared" si="6"/>
        <v>0</v>
      </c>
      <c r="R67" s="113">
        <v>1</v>
      </c>
      <c r="S67" s="127">
        <f t="shared" si="7"/>
        <v>0</v>
      </c>
      <c r="T67" s="195">
        <f t="shared" si="8"/>
        <v>3.5E-4</v>
      </c>
      <c r="U67" s="113">
        <v>1</v>
      </c>
      <c r="V67" s="127">
        <v>0</v>
      </c>
      <c r="W67" s="142">
        <f t="shared" si="19"/>
        <v>0.24073</v>
      </c>
      <c r="AA67" s="128">
        <f t="shared" si="11"/>
        <v>0</v>
      </c>
      <c r="AB67" s="128">
        <f t="shared" si="12"/>
        <v>0</v>
      </c>
      <c r="AC67" s="128">
        <f t="shared" si="13"/>
        <v>0</v>
      </c>
      <c r="AD67" s="128">
        <f t="shared" si="14"/>
        <v>0</v>
      </c>
      <c r="AE67" s="128">
        <f t="shared" si="15"/>
        <v>0</v>
      </c>
      <c r="AF67" s="128">
        <f t="shared" si="16"/>
        <v>0</v>
      </c>
      <c r="AG67" s="128">
        <f t="shared" si="17"/>
        <v>0</v>
      </c>
      <c r="AI67" s="190">
        <f>'[13]Allocation = % of margin'!P67+'[13]Allocation = % of margin'!S67+'[13]Allocation = % of margin'!V67+'[13]Allocation = % of margin'!Y67+'[13]Allocation = % of margin'!AB67+'[13]Allocation = % of margin'!AE67+'[13]Allocation = % of margin'!AH67+'[13]Allocation = % of margin'!AK67+'[13]Allocation = % of margin'!AN67+'Calc of Avg Cent Increments'!H67+'Calc of Avg Cent Increments'!K67+'Calc of Avg Cent Increments'!N67+'Calc of Avg Cent Increments'!Q67+'Calc of Avg Cent Increments'!T67+'Calc of Avg Cent Increments'!W67+'[13]Allocation = % of revenue'!M67</f>
        <v>0.24864</v>
      </c>
      <c r="AJ67" s="5">
        <f>[13]Temporaries!W67</f>
        <v>0.24864</v>
      </c>
      <c r="AK67" s="191">
        <f>[13]Permanents!F67</f>
        <v>0</v>
      </c>
      <c r="AL67" s="190">
        <f t="shared" si="18"/>
        <v>0</v>
      </c>
    </row>
    <row r="68" spans="1:38" x14ac:dyDescent="0.35">
      <c r="A68" s="15">
        <f t="shared" si="0"/>
        <v>62</v>
      </c>
      <c r="B68" s="15"/>
      <c r="C68" s="193" t="s">
        <v>83</v>
      </c>
      <c r="D68" s="127">
        <f>'[13]Washington volumes'!J68</f>
        <v>0</v>
      </c>
      <c r="E68" s="194"/>
      <c r="F68" s="113">
        <v>0</v>
      </c>
      <c r="G68" s="127">
        <f t="shared" si="1"/>
        <v>0</v>
      </c>
      <c r="H68" s="195">
        <f t="shared" si="2"/>
        <v>0</v>
      </c>
      <c r="I68" s="113">
        <v>0</v>
      </c>
      <c r="J68" s="127">
        <f t="shared" si="3"/>
        <v>0</v>
      </c>
      <c r="K68" s="195">
        <f t="shared" si="4"/>
        <v>0</v>
      </c>
      <c r="L68" s="113">
        <v>0</v>
      </c>
      <c r="M68" s="127">
        <f t="shared" si="9"/>
        <v>0</v>
      </c>
      <c r="N68" s="195">
        <f t="shared" si="5"/>
        <v>0</v>
      </c>
      <c r="O68" s="113">
        <v>0</v>
      </c>
      <c r="P68" s="127">
        <f t="shared" si="10"/>
        <v>0</v>
      </c>
      <c r="Q68" s="195">
        <f t="shared" si="6"/>
        <v>0</v>
      </c>
      <c r="R68" s="113">
        <v>1</v>
      </c>
      <c r="S68" s="127">
        <f t="shared" si="7"/>
        <v>0</v>
      </c>
      <c r="T68" s="195">
        <f t="shared" si="8"/>
        <v>3.5E-4</v>
      </c>
      <c r="U68" s="113">
        <v>1</v>
      </c>
      <c r="V68" s="127">
        <v>0</v>
      </c>
      <c r="W68" s="142">
        <f t="shared" si="19"/>
        <v>0.24073</v>
      </c>
      <c r="AA68" s="128">
        <f t="shared" si="11"/>
        <v>0</v>
      </c>
      <c r="AB68" s="128">
        <f t="shared" si="12"/>
        <v>0</v>
      </c>
      <c r="AC68" s="128">
        <f t="shared" si="13"/>
        <v>0</v>
      </c>
      <c r="AD68" s="128">
        <f t="shared" si="14"/>
        <v>0</v>
      </c>
      <c r="AE68" s="128">
        <f t="shared" si="15"/>
        <v>0</v>
      </c>
      <c r="AF68" s="128">
        <f t="shared" si="16"/>
        <v>0</v>
      </c>
      <c r="AG68" s="128">
        <f t="shared" si="17"/>
        <v>0</v>
      </c>
      <c r="AI68" s="190">
        <f>'[13]Allocation = % of margin'!P68+'[13]Allocation = % of margin'!S68+'[13]Allocation = % of margin'!V68+'[13]Allocation = % of margin'!Y68+'[13]Allocation = % of margin'!AB68+'[13]Allocation = % of margin'!AE68+'[13]Allocation = % of margin'!AH68+'[13]Allocation = % of margin'!AK68+'[13]Allocation = % of margin'!AN68+'Calc of Avg Cent Increments'!H68+'Calc of Avg Cent Increments'!K68+'Calc of Avg Cent Increments'!N68+'Calc of Avg Cent Increments'!Q68+'Calc of Avg Cent Increments'!T68+'Calc of Avg Cent Increments'!W68+'[13]Allocation = % of revenue'!M68</f>
        <v>0.24786</v>
      </c>
      <c r="AJ68" s="5">
        <f>[13]Temporaries!W68</f>
        <v>0.24786</v>
      </c>
      <c r="AK68" s="191">
        <f>[13]Permanents!F68</f>
        <v>0</v>
      </c>
      <c r="AL68" s="190">
        <f t="shared" si="18"/>
        <v>0</v>
      </c>
    </row>
    <row r="69" spans="1:38" x14ac:dyDescent="0.35">
      <c r="A69" s="15">
        <f t="shared" si="0"/>
        <v>63</v>
      </c>
      <c r="B69" s="15"/>
      <c r="C69" s="193" t="s">
        <v>90</v>
      </c>
      <c r="D69" s="127">
        <f>'[13]Washington volumes'!J69</f>
        <v>0</v>
      </c>
      <c r="E69" s="194"/>
      <c r="F69" s="113">
        <v>0</v>
      </c>
      <c r="G69" s="127">
        <f t="shared" si="1"/>
        <v>0</v>
      </c>
      <c r="H69" s="195">
        <f t="shared" si="2"/>
        <v>0</v>
      </c>
      <c r="I69" s="113">
        <v>0</v>
      </c>
      <c r="J69" s="127">
        <f t="shared" si="3"/>
        <v>0</v>
      </c>
      <c r="K69" s="195">
        <f t="shared" si="4"/>
        <v>0</v>
      </c>
      <c r="L69" s="113">
        <v>0</v>
      </c>
      <c r="M69" s="127">
        <f t="shared" si="9"/>
        <v>0</v>
      </c>
      <c r="N69" s="195">
        <f t="shared" si="5"/>
        <v>0</v>
      </c>
      <c r="O69" s="113">
        <v>0</v>
      </c>
      <c r="P69" s="127">
        <f t="shared" si="10"/>
        <v>0</v>
      </c>
      <c r="Q69" s="195">
        <f t="shared" si="6"/>
        <v>0</v>
      </c>
      <c r="R69" s="113">
        <v>1</v>
      </c>
      <c r="S69" s="127">
        <f t="shared" si="7"/>
        <v>0</v>
      </c>
      <c r="T69" s="195">
        <f t="shared" si="8"/>
        <v>3.5E-4</v>
      </c>
      <c r="U69" s="113">
        <v>1</v>
      </c>
      <c r="V69" s="127">
        <v>0</v>
      </c>
      <c r="W69" s="142">
        <f t="shared" si="19"/>
        <v>0.24073</v>
      </c>
      <c r="AA69" s="128">
        <f t="shared" si="11"/>
        <v>0</v>
      </c>
      <c r="AB69" s="128">
        <f t="shared" si="12"/>
        <v>0</v>
      </c>
      <c r="AC69" s="128">
        <f t="shared" si="13"/>
        <v>0</v>
      </c>
      <c r="AD69" s="128">
        <f t="shared" si="14"/>
        <v>0</v>
      </c>
      <c r="AE69" s="128">
        <f t="shared" si="15"/>
        <v>0</v>
      </c>
      <c r="AF69" s="128">
        <f t="shared" si="16"/>
        <v>0</v>
      </c>
      <c r="AG69" s="128">
        <f t="shared" si="17"/>
        <v>0</v>
      </c>
      <c r="AI69" s="190">
        <f>'[13]Allocation = % of margin'!P69+'[13]Allocation = % of margin'!S69+'[13]Allocation = % of margin'!V69+'[13]Allocation = % of margin'!Y69+'[13]Allocation = % of margin'!AB69+'[13]Allocation = % of margin'!AE69+'[13]Allocation = % of margin'!AH69+'[13]Allocation = % of margin'!AK69+'[13]Allocation = % of margin'!AN69+'Calc of Avg Cent Increments'!H69+'Calc of Avg Cent Increments'!K69+'Calc of Avg Cent Increments'!N69+'Calc of Avg Cent Increments'!Q69+'Calc of Avg Cent Increments'!T69+'Calc of Avg Cent Increments'!W69+'[13]Allocation = % of revenue'!M69</f>
        <v>0.24626999999999999</v>
      </c>
      <c r="AJ69" s="5">
        <f>[13]Temporaries!W69</f>
        <v>0.24626999999999999</v>
      </c>
      <c r="AK69" s="191">
        <f>[13]Permanents!F69</f>
        <v>0</v>
      </c>
      <c r="AL69" s="190">
        <f t="shared" si="18"/>
        <v>0</v>
      </c>
    </row>
    <row r="70" spans="1:38" x14ac:dyDescent="0.35">
      <c r="A70" s="15">
        <f t="shared" si="0"/>
        <v>64</v>
      </c>
      <c r="B70" s="15"/>
      <c r="C70" s="193" t="s">
        <v>91</v>
      </c>
      <c r="D70" s="127">
        <f>'[13]Washington volumes'!J70</f>
        <v>0</v>
      </c>
      <c r="E70" s="194"/>
      <c r="F70" s="113">
        <v>0</v>
      </c>
      <c r="G70" s="127">
        <f t="shared" si="1"/>
        <v>0</v>
      </c>
      <c r="H70" s="195">
        <f t="shared" si="2"/>
        <v>0</v>
      </c>
      <c r="I70" s="113">
        <v>0</v>
      </c>
      <c r="J70" s="127">
        <f t="shared" si="3"/>
        <v>0</v>
      </c>
      <c r="K70" s="195">
        <f t="shared" si="4"/>
        <v>0</v>
      </c>
      <c r="L70" s="113">
        <v>0</v>
      </c>
      <c r="M70" s="127">
        <f t="shared" si="9"/>
        <v>0</v>
      </c>
      <c r="N70" s="195">
        <f t="shared" si="5"/>
        <v>0</v>
      </c>
      <c r="O70" s="113">
        <v>0</v>
      </c>
      <c r="P70" s="127">
        <f t="shared" si="10"/>
        <v>0</v>
      </c>
      <c r="Q70" s="195">
        <f t="shared" si="6"/>
        <v>0</v>
      </c>
      <c r="R70" s="113">
        <v>1</v>
      </c>
      <c r="S70" s="127">
        <f t="shared" si="7"/>
        <v>0</v>
      </c>
      <c r="T70" s="195">
        <f t="shared" si="8"/>
        <v>3.5E-4</v>
      </c>
      <c r="U70" s="113">
        <v>1</v>
      </c>
      <c r="V70" s="127">
        <v>0</v>
      </c>
      <c r="W70" s="142">
        <f t="shared" si="19"/>
        <v>0.24073</v>
      </c>
      <c r="AA70" s="128">
        <f t="shared" si="11"/>
        <v>0</v>
      </c>
      <c r="AB70" s="128">
        <f t="shared" si="12"/>
        <v>0</v>
      </c>
      <c r="AC70" s="128">
        <f t="shared" si="13"/>
        <v>0</v>
      </c>
      <c r="AD70" s="128">
        <f t="shared" si="14"/>
        <v>0</v>
      </c>
      <c r="AE70" s="128">
        <f t="shared" si="15"/>
        <v>0</v>
      </c>
      <c r="AF70" s="128">
        <f t="shared" si="16"/>
        <v>0</v>
      </c>
      <c r="AG70" s="128">
        <f t="shared" si="17"/>
        <v>0</v>
      </c>
      <c r="AI70" s="190">
        <f>'[13]Allocation = % of margin'!P70+'[13]Allocation = % of margin'!S70+'[13]Allocation = % of margin'!V70+'[13]Allocation = % of margin'!Y70+'[13]Allocation = % of margin'!AB70+'[13]Allocation = % of margin'!AE70+'[13]Allocation = % of margin'!AH70+'[13]Allocation = % of margin'!AK70+'[13]Allocation = % of margin'!AN70+'Calc of Avg Cent Increments'!H70+'Calc of Avg Cent Increments'!K70+'Calc of Avg Cent Increments'!N70+'Calc of Avg Cent Increments'!Q70+'Calc of Avg Cent Increments'!T70+'Calc of Avg Cent Increments'!W70+'[13]Allocation = % of revenue'!M70</f>
        <v>0.24524000000000001</v>
      </c>
      <c r="AJ70" s="5">
        <f>[13]Temporaries!W70</f>
        <v>0.24524000000000001</v>
      </c>
      <c r="AK70" s="191">
        <f>[13]Permanents!F70</f>
        <v>0</v>
      </c>
      <c r="AL70" s="190">
        <f t="shared" si="18"/>
        <v>0</v>
      </c>
    </row>
    <row r="71" spans="1:38" x14ac:dyDescent="0.35">
      <c r="A71" s="15">
        <f t="shared" si="0"/>
        <v>65</v>
      </c>
      <c r="B71" s="15"/>
      <c r="C71" s="193" t="s">
        <v>92</v>
      </c>
      <c r="D71" s="127">
        <f>'[13]Washington volumes'!J71</f>
        <v>0</v>
      </c>
      <c r="E71" s="194"/>
      <c r="F71" s="113">
        <v>0</v>
      </c>
      <c r="G71" s="127">
        <f t="shared" si="1"/>
        <v>0</v>
      </c>
      <c r="H71" s="195">
        <f t="shared" si="2"/>
        <v>0</v>
      </c>
      <c r="I71" s="113">
        <v>0</v>
      </c>
      <c r="J71" s="127">
        <f t="shared" si="3"/>
        <v>0</v>
      </c>
      <c r="K71" s="195">
        <f t="shared" si="4"/>
        <v>0</v>
      </c>
      <c r="L71" s="113">
        <v>0</v>
      </c>
      <c r="M71" s="127">
        <f t="shared" si="9"/>
        <v>0</v>
      </c>
      <c r="N71" s="195">
        <f t="shared" si="5"/>
        <v>0</v>
      </c>
      <c r="O71" s="113">
        <v>0</v>
      </c>
      <c r="P71" s="127">
        <f t="shared" si="10"/>
        <v>0</v>
      </c>
      <c r="Q71" s="195">
        <f t="shared" si="6"/>
        <v>0</v>
      </c>
      <c r="R71" s="113">
        <v>1</v>
      </c>
      <c r="S71" s="127">
        <f t="shared" si="7"/>
        <v>0</v>
      </c>
      <c r="T71" s="195">
        <f t="shared" si="8"/>
        <v>3.5E-4</v>
      </c>
      <c r="U71" s="113">
        <v>1</v>
      </c>
      <c r="V71" s="127">
        <v>0</v>
      </c>
      <c r="W71" s="142">
        <f t="shared" si="19"/>
        <v>0.24073</v>
      </c>
      <c r="AA71" s="128">
        <f t="shared" si="11"/>
        <v>0</v>
      </c>
      <c r="AB71" s="128">
        <f t="shared" si="12"/>
        <v>0</v>
      </c>
      <c r="AC71" s="128">
        <f t="shared" si="13"/>
        <v>0</v>
      </c>
      <c r="AD71" s="128">
        <f t="shared" si="14"/>
        <v>0</v>
      </c>
      <c r="AE71" s="128">
        <f t="shared" si="15"/>
        <v>0</v>
      </c>
      <c r="AF71" s="128">
        <f t="shared" si="16"/>
        <v>0</v>
      </c>
      <c r="AG71" s="128">
        <f t="shared" si="17"/>
        <v>0</v>
      </c>
      <c r="AI71" s="190">
        <f>'[13]Allocation = % of margin'!P71+'[13]Allocation = % of margin'!S71+'[13]Allocation = % of margin'!V71+'[13]Allocation = % of margin'!Y71+'[13]Allocation = % of margin'!AB71+'[13]Allocation = % of margin'!AE71+'[13]Allocation = % of margin'!AH71+'[13]Allocation = % of margin'!AK71+'[13]Allocation = % of margin'!AN71+'Calc of Avg Cent Increments'!H71+'Calc of Avg Cent Increments'!K71+'Calc of Avg Cent Increments'!N71+'Calc of Avg Cent Increments'!Q71+'Calc of Avg Cent Increments'!T71+'Calc of Avg Cent Increments'!W71+'[13]Allocation = % of revenue'!M71</f>
        <v>0.24385000000000001</v>
      </c>
      <c r="AJ71" s="5">
        <f>[13]Temporaries!W71</f>
        <v>0.24385000000000001</v>
      </c>
      <c r="AK71" s="191">
        <f>[13]Permanents!F71</f>
        <v>0</v>
      </c>
      <c r="AL71" s="190">
        <f t="shared" si="18"/>
        <v>0</v>
      </c>
    </row>
    <row r="72" spans="1:38" x14ac:dyDescent="0.35">
      <c r="A72" s="15">
        <f t="shared" ref="A72:A88" si="20">+A71+1</f>
        <v>66</v>
      </c>
      <c r="B72" s="192"/>
      <c r="C72" s="196" t="s">
        <v>93</v>
      </c>
      <c r="D72" s="89">
        <f>'[13]Washington volumes'!J72</f>
        <v>0</v>
      </c>
      <c r="E72" s="187"/>
      <c r="F72" s="88">
        <v>0</v>
      </c>
      <c r="G72" s="89">
        <f t="shared" si="1"/>
        <v>0</v>
      </c>
      <c r="H72" s="188">
        <f t="shared" si="2"/>
        <v>0</v>
      </c>
      <c r="I72" s="88">
        <v>0</v>
      </c>
      <c r="J72" s="89">
        <f t="shared" si="3"/>
        <v>0</v>
      </c>
      <c r="K72" s="188">
        <f t="shared" si="4"/>
        <v>0</v>
      </c>
      <c r="L72" s="88">
        <v>0</v>
      </c>
      <c r="M72" s="89">
        <f t="shared" si="9"/>
        <v>0</v>
      </c>
      <c r="N72" s="188">
        <f t="shared" si="5"/>
        <v>0</v>
      </c>
      <c r="O72" s="88">
        <v>0</v>
      </c>
      <c r="P72" s="89">
        <f t="shared" si="10"/>
        <v>0</v>
      </c>
      <c r="Q72" s="188">
        <f t="shared" si="6"/>
        <v>0</v>
      </c>
      <c r="R72" s="88">
        <v>1</v>
      </c>
      <c r="S72" s="89">
        <f t="shared" si="7"/>
        <v>0</v>
      </c>
      <c r="T72" s="188">
        <f t="shared" si="8"/>
        <v>3.5E-4</v>
      </c>
      <c r="U72" s="88">
        <v>1</v>
      </c>
      <c r="V72" s="89">
        <v>0</v>
      </c>
      <c r="W72" s="189">
        <f t="shared" si="19"/>
        <v>0.24073</v>
      </c>
      <c r="AA72" s="128">
        <f t="shared" si="11"/>
        <v>0</v>
      </c>
      <c r="AB72" s="128">
        <f t="shared" si="12"/>
        <v>0</v>
      </c>
      <c r="AC72" s="128">
        <f t="shared" si="13"/>
        <v>0</v>
      </c>
      <c r="AD72" s="128">
        <f t="shared" si="14"/>
        <v>0</v>
      </c>
      <c r="AE72" s="128">
        <f t="shared" si="15"/>
        <v>0</v>
      </c>
      <c r="AF72" s="128">
        <f t="shared" si="16"/>
        <v>0</v>
      </c>
      <c r="AG72" s="128">
        <f t="shared" si="17"/>
        <v>0</v>
      </c>
      <c r="AI72" s="190">
        <f>'[13]Allocation = % of margin'!P72+'[13]Allocation = % of margin'!S72+'[13]Allocation = % of margin'!V72+'[13]Allocation = % of margin'!Y72+'[13]Allocation = % of margin'!AB72+'[13]Allocation = % of margin'!AE72+'[13]Allocation = % of margin'!AH72+'[13]Allocation = % of margin'!AK72+'[13]Allocation = % of margin'!AN72+'Calc of Avg Cent Increments'!H72+'Calc of Avg Cent Increments'!K72+'Calc of Avg Cent Increments'!N72+'Calc of Avg Cent Increments'!Q72+'Calc of Avg Cent Increments'!T72+'Calc of Avg Cent Increments'!W72+'[13]Allocation = % of revenue'!M72</f>
        <v>0.24212</v>
      </c>
      <c r="AJ72" s="5">
        <f>[13]Temporaries!W72</f>
        <v>0.24212</v>
      </c>
      <c r="AK72" s="191">
        <f>[13]Permanents!F72</f>
        <v>0</v>
      </c>
      <c r="AL72" s="190">
        <f t="shared" si="18"/>
        <v>0</v>
      </c>
    </row>
    <row r="73" spans="1:38" x14ac:dyDescent="0.35">
      <c r="A73" s="15">
        <f t="shared" si="20"/>
        <v>67</v>
      </c>
      <c r="B73" s="15" t="s">
        <v>100</v>
      </c>
      <c r="C73" s="193" t="s">
        <v>82</v>
      </c>
      <c r="D73" s="127">
        <f>'[13]Washington volumes'!J73</f>
        <v>952237.06746634038</v>
      </c>
      <c r="E73" s="194"/>
      <c r="F73" s="113">
        <v>0</v>
      </c>
      <c r="G73" s="127">
        <f t="shared" si="1"/>
        <v>0</v>
      </c>
      <c r="H73" s="195">
        <f t="shared" si="2"/>
        <v>0</v>
      </c>
      <c r="I73" s="113">
        <v>0</v>
      </c>
      <c r="J73" s="127">
        <f t="shared" si="3"/>
        <v>0</v>
      </c>
      <c r="K73" s="195">
        <f t="shared" si="4"/>
        <v>0</v>
      </c>
      <c r="L73" s="113">
        <v>0</v>
      </c>
      <c r="M73" s="127">
        <f t="shared" si="9"/>
        <v>0</v>
      </c>
      <c r="N73" s="195">
        <f t="shared" si="5"/>
        <v>0</v>
      </c>
      <c r="O73" s="113">
        <v>0</v>
      </c>
      <c r="P73" s="127">
        <f t="shared" si="10"/>
        <v>0</v>
      </c>
      <c r="Q73" s="195">
        <f t="shared" si="6"/>
        <v>0</v>
      </c>
      <c r="R73" s="113">
        <v>1</v>
      </c>
      <c r="S73" s="127">
        <f t="shared" si="7"/>
        <v>952237.06746634038</v>
      </c>
      <c r="T73" s="195">
        <f t="shared" si="8"/>
        <v>3.5E-4</v>
      </c>
      <c r="U73" s="113">
        <v>1</v>
      </c>
      <c r="V73" s="127">
        <v>788698</v>
      </c>
      <c r="W73" s="142">
        <f t="shared" si="19"/>
        <v>0.24073</v>
      </c>
      <c r="AA73" s="128">
        <f t="shared" si="11"/>
        <v>0</v>
      </c>
      <c r="AB73" s="128">
        <f t="shared" si="12"/>
        <v>0</v>
      </c>
      <c r="AC73" s="128">
        <f t="shared" si="13"/>
        <v>0</v>
      </c>
      <c r="AD73" s="128">
        <f t="shared" si="14"/>
        <v>0</v>
      </c>
      <c r="AE73" s="128">
        <f t="shared" si="15"/>
        <v>333.28297361321916</v>
      </c>
      <c r="AF73" s="128">
        <f t="shared" si="16"/>
        <v>229232.02925117212</v>
      </c>
      <c r="AG73" s="128">
        <f t="shared" si="17"/>
        <v>333.28297361321916</v>
      </c>
      <c r="AI73" s="190">
        <f>'[13]Allocation = % of margin'!P73+'[13]Allocation = % of margin'!S73+'[13]Allocation = % of margin'!V73+'[13]Allocation = % of margin'!Y73+'[13]Allocation = % of margin'!AB73+'[13]Allocation = % of margin'!AE73+'[13]Allocation = % of margin'!AH73+'[13]Allocation = % of margin'!AK73+'[13]Allocation = % of margin'!AN73+'Calc of Avg Cent Increments'!H73+'Calc of Avg Cent Increments'!K73+'Calc of Avg Cent Increments'!N73+'Calc of Avg Cent Increments'!Q73+'Calc of Avg Cent Increments'!T73+'Calc of Avg Cent Increments'!W73+'[13]Allocation = % of revenue'!M73</f>
        <v>0.24863000000000002</v>
      </c>
      <c r="AJ73" s="5">
        <f>[13]Temporaries!W73</f>
        <v>0.24862999999999999</v>
      </c>
      <c r="AK73" s="191">
        <f>[13]Permanents!F73</f>
        <v>0</v>
      </c>
      <c r="AL73" s="190">
        <f t="shared" si="18"/>
        <v>2.7755575615628914E-17</v>
      </c>
    </row>
    <row r="74" spans="1:38" x14ac:dyDescent="0.35">
      <c r="A74" s="15">
        <f t="shared" si="20"/>
        <v>68</v>
      </c>
      <c r="B74" s="15"/>
      <c r="C74" s="193" t="s">
        <v>83</v>
      </c>
      <c r="D74" s="127">
        <f>'[13]Washington volumes'!J74</f>
        <v>1827774.6796347289</v>
      </c>
      <c r="E74" s="194"/>
      <c r="F74" s="113">
        <v>0</v>
      </c>
      <c r="G74" s="127">
        <f t="shared" si="1"/>
        <v>0</v>
      </c>
      <c r="H74" s="195">
        <f t="shared" si="2"/>
        <v>0</v>
      </c>
      <c r="I74" s="113">
        <v>0</v>
      </c>
      <c r="J74" s="127">
        <f t="shared" si="3"/>
        <v>0</v>
      </c>
      <c r="K74" s="195">
        <f t="shared" si="4"/>
        <v>0</v>
      </c>
      <c r="L74" s="113">
        <v>0</v>
      </c>
      <c r="M74" s="127">
        <f t="shared" si="9"/>
        <v>0</v>
      </c>
      <c r="N74" s="195">
        <f t="shared" si="5"/>
        <v>0</v>
      </c>
      <c r="O74" s="113">
        <v>0</v>
      </c>
      <c r="P74" s="127">
        <f t="shared" si="10"/>
        <v>0</v>
      </c>
      <c r="Q74" s="195">
        <f t="shared" si="6"/>
        <v>0</v>
      </c>
      <c r="R74" s="113">
        <v>1</v>
      </c>
      <c r="S74" s="127">
        <f t="shared" si="7"/>
        <v>1827774.6796347289</v>
      </c>
      <c r="T74" s="195">
        <f t="shared" si="8"/>
        <v>3.5E-4</v>
      </c>
      <c r="U74" s="113">
        <v>1</v>
      </c>
      <c r="V74" s="127">
        <v>1380850</v>
      </c>
      <c r="W74" s="142">
        <f t="shared" si="19"/>
        <v>0.24073</v>
      </c>
      <c r="AA74" s="128">
        <f t="shared" si="11"/>
        <v>0</v>
      </c>
      <c r="AB74" s="128">
        <f t="shared" si="12"/>
        <v>0</v>
      </c>
      <c r="AC74" s="128">
        <f t="shared" si="13"/>
        <v>0</v>
      </c>
      <c r="AD74" s="128">
        <f t="shared" si="14"/>
        <v>0</v>
      </c>
      <c r="AE74" s="128">
        <f t="shared" si="15"/>
        <v>639.72113787215517</v>
      </c>
      <c r="AF74" s="128">
        <f t="shared" si="16"/>
        <v>440000.19862846832</v>
      </c>
      <c r="AG74" s="128">
        <f t="shared" si="17"/>
        <v>639.72113787215517</v>
      </c>
      <c r="AI74" s="190">
        <f>'[13]Allocation = % of margin'!P74+'[13]Allocation = % of margin'!S74+'[13]Allocation = % of margin'!V74+'[13]Allocation = % of margin'!Y74+'[13]Allocation = % of margin'!AB74+'[13]Allocation = % of margin'!AE74+'[13]Allocation = % of margin'!AH74+'[13]Allocation = % of margin'!AK74+'[13]Allocation = % of margin'!AN74+'Calc of Avg Cent Increments'!H74+'Calc of Avg Cent Increments'!K74+'Calc of Avg Cent Increments'!N74+'Calc of Avg Cent Increments'!Q74+'Calc of Avg Cent Increments'!T74+'Calc of Avg Cent Increments'!W74+'[13]Allocation = % of revenue'!M74</f>
        <v>0.24785000000000001</v>
      </c>
      <c r="AJ74" s="5">
        <f>[13]Temporaries!W74</f>
        <v>0.24784999999999999</v>
      </c>
      <c r="AK74" s="191">
        <f>[13]Permanents!F74</f>
        <v>0</v>
      </c>
      <c r="AL74" s="190">
        <f t="shared" si="18"/>
        <v>2.7755575615628914E-17</v>
      </c>
    </row>
    <row r="75" spans="1:38" x14ac:dyDescent="0.35">
      <c r="A75" s="15">
        <f t="shared" si="20"/>
        <v>69</v>
      </c>
      <c r="B75" s="15"/>
      <c r="C75" s="193" t="s">
        <v>90</v>
      </c>
      <c r="D75" s="127">
        <f>'[13]Washington volumes'!J75</f>
        <v>1364375.8495009863</v>
      </c>
      <c r="E75" s="194"/>
      <c r="F75" s="113">
        <v>0</v>
      </c>
      <c r="G75" s="127">
        <f t="shared" si="1"/>
        <v>0</v>
      </c>
      <c r="H75" s="195">
        <f t="shared" si="2"/>
        <v>0</v>
      </c>
      <c r="I75" s="113">
        <v>0</v>
      </c>
      <c r="J75" s="127">
        <f t="shared" si="3"/>
        <v>0</v>
      </c>
      <c r="K75" s="195">
        <f t="shared" si="4"/>
        <v>0</v>
      </c>
      <c r="L75" s="113">
        <v>0</v>
      </c>
      <c r="M75" s="127">
        <f t="shared" si="9"/>
        <v>0</v>
      </c>
      <c r="N75" s="195">
        <f t="shared" si="5"/>
        <v>0</v>
      </c>
      <c r="O75" s="113">
        <v>0</v>
      </c>
      <c r="P75" s="127">
        <f t="shared" si="10"/>
        <v>0</v>
      </c>
      <c r="Q75" s="195">
        <f t="shared" si="6"/>
        <v>0</v>
      </c>
      <c r="R75" s="113">
        <v>1</v>
      </c>
      <c r="S75" s="127">
        <f t="shared" si="7"/>
        <v>1364375.8495009863</v>
      </c>
      <c r="T75" s="195">
        <f t="shared" si="8"/>
        <v>3.5E-4</v>
      </c>
      <c r="U75" s="113">
        <v>1</v>
      </c>
      <c r="V75" s="127">
        <v>1072385</v>
      </c>
      <c r="W75" s="142">
        <f t="shared" si="19"/>
        <v>0.24073</v>
      </c>
      <c r="AA75" s="128">
        <f t="shared" si="11"/>
        <v>0</v>
      </c>
      <c r="AB75" s="128">
        <f t="shared" si="12"/>
        <v>0</v>
      </c>
      <c r="AC75" s="128">
        <f t="shared" si="13"/>
        <v>0</v>
      </c>
      <c r="AD75" s="128">
        <f t="shared" si="14"/>
        <v>0</v>
      </c>
      <c r="AE75" s="128">
        <f t="shared" si="15"/>
        <v>477.53154732534517</v>
      </c>
      <c r="AF75" s="128">
        <f t="shared" si="16"/>
        <v>328446.19825037243</v>
      </c>
      <c r="AG75" s="128">
        <f t="shared" si="17"/>
        <v>477.53154732534517</v>
      </c>
      <c r="AI75" s="190">
        <f>'[13]Allocation = % of margin'!P75+'[13]Allocation = % of margin'!S75+'[13]Allocation = % of margin'!V75+'[13]Allocation = % of margin'!Y75+'[13]Allocation = % of margin'!AB75+'[13]Allocation = % of margin'!AE75+'[13]Allocation = % of margin'!AH75+'[13]Allocation = % of margin'!AK75+'[13]Allocation = % of margin'!AN75+'Calc of Avg Cent Increments'!H75+'Calc of Avg Cent Increments'!K75+'Calc of Avg Cent Increments'!N75+'Calc of Avg Cent Increments'!Q75+'Calc of Avg Cent Increments'!T75+'Calc of Avg Cent Increments'!W75+'[13]Allocation = % of revenue'!M75</f>
        <v>0.24627000000000002</v>
      </c>
      <c r="AJ75" s="5">
        <f>[13]Temporaries!W75</f>
        <v>0.24626999999999999</v>
      </c>
      <c r="AK75" s="191">
        <f>[13]Permanents!F75</f>
        <v>0</v>
      </c>
      <c r="AL75" s="190">
        <f t="shared" si="18"/>
        <v>2.7755575615628914E-17</v>
      </c>
    </row>
    <row r="76" spans="1:38" x14ac:dyDescent="0.35">
      <c r="A76" s="15">
        <f t="shared" si="20"/>
        <v>70</v>
      </c>
      <c r="B76" s="15"/>
      <c r="C76" s="193" t="s">
        <v>91</v>
      </c>
      <c r="D76" s="127">
        <f>'[13]Washington volumes'!J76</f>
        <v>4116253.0789308902</v>
      </c>
      <c r="E76" s="194"/>
      <c r="F76" s="113">
        <v>0</v>
      </c>
      <c r="G76" s="127">
        <f t="shared" si="1"/>
        <v>0</v>
      </c>
      <c r="H76" s="195">
        <f t="shared" si="2"/>
        <v>0</v>
      </c>
      <c r="I76" s="113">
        <v>0</v>
      </c>
      <c r="J76" s="127">
        <f t="shared" si="3"/>
        <v>0</v>
      </c>
      <c r="K76" s="195">
        <f t="shared" si="4"/>
        <v>0</v>
      </c>
      <c r="L76" s="113">
        <v>0</v>
      </c>
      <c r="M76" s="127">
        <f t="shared" si="9"/>
        <v>0</v>
      </c>
      <c r="N76" s="195">
        <f t="shared" si="5"/>
        <v>0</v>
      </c>
      <c r="O76" s="113">
        <v>0</v>
      </c>
      <c r="P76" s="127">
        <f t="shared" si="10"/>
        <v>0</v>
      </c>
      <c r="Q76" s="195">
        <f t="shared" si="6"/>
        <v>0</v>
      </c>
      <c r="R76" s="113">
        <v>1</v>
      </c>
      <c r="S76" s="127">
        <f t="shared" si="7"/>
        <v>4116253.0789308902</v>
      </c>
      <c r="T76" s="195">
        <f t="shared" si="8"/>
        <v>3.5E-4</v>
      </c>
      <c r="U76" s="113">
        <v>1</v>
      </c>
      <c r="V76" s="127">
        <v>3072884</v>
      </c>
      <c r="W76" s="142">
        <f t="shared" si="19"/>
        <v>0.24073</v>
      </c>
      <c r="AA76" s="128">
        <f t="shared" si="11"/>
        <v>0</v>
      </c>
      <c r="AB76" s="128">
        <f t="shared" si="12"/>
        <v>0</v>
      </c>
      <c r="AC76" s="128">
        <f t="shared" si="13"/>
        <v>0</v>
      </c>
      <c r="AD76" s="128">
        <f t="shared" si="14"/>
        <v>0</v>
      </c>
      <c r="AE76" s="128">
        <f t="shared" si="15"/>
        <v>1440.6885776258116</v>
      </c>
      <c r="AF76" s="128">
        <f t="shared" si="16"/>
        <v>990905.6036910332</v>
      </c>
      <c r="AG76" s="128">
        <f t="shared" si="17"/>
        <v>1440.6885776258116</v>
      </c>
      <c r="AI76" s="190">
        <f>'[13]Allocation = % of margin'!P76+'[13]Allocation = % of margin'!S76+'[13]Allocation = % of margin'!V76+'[13]Allocation = % of margin'!Y76+'[13]Allocation = % of margin'!AB76+'[13]Allocation = % of margin'!AE76+'[13]Allocation = % of margin'!AH76+'[13]Allocation = % of margin'!AK76+'[13]Allocation = % of margin'!AN76+'Calc of Avg Cent Increments'!H76+'Calc of Avg Cent Increments'!K76+'Calc of Avg Cent Increments'!N76+'Calc of Avg Cent Increments'!Q76+'Calc of Avg Cent Increments'!T76+'Calc of Avg Cent Increments'!W76+'[13]Allocation = % of revenue'!M76</f>
        <v>0.24524000000000001</v>
      </c>
      <c r="AJ76" s="5">
        <f>[13]Temporaries!W76</f>
        <v>0.24524000000000001</v>
      </c>
      <c r="AK76" s="191">
        <f>[13]Permanents!F76</f>
        <v>0</v>
      </c>
      <c r="AL76" s="190">
        <f t="shared" si="18"/>
        <v>0</v>
      </c>
    </row>
    <row r="77" spans="1:38" x14ac:dyDescent="0.35">
      <c r="A77" s="15">
        <f t="shared" si="20"/>
        <v>71</v>
      </c>
      <c r="B77" s="15"/>
      <c r="C77" s="193" t="s">
        <v>92</v>
      </c>
      <c r="D77" s="127">
        <f>'[13]Washington volumes'!J77</f>
        <v>1831129.0067156893</v>
      </c>
      <c r="E77" s="194"/>
      <c r="F77" s="113">
        <v>0</v>
      </c>
      <c r="G77" s="127">
        <f t="shared" si="1"/>
        <v>0</v>
      </c>
      <c r="H77" s="195">
        <f t="shared" ref="H77:H80" si="21">+F77*$H$83</f>
        <v>0</v>
      </c>
      <c r="I77" s="113">
        <v>0</v>
      </c>
      <c r="J77" s="127">
        <f t="shared" si="3"/>
        <v>0</v>
      </c>
      <c r="K77" s="195">
        <f t="shared" ref="K77:K80" si="22">+I77*$K$83</f>
        <v>0</v>
      </c>
      <c r="L77" s="113">
        <v>0</v>
      </c>
      <c r="M77" s="127">
        <f t="shared" si="9"/>
        <v>0</v>
      </c>
      <c r="N77" s="195">
        <f t="shared" ref="N77:N80" si="23">+L77*$N$83</f>
        <v>0</v>
      </c>
      <c r="O77" s="113">
        <v>0</v>
      </c>
      <c r="P77" s="127">
        <f t="shared" si="10"/>
        <v>0</v>
      </c>
      <c r="Q77" s="195">
        <f t="shared" ref="Q77:Q80" si="24">+O77*$Q$83</f>
        <v>0</v>
      </c>
      <c r="R77" s="113">
        <v>1</v>
      </c>
      <c r="S77" s="127">
        <f t="shared" si="7"/>
        <v>1831129.0067156893</v>
      </c>
      <c r="T77" s="195">
        <f t="shared" ref="T77:T80" si="25">+R77*$T$83</f>
        <v>3.5E-4</v>
      </c>
      <c r="U77" s="113">
        <v>1</v>
      </c>
      <c r="V77" s="127">
        <v>1567654</v>
      </c>
      <c r="W77" s="142">
        <f t="shared" si="19"/>
        <v>0.24073</v>
      </c>
      <c r="AA77" s="128">
        <f t="shared" si="11"/>
        <v>0</v>
      </c>
      <c r="AB77" s="128">
        <f t="shared" si="12"/>
        <v>0</v>
      </c>
      <c r="AC77" s="128">
        <f t="shared" si="13"/>
        <v>0</v>
      </c>
      <c r="AD77" s="128">
        <f t="shared" si="14"/>
        <v>0</v>
      </c>
      <c r="AE77" s="128">
        <f t="shared" si="15"/>
        <v>640.89515235049123</v>
      </c>
      <c r="AF77" s="128">
        <f t="shared" si="16"/>
        <v>440807.68578666786</v>
      </c>
      <c r="AG77" s="128">
        <f t="shared" si="17"/>
        <v>640.89515235049123</v>
      </c>
      <c r="AI77" s="190">
        <f>'[13]Allocation = % of margin'!P77+'[13]Allocation = % of margin'!S77+'[13]Allocation = % of margin'!V77+'[13]Allocation = % of margin'!Y77+'[13]Allocation = % of margin'!AB77+'[13]Allocation = % of margin'!AE77+'[13]Allocation = % of margin'!AH77+'[13]Allocation = % of margin'!AK77+'[13]Allocation = % of margin'!AN77+'Calc of Avg Cent Increments'!H77+'Calc of Avg Cent Increments'!K77+'Calc of Avg Cent Increments'!N77+'Calc of Avg Cent Increments'!Q77+'Calc of Avg Cent Increments'!T77+'Calc of Avg Cent Increments'!W77+'[13]Allocation = % of revenue'!M77</f>
        <v>0.24385000000000001</v>
      </c>
      <c r="AJ77" s="5">
        <f>[13]Temporaries!W77</f>
        <v>0.24385000000000001</v>
      </c>
      <c r="AK77" s="191">
        <f>[13]Permanents!F77</f>
        <v>0</v>
      </c>
      <c r="AL77" s="190">
        <f t="shared" si="18"/>
        <v>0</v>
      </c>
    </row>
    <row r="78" spans="1:38" x14ac:dyDescent="0.35">
      <c r="A78" s="15">
        <f t="shared" si="20"/>
        <v>72</v>
      </c>
      <c r="B78" s="192"/>
      <c r="C78" s="196" t="s">
        <v>93</v>
      </c>
      <c r="D78" s="89">
        <f>'[13]Washington volumes'!J78</f>
        <v>0</v>
      </c>
      <c r="E78" s="187"/>
      <c r="F78" s="88">
        <v>0</v>
      </c>
      <c r="G78" s="89">
        <f t="shared" si="1"/>
        <v>0</v>
      </c>
      <c r="H78" s="188">
        <f t="shared" si="21"/>
        <v>0</v>
      </c>
      <c r="I78" s="88">
        <v>0</v>
      </c>
      <c r="J78" s="89">
        <f t="shared" si="3"/>
        <v>0</v>
      </c>
      <c r="K78" s="188">
        <f t="shared" si="22"/>
        <v>0</v>
      </c>
      <c r="L78" s="88">
        <v>0</v>
      </c>
      <c r="M78" s="89">
        <f t="shared" si="9"/>
        <v>0</v>
      </c>
      <c r="N78" s="188">
        <f t="shared" si="23"/>
        <v>0</v>
      </c>
      <c r="O78" s="88">
        <v>0</v>
      </c>
      <c r="P78" s="89">
        <f t="shared" si="10"/>
        <v>0</v>
      </c>
      <c r="Q78" s="188">
        <f t="shared" si="24"/>
        <v>0</v>
      </c>
      <c r="R78" s="88">
        <v>1</v>
      </c>
      <c r="S78" s="89">
        <f t="shared" si="7"/>
        <v>0</v>
      </c>
      <c r="T78" s="188">
        <f t="shared" si="25"/>
        <v>3.5E-4</v>
      </c>
      <c r="U78" s="88">
        <v>1</v>
      </c>
      <c r="V78" s="89">
        <v>0</v>
      </c>
      <c r="W78" s="189">
        <f t="shared" si="19"/>
        <v>0.24073</v>
      </c>
      <c r="AA78" s="128">
        <f t="shared" si="11"/>
        <v>0</v>
      </c>
      <c r="AB78" s="128">
        <f t="shared" si="12"/>
        <v>0</v>
      </c>
      <c r="AC78" s="128">
        <f t="shared" si="13"/>
        <v>0</v>
      </c>
      <c r="AD78" s="128">
        <f t="shared" ref="AD78:AD81" si="26">Q78*D78</f>
        <v>0</v>
      </c>
      <c r="AE78" s="128">
        <f t="shared" ref="AE78:AE81" si="27">T78*D78</f>
        <v>0</v>
      </c>
      <c r="AF78" s="128">
        <f t="shared" ref="AF78:AF81" si="28">W78*D78</f>
        <v>0</v>
      </c>
      <c r="AG78" s="128">
        <f t="shared" ref="AG78:AG81" si="29">SUM(AA78:AE78)</f>
        <v>0</v>
      </c>
      <c r="AI78" s="190">
        <f>'[13]Allocation = % of margin'!P78+'[13]Allocation = % of margin'!S78+'[13]Allocation = % of margin'!V78+'[13]Allocation = % of margin'!Y78+'[13]Allocation = % of margin'!AB78+'[13]Allocation = % of margin'!AE78+'[13]Allocation = % of margin'!AH78+'[13]Allocation = % of margin'!AK78+'[13]Allocation = % of margin'!AN78+'Calc of Avg Cent Increments'!H78+'Calc of Avg Cent Increments'!K78+'Calc of Avg Cent Increments'!N78+'Calc of Avg Cent Increments'!Q78+'Calc of Avg Cent Increments'!T78+'Calc of Avg Cent Increments'!W78+'[13]Allocation = % of revenue'!M78</f>
        <v>0.24212</v>
      </c>
      <c r="AJ78" s="5">
        <f>[13]Temporaries!W78</f>
        <v>0.24212</v>
      </c>
      <c r="AK78" s="191">
        <f>[13]Permanents!F78</f>
        <v>0</v>
      </c>
      <c r="AL78" s="190">
        <f t="shared" ref="AL78:AL80" si="30">AI78-AJ78-AK78</f>
        <v>0</v>
      </c>
    </row>
    <row r="79" spans="1:38" x14ac:dyDescent="0.35">
      <c r="A79" s="15">
        <f t="shared" si="20"/>
        <v>73</v>
      </c>
      <c r="B79" s="192" t="s">
        <v>101</v>
      </c>
      <c r="C79" s="192"/>
      <c r="D79" s="89">
        <f>+'[13]Washington volumes'!J79</f>
        <v>0</v>
      </c>
      <c r="E79" s="187"/>
      <c r="F79" s="88">
        <v>0</v>
      </c>
      <c r="G79" s="89">
        <f t="shared" si="1"/>
        <v>0</v>
      </c>
      <c r="H79" s="188">
        <f t="shared" si="21"/>
        <v>0</v>
      </c>
      <c r="I79" s="88">
        <v>0</v>
      </c>
      <c r="J79" s="89">
        <f t="shared" si="3"/>
        <v>0</v>
      </c>
      <c r="K79" s="188">
        <f t="shared" si="22"/>
        <v>0</v>
      </c>
      <c r="L79" s="88">
        <v>0</v>
      </c>
      <c r="M79" s="89">
        <f t="shared" si="9"/>
        <v>0</v>
      </c>
      <c r="N79" s="188">
        <f t="shared" si="23"/>
        <v>0</v>
      </c>
      <c r="O79" s="88">
        <v>0</v>
      </c>
      <c r="P79" s="89">
        <f t="shared" si="10"/>
        <v>0</v>
      </c>
      <c r="Q79" s="188">
        <f t="shared" si="24"/>
        <v>0</v>
      </c>
      <c r="R79" s="88">
        <v>1</v>
      </c>
      <c r="S79" s="89">
        <f t="shared" si="7"/>
        <v>0</v>
      </c>
      <c r="T79" s="188">
        <f t="shared" si="25"/>
        <v>3.5E-4</v>
      </c>
      <c r="U79" s="88">
        <v>1</v>
      </c>
      <c r="V79" s="89">
        <v>0</v>
      </c>
      <c r="W79" s="189">
        <f t="shared" ref="W79:W80" si="31">W78</f>
        <v>0.24073</v>
      </c>
      <c r="AA79" s="128">
        <f t="shared" si="11"/>
        <v>0</v>
      </c>
      <c r="AB79" s="128">
        <f t="shared" si="12"/>
        <v>0</v>
      </c>
      <c r="AC79" s="128">
        <f t="shared" si="13"/>
        <v>0</v>
      </c>
      <c r="AD79" s="128">
        <f t="shared" si="26"/>
        <v>0</v>
      </c>
      <c r="AE79" s="128">
        <f t="shared" si="27"/>
        <v>0</v>
      </c>
      <c r="AF79" s="128">
        <f t="shared" si="28"/>
        <v>0</v>
      </c>
      <c r="AG79" s="128">
        <f t="shared" si="29"/>
        <v>0</v>
      </c>
      <c r="AI79" s="190">
        <f>'[13]Allocation = % of margin'!P79+'[13]Allocation = % of margin'!S79+'[13]Allocation = % of margin'!V79+'[13]Allocation = % of margin'!Y79+'[13]Allocation = % of margin'!AB79+'[13]Allocation = % of margin'!AE79+'[13]Allocation = % of margin'!AH79+'[13]Allocation = % of margin'!AK79+'[13]Allocation = % of margin'!AN79+'Calc of Avg Cent Increments'!H79+'Calc of Avg Cent Increments'!K79+'Calc of Avg Cent Increments'!N79+'Calc of Avg Cent Increments'!Q79+'Calc of Avg Cent Increments'!T79+'Calc of Avg Cent Increments'!W79+'[13]Allocation = % of revenue'!M79</f>
        <v>0.24127000000000001</v>
      </c>
      <c r="AJ79" s="5">
        <f>[13]Temporaries!W79</f>
        <v>0.24127000000000001</v>
      </c>
      <c r="AK79" s="191">
        <f>[13]Permanents!F79</f>
        <v>0</v>
      </c>
      <c r="AL79" s="190">
        <f t="shared" si="30"/>
        <v>0</v>
      </c>
    </row>
    <row r="80" spans="1:38" x14ac:dyDescent="0.35">
      <c r="A80" s="15">
        <f t="shared" si="20"/>
        <v>74</v>
      </c>
      <c r="B80" s="186" t="s">
        <v>102</v>
      </c>
      <c r="C80" s="186"/>
      <c r="D80" s="89">
        <f>+'[13]Washington volumes'!J80</f>
        <v>0</v>
      </c>
      <c r="E80" s="187"/>
      <c r="F80" s="88">
        <v>0</v>
      </c>
      <c r="G80" s="89">
        <f t="shared" si="1"/>
        <v>0</v>
      </c>
      <c r="H80" s="188">
        <f t="shared" si="21"/>
        <v>0</v>
      </c>
      <c r="I80" s="88">
        <v>0</v>
      </c>
      <c r="J80" s="89">
        <f t="shared" si="3"/>
        <v>0</v>
      </c>
      <c r="K80" s="188">
        <f t="shared" si="22"/>
        <v>0</v>
      </c>
      <c r="L80" s="88">
        <v>0</v>
      </c>
      <c r="M80" s="89">
        <f t="shared" si="9"/>
        <v>0</v>
      </c>
      <c r="N80" s="188">
        <f t="shared" si="23"/>
        <v>0</v>
      </c>
      <c r="O80" s="88">
        <v>0</v>
      </c>
      <c r="P80" s="89">
        <f t="shared" si="10"/>
        <v>0</v>
      </c>
      <c r="Q80" s="188">
        <f t="shared" si="24"/>
        <v>0</v>
      </c>
      <c r="R80" s="88">
        <v>1</v>
      </c>
      <c r="S80" s="89">
        <f t="shared" si="7"/>
        <v>0</v>
      </c>
      <c r="T80" s="188">
        <f t="shared" si="25"/>
        <v>3.5E-4</v>
      </c>
      <c r="U80" s="88">
        <v>1</v>
      </c>
      <c r="V80" s="89">
        <v>0</v>
      </c>
      <c r="W80" s="189">
        <f t="shared" si="31"/>
        <v>0.24073</v>
      </c>
      <c r="AA80" s="128">
        <f t="shared" si="11"/>
        <v>0</v>
      </c>
      <c r="AB80" s="128">
        <f t="shared" si="12"/>
        <v>0</v>
      </c>
      <c r="AC80" s="128">
        <f t="shared" si="13"/>
        <v>0</v>
      </c>
      <c r="AD80" s="128">
        <f t="shared" si="26"/>
        <v>0</v>
      </c>
      <c r="AE80" s="128">
        <f t="shared" si="27"/>
        <v>0</v>
      </c>
      <c r="AF80" s="128">
        <f t="shared" si="28"/>
        <v>0</v>
      </c>
      <c r="AG80" s="128">
        <f t="shared" si="29"/>
        <v>0</v>
      </c>
      <c r="AI80" s="190">
        <f>'[13]Allocation = % of margin'!P80+'[13]Allocation = % of margin'!S80+'[13]Allocation = % of margin'!V80+'[13]Allocation = % of margin'!Y80+'[13]Allocation = % of margin'!AB80+'[13]Allocation = % of margin'!AE80+'[13]Allocation = % of margin'!AH80+'[13]Allocation = % of margin'!AK80+'[13]Allocation = % of margin'!AN80+'Calc of Avg Cent Increments'!H80+'Calc of Avg Cent Increments'!K80+'Calc of Avg Cent Increments'!N80+'Calc of Avg Cent Increments'!Q80+'Calc of Avg Cent Increments'!T80+'Calc of Avg Cent Increments'!W80+'[13]Allocation = % of revenue'!M80</f>
        <v>0.24127000000000001</v>
      </c>
      <c r="AJ80" s="5">
        <f>[13]Temporaries!W80</f>
        <v>0.24127000000000001</v>
      </c>
      <c r="AK80" s="191">
        <f>[13]Permanents!F80</f>
        <v>0</v>
      </c>
      <c r="AL80" s="190">
        <f t="shared" si="30"/>
        <v>0</v>
      </c>
    </row>
    <row r="81" spans="1:33" x14ac:dyDescent="0.35">
      <c r="A81" s="15">
        <f t="shared" si="20"/>
        <v>75</v>
      </c>
      <c r="B81" s="186" t="s">
        <v>103</v>
      </c>
      <c r="C81" s="186"/>
      <c r="D81" s="89"/>
      <c r="E81" s="187"/>
      <c r="F81" s="88"/>
      <c r="G81" s="89"/>
      <c r="H81" s="188"/>
      <c r="I81" s="88"/>
      <c r="J81" s="89"/>
      <c r="K81" s="188"/>
      <c r="L81" s="88"/>
      <c r="M81" s="89"/>
      <c r="N81" s="188"/>
      <c r="O81" s="88"/>
      <c r="P81" s="89"/>
      <c r="Q81" s="189"/>
      <c r="R81" s="88"/>
      <c r="S81" s="89"/>
      <c r="T81" s="189"/>
      <c r="U81" s="202">
        <v>1</v>
      </c>
      <c r="V81" s="203"/>
      <c r="W81" s="204"/>
      <c r="AA81" s="91">
        <f t="shared" si="11"/>
        <v>0</v>
      </c>
      <c r="AB81" s="91">
        <f t="shared" si="12"/>
        <v>0</v>
      </c>
      <c r="AC81" s="91">
        <f t="shared" si="13"/>
        <v>0</v>
      </c>
      <c r="AD81" s="91">
        <f t="shared" si="26"/>
        <v>0</v>
      </c>
      <c r="AE81" s="91">
        <f t="shared" si="27"/>
        <v>0</v>
      </c>
      <c r="AF81" s="128">
        <f t="shared" si="28"/>
        <v>0</v>
      </c>
      <c r="AG81" s="128">
        <f t="shared" si="29"/>
        <v>0</v>
      </c>
    </row>
    <row r="82" spans="1:33" x14ac:dyDescent="0.35">
      <c r="A82" s="15">
        <f t="shared" si="20"/>
        <v>76</v>
      </c>
      <c r="F82" s="107"/>
      <c r="H82" s="190"/>
      <c r="K82" s="190"/>
      <c r="N82" s="190"/>
      <c r="U82" s="107"/>
      <c r="V82" s="127"/>
      <c r="W82" s="190"/>
      <c r="AA82" s="128"/>
      <c r="AB82" s="128"/>
      <c r="AC82" s="128"/>
      <c r="AD82" s="128"/>
      <c r="AE82" s="128"/>
      <c r="AF82" s="205"/>
      <c r="AG82" s="205"/>
    </row>
    <row r="83" spans="1:33" x14ac:dyDescent="0.35">
      <c r="A83" s="15">
        <f t="shared" si="20"/>
        <v>77</v>
      </c>
      <c r="B83" s="5" t="s">
        <v>104</v>
      </c>
      <c r="D83" s="206">
        <f>SUM(D13:D82)</f>
        <v>110817104.48625472</v>
      </c>
      <c r="F83" s="107"/>
      <c r="G83" s="206">
        <f>SUM(G13:G81)</f>
        <v>92056529.453026026</v>
      </c>
      <c r="H83" s="190">
        <f>ROUND(+F10/G83,5)</f>
        <v>-0.14299000000000001</v>
      </c>
      <c r="J83" s="206">
        <f>SUM(J13:J81)</f>
        <v>90908754.476872012</v>
      </c>
      <c r="K83" s="190">
        <f>ROUND(+I10/J83,5)</f>
        <v>-2.7019999999999999E-2</v>
      </c>
      <c r="M83" s="206">
        <f>SUM(M13:M81)</f>
        <v>1147774.976154</v>
      </c>
      <c r="N83" s="190">
        <f>ROUND(+L10/M83,5)</f>
        <v>-3.1469999999999998E-2</v>
      </c>
      <c r="P83" s="127">
        <f>SUM(P13:P82)</f>
        <v>59991191.600000001</v>
      </c>
      <c r="Q83" s="6">
        <f>ROUND(+O10/P83,5)</f>
        <v>3.2000000000000003E-4</v>
      </c>
      <c r="S83" s="127">
        <f>SUM(S13:S82)</f>
        <v>21764709.697066709</v>
      </c>
      <c r="T83" s="6">
        <f>ROUND(+R10/S83,5)</f>
        <v>3.5E-4</v>
      </c>
      <c r="U83" s="107"/>
      <c r="V83" s="127">
        <f>SUM(V13:V82)</f>
        <v>99229975.100000024</v>
      </c>
      <c r="W83" s="6"/>
      <c r="X83" s="58" t="s">
        <v>153</v>
      </c>
      <c r="Y83" s="58"/>
      <c r="Z83" s="58"/>
      <c r="AA83" s="207">
        <f>SUM(AA13:AA82)</f>
        <v>-13163163.146488188</v>
      </c>
      <c r="AB83" s="207">
        <f>SUM(AB13:AB82)</f>
        <v>-2456354.545965082</v>
      </c>
      <c r="AC83" s="207">
        <f>SUM(AC13:AC82)</f>
        <v>-36120.478499566372</v>
      </c>
      <c r="AD83" s="207">
        <f t="shared" ref="AD83" si="32">SUM(AD13:AD82)</f>
        <v>19197.181312000001</v>
      </c>
      <c r="AE83" s="207">
        <f>SUM(AE13:AE82)</f>
        <v>7617.6483939733471</v>
      </c>
      <c r="AF83" s="207">
        <f>SUM(AF13:AF82)</f>
        <v>26677001.562976081</v>
      </c>
      <c r="AG83" s="207">
        <f>SUM(AA83:AE83)</f>
        <v>-15628823.341246862</v>
      </c>
    </row>
    <row r="84" spans="1:33" x14ac:dyDescent="0.35">
      <c r="A84" s="15">
        <f t="shared" si="20"/>
        <v>78</v>
      </c>
      <c r="D84" s="127"/>
      <c r="F84" s="107"/>
      <c r="AA84" s="128">
        <f>AA83-F10</f>
        <v>-156.14648818783462</v>
      </c>
      <c r="AB84" s="128">
        <f>AB83-I10</f>
        <v>-214.54596508201212</v>
      </c>
      <c r="AC84" s="128">
        <f>AC83-L10</f>
        <v>-1.4784995663721929</v>
      </c>
      <c r="AD84" s="128">
        <f>AD83-O10</f>
        <v>-201.81868799999938</v>
      </c>
      <c r="AE84" s="128">
        <f>AE83-R10</f>
        <v>14.648393973347083</v>
      </c>
      <c r="AF84" s="128"/>
      <c r="AG84" s="128">
        <f>SUM(AA84:AE84)</f>
        <v>-559.34124686287123</v>
      </c>
    </row>
    <row r="85" spans="1:33" ht="15" thickBot="1" x14ac:dyDescent="0.4">
      <c r="A85" s="15">
        <f t="shared" si="20"/>
        <v>79</v>
      </c>
      <c r="B85" s="152" t="s">
        <v>106</v>
      </c>
      <c r="F85" s="107"/>
    </row>
    <row r="86" spans="1:33" ht="15" thickBot="1" x14ac:dyDescent="0.4">
      <c r="A86" s="15">
        <f t="shared" si="20"/>
        <v>80</v>
      </c>
      <c r="B86" s="153" t="s">
        <v>107</v>
      </c>
      <c r="C86" s="35"/>
      <c r="D86" s="154"/>
      <c r="E86" s="154"/>
      <c r="F86" s="208" t="s">
        <v>154</v>
      </c>
      <c r="G86" s="154"/>
      <c r="H86" s="154"/>
      <c r="I86" s="208" t="s">
        <v>155</v>
      </c>
      <c r="J86" s="154"/>
      <c r="K86" s="154"/>
      <c r="L86" s="208" t="s">
        <v>156</v>
      </c>
      <c r="M86" s="154"/>
      <c r="N86" s="154"/>
      <c r="O86" s="208" t="s">
        <v>157</v>
      </c>
      <c r="P86" s="154"/>
      <c r="Q86" s="154"/>
      <c r="R86" s="208" t="s">
        <v>158</v>
      </c>
      <c r="S86" s="154"/>
      <c r="T86" s="209"/>
      <c r="U86" s="154"/>
      <c r="V86" s="154"/>
      <c r="W86" s="209"/>
    </row>
    <row r="87" spans="1:33" ht="15" thickBot="1" x14ac:dyDescent="0.4">
      <c r="A87" s="15">
        <f>+A86+1</f>
        <v>81</v>
      </c>
      <c r="B87" s="152" t="s">
        <v>116</v>
      </c>
      <c r="F87" s="107"/>
    </row>
    <row r="88" spans="1:33" ht="15" thickBot="1" x14ac:dyDescent="0.4">
      <c r="A88" s="15">
        <f t="shared" si="20"/>
        <v>82</v>
      </c>
      <c r="B88" s="153" t="s">
        <v>117</v>
      </c>
      <c r="C88" s="35"/>
      <c r="D88" s="154"/>
      <c r="E88" s="154"/>
      <c r="F88" s="208" t="s">
        <v>159</v>
      </c>
      <c r="G88" s="154"/>
      <c r="H88" s="154"/>
      <c r="I88" s="208" t="s">
        <v>159</v>
      </c>
      <c r="J88" s="154"/>
      <c r="K88" s="154"/>
      <c r="L88" s="208" t="s">
        <v>159</v>
      </c>
      <c r="M88" s="154"/>
      <c r="N88" s="154"/>
      <c r="O88" s="210" t="s">
        <v>157</v>
      </c>
      <c r="P88" s="154"/>
      <c r="Q88" s="154"/>
      <c r="R88" s="210" t="s">
        <v>158</v>
      </c>
      <c r="S88" s="154"/>
      <c r="T88" s="209"/>
      <c r="U88" s="154"/>
      <c r="V88" s="155" t="s">
        <v>160</v>
      </c>
      <c r="W88" s="209"/>
    </row>
    <row r="89" spans="1:33" x14ac:dyDescent="0.35">
      <c r="A89" s="15"/>
      <c r="F89" s="107"/>
    </row>
    <row r="90" spans="1:33" x14ac:dyDescent="0.35">
      <c r="A90" s="15"/>
      <c r="F90" s="107"/>
    </row>
  </sheetData>
  <mergeCells count="4">
    <mergeCell ref="O7:Q7"/>
    <mergeCell ref="R7:T7"/>
    <mergeCell ref="U7:W7"/>
    <mergeCell ref="AI11:AL11"/>
  </mergeCells>
  <pageMargins left="0.5" right="0.5" top="0.5" bottom="0.25" header="0.25" footer="0.25"/>
  <pageSetup orientation="landscape" r:id="rId1"/>
  <headerFooter alignWithMargins="0">
    <oddHeader xml:space="preserve">&amp;RUG-250711 - NWN WUTC Advice No. 25-06A
Exhibit A - Supporting Materials
Page &amp;P of 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7B59-F1D4-4F7C-A1CF-87D030AF3994}">
  <sheetPr>
    <tabColor theme="0" tint="-0.14999847407452621"/>
    <pageSetUpPr fitToPage="1"/>
  </sheetPr>
  <dimension ref="A1:BH99"/>
  <sheetViews>
    <sheetView topLeftCell="A35" zoomScaleNormal="100" workbookViewId="0">
      <selection activeCell="F38" sqref="F38"/>
    </sheetView>
  </sheetViews>
  <sheetFormatPr defaultColWidth="8.453125" defaultRowHeight="14.5" outlineLevelCol="1" x14ac:dyDescent="0.35"/>
  <cols>
    <col min="1" max="1" width="5.1796875" style="5" customWidth="1"/>
    <col min="2" max="2" width="15.7265625" style="5" customWidth="1"/>
    <col min="3" max="3" width="7.54296875" style="5" customWidth="1"/>
    <col min="4" max="4" width="14.81640625" style="5" customWidth="1"/>
    <col min="5" max="5" width="12.1796875" style="5" customWidth="1"/>
    <col min="6" max="6" width="15.1796875" style="5" customWidth="1"/>
    <col min="7" max="7" width="17.54296875" style="5" customWidth="1"/>
    <col min="8" max="8" width="11.54296875" style="5" customWidth="1"/>
    <col min="9" max="9" width="17.81640625" style="5" customWidth="1"/>
    <col min="10" max="10" width="12.7265625" style="5" bestFit="1" customWidth="1"/>
    <col min="11" max="11" width="10.26953125" style="5" customWidth="1"/>
    <col min="12" max="12" width="18" style="5" bestFit="1" customWidth="1"/>
    <col min="13" max="13" width="26.54296875" style="5" customWidth="1"/>
    <col min="14" max="14" width="13.81640625" style="15" hidden="1" customWidth="1"/>
    <col min="15" max="15" width="14.7265625" style="5" hidden="1" customWidth="1"/>
    <col min="16" max="16" width="15.54296875" style="6" hidden="1" customWidth="1"/>
    <col min="17" max="17" width="13.81640625" style="15" hidden="1" customWidth="1"/>
    <col min="18" max="18" width="14.7265625" style="5" hidden="1" customWidth="1"/>
    <col min="19" max="19" width="10.81640625" style="6" hidden="1" customWidth="1"/>
    <col min="20" max="20" width="13.81640625" style="15" hidden="1" customWidth="1"/>
    <col min="21" max="21" width="14.7265625" style="5" hidden="1" customWidth="1"/>
    <col min="22" max="22" width="11.81640625" style="6" hidden="1" customWidth="1"/>
    <col min="23" max="23" width="14.7265625" style="15" hidden="1" customWidth="1"/>
    <col min="24" max="24" width="12.7265625" style="5" hidden="1" customWidth="1"/>
    <col min="25" max="25" width="13.81640625" style="6" hidden="1" customWidth="1"/>
    <col min="26" max="26" width="15.26953125" style="15" hidden="1" customWidth="1"/>
    <col min="27" max="27" width="15.26953125" style="5" hidden="1" customWidth="1"/>
    <col min="28" max="28" width="15.26953125" style="6" hidden="1" customWidth="1"/>
    <col min="29" max="31" width="14.453125" style="6" customWidth="1" outlineLevel="1"/>
    <col min="32" max="34" width="14.453125" style="6" hidden="1" customWidth="1"/>
    <col min="35" max="35" width="14.7265625" style="15" hidden="1" customWidth="1"/>
    <col min="36" max="36" width="14.7265625" style="5" hidden="1" customWidth="1"/>
    <col min="37" max="37" width="14.7265625" style="6" hidden="1" customWidth="1"/>
    <col min="38" max="38" width="14.7265625" style="15" hidden="1" customWidth="1"/>
    <col min="39" max="39" width="14.7265625" style="5" hidden="1" customWidth="1"/>
    <col min="40" max="40" width="14.7265625" style="6" hidden="1" customWidth="1"/>
    <col min="41" max="41" width="14.7265625" style="15" hidden="1" customWidth="1" outlineLevel="1"/>
    <col min="42" max="42" width="14.7265625" style="5" hidden="1" customWidth="1" outlineLevel="1"/>
    <col min="43" max="43" width="14.7265625" style="6" hidden="1" customWidth="1" outlineLevel="1"/>
    <col min="44" max="44" width="14.7265625" style="15" hidden="1" customWidth="1" outlineLevel="1"/>
    <col min="45" max="45" width="14.7265625" style="5" hidden="1" customWidth="1" outlineLevel="1"/>
    <col min="46" max="46" width="14.7265625" style="6" hidden="1" customWidth="1" outlineLevel="1"/>
    <col min="47" max="47" width="8.453125" style="5" collapsed="1"/>
    <col min="48" max="48" width="23.453125" style="5" bestFit="1" customWidth="1"/>
    <col min="49" max="49" width="8.453125" style="5"/>
    <col min="50" max="50" width="15.7265625" style="5" bestFit="1" customWidth="1"/>
    <col min="51" max="52" width="17.1796875" style="5" bestFit="1" customWidth="1"/>
    <col min="53" max="53" width="14.81640625" style="5" bestFit="1" customWidth="1"/>
    <col min="54" max="54" width="14.26953125" style="5" bestFit="1" customWidth="1"/>
    <col min="55" max="55" width="14.26953125" style="5" customWidth="1"/>
    <col min="56" max="56" width="14.26953125" style="5" bestFit="1" customWidth="1"/>
    <col min="57" max="57" width="15.1796875" style="5" bestFit="1" customWidth="1"/>
    <col min="58" max="58" width="15.1796875" style="5" customWidth="1"/>
    <col min="59" max="59" width="15.7265625" style="5" bestFit="1" customWidth="1"/>
    <col min="60" max="16384" width="8.453125" style="5"/>
  </cols>
  <sheetData>
    <row r="1" spans="1:60" x14ac:dyDescent="0.35">
      <c r="A1" s="1" t="str">
        <f>+'[13]Washington volumes'!A1</f>
        <v>NW Natural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  <c r="Q1" s="2"/>
      <c r="R1" s="2"/>
      <c r="S1" s="4"/>
      <c r="T1" s="2"/>
      <c r="U1" s="2"/>
      <c r="V1" s="4"/>
      <c r="W1" s="2"/>
      <c r="X1" s="2"/>
      <c r="Y1" s="4"/>
      <c r="Z1" s="2"/>
      <c r="AA1" s="2"/>
      <c r="AB1" s="4"/>
      <c r="AC1" s="4"/>
      <c r="AD1" s="4"/>
      <c r="AE1" s="4"/>
      <c r="AF1" s="4"/>
      <c r="AG1" s="4"/>
      <c r="AH1" s="4"/>
      <c r="AI1" s="2"/>
      <c r="AJ1" s="2"/>
      <c r="AK1" s="4"/>
      <c r="AL1" s="5"/>
      <c r="AO1" s="5"/>
      <c r="AR1" s="5"/>
    </row>
    <row r="2" spans="1:60" x14ac:dyDescent="0.35">
      <c r="A2" s="1" t="str">
        <f>+'[13]Washington volumes'!A2</f>
        <v>Rates &amp; Regulatory Affairs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4"/>
      <c r="T2" s="2"/>
      <c r="U2" s="2"/>
      <c r="V2" s="4"/>
      <c r="W2" s="2"/>
      <c r="X2" s="2"/>
      <c r="Y2" s="4"/>
      <c r="Z2" s="2"/>
      <c r="AA2" s="2"/>
      <c r="AB2" s="4"/>
      <c r="AC2" s="4"/>
      <c r="AD2" s="4"/>
      <c r="AE2" s="4"/>
      <c r="AF2" s="4"/>
      <c r="AG2" s="4"/>
      <c r="AH2" s="4"/>
      <c r="AI2" s="2"/>
      <c r="AJ2" s="2"/>
      <c r="AK2" s="4"/>
      <c r="AL2" s="5"/>
      <c r="AO2" s="5"/>
      <c r="AR2" s="5"/>
    </row>
    <row r="3" spans="1:60" x14ac:dyDescent="0.35">
      <c r="A3" s="1" t="str">
        <f>+'[13]Washington volumes'!A3</f>
        <v>2025-2026 PGA Filing - Washington: September Filing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7"/>
      <c r="O3" s="2"/>
      <c r="P3" s="4"/>
      <c r="Q3" s="8"/>
      <c r="R3" s="9"/>
      <c r="S3" s="4"/>
      <c r="T3" s="7"/>
      <c r="U3" s="2"/>
      <c r="V3" s="4"/>
      <c r="W3" s="2"/>
      <c r="X3" s="2"/>
      <c r="Y3" s="4"/>
      <c r="Z3" s="2"/>
      <c r="AA3" s="2"/>
      <c r="AB3" s="4"/>
      <c r="AC3" s="4"/>
      <c r="AD3" s="4"/>
      <c r="AE3" s="4"/>
      <c r="AF3" s="4"/>
      <c r="AG3" s="4"/>
      <c r="AH3" s="4"/>
      <c r="AI3" s="2"/>
      <c r="AJ3" s="2"/>
      <c r="AK3" s="4"/>
      <c r="AL3" s="5"/>
      <c r="AO3" s="5"/>
      <c r="AR3" s="5"/>
    </row>
    <row r="4" spans="1:60" ht="29" x14ac:dyDescent="0.35">
      <c r="A4" s="1" t="s">
        <v>0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7"/>
      <c r="O4" s="10" t="s">
        <v>1</v>
      </c>
      <c r="P4" s="4"/>
      <c r="Q4" s="7"/>
      <c r="R4" s="10" t="str">
        <f>O4</f>
        <v>25-26 PGA Revenues</v>
      </c>
      <c r="S4" s="4"/>
      <c r="T4" s="7"/>
      <c r="U4" s="10"/>
      <c r="V4" s="4"/>
      <c r="W4" s="2"/>
      <c r="X4" s="10" t="str">
        <f>R4</f>
        <v>25-26 PGA Revenues</v>
      </c>
      <c r="Y4" s="4"/>
      <c r="Z4" s="2"/>
      <c r="AA4" s="10" t="str">
        <f>X4</f>
        <v>25-26 PGA Revenues</v>
      </c>
      <c r="AB4" s="4"/>
      <c r="AC4" s="4"/>
      <c r="AD4" s="4"/>
      <c r="AE4" s="4"/>
      <c r="AF4" s="4"/>
      <c r="AG4" s="4"/>
      <c r="AH4" s="4"/>
      <c r="AI4" s="2"/>
      <c r="AJ4" s="2"/>
      <c r="AK4" s="4"/>
      <c r="AL4" s="5"/>
      <c r="AO4" s="5"/>
      <c r="AR4" s="5"/>
    </row>
    <row r="5" spans="1:60" x14ac:dyDescent="0.35">
      <c r="A5" s="2"/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4"/>
      <c r="T5" s="2"/>
      <c r="U5" s="2"/>
      <c r="V5" s="4"/>
      <c r="W5" s="2"/>
      <c r="X5" s="2"/>
      <c r="Y5" s="4"/>
      <c r="Z5" s="2"/>
      <c r="AA5" s="2"/>
      <c r="AB5" s="4"/>
      <c r="AC5" s="4"/>
      <c r="AD5" s="4"/>
      <c r="AE5" s="4"/>
      <c r="AF5" s="4"/>
      <c r="AG5" s="4"/>
      <c r="AH5" s="4"/>
      <c r="AI5" s="2"/>
      <c r="AJ5" s="2"/>
      <c r="AK5" s="4"/>
      <c r="AL5" s="5"/>
      <c r="AO5" s="5"/>
      <c r="AR5" s="5"/>
    </row>
    <row r="6" spans="1:60" ht="15" thickBot="1" x14ac:dyDescent="0.4">
      <c r="A6" s="1"/>
      <c r="B6" s="1"/>
      <c r="C6" s="1"/>
      <c r="D6" s="1"/>
      <c r="E6" s="2"/>
      <c r="F6" s="2"/>
      <c r="G6" s="2"/>
      <c r="H6" s="11"/>
      <c r="I6" s="3"/>
      <c r="J6" s="11"/>
      <c r="K6" s="2"/>
      <c r="L6" s="2"/>
      <c r="M6" s="2"/>
      <c r="N6" s="708" t="s">
        <v>2</v>
      </c>
      <c r="O6" s="709"/>
      <c r="P6" s="710"/>
      <c r="Q6" s="708" t="s">
        <v>3</v>
      </c>
      <c r="R6" s="709"/>
      <c r="S6" s="710"/>
      <c r="T6" s="708" t="s">
        <v>4</v>
      </c>
      <c r="U6" s="709"/>
      <c r="V6" s="710"/>
      <c r="W6" s="13"/>
      <c r="X6" s="2"/>
      <c r="Y6" s="4"/>
      <c r="Z6" s="13"/>
      <c r="AA6" s="2"/>
      <c r="AB6" s="4"/>
      <c r="AC6" s="14"/>
      <c r="AD6" s="14"/>
      <c r="AE6" s="14"/>
      <c r="AF6" s="711" t="s">
        <v>5</v>
      </c>
      <c r="AG6" s="711"/>
      <c r="AH6" s="711"/>
      <c r="AI6" s="711"/>
      <c r="AJ6" s="711"/>
      <c r="AK6" s="711"/>
    </row>
    <row r="7" spans="1:60" ht="15" thickBot="1" x14ac:dyDescent="0.4">
      <c r="A7" s="13">
        <v>1</v>
      </c>
      <c r="B7" s="2"/>
      <c r="C7" s="2"/>
      <c r="D7" s="13"/>
      <c r="E7" s="13" t="s">
        <v>6</v>
      </c>
      <c r="F7" s="13" t="s">
        <v>7</v>
      </c>
      <c r="G7" s="13" t="s">
        <v>8</v>
      </c>
      <c r="H7" s="16"/>
      <c r="I7" s="13"/>
      <c r="J7" s="16"/>
      <c r="K7" s="13"/>
      <c r="L7" s="10"/>
      <c r="M7" s="2"/>
      <c r="N7" s="697" t="str">
        <f>+[13]Inputs!C42</f>
        <v>R&amp;C Energy Efficiency Programs - Forecast</v>
      </c>
      <c r="O7" s="698"/>
      <c r="P7" s="699"/>
      <c r="Q7" s="697" t="str">
        <f>[13]Inputs!C56</f>
        <v>R&amp;C Energy Efficiency Programs - Deferral</v>
      </c>
      <c r="R7" s="698"/>
      <c r="S7" s="699"/>
      <c r="T7" s="697" t="str">
        <f>[13]Inputs!C50</f>
        <v>R&amp;C Energy Efficiency Programs - Historical</v>
      </c>
      <c r="U7" s="698"/>
      <c r="V7" s="699"/>
      <c r="W7" s="18" t="str">
        <f>+[13]Inputs!C46</f>
        <v>Low Income Bill Pay Assistance (GREAT)</v>
      </c>
      <c r="X7" s="19"/>
      <c r="Y7" s="20"/>
      <c r="Z7" s="697" t="str">
        <f>+[13]Inputs!C44</f>
        <v>WA-LIEE</v>
      </c>
      <c r="AA7" s="698"/>
      <c r="AB7" s="699"/>
      <c r="AC7" s="697" t="str">
        <f>[13]Inputs!C60</f>
        <v>Lincoln City Sale</v>
      </c>
      <c r="AD7" s="698"/>
      <c r="AE7" s="699"/>
      <c r="AF7" s="697" t="s">
        <v>9</v>
      </c>
      <c r="AG7" s="698"/>
      <c r="AH7" s="699"/>
      <c r="AI7" s="21"/>
      <c r="AJ7" s="17" t="str">
        <f>[13]Inputs!C62</f>
        <v xml:space="preserve">Residental Bill Discount Program </v>
      </c>
      <c r="AK7" s="22"/>
      <c r="AL7" s="700" t="str">
        <f>[13]Inputs!C68</f>
        <v>Mist Recall</v>
      </c>
      <c r="AM7" s="701"/>
      <c r="AN7" s="702"/>
      <c r="AO7" s="703" t="s">
        <v>10</v>
      </c>
      <c r="AP7" s="704"/>
      <c r="AQ7" s="705"/>
      <c r="AR7" s="703" t="s">
        <v>10</v>
      </c>
      <c r="AS7" s="704"/>
      <c r="AT7" s="705"/>
      <c r="AV7" s="23" t="s">
        <v>11</v>
      </c>
    </row>
    <row r="8" spans="1:60" ht="15" customHeight="1" thickBot="1" x14ac:dyDescent="0.4">
      <c r="A8" s="13">
        <f t="shared" ref="A8:A71" si="0">+A7+1</f>
        <v>2</v>
      </c>
      <c r="B8" s="2"/>
      <c r="C8" s="2"/>
      <c r="D8" s="13" t="s">
        <v>12</v>
      </c>
      <c r="E8" s="13" t="s">
        <v>13</v>
      </c>
      <c r="F8" s="13" t="s">
        <v>14</v>
      </c>
      <c r="G8" s="13" t="s">
        <v>15</v>
      </c>
      <c r="H8" s="16"/>
      <c r="I8" s="13"/>
      <c r="J8" s="16"/>
      <c r="K8" s="13"/>
      <c r="L8" s="13"/>
      <c r="M8" s="24" t="s">
        <v>16</v>
      </c>
      <c r="N8" s="25">
        <f>+[13]Inputs!B42</f>
        <v>5254526.4000000004</v>
      </c>
      <c r="O8" s="26" t="str">
        <f>+[13]Inputs!C34</f>
        <v>Temporary Increments</v>
      </c>
      <c r="P8" s="27"/>
      <c r="Q8" s="25">
        <f>[13]Inputs!B56</f>
        <v>-65076</v>
      </c>
      <c r="R8" s="26" t="str">
        <f>+[13]Inputs!C34</f>
        <v>Temporary Increments</v>
      </c>
      <c r="S8" s="27"/>
      <c r="T8" s="25">
        <f>[13]Inputs!B50</f>
        <v>0</v>
      </c>
      <c r="U8" s="26" t="str">
        <f>+[13]Inputs!F34</f>
        <v>Allocated to Rate Schedules</v>
      </c>
      <c r="V8" s="27"/>
      <c r="W8" s="25">
        <f>+[13]Inputs!B46</f>
        <v>744450</v>
      </c>
      <c r="X8" s="26" t="str">
        <f>+[13]Inputs!C34</f>
        <v>Temporary Increments</v>
      </c>
      <c r="Y8" s="28"/>
      <c r="Z8" s="25">
        <f>+[13]Inputs!B44</f>
        <v>119978</v>
      </c>
      <c r="AA8" s="26" t="str">
        <f>+[13]Inputs!C34</f>
        <v>Temporary Increments</v>
      </c>
      <c r="AB8" s="27"/>
      <c r="AC8" s="29">
        <f>[13]Inputs!B60</f>
        <v>-9098</v>
      </c>
      <c r="AD8" s="30" t="str">
        <f>+[13]Inputs!C34</f>
        <v>Temporary Increments</v>
      </c>
      <c r="AE8" s="31"/>
      <c r="AF8" s="32">
        <f>[13]Inputs!B52</f>
        <v>717544.66937424603</v>
      </c>
      <c r="AG8" s="30" t="str">
        <f>+[13]Inputs!C34</f>
        <v>Temporary Increments</v>
      </c>
      <c r="AH8" s="31"/>
      <c r="AI8" s="33">
        <f>[13]Inputs!B62</f>
        <v>1853391.0329522497</v>
      </c>
      <c r="AJ8" s="26" t="str">
        <f>[13]Inputs!C34</f>
        <v>Temporary Increments</v>
      </c>
      <c r="AK8" s="27"/>
      <c r="AL8" s="34">
        <f>[13]Inputs!B68</f>
        <v>9408.9997971102639</v>
      </c>
      <c r="AM8" s="35" t="str">
        <f>+[13]Inputs!C66</f>
        <v>Permanent Increment</v>
      </c>
      <c r="AN8" s="36"/>
      <c r="AO8" s="37"/>
      <c r="AP8" s="35" t="str">
        <f>+[13]Inputs!F34</f>
        <v>Allocated to Rate Schedules</v>
      </c>
      <c r="AQ8" s="36"/>
      <c r="AR8" s="37"/>
      <c r="AS8" s="35" t="str">
        <f>+[13]Inputs!F34</f>
        <v>Allocated to Rate Schedules</v>
      </c>
      <c r="AT8" s="36"/>
      <c r="AV8" s="38">
        <f>N8+Q8+T8+W8+Z8+AF8+AI8+AL8+AC8</f>
        <v>8625125.1021236051</v>
      </c>
    </row>
    <row r="9" spans="1:60" ht="15" customHeight="1" thickBot="1" x14ac:dyDescent="0.4">
      <c r="A9" s="13">
        <f t="shared" si="0"/>
        <v>3</v>
      </c>
      <c r="B9" s="2"/>
      <c r="C9" s="2"/>
      <c r="D9" s="13" t="s">
        <v>17</v>
      </c>
      <c r="E9" s="13" t="s">
        <v>18</v>
      </c>
      <c r="F9" s="13" t="s">
        <v>18</v>
      </c>
      <c r="G9" s="13" t="s">
        <v>19</v>
      </c>
      <c r="H9" s="16" t="s">
        <v>20</v>
      </c>
      <c r="I9" s="13" t="s">
        <v>21</v>
      </c>
      <c r="J9" s="16" t="s">
        <v>22</v>
      </c>
      <c r="K9" s="13"/>
      <c r="L9" s="16" t="s">
        <v>23</v>
      </c>
      <c r="M9" s="24" t="s">
        <v>24</v>
      </c>
      <c r="N9" s="39">
        <f>IF([13]Inputs!$G42="yes",[13]Inputs!$B$30,"N/A")</f>
        <v>4.3568999999999997E-2</v>
      </c>
      <c r="O9" s="40" t="s">
        <v>25</v>
      </c>
      <c r="P9" s="41"/>
      <c r="Q9" s="39">
        <f>IF([13]Inputs!$G56="yes",[13]Inputs!$B$30,"N/A")</f>
        <v>4.3568999999999997E-2</v>
      </c>
      <c r="R9" s="40" t="s">
        <v>25</v>
      </c>
      <c r="S9" s="41"/>
      <c r="T9" s="39">
        <f>IF([13]Inputs!$G50="yes",[13]Inputs!$B$30,"N/A")</f>
        <v>4.3568999999999997E-2</v>
      </c>
      <c r="U9" s="40" t="s">
        <v>25</v>
      </c>
      <c r="V9" s="41"/>
      <c r="W9" s="39">
        <f>IF([13]Inputs!$G46="yes",[13]Inputs!$B$30,"N/A")</f>
        <v>4.3568999999999997E-2</v>
      </c>
      <c r="X9" s="40" t="s">
        <v>25</v>
      </c>
      <c r="Y9" s="42"/>
      <c r="Z9" s="39">
        <f>IF([13]Inputs!$G44="yes",[13]Inputs!$B$30,"N/A")</f>
        <v>4.3568999999999997E-2</v>
      </c>
      <c r="AA9" s="40" t="s">
        <v>25</v>
      </c>
      <c r="AB9" s="41"/>
      <c r="AC9" s="39">
        <f>IF([13]Inputs!$G60="yes",[13]Inputs!$B$30,"N/A")</f>
        <v>4.3568999999999997E-2</v>
      </c>
      <c r="AD9" s="40" t="s">
        <v>25</v>
      </c>
      <c r="AE9" s="41"/>
      <c r="AF9" s="39">
        <f>IF([13]Inputs!$G52="yes",[13]Inputs!$B$30,"N/A")</f>
        <v>4.3568999999999997E-2</v>
      </c>
      <c r="AG9" s="40" t="s">
        <v>25</v>
      </c>
      <c r="AH9" s="41"/>
      <c r="AI9" s="39">
        <f>IF([13]Inputs!$G62="yes",[13]Inputs!$B$30,"N/A")</f>
        <v>4.3568999999999997E-2</v>
      </c>
      <c r="AJ9" s="40" t="s">
        <v>26</v>
      </c>
      <c r="AK9" s="41"/>
      <c r="AL9" s="43" t="str">
        <f>IF([13]Inputs!$G68="yes",[13]Inputs!$B$30,"N/A")</f>
        <v>N/A</v>
      </c>
      <c r="AM9" s="44" t="s">
        <v>26</v>
      </c>
      <c r="AN9" s="45"/>
      <c r="AO9" s="46"/>
      <c r="AP9" s="44" t="s">
        <v>26</v>
      </c>
      <c r="AQ9" s="45"/>
      <c r="AR9" s="46"/>
      <c r="AS9" s="44" t="s">
        <v>26</v>
      </c>
      <c r="AT9" s="45"/>
      <c r="AV9" s="47">
        <f>COUNTIF(N9:AT9,revsens)</f>
        <v>8</v>
      </c>
    </row>
    <row r="10" spans="1:60" s="58" customFormat="1" ht="15" customHeight="1" thickBot="1" x14ac:dyDescent="0.4">
      <c r="A10" s="13">
        <f t="shared" si="0"/>
        <v>4</v>
      </c>
      <c r="B10" s="2"/>
      <c r="C10" s="2"/>
      <c r="D10" s="48" t="s">
        <v>27</v>
      </c>
      <c r="E10" s="48" t="s">
        <v>28</v>
      </c>
      <c r="F10" s="48" t="s">
        <v>29</v>
      </c>
      <c r="G10" s="48" t="s">
        <v>28</v>
      </c>
      <c r="H10" s="49" t="s">
        <v>30</v>
      </c>
      <c r="I10" s="48" t="s">
        <v>31</v>
      </c>
      <c r="J10" s="49" t="s">
        <v>32</v>
      </c>
      <c r="K10" s="48" t="s">
        <v>33</v>
      </c>
      <c r="L10" s="49" t="s">
        <v>31</v>
      </c>
      <c r="M10" s="50" t="s">
        <v>34</v>
      </c>
      <c r="N10" s="51">
        <f>IF(N9&lt;&gt;"N/A",ROUND(+N8/(1-N9),0),N8)</f>
        <v>5493890</v>
      </c>
      <c r="O10" s="52" t="str">
        <f>[13]Inputs!F42</f>
        <v>All Residential and Commercial sales</v>
      </c>
      <c r="P10" s="53"/>
      <c r="Q10" s="51">
        <f>IF(Q9&lt;&gt;"N/A",ROUND(+Q8/(1-Q9),0),Q8)</f>
        <v>-68040</v>
      </c>
      <c r="R10" s="52" t="str">
        <f>[13]Inputs!F56</f>
        <v>All Residential and Commercial sales</v>
      </c>
      <c r="S10" s="53"/>
      <c r="T10" s="51">
        <f>IF(T9&lt;&gt;"N/A",ROUND(+T8/(1-T9),0),T8)</f>
        <v>0</v>
      </c>
      <c r="U10" s="52" t="str">
        <f>[13]Inputs!F50</f>
        <v>All Residential and Commercial sales</v>
      </c>
      <c r="V10" s="53"/>
      <c r="W10" s="51">
        <f>IF(W9&lt;&gt;"N/A",ROUND(+W8/(1-W9),0),W8)</f>
        <v>778362</v>
      </c>
      <c r="X10" s="52" t="str">
        <f>+[13]Inputs!F46</f>
        <v>All sales</v>
      </c>
      <c r="Y10" s="54"/>
      <c r="Z10" s="51">
        <f>IF(Z9&lt;&gt;"N/A",ROUND(+Z8/(1-Z9),0),Z8)</f>
        <v>125443</v>
      </c>
      <c r="AA10" s="52" t="str">
        <f>+[13]Inputs!F44</f>
        <v>All sales</v>
      </c>
      <c r="AB10" s="53"/>
      <c r="AC10" s="51">
        <f>IF(AC9&lt;&gt;"N/A",ROUND(+AC8/(1-AC9),0),AC8)</f>
        <v>-9512</v>
      </c>
      <c r="AD10" s="52" t="str">
        <f>+[13]Inputs!F60</f>
        <v>All Customers</v>
      </c>
      <c r="AE10" s="53"/>
      <c r="AF10" s="51">
        <f>IF(AF9&lt;&gt;"N/A",ROUND(+AF8/(1-AF9),0),AF8)</f>
        <v>750232</v>
      </c>
      <c r="AG10" s="52" t="str">
        <f>[13]Inputs!F52</f>
        <v>All Customers</v>
      </c>
      <c r="AH10" s="53"/>
      <c r="AI10" s="51">
        <f>IF(AI9&lt;&gt;"N/A",ROUND(+AI8/(1-AI9),0),AI8)</f>
        <v>1937820</v>
      </c>
      <c r="AJ10" s="52" t="s">
        <v>35</v>
      </c>
      <c r="AK10" s="53"/>
      <c r="AL10" s="55">
        <f>IF(AL9&lt;&gt;"N/A",ROUND(+AL8/(1-AL9),0),AL8)</f>
        <v>9408.9997971102639</v>
      </c>
      <c r="AM10" s="56" t="str">
        <f>+[13]Inputs!F68</f>
        <v>to all sales</v>
      </c>
      <c r="AN10" s="57"/>
      <c r="AO10" s="55">
        <f>IF(AO9&lt;&gt;"N/A",ROUND(+AO8/(1-AO9),0),AO8)</f>
        <v>0</v>
      </c>
      <c r="AP10" s="56" t="s">
        <v>35</v>
      </c>
      <c r="AQ10" s="57"/>
      <c r="AR10" s="55">
        <f>IF(AR9&lt;&gt;"N/A",ROUND(+AR8/(1-AR9),0),AR8)</f>
        <v>0</v>
      </c>
      <c r="AS10" s="56" t="s">
        <v>35</v>
      </c>
      <c r="AT10" s="57"/>
      <c r="AV10" s="59">
        <f>SUM(N10:AR10)</f>
        <v>9017603.9997971095</v>
      </c>
    </row>
    <row r="11" spans="1:60" s="58" customFormat="1" x14ac:dyDescent="0.35">
      <c r="A11" s="13">
        <f t="shared" si="0"/>
        <v>5</v>
      </c>
      <c r="B11" s="2"/>
      <c r="C11" s="2"/>
      <c r="D11" s="8"/>
      <c r="E11" s="8"/>
      <c r="F11" s="8"/>
      <c r="G11" s="8"/>
      <c r="H11" s="16" t="s">
        <v>36</v>
      </c>
      <c r="I11" s="8"/>
      <c r="J11" s="16"/>
      <c r="K11" s="8"/>
      <c r="L11" s="706" t="s">
        <v>37</v>
      </c>
      <c r="M11" s="60"/>
      <c r="N11" s="61" t="s">
        <v>38</v>
      </c>
      <c r="O11" s="13" t="s">
        <v>39</v>
      </c>
      <c r="P11" s="62" t="s">
        <v>40</v>
      </c>
      <c r="Q11" s="61" t="s">
        <v>38</v>
      </c>
      <c r="R11" s="13" t="s">
        <v>39</v>
      </c>
      <c r="S11" s="62" t="s">
        <v>40</v>
      </c>
      <c r="T11" s="61" t="s">
        <v>38</v>
      </c>
      <c r="U11" s="13" t="s">
        <v>39</v>
      </c>
      <c r="V11" s="62" t="s">
        <v>40</v>
      </c>
      <c r="W11" s="61" t="s">
        <v>38</v>
      </c>
      <c r="X11" s="13" t="s">
        <v>39</v>
      </c>
      <c r="Y11" s="63" t="s">
        <v>40</v>
      </c>
      <c r="Z11" s="64" t="s">
        <v>38</v>
      </c>
      <c r="AA11" s="65" t="s">
        <v>39</v>
      </c>
      <c r="AB11" s="66" t="s">
        <v>40</v>
      </c>
      <c r="AC11" s="61" t="s">
        <v>38</v>
      </c>
      <c r="AD11" s="13" t="s">
        <v>39</v>
      </c>
      <c r="AE11" s="62" t="s">
        <v>40</v>
      </c>
      <c r="AF11" s="61" t="s">
        <v>38</v>
      </c>
      <c r="AG11" s="13" t="s">
        <v>39</v>
      </c>
      <c r="AH11" s="62" t="s">
        <v>40</v>
      </c>
      <c r="AI11" s="61" t="s">
        <v>38</v>
      </c>
      <c r="AJ11" s="13" t="s">
        <v>39</v>
      </c>
      <c r="AK11" s="62" t="s">
        <v>40</v>
      </c>
      <c r="AL11" s="67" t="s">
        <v>38</v>
      </c>
      <c r="AM11" s="15" t="s">
        <v>39</v>
      </c>
      <c r="AN11" s="68" t="s">
        <v>40</v>
      </c>
      <c r="AO11" s="67" t="s">
        <v>38</v>
      </c>
      <c r="AP11" s="15" t="s">
        <v>39</v>
      </c>
      <c r="AQ11" s="68" t="s">
        <v>40</v>
      </c>
      <c r="AR11" s="67" t="s">
        <v>38</v>
      </c>
      <c r="AS11" s="15" t="s">
        <v>39</v>
      </c>
      <c r="AT11" s="68" t="s">
        <v>40</v>
      </c>
      <c r="AX11" s="69" t="s">
        <v>41</v>
      </c>
      <c r="AY11" s="69" t="s">
        <v>42</v>
      </c>
      <c r="AZ11" s="69" t="s">
        <v>43</v>
      </c>
      <c r="BA11" s="69" t="s">
        <v>44</v>
      </c>
      <c r="BB11" s="69" t="s">
        <v>45</v>
      </c>
      <c r="BC11" s="69" t="s">
        <v>46</v>
      </c>
      <c r="BD11" s="69" t="s">
        <v>9</v>
      </c>
      <c r="BE11" s="69" t="s">
        <v>47</v>
      </c>
      <c r="BF11" s="69" t="s">
        <v>48</v>
      </c>
      <c r="BG11" s="69" t="s">
        <v>49</v>
      </c>
    </row>
    <row r="12" spans="1:60" s="58" customFormat="1" x14ac:dyDescent="0.35">
      <c r="A12" s="13">
        <f t="shared" si="0"/>
        <v>6</v>
      </c>
      <c r="B12" s="65" t="s">
        <v>50</v>
      </c>
      <c r="C12" s="65" t="s">
        <v>51</v>
      </c>
      <c r="D12" s="70" t="s">
        <v>52</v>
      </c>
      <c r="E12" s="70" t="s">
        <v>53</v>
      </c>
      <c r="F12" s="70" t="s">
        <v>54</v>
      </c>
      <c r="G12" s="70" t="s">
        <v>55</v>
      </c>
      <c r="H12" s="70" t="s">
        <v>56</v>
      </c>
      <c r="I12" s="70" t="s">
        <v>57</v>
      </c>
      <c r="J12" s="70" t="s">
        <v>58</v>
      </c>
      <c r="K12" s="70" t="s">
        <v>59</v>
      </c>
      <c r="L12" s="707"/>
      <c r="M12" s="71"/>
      <c r="N12" s="72" t="s">
        <v>60</v>
      </c>
      <c r="O12" s="70" t="s">
        <v>61</v>
      </c>
      <c r="P12" s="73" t="s">
        <v>62</v>
      </c>
      <c r="Q12" s="72" t="s">
        <v>60</v>
      </c>
      <c r="R12" s="70" t="s">
        <v>61</v>
      </c>
      <c r="S12" s="73" t="s">
        <v>62</v>
      </c>
      <c r="T12" s="72" t="s">
        <v>60</v>
      </c>
      <c r="U12" s="70" t="s">
        <v>61</v>
      </c>
      <c r="V12" s="73" t="s">
        <v>62</v>
      </c>
      <c r="W12" s="72" t="s">
        <v>63</v>
      </c>
      <c r="X12" s="70" t="s">
        <v>64</v>
      </c>
      <c r="Y12" s="74" t="s">
        <v>65</v>
      </c>
      <c r="Z12" s="72" t="s">
        <v>66</v>
      </c>
      <c r="AA12" s="70" t="s">
        <v>67</v>
      </c>
      <c r="AB12" s="73" t="s">
        <v>68</v>
      </c>
      <c r="AC12" s="72" t="s">
        <v>69</v>
      </c>
      <c r="AD12" s="70" t="s">
        <v>70</v>
      </c>
      <c r="AE12" s="73" t="s">
        <v>71</v>
      </c>
      <c r="AF12" s="72" t="s">
        <v>69</v>
      </c>
      <c r="AG12" s="70" t="s">
        <v>70</v>
      </c>
      <c r="AH12" s="73" t="s">
        <v>71</v>
      </c>
      <c r="AI12" s="72" t="s">
        <v>72</v>
      </c>
      <c r="AJ12" s="70" t="s">
        <v>73</v>
      </c>
      <c r="AK12" s="73" t="s">
        <v>74</v>
      </c>
      <c r="AL12" s="75" t="s">
        <v>72</v>
      </c>
      <c r="AM12" s="76" t="s">
        <v>73</v>
      </c>
      <c r="AN12" s="77" t="s">
        <v>74</v>
      </c>
      <c r="AO12" s="75" t="s">
        <v>72</v>
      </c>
      <c r="AP12" s="76" t="s">
        <v>73</v>
      </c>
      <c r="AQ12" s="77" t="s">
        <v>74</v>
      </c>
      <c r="AR12" s="75" t="s">
        <v>72</v>
      </c>
      <c r="AS12" s="76" t="s">
        <v>73</v>
      </c>
      <c r="AT12" s="77" t="s">
        <v>74</v>
      </c>
      <c r="AX12" s="69" t="s">
        <v>75</v>
      </c>
      <c r="AY12" s="69" t="s">
        <v>75</v>
      </c>
      <c r="AZ12" s="69" t="s">
        <v>75</v>
      </c>
      <c r="BA12" s="69" t="s">
        <v>75</v>
      </c>
      <c r="BB12" s="69" t="s">
        <v>75</v>
      </c>
      <c r="BC12" s="69" t="s">
        <v>75</v>
      </c>
      <c r="BD12" s="69" t="s">
        <v>75</v>
      </c>
      <c r="BE12" s="69" t="s">
        <v>75</v>
      </c>
      <c r="BF12" s="69" t="s">
        <v>75</v>
      </c>
      <c r="BG12" s="69" t="s">
        <v>75</v>
      </c>
    </row>
    <row r="13" spans="1:60" x14ac:dyDescent="0.35">
      <c r="A13" s="13">
        <f t="shared" si="0"/>
        <v>7</v>
      </c>
      <c r="B13" s="12" t="s">
        <v>76</v>
      </c>
      <c r="C13" s="12"/>
      <c r="D13" s="78">
        <f>+'[13]Washington volumes'!J13</f>
        <v>179824.1</v>
      </c>
      <c r="E13" s="79">
        <f>+'[13]Rates in detail'!D13</f>
        <v>1.6683000000000003</v>
      </c>
      <c r="F13" s="79">
        <f>+'[13]Rates in detail'!E13+'[13]Rates in detail'!F13+'[13]Rates in detail'!G13</f>
        <v>0.53610999999999998</v>
      </c>
      <c r="G13" s="79">
        <f>+[13]Temporaries!D13</f>
        <v>0.29749999999999999</v>
      </c>
      <c r="H13" s="79">
        <f>+E13-F13-G13</f>
        <v>0.83469000000000049</v>
      </c>
      <c r="I13" s="80">
        <f>ROUND(H13*D13,0)</f>
        <v>150097</v>
      </c>
      <c r="J13" s="81">
        <f>+'[13]Avg Bill by RS'!G13</f>
        <v>5.5</v>
      </c>
      <c r="K13" s="78">
        <f>+'[13]Washington volumes'!L13</f>
        <v>1884</v>
      </c>
      <c r="L13" s="82">
        <f>ROUND(I13+(J13*K13*12),0)</f>
        <v>274441</v>
      </c>
      <c r="M13" s="83"/>
      <c r="N13" s="84">
        <v>1</v>
      </c>
      <c r="O13" s="80">
        <f t="shared" ref="O13:O19" si="1">ROUND(+$N$10*(($L13*N13)/N$83),0)</f>
        <v>25874</v>
      </c>
      <c r="P13" s="85">
        <f t="shared" ref="P13:P19" si="2">IF(O13&lt;&gt;0,ROUND((O13/$I13)*$H13,5),ROUND((N$10/$I$83)*$H13*N13,5))</f>
        <v>0.14388999999999999</v>
      </c>
      <c r="Q13" s="84">
        <v>1</v>
      </c>
      <c r="R13" s="80">
        <f t="shared" ref="R13:R19" si="3">ROUND(+$Q$10*(($L13*Q13)/Q$83),0)</f>
        <v>-320</v>
      </c>
      <c r="S13" s="85">
        <f t="shared" ref="S13:S19" si="4">IF(R13&lt;&gt;0,ROUND((R13/$I13)*$H13,5),ROUND((Q$10/$I$83)*$H13*Q13,5))</f>
        <v>-1.7799999999999999E-3</v>
      </c>
      <c r="T13" s="84">
        <v>1</v>
      </c>
      <c r="U13" s="80">
        <f>ROUND(+T$10*(($L13*T13)/T$83),0)</f>
        <v>0</v>
      </c>
      <c r="V13" s="85">
        <f t="shared" ref="V13:V19" si="5">IF(U13&lt;&gt;0,ROUND((U13/$I13)*$H13,5),ROUND((T$10/$I$83)*$H13*T13,5))</f>
        <v>0</v>
      </c>
      <c r="W13" s="84">
        <v>1</v>
      </c>
      <c r="X13" s="80">
        <f t="shared" ref="X13:X19" si="6">ROUND(+$W$10*(($L13*W13)/W$83),0)</f>
        <v>3605</v>
      </c>
      <c r="Y13" s="86">
        <f t="shared" ref="Y13:Y19" si="7">IF(X13&lt;&gt;0,ROUND((X13/$I13)*$H13,5),ROUND((W$10/$I$83)*$H13*W13,5))</f>
        <v>2.0049999999999998E-2</v>
      </c>
      <c r="Z13" s="84">
        <v>1</v>
      </c>
      <c r="AA13" s="80">
        <f t="shared" ref="AA13:AA19" si="8">ROUND(+$Z$10*(($L13*Z13)/Z$83),0)</f>
        <v>581</v>
      </c>
      <c r="AB13" s="85">
        <f t="shared" ref="AB13:AB19" si="9">IF(AA13&lt;&gt;0,ROUND((AA13/$I13)*$H13,5),ROUND((Z$10/$I$83)*$H13*Z13,5))</f>
        <v>3.2299999999999998E-3</v>
      </c>
      <c r="AC13" s="84">
        <v>1</v>
      </c>
      <c r="AD13" s="80">
        <f t="shared" ref="AD13:AD19" si="10">ROUND(+$AC$10*(($L13*AC13)/AC$83),0)</f>
        <v>-42</v>
      </c>
      <c r="AE13" s="87">
        <f>IF(AD13&lt;&gt;0,ROUND((AD13/$I13)*$H13,5),ROUND((AC$10/$I$83)*$H13*AC13,5))</f>
        <v>-2.3000000000000001E-4</v>
      </c>
      <c r="AF13" s="84">
        <v>1</v>
      </c>
      <c r="AG13" s="80">
        <v>3341</v>
      </c>
      <c r="AH13" s="87">
        <v>1.8579999999999999E-2</v>
      </c>
      <c r="AI13" s="84">
        <v>1</v>
      </c>
      <c r="AJ13" s="80">
        <v>12523</v>
      </c>
      <c r="AK13" s="85">
        <v>3.7949999999999998E-2</v>
      </c>
      <c r="AL13" s="88">
        <v>1</v>
      </c>
      <c r="AM13" s="89">
        <f t="shared" ref="AM13:AM19" si="11">ROUND(+$AL$10*(($L13*AL13)/AL$83),0)</f>
        <v>44</v>
      </c>
      <c r="AN13" s="90">
        <f t="shared" ref="AN13:AN19" si="12">IF(AM13&lt;&gt;0,ROUND((AM13/$I13)*$H13,5),ROUND((AL$10/$I$83)*$H13*AL13,5))</f>
        <v>2.4000000000000001E-4</v>
      </c>
      <c r="AO13" s="88">
        <v>1</v>
      </c>
      <c r="AP13" s="91">
        <f t="shared" ref="AP13:AP19" si="13">ROUND(+$AO$10*(($L13*AO13)/AO$83),0)</f>
        <v>0</v>
      </c>
      <c r="AQ13" s="90">
        <f t="shared" ref="AQ13:AQ19" si="14">IF(AP13&lt;&gt;0,ROUND((AP13/$I13)*$H13,5),ROUND((AO$10/$I$83)*$H13*AO13,5))</f>
        <v>0</v>
      </c>
      <c r="AR13" s="88">
        <v>1</v>
      </c>
      <c r="AS13" s="91">
        <f t="shared" ref="AS13:AS19" si="15">ROUND(+$AR$10*(($L13*AR13)/AR$83),0)</f>
        <v>0</v>
      </c>
      <c r="AT13" s="90">
        <f t="shared" ref="AT13:AT19" si="16">IF(AS13&lt;&gt;0,ROUND((AS13/$I13)*$H13,5),ROUND((AR$10/$I$83)*$H13*AR13,5))</f>
        <v>0</v>
      </c>
      <c r="AU13" s="92"/>
      <c r="AV13" s="92"/>
      <c r="AW13" s="92"/>
      <c r="AX13" s="93">
        <f>P13*$D13</f>
        <v>25874.889748999998</v>
      </c>
      <c r="AY13" s="93">
        <f>S13*$D13</f>
        <v>-320.08689800000002</v>
      </c>
      <c r="AZ13" s="93">
        <f>V13*$D13</f>
        <v>0</v>
      </c>
      <c r="BA13" s="93">
        <f>Y13*$D13</f>
        <v>3605.4732049999998</v>
      </c>
      <c r="BB13" s="93">
        <f>AB13*$D13</f>
        <v>580.83184299999994</v>
      </c>
      <c r="BC13" s="93">
        <f>AE13*D13</f>
        <v>-41.359543000000002</v>
      </c>
      <c r="BD13" s="93">
        <f>AH13*$D13</f>
        <v>3341.1317779999999</v>
      </c>
      <c r="BE13" s="93">
        <f>AK13*D13</f>
        <v>6824.324595</v>
      </c>
      <c r="BF13" s="93">
        <f>AN13*D13</f>
        <v>43.157783999999999</v>
      </c>
      <c r="BG13" s="94">
        <f>SUM(AX13:BE13)</f>
        <v>39865.204728999997</v>
      </c>
      <c r="BH13" s="95"/>
    </row>
    <row r="14" spans="1:60" x14ac:dyDescent="0.35">
      <c r="A14" s="13">
        <f t="shared" si="0"/>
        <v>8</v>
      </c>
      <c r="B14" s="12" t="s">
        <v>77</v>
      </c>
      <c r="C14" s="12"/>
      <c r="D14" s="78">
        <f>+'[13]Washington volumes'!J14</f>
        <v>18807.400000000001</v>
      </c>
      <c r="E14" s="79">
        <f>+'[13]Rates in detail'!D14</f>
        <v>1.672639999999999</v>
      </c>
      <c r="F14" s="79">
        <f>+'[13]Rates in detail'!E14+'[13]Rates in detail'!F14+'[13]Rates in detail'!G14</f>
        <v>0.53610999999999998</v>
      </c>
      <c r="G14" s="79">
        <f>+[13]Temporaries!D14</f>
        <v>0.27344999999999997</v>
      </c>
      <c r="H14" s="79">
        <f t="shared" ref="H14:H80" si="17">+E14-F14-G14</f>
        <v>0.86307999999999918</v>
      </c>
      <c r="I14" s="80">
        <f>ROUND(H14*D14,0)</f>
        <v>16232</v>
      </c>
      <c r="J14" s="81">
        <f>+'[13]Avg Bill by RS'!G14</f>
        <v>7</v>
      </c>
      <c r="K14" s="78">
        <f>+'[13]Washington volumes'!L14</f>
        <v>36</v>
      </c>
      <c r="L14" s="82">
        <f>ROUND(I14+(J14*K14*12),0)</f>
        <v>19256</v>
      </c>
      <c r="M14" s="83"/>
      <c r="N14" s="84">
        <v>1</v>
      </c>
      <c r="O14" s="80">
        <f t="shared" si="1"/>
        <v>1815</v>
      </c>
      <c r="P14" s="85">
        <f t="shared" si="2"/>
        <v>9.6509999999999999E-2</v>
      </c>
      <c r="Q14" s="84">
        <v>1</v>
      </c>
      <c r="R14" s="80">
        <f t="shared" si="3"/>
        <v>-22</v>
      </c>
      <c r="S14" s="85">
        <f t="shared" si="4"/>
        <v>-1.17E-3</v>
      </c>
      <c r="T14" s="84">
        <v>1</v>
      </c>
      <c r="U14" s="80">
        <f t="shared" ref="U14:U19" si="18">ROUND(+$T$10*(($L14*T14)/T$83),0)</f>
        <v>0</v>
      </c>
      <c r="V14" s="85">
        <f t="shared" si="5"/>
        <v>0</v>
      </c>
      <c r="W14" s="84">
        <v>1</v>
      </c>
      <c r="X14" s="80">
        <f t="shared" si="6"/>
        <v>253</v>
      </c>
      <c r="Y14" s="86">
        <f t="shared" si="7"/>
        <v>1.345E-2</v>
      </c>
      <c r="Z14" s="84">
        <v>1</v>
      </c>
      <c r="AA14" s="80">
        <f t="shared" si="8"/>
        <v>41</v>
      </c>
      <c r="AB14" s="85">
        <f t="shared" si="9"/>
        <v>2.1800000000000001E-3</v>
      </c>
      <c r="AC14" s="84">
        <v>1</v>
      </c>
      <c r="AD14" s="80">
        <f t="shared" si="10"/>
        <v>-3</v>
      </c>
      <c r="AE14" s="87">
        <f t="shared" ref="AE14:AE19" si="19">IF(AD14&lt;&gt;0,ROUND((AD14/$I14)*$H14,5),ROUND((AC$10/$I$83)*$H14*AC14,5))</f>
        <v>-1.6000000000000001E-4</v>
      </c>
      <c r="AF14" s="84">
        <v>1</v>
      </c>
      <c r="AG14" s="80">
        <v>234</v>
      </c>
      <c r="AH14" s="87">
        <v>1.244E-2</v>
      </c>
      <c r="AI14" s="84">
        <v>1</v>
      </c>
      <c r="AJ14" s="80">
        <v>517</v>
      </c>
      <c r="AK14" s="85">
        <v>3.2939999999999997E-2</v>
      </c>
      <c r="AL14" s="88">
        <v>1</v>
      </c>
      <c r="AM14" s="89">
        <f t="shared" si="11"/>
        <v>3</v>
      </c>
      <c r="AN14" s="90">
        <f t="shared" si="12"/>
        <v>1.6000000000000001E-4</v>
      </c>
      <c r="AO14" s="88">
        <v>1</v>
      </c>
      <c r="AP14" s="91">
        <f t="shared" si="13"/>
        <v>0</v>
      </c>
      <c r="AQ14" s="90">
        <f t="shared" si="14"/>
        <v>0</v>
      </c>
      <c r="AR14" s="88">
        <v>1</v>
      </c>
      <c r="AS14" s="91">
        <f t="shared" si="15"/>
        <v>0</v>
      </c>
      <c r="AT14" s="90">
        <f t="shared" si="16"/>
        <v>0</v>
      </c>
      <c r="AX14" s="93">
        <f t="shared" ref="AX14:AX81" si="20">P14*$D14</f>
        <v>1815.1021740000001</v>
      </c>
      <c r="AY14" s="93">
        <f t="shared" ref="AY14:AY81" si="21">S14*$D14</f>
        <v>-22.004658000000003</v>
      </c>
      <c r="AZ14" s="93">
        <f t="shared" ref="AZ14:AZ81" si="22">V14*$D14</f>
        <v>0</v>
      </c>
      <c r="BA14" s="93">
        <f t="shared" ref="BA14:BA81" si="23">Y14*$D14</f>
        <v>252.95953000000003</v>
      </c>
      <c r="BB14" s="93">
        <f t="shared" ref="BB14:BB81" si="24">AB14*$D14</f>
        <v>41.000132000000008</v>
      </c>
      <c r="BC14" s="93">
        <f t="shared" ref="BC14:BC77" si="25">AE14*D14</f>
        <v>-3.0091840000000003</v>
      </c>
      <c r="BD14" s="93">
        <f t="shared" ref="BD14:BD81" si="26">AH14*$D14</f>
        <v>233.964056</v>
      </c>
      <c r="BE14" s="93">
        <f t="shared" ref="BE14:BE77" si="27">AK14*D14</f>
        <v>619.51575600000001</v>
      </c>
      <c r="BF14" s="93">
        <f t="shared" ref="BF14:BF77" si="28">AN14*D14</f>
        <v>3.0091840000000003</v>
      </c>
      <c r="BG14" s="94">
        <f t="shared" ref="BG14:BG77" si="29">SUM(AX14:BE14)</f>
        <v>2937.5278060000001</v>
      </c>
      <c r="BH14" s="95"/>
    </row>
    <row r="15" spans="1:60" x14ac:dyDescent="0.35">
      <c r="A15" s="13">
        <f t="shared" si="0"/>
        <v>9</v>
      </c>
      <c r="B15" s="12" t="s">
        <v>78</v>
      </c>
      <c r="C15" s="12"/>
      <c r="D15" s="78">
        <f>+'[13]Washington volumes'!J15</f>
        <v>59991191.600000001</v>
      </c>
      <c r="E15" s="79">
        <f>+'[13]Rates in detail'!D15</f>
        <v>1.3152700000000002</v>
      </c>
      <c r="F15" s="79">
        <f>+'[13]Rates in detail'!E15+'[13]Rates in detail'!F15+'[13]Rates in detail'!G15</f>
        <v>0.53610999999999998</v>
      </c>
      <c r="G15" s="79">
        <f>+[13]Temporaries!D15</f>
        <v>0.22096000000000002</v>
      </c>
      <c r="H15" s="79">
        <f t="shared" si="17"/>
        <v>0.55820000000000014</v>
      </c>
      <c r="I15" s="80">
        <f>ROUND(H15*D15,0)</f>
        <v>33487083</v>
      </c>
      <c r="J15" s="81">
        <f>+'[13]Avg Bill by RS'!G15</f>
        <v>8</v>
      </c>
      <c r="K15" s="78">
        <f>+'[13]Washington volumes'!L15</f>
        <v>89230</v>
      </c>
      <c r="L15" s="82">
        <f t="shared" ref="L15:L18" si="30">ROUND(I15+(J15*K15*12),0)</f>
        <v>42053163</v>
      </c>
      <c r="M15" s="83"/>
      <c r="N15" s="84">
        <v>1</v>
      </c>
      <c r="O15" s="80">
        <f t="shared" si="1"/>
        <v>3964723</v>
      </c>
      <c r="P15" s="85">
        <f t="shared" si="2"/>
        <v>6.6089999999999996E-2</v>
      </c>
      <c r="Q15" s="84">
        <v>1</v>
      </c>
      <c r="R15" s="80">
        <f t="shared" si="3"/>
        <v>-49102</v>
      </c>
      <c r="S15" s="85">
        <f t="shared" si="4"/>
        <v>-8.1999999999999998E-4</v>
      </c>
      <c r="T15" s="84">
        <v>1</v>
      </c>
      <c r="U15" s="80">
        <f t="shared" si="18"/>
        <v>0</v>
      </c>
      <c r="V15" s="85">
        <f t="shared" si="5"/>
        <v>0</v>
      </c>
      <c r="W15" s="84">
        <v>1</v>
      </c>
      <c r="X15" s="80">
        <f t="shared" si="6"/>
        <v>552360</v>
      </c>
      <c r="Y15" s="86">
        <f t="shared" si="7"/>
        <v>9.2099999999999994E-3</v>
      </c>
      <c r="Z15" s="84">
        <v>1</v>
      </c>
      <c r="AA15" s="80">
        <f t="shared" si="8"/>
        <v>89020</v>
      </c>
      <c r="AB15" s="85">
        <f t="shared" si="9"/>
        <v>1.48E-3</v>
      </c>
      <c r="AC15" s="84">
        <v>1</v>
      </c>
      <c r="AD15" s="80">
        <f t="shared" si="10"/>
        <v>-6492</v>
      </c>
      <c r="AE15" s="87">
        <f t="shared" si="19"/>
        <v>-1.1E-4</v>
      </c>
      <c r="AF15" s="84">
        <v>1</v>
      </c>
      <c r="AG15" s="80">
        <v>511889</v>
      </c>
      <c r="AH15" s="87">
        <v>8.5299999999999994E-3</v>
      </c>
      <c r="AI15" s="84">
        <v>1</v>
      </c>
      <c r="AJ15" s="80">
        <v>1330567</v>
      </c>
      <c r="AK15" s="85">
        <v>2.188E-2</v>
      </c>
      <c r="AL15" s="88">
        <v>1</v>
      </c>
      <c r="AM15" s="89">
        <f t="shared" si="11"/>
        <v>6677</v>
      </c>
      <c r="AN15" s="90">
        <f t="shared" si="12"/>
        <v>1.1E-4</v>
      </c>
      <c r="AO15" s="88">
        <v>1</v>
      </c>
      <c r="AP15" s="91">
        <f t="shared" si="13"/>
        <v>0</v>
      </c>
      <c r="AQ15" s="90">
        <f t="shared" si="14"/>
        <v>0</v>
      </c>
      <c r="AR15" s="88">
        <v>1</v>
      </c>
      <c r="AS15" s="91">
        <f t="shared" si="15"/>
        <v>0</v>
      </c>
      <c r="AT15" s="90">
        <f t="shared" si="16"/>
        <v>0</v>
      </c>
      <c r="AX15" s="93">
        <f t="shared" si="20"/>
        <v>3964817.8528439999</v>
      </c>
      <c r="AY15" s="93">
        <f t="shared" si="21"/>
        <v>-49192.777112000003</v>
      </c>
      <c r="AZ15" s="93">
        <f t="shared" si="22"/>
        <v>0</v>
      </c>
      <c r="BA15" s="93">
        <f t="shared" si="23"/>
        <v>552518.87463600002</v>
      </c>
      <c r="BB15" s="93">
        <f t="shared" si="24"/>
        <v>88786.963568000006</v>
      </c>
      <c r="BC15" s="93">
        <f t="shared" si="25"/>
        <v>-6599.0310760000002</v>
      </c>
      <c r="BD15" s="93">
        <f t="shared" si="26"/>
        <v>511724.86434799997</v>
      </c>
      <c r="BE15" s="93">
        <f t="shared" si="27"/>
        <v>1312607.2722080001</v>
      </c>
      <c r="BF15" s="93">
        <f t="shared" si="28"/>
        <v>6599.0310760000002</v>
      </c>
      <c r="BG15" s="94">
        <f t="shared" si="29"/>
        <v>6374664.0194160007</v>
      </c>
      <c r="BH15" s="95"/>
    </row>
    <row r="16" spans="1:60" x14ac:dyDescent="0.35">
      <c r="A16" s="13">
        <f t="shared" si="0"/>
        <v>10</v>
      </c>
      <c r="B16" s="12" t="s">
        <v>79</v>
      </c>
      <c r="C16" s="12"/>
      <c r="D16" s="78">
        <f>+'[13]Washington volumes'!J16</f>
        <v>21359578.800000001</v>
      </c>
      <c r="E16" s="79">
        <f>+'[13]Rates in detail'!D16</f>
        <v>1.2785399999999996</v>
      </c>
      <c r="F16" s="79">
        <f>+'[13]Rates in detail'!E16+'[13]Rates in detail'!F16+'[13]Rates in detail'!G16</f>
        <v>0.53610999999999998</v>
      </c>
      <c r="G16" s="79">
        <f>+[13]Temporaries!D16</f>
        <v>0.20892999999999998</v>
      </c>
      <c r="H16" s="79">
        <f t="shared" si="17"/>
        <v>0.53349999999999964</v>
      </c>
      <c r="I16" s="80">
        <f t="shared" ref="I16:I80" si="31">ROUND(H16*D16,0)</f>
        <v>11395335</v>
      </c>
      <c r="J16" s="81">
        <f>+'[13]Avg Bill by RS'!G16</f>
        <v>22</v>
      </c>
      <c r="K16" s="78">
        <f>+'[13]Washington volumes'!L16</f>
        <v>6828</v>
      </c>
      <c r="L16" s="82">
        <f t="shared" si="30"/>
        <v>13197927</v>
      </c>
      <c r="M16" s="83"/>
      <c r="N16" s="84">
        <v>1</v>
      </c>
      <c r="O16" s="80">
        <f t="shared" si="1"/>
        <v>1244285</v>
      </c>
      <c r="P16" s="85">
        <f t="shared" si="2"/>
        <v>5.8250000000000003E-2</v>
      </c>
      <c r="Q16" s="84">
        <v>1</v>
      </c>
      <c r="R16" s="80">
        <f t="shared" si="3"/>
        <v>-15410</v>
      </c>
      <c r="S16" s="85">
        <f t="shared" si="4"/>
        <v>-7.2000000000000005E-4</v>
      </c>
      <c r="T16" s="84">
        <v>1</v>
      </c>
      <c r="U16" s="80">
        <f t="shared" si="18"/>
        <v>0</v>
      </c>
      <c r="V16" s="85">
        <f t="shared" si="5"/>
        <v>0</v>
      </c>
      <c r="W16" s="84">
        <v>1</v>
      </c>
      <c r="X16" s="80">
        <f t="shared" si="6"/>
        <v>173352</v>
      </c>
      <c r="Y16" s="86">
        <f t="shared" si="7"/>
        <v>8.1200000000000005E-3</v>
      </c>
      <c r="Z16" s="84">
        <v>1</v>
      </c>
      <c r="AA16" s="80">
        <f t="shared" si="8"/>
        <v>27938</v>
      </c>
      <c r="AB16" s="85">
        <f t="shared" si="9"/>
        <v>1.31E-3</v>
      </c>
      <c r="AC16" s="84">
        <v>1</v>
      </c>
      <c r="AD16" s="80">
        <f t="shared" si="10"/>
        <v>-2037</v>
      </c>
      <c r="AE16" s="87">
        <f t="shared" si="19"/>
        <v>-1E-4</v>
      </c>
      <c r="AF16" s="84">
        <v>1</v>
      </c>
      <c r="AG16" s="80">
        <v>160651</v>
      </c>
      <c r="AH16" s="87">
        <v>7.5199999999999998E-3</v>
      </c>
      <c r="AI16" s="84">
        <v>1</v>
      </c>
      <c r="AJ16" s="80">
        <v>402470</v>
      </c>
      <c r="AK16" s="85">
        <v>1.9439999999999999E-2</v>
      </c>
      <c r="AL16" s="88">
        <v>1</v>
      </c>
      <c r="AM16" s="89">
        <f t="shared" si="11"/>
        <v>2096</v>
      </c>
      <c r="AN16" s="90">
        <f t="shared" si="12"/>
        <v>1E-4</v>
      </c>
      <c r="AO16" s="88">
        <v>1</v>
      </c>
      <c r="AP16" s="91">
        <f t="shared" si="13"/>
        <v>0</v>
      </c>
      <c r="AQ16" s="90">
        <f t="shared" si="14"/>
        <v>0</v>
      </c>
      <c r="AR16" s="88">
        <v>1</v>
      </c>
      <c r="AS16" s="91">
        <f t="shared" si="15"/>
        <v>0</v>
      </c>
      <c r="AT16" s="90">
        <f t="shared" si="16"/>
        <v>0</v>
      </c>
      <c r="AX16" s="93">
        <f t="shared" si="20"/>
        <v>1244195.4651000001</v>
      </c>
      <c r="AY16" s="93">
        <f t="shared" si="21"/>
        <v>-15378.896736000001</v>
      </c>
      <c r="AZ16" s="93">
        <f t="shared" si="22"/>
        <v>0</v>
      </c>
      <c r="BA16" s="93">
        <f t="shared" si="23"/>
        <v>173439.77985600001</v>
      </c>
      <c r="BB16" s="93">
        <f t="shared" si="24"/>
        <v>27981.048228</v>
      </c>
      <c r="BC16" s="93">
        <f t="shared" si="25"/>
        <v>-2135.9578800000004</v>
      </c>
      <c r="BD16" s="93">
        <f t="shared" si="26"/>
        <v>160624.032576</v>
      </c>
      <c r="BE16" s="93">
        <f t="shared" si="27"/>
        <v>415230.21187200001</v>
      </c>
      <c r="BF16" s="93">
        <f t="shared" si="28"/>
        <v>2135.9578800000004</v>
      </c>
      <c r="BG16" s="94">
        <f t="shared" si="29"/>
        <v>2003955.6830160005</v>
      </c>
      <c r="BH16" s="95"/>
    </row>
    <row r="17" spans="1:60" x14ac:dyDescent="0.35">
      <c r="A17" s="13">
        <f t="shared" si="0"/>
        <v>11</v>
      </c>
      <c r="B17" s="12" t="s">
        <v>80</v>
      </c>
      <c r="C17" s="12"/>
      <c r="D17" s="78">
        <f>+'[13]Washington volumes'!J17</f>
        <v>192102.2</v>
      </c>
      <c r="E17" s="79">
        <f>+'[13]Rates in detail'!D17</f>
        <v>1.2303099999999996</v>
      </c>
      <c r="F17" s="79">
        <f>+'[13]Rates in detail'!E17+'[13]Rates in detail'!F17+'[13]Rates in detail'!G17</f>
        <v>0.53610999999999998</v>
      </c>
      <c r="G17" s="79">
        <f>+[13]Temporaries!D17</f>
        <v>0.15035000000000001</v>
      </c>
      <c r="H17" s="79">
        <f t="shared" si="17"/>
        <v>0.54384999999999961</v>
      </c>
      <c r="I17" s="80">
        <f t="shared" si="31"/>
        <v>104475</v>
      </c>
      <c r="J17" s="81">
        <f>+'[13]Avg Bill by RS'!G17</f>
        <v>22</v>
      </c>
      <c r="K17" s="78">
        <f>+'[13]Washington volumes'!L17</f>
        <v>20</v>
      </c>
      <c r="L17" s="82">
        <f t="shared" si="30"/>
        <v>109755</v>
      </c>
      <c r="M17" s="83"/>
      <c r="N17" s="84">
        <v>0</v>
      </c>
      <c r="O17" s="80">
        <f t="shared" si="1"/>
        <v>0</v>
      </c>
      <c r="P17" s="85">
        <f t="shared" si="2"/>
        <v>0</v>
      </c>
      <c r="Q17" s="84">
        <v>0</v>
      </c>
      <c r="R17" s="80">
        <f t="shared" si="3"/>
        <v>0</v>
      </c>
      <c r="S17" s="85">
        <f t="shared" si="4"/>
        <v>0</v>
      </c>
      <c r="T17" s="84">
        <v>0</v>
      </c>
      <c r="U17" s="80">
        <f t="shared" si="18"/>
        <v>0</v>
      </c>
      <c r="V17" s="85">
        <f t="shared" si="5"/>
        <v>0</v>
      </c>
      <c r="W17" s="84">
        <v>1</v>
      </c>
      <c r="X17" s="80">
        <f t="shared" si="6"/>
        <v>1442</v>
      </c>
      <c r="Y17" s="86">
        <f t="shared" si="7"/>
        <v>7.5100000000000002E-3</v>
      </c>
      <c r="Z17" s="84">
        <v>1</v>
      </c>
      <c r="AA17" s="80">
        <f t="shared" si="8"/>
        <v>232</v>
      </c>
      <c r="AB17" s="85">
        <f t="shared" si="9"/>
        <v>1.2099999999999999E-3</v>
      </c>
      <c r="AC17" s="84">
        <v>1</v>
      </c>
      <c r="AD17" s="80">
        <f t="shared" si="10"/>
        <v>-17</v>
      </c>
      <c r="AE17" s="87">
        <f t="shared" si="19"/>
        <v>-9.0000000000000006E-5</v>
      </c>
      <c r="AF17" s="84">
        <v>1</v>
      </c>
      <c r="AG17" s="80">
        <v>1336</v>
      </c>
      <c r="AH17" s="87">
        <v>6.9499999999999996E-3</v>
      </c>
      <c r="AI17" s="84">
        <v>1</v>
      </c>
      <c r="AJ17" s="80">
        <v>3912</v>
      </c>
      <c r="AK17" s="85">
        <v>1.7850000000000001E-2</v>
      </c>
      <c r="AL17" s="88">
        <v>1</v>
      </c>
      <c r="AM17" s="89">
        <f t="shared" si="11"/>
        <v>17</v>
      </c>
      <c r="AN17" s="90">
        <f t="shared" si="12"/>
        <v>9.0000000000000006E-5</v>
      </c>
      <c r="AO17" s="88">
        <v>1</v>
      </c>
      <c r="AP17" s="91">
        <f t="shared" si="13"/>
        <v>0</v>
      </c>
      <c r="AQ17" s="90">
        <f t="shared" si="14"/>
        <v>0</v>
      </c>
      <c r="AR17" s="88">
        <v>1</v>
      </c>
      <c r="AS17" s="91">
        <f t="shared" si="15"/>
        <v>0</v>
      </c>
      <c r="AT17" s="90">
        <f t="shared" si="16"/>
        <v>0</v>
      </c>
      <c r="AX17" s="93">
        <f t="shared" si="20"/>
        <v>0</v>
      </c>
      <c r="AY17" s="93">
        <f t="shared" si="21"/>
        <v>0</v>
      </c>
      <c r="AZ17" s="93">
        <f t="shared" si="22"/>
        <v>0</v>
      </c>
      <c r="BA17" s="93">
        <f t="shared" si="23"/>
        <v>1442.6875220000002</v>
      </c>
      <c r="BB17" s="93">
        <f t="shared" si="24"/>
        <v>232.44366199999999</v>
      </c>
      <c r="BC17" s="93">
        <f t="shared" si="25"/>
        <v>-17.289198000000003</v>
      </c>
      <c r="BD17" s="93">
        <f t="shared" si="26"/>
        <v>1335.1102900000001</v>
      </c>
      <c r="BE17" s="93">
        <f t="shared" si="27"/>
        <v>3429.0242700000003</v>
      </c>
      <c r="BF17" s="93">
        <f t="shared" si="28"/>
        <v>17.289198000000003</v>
      </c>
      <c r="BG17" s="94">
        <f t="shared" si="29"/>
        <v>6421.9765459999999</v>
      </c>
      <c r="BH17" s="95"/>
    </row>
    <row r="18" spans="1:60" x14ac:dyDescent="0.35">
      <c r="A18" s="13">
        <f t="shared" si="0"/>
        <v>12</v>
      </c>
      <c r="B18" s="96">
        <v>27</v>
      </c>
      <c r="C18" s="96"/>
      <c r="D18" s="78">
        <f>+'[13]Washington volumes'!J18</f>
        <v>34823.1</v>
      </c>
      <c r="E18" s="79">
        <f>+'[13]Rates in detail'!D18</f>
        <v>1.11591</v>
      </c>
      <c r="F18" s="79">
        <f>+'[13]Rates in detail'!E18+'[13]Rates in detail'!F18+'[13]Rates in detail'!G18</f>
        <v>0.53610999999999998</v>
      </c>
      <c r="G18" s="79">
        <f>+[13]Temporaries!D18</f>
        <v>0.26727000000000001</v>
      </c>
      <c r="H18" s="79">
        <f t="shared" si="17"/>
        <v>0.31252999999999997</v>
      </c>
      <c r="I18" s="80">
        <f t="shared" si="31"/>
        <v>10883</v>
      </c>
      <c r="J18" s="81">
        <f>+'[13]Avg Bill by RS'!G18</f>
        <v>9</v>
      </c>
      <c r="K18" s="78">
        <f>+'[13]Washington volumes'!L18</f>
        <v>403</v>
      </c>
      <c r="L18" s="82">
        <f t="shared" si="30"/>
        <v>54407</v>
      </c>
      <c r="M18" s="83"/>
      <c r="N18" s="84">
        <v>1</v>
      </c>
      <c r="O18" s="80">
        <f t="shared" si="1"/>
        <v>5129</v>
      </c>
      <c r="P18" s="85">
        <f t="shared" si="2"/>
        <v>0.14729</v>
      </c>
      <c r="Q18" s="84">
        <v>1</v>
      </c>
      <c r="R18" s="80">
        <f t="shared" si="3"/>
        <v>-64</v>
      </c>
      <c r="S18" s="85">
        <f t="shared" si="4"/>
        <v>-1.8400000000000001E-3</v>
      </c>
      <c r="T18" s="84">
        <v>1</v>
      </c>
      <c r="U18" s="80">
        <f t="shared" si="18"/>
        <v>0</v>
      </c>
      <c r="V18" s="85">
        <f t="shared" si="5"/>
        <v>0</v>
      </c>
      <c r="W18" s="84">
        <v>1</v>
      </c>
      <c r="X18" s="80">
        <f t="shared" si="6"/>
        <v>715</v>
      </c>
      <c r="Y18" s="86">
        <f t="shared" si="7"/>
        <v>2.053E-2</v>
      </c>
      <c r="Z18" s="84">
        <v>1</v>
      </c>
      <c r="AA18" s="80">
        <f t="shared" si="8"/>
        <v>115</v>
      </c>
      <c r="AB18" s="85">
        <f t="shared" si="9"/>
        <v>3.3E-3</v>
      </c>
      <c r="AC18" s="84">
        <v>1</v>
      </c>
      <c r="AD18" s="80">
        <f t="shared" si="10"/>
        <v>-8</v>
      </c>
      <c r="AE18" s="87">
        <f t="shared" si="19"/>
        <v>-2.3000000000000001E-4</v>
      </c>
      <c r="AF18" s="84">
        <v>1</v>
      </c>
      <c r="AG18" s="80">
        <v>662</v>
      </c>
      <c r="AH18" s="87">
        <v>1.9009999999999999E-2</v>
      </c>
      <c r="AI18" s="84">
        <v>1</v>
      </c>
      <c r="AJ18" s="80">
        <v>1914</v>
      </c>
      <c r="AK18" s="85">
        <v>3.1620000000000002E-2</v>
      </c>
      <c r="AL18" s="88">
        <v>1</v>
      </c>
      <c r="AM18" s="89">
        <f t="shared" si="11"/>
        <v>9</v>
      </c>
      <c r="AN18" s="90">
        <f t="shared" si="12"/>
        <v>2.5999999999999998E-4</v>
      </c>
      <c r="AO18" s="88">
        <v>1</v>
      </c>
      <c r="AP18" s="91">
        <f t="shared" si="13"/>
        <v>0</v>
      </c>
      <c r="AQ18" s="90">
        <f t="shared" si="14"/>
        <v>0</v>
      </c>
      <c r="AR18" s="88">
        <v>1</v>
      </c>
      <c r="AS18" s="91">
        <f t="shared" si="15"/>
        <v>0</v>
      </c>
      <c r="AT18" s="90">
        <f t="shared" si="16"/>
        <v>0</v>
      </c>
      <c r="AX18" s="93">
        <f t="shared" si="20"/>
        <v>5129.0943989999996</v>
      </c>
      <c r="AY18" s="93">
        <f t="shared" si="21"/>
        <v>-64.074504000000005</v>
      </c>
      <c r="AZ18" s="93">
        <f t="shared" si="22"/>
        <v>0</v>
      </c>
      <c r="BA18" s="93">
        <f t="shared" si="23"/>
        <v>714.91824299999996</v>
      </c>
      <c r="BB18" s="93">
        <f t="shared" si="24"/>
        <v>114.91623</v>
      </c>
      <c r="BC18" s="93">
        <f t="shared" si="25"/>
        <v>-8.0093130000000006</v>
      </c>
      <c r="BD18" s="93">
        <f t="shared" si="26"/>
        <v>661.98713099999998</v>
      </c>
      <c r="BE18" s="93">
        <f t="shared" si="27"/>
        <v>1101.1064220000001</v>
      </c>
      <c r="BF18" s="93">
        <f t="shared" si="28"/>
        <v>9.0540059999999993</v>
      </c>
      <c r="BG18" s="94">
        <f t="shared" si="29"/>
        <v>7649.9386079999995</v>
      </c>
      <c r="BH18" s="95"/>
    </row>
    <row r="19" spans="1:60" x14ac:dyDescent="0.35">
      <c r="A19" s="13">
        <f t="shared" si="0"/>
        <v>13</v>
      </c>
      <c r="B19" s="13" t="s">
        <v>81</v>
      </c>
      <c r="C19" s="97" t="s">
        <v>82</v>
      </c>
      <c r="D19" s="7">
        <f>+'[13]Washington volumes'!J19</f>
        <v>1665389.3</v>
      </c>
      <c r="E19" s="98">
        <f>+'[13]Rates in detail'!D19</f>
        <v>1.0394899999999998</v>
      </c>
      <c r="F19" s="98">
        <f>+'[13]Rates in detail'!E19+'[13]Rates in detail'!F19+'[13]Rates in detail'!G19</f>
        <v>0.43274000000000001</v>
      </c>
      <c r="G19" s="98">
        <f>+[13]Temporaries!D19</f>
        <v>0.19066999999999998</v>
      </c>
      <c r="H19" s="98">
        <f t="shared" si="17"/>
        <v>0.41607999999999978</v>
      </c>
      <c r="I19" s="99">
        <f>ROUND((H19*D19)+(D20*H20),0)</f>
        <v>1682279</v>
      </c>
      <c r="J19" s="99">
        <f>+'[13]Avg Bill by RS'!G19</f>
        <v>250</v>
      </c>
      <c r="K19" s="7">
        <f>+'[13]Washington volumes'!L19</f>
        <v>101</v>
      </c>
      <c r="L19" s="100">
        <f>ROUND((J19*K19*12)+I19+I20,0)</f>
        <v>1985279</v>
      </c>
      <c r="M19" s="101"/>
      <c r="N19" s="102">
        <v>1</v>
      </c>
      <c r="O19" s="103">
        <f t="shared" si="1"/>
        <v>187170</v>
      </c>
      <c r="P19" s="104">
        <f t="shared" si="2"/>
        <v>4.6289999999999998E-2</v>
      </c>
      <c r="Q19" s="102">
        <v>1</v>
      </c>
      <c r="R19" s="103">
        <f t="shared" si="3"/>
        <v>-2318</v>
      </c>
      <c r="S19" s="104">
        <f t="shared" si="4"/>
        <v>-5.6999999999999998E-4</v>
      </c>
      <c r="T19" s="102">
        <v>1</v>
      </c>
      <c r="U19" s="103">
        <f t="shared" si="18"/>
        <v>0</v>
      </c>
      <c r="V19" s="104">
        <f t="shared" si="5"/>
        <v>0</v>
      </c>
      <c r="W19" s="102">
        <v>1</v>
      </c>
      <c r="X19" s="103">
        <f t="shared" si="6"/>
        <v>26076</v>
      </c>
      <c r="Y19" s="105">
        <f t="shared" si="7"/>
        <v>6.45E-3</v>
      </c>
      <c r="Z19" s="102">
        <v>1</v>
      </c>
      <c r="AA19" s="103">
        <f t="shared" si="8"/>
        <v>4203</v>
      </c>
      <c r="AB19" s="104">
        <f t="shared" si="9"/>
        <v>1.0399999999999999E-3</v>
      </c>
      <c r="AC19" s="102">
        <v>1</v>
      </c>
      <c r="AD19" s="103">
        <f t="shared" si="10"/>
        <v>-306</v>
      </c>
      <c r="AE19" s="106">
        <f t="shared" si="19"/>
        <v>-8.0000000000000007E-5</v>
      </c>
      <c r="AF19" s="102">
        <v>1</v>
      </c>
      <c r="AG19" s="103">
        <v>24166</v>
      </c>
      <c r="AH19" s="106">
        <v>5.9800000000000001E-3</v>
      </c>
      <c r="AI19" s="102">
        <v>1</v>
      </c>
      <c r="AJ19" s="103">
        <v>55160</v>
      </c>
      <c r="AK19" s="104">
        <v>1.5630000000000002E-2</v>
      </c>
      <c r="AL19" s="107">
        <v>1</v>
      </c>
      <c r="AM19" s="108">
        <f t="shared" si="11"/>
        <v>315</v>
      </c>
      <c r="AN19" s="109">
        <f t="shared" si="12"/>
        <v>8.0000000000000007E-5</v>
      </c>
      <c r="AO19" s="107">
        <v>1</v>
      </c>
      <c r="AP19" s="110">
        <f t="shared" si="13"/>
        <v>0</v>
      </c>
      <c r="AQ19" s="109">
        <f t="shared" si="14"/>
        <v>0</v>
      </c>
      <c r="AR19" s="107">
        <v>1</v>
      </c>
      <c r="AS19" s="110">
        <f t="shared" si="15"/>
        <v>0</v>
      </c>
      <c r="AT19" s="109">
        <f t="shared" si="16"/>
        <v>0</v>
      </c>
      <c r="AX19" s="93">
        <f t="shared" si="20"/>
        <v>77090.870697000006</v>
      </c>
      <c r="AY19" s="93">
        <f t="shared" si="21"/>
        <v>-949.27190099999996</v>
      </c>
      <c r="AZ19" s="93">
        <f t="shared" si="22"/>
        <v>0</v>
      </c>
      <c r="BA19" s="93">
        <f t="shared" si="23"/>
        <v>10741.760985000001</v>
      </c>
      <c r="BB19" s="93">
        <f t="shared" si="24"/>
        <v>1732.004872</v>
      </c>
      <c r="BC19" s="93">
        <f t="shared" si="25"/>
        <v>-133.231144</v>
      </c>
      <c r="BD19" s="93">
        <f t="shared" si="26"/>
        <v>9959.0280139999995</v>
      </c>
      <c r="BE19" s="93">
        <f t="shared" si="27"/>
        <v>26030.034759000002</v>
      </c>
      <c r="BF19" s="93">
        <f t="shared" si="28"/>
        <v>133.231144</v>
      </c>
      <c r="BG19" s="94">
        <f t="shared" si="29"/>
        <v>124471.196282</v>
      </c>
      <c r="BH19" s="95"/>
    </row>
    <row r="20" spans="1:60" x14ac:dyDescent="0.35">
      <c r="A20" s="13">
        <f t="shared" si="0"/>
        <v>14</v>
      </c>
      <c r="B20" s="96"/>
      <c r="C20" s="111" t="s">
        <v>83</v>
      </c>
      <c r="D20" s="78">
        <f>+'[13]Washington volumes'!J20</f>
        <v>2698480.8</v>
      </c>
      <c r="E20" s="79">
        <f>+'[13]Rates in detail'!D20</f>
        <v>0.98116000000000014</v>
      </c>
      <c r="F20" s="79">
        <f>+'[13]Rates in detail'!E20+'[13]Rates in detail'!F20+'[13]Rates in detail'!G20</f>
        <v>0.43274000000000001</v>
      </c>
      <c r="G20" s="79">
        <f>+[13]Temporaries!D20</f>
        <v>0.18178999999999998</v>
      </c>
      <c r="H20" s="79">
        <f t="shared" si="17"/>
        <v>0.36663000000000012</v>
      </c>
      <c r="I20" s="80"/>
      <c r="J20" s="81"/>
      <c r="K20" s="78"/>
      <c r="L20" s="82"/>
      <c r="M20" s="83"/>
      <c r="N20" s="84">
        <v>1</v>
      </c>
      <c r="O20" s="80"/>
      <c r="P20" s="85">
        <f>IF(O19&lt;&gt;0,ROUND((O19/$I19)*$H20,5),ROUND((N$10/$I$83)*$H20*N20,5))</f>
        <v>4.079E-2</v>
      </c>
      <c r="Q20" s="84">
        <v>1</v>
      </c>
      <c r="R20" s="80"/>
      <c r="S20" s="85">
        <f>IF(R19&lt;&gt;0,ROUND((R19/$I19)*$H20,5),ROUND((Q$10/$I$83)*$H20*Q20,5))</f>
        <v>-5.1000000000000004E-4</v>
      </c>
      <c r="T20" s="84">
        <v>1</v>
      </c>
      <c r="U20" s="80"/>
      <c r="V20" s="85">
        <f>IF(U19&lt;&gt;0,ROUND((U19/$I19)*$H20,5),ROUND((T$10/$I$83)*$H20*T20,5))</f>
        <v>0</v>
      </c>
      <c r="W20" s="84">
        <v>1</v>
      </c>
      <c r="X20" s="80"/>
      <c r="Y20" s="86">
        <f>IF(X19&lt;&gt;0,ROUND((X19/$I19)*$H20,5),ROUND((W$10/$I$83)*$H20*W20,5))</f>
        <v>5.6800000000000002E-3</v>
      </c>
      <c r="Z20" s="84">
        <v>1</v>
      </c>
      <c r="AA20" s="80"/>
      <c r="AB20" s="85">
        <f>IF(AA19&lt;&gt;0,ROUND((AA19/$I19)*$H20,5),ROUND((Z$10/$I$83)*$H20*Z20,5))</f>
        <v>9.2000000000000003E-4</v>
      </c>
      <c r="AC20" s="84">
        <v>1</v>
      </c>
      <c r="AD20" s="80"/>
      <c r="AE20" s="87">
        <f>IF(AD19&lt;&gt;0,ROUND((AD19/$I19)*$H20,5),ROUND((AC$10/$I$83)*$H20*AC20,5))</f>
        <v>-6.9999999999999994E-5</v>
      </c>
      <c r="AF20" s="84">
        <v>1</v>
      </c>
      <c r="AG20" s="80"/>
      <c r="AH20" s="87">
        <v>5.2700000000000004E-3</v>
      </c>
      <c r="AI20" s="84">
        <v>1</v>
      </c>
      <c r="AJ20" s="80"/>
      <c r="AK20" s="85">
        <v>1.3769999999999999E-2</v>
      </c>
      <c r="AL20" s="88">
        <v>1</v>
      </c>
      <c r="AM20" s="89"/>
      <c r="AN20" s="90">
        <f>IF(AM19&lt;&gt;0,ROUND((AM19/$I19)*$H20,5),ROUND((AL$10/$I$83)*$H20*AL20,5))</f>
        <v>6.9999999999999994E-5</v>
      </c>
      <c r="AO20" s="88">
        <v>1</v>
      </c>
      <c r="AP20" s="91"/>
      <c r="AQ20" s="90">
        <f>IF(AP19&lt;&gt;0,ROUND((AP19/$I19)*$H20,5),ROUND((AO$10/$I$83)*$H20*AO20,5))</f>
        <v>0</v>
      </c>
      <c r="AR20" s="88">
        <v>1</v>
      </c>
      <c r="AS20" s="91"/>
      <c r="AT20" s="90">
        <f>IF(AS19&lt;&gt;0,ROUND((AS19/$I19)*$H20,5),ROUND((AR$10/$I$83)*$H20*AR20,5))</f>
        <v>0</v>
      </c>
      <c r="AX20" s="93">
        <f t="shared" si="20"/>
        <v>110071.03183199999</v>
      </c>
      <c r="AY20" s="93">
        <f t="shared" si="21"/>
        <v>-1376.2252080000001</v>
      </c>
      <c r="AZ20" s="93">
        <f t="shared" si="22"/>
        <v>0</v>
      </c>
      <c r="BA20" s="93">
        <f t="shared" si="23"/>
        <v>15327.370944</v>
      </c>
      <c r="BB20" s="93">
        <f t="shared" si="24"/>
        <v>2482.6023359999999</v>
      </c>
      <c r="BC20" s="93">
        <f t="shared" si="25"/>
        <v>-188.89365599999996</v>
      </c>
      <c r="BD20" s="93">
        <f t="shared" si="26"/>
        <v>14220.993816</v>
      </c>
      <c r="BE20" s="93">
        <f t="shared" si="27"/>
        <v>37158.080615999992</v>
      </c>
      <c r="BF20" s="93">
        <f t="shared" si="28"/>
        <v>188.89365599999996</v>
      </c>
      <c r="BG20" s="94">
        <f t="shared" si="29"/>
        <v>177694.96067999996</v>
      </c>
      <c r="BH20" s="95"/>
    </row>
    <row r="21" spans="1:60" x14ac:dyDescent="0.35">
      <c r="A21" s="13">
        <f t="shared" si="0"/>
        <v>15</v>
      </c>
      <c r="B21" s="13" t="s">
        <v>84</v>
      </c>
      <c r="C21" s="97" t="s">
        <v>82</v>
      </c>
      <c r="D21" s="7">
        <f>+'[13]Washington volumes'!J21</f>
        <v>331379.44452066539</v>
      </c>
      <c r="E21" s="98">
        <f>+'[13]Rates in detail'!D21</f>
        <v>0.94622000000000028</v>
      </c>
      <c r="F21" s="98">
        <f>+'[13]Rates in detail'!E21+'[13]Rates in detail'!F21+'[13]Rates in detail'!G21</f>
        <v>0.43274000000000001</v>
      </c>
      <c r="G21" s="98">
        <f>+[13]Temporaries!D21</f>
        <v>0.14201</v>
      </c>
      <c r="H21" s="98">
        <f t="shared" si="17"/>
        <v>0.3714700000000003</v>
      </c>
      <c r="I21" s="99">
        <f>ROUND((H21*D21)+(D22*H22),0)</f>
        <v>317352</v>
      </c>
      <c r="J21" s="112">
        <f>+'[13]Avg Bill by RS'!G22</f>
        <v>250</v>
      </c>
      <c r="K21" s="7">
        <f>+'[13]Washington volumes'!L21</f>
        <v>21</v>
      </c>
      <c r="L21" s="100">
        <f>ROUND((J21*K21*12)+I21+I22,0)</f>
        <v>380352</v>
      </c>
      <c r="M21" s="101"/>
      <c r="N21" s="102">
        <v>0</v>
      </c>
      <c r="O21" s="103">
        <f>ROUND(+$N$10*(($L21*N21)/N$83),0)</f>
        <v>0</v>
      </c>
      <c r="P21" s="104">
        <f>IF(O21&lt;&gt;0,ROUND((O21/$I21)*$H21,5),ROUND((N$10/$I$83)*$H21*N21,5))</f>
        <v>0</v>
      </c>
      <c r="Q21" s="102">
        <v>0</v>
      </c>
      <c r="R21" s="103">
        <f>ROUND(+$Q$10*(($L21*Q21)/Q$83),0)</f>
        <v>0</v>
      </c>
      <c r="S21" s="104">
        <f>IF(R21&lt;&gt;0,ROUND((R21/$I21)*$H21,5),ROUND((Q$10/$I$83)*$H21*Q21,5))</f>
        <v>0</v>
      </c>
      <c r="T21" s="102">
        <v>0</v>
      </c>
      <c r="U21" s="103">
        <f>ROUND(+$T$10*(($L21*T21)/T$83),0)</f>
        <v>0</v>
      </c>
      <c r="V21" s="104">
        <f>IF(U21&lt;&gt;0,ROUND((U21/$I21)*$H21,5),ROUND((T$10/$I$83)*$H21*T21,5))</f>
        <v>0</v>
      </c>
      <c r="W21" s="102">
        <v>1</v>
      </c>
      <c r="X21" s="103">
        <f>ROUND(+$W$10*(($L21*W21)/W$83),0)</f>
        <v>4996</v>
      </c>
      <c r="Y21" s="105">
        <f>IF(X21&lt;&gt;0,ROUND((X21/$I21)*$H21,5),ROUND((W$10/$I$83)*$H21*W21,5))</f>
        <v>5.8500000000000002E-3</v>
      </c>
      <c r="Z21" s="102">
        <v>1</v>
      </c>
      <c r="AA21" s="103">
        <f>ROUND(+$Z$10*(($L21*Z21)/Z$83),0)</f>
        <v>805</v>
      </c>
      <c r="AB21" s="104">
        <f>IF(AA21&lt;&gt;0,ROUND((AA21/$I21)*$H21,5),ROUND((Z$10/$I$83)*$H21*Z21,5))</f>
        <v>9.3999999999999997E-4</v>
      </c>
      <c r="AC21" s="102">
        <v>1</v>
      </c>
      <c r="AD21" s="103">
        <f>ROUND(+$AC$10*(($L21*AC21)/AC$83),0)</f>
        <v>-59</v>
      </c>
      <c r="AE21" s="106">
        <f>IF(AD21&lt;&gt;0,ROUND((AD21/$I21)*$H21,5),ROUND((AC$10/$I$83)*$H21*AC21,5))</f>
        <v>-6.9999999999999994E-5</v>
      </c>
      <c r="AF21" s="102">
        <v>1</v>
      </c>
      <c r="AG21" s="103">
        <v>4630</v>
      </c>
      <c r="AH21" s="106">
        <v>5.4200000000000003E-3</v>
      </c>
      <c r="AI21" s="102">
        <v>1</v>
      </c>
      <c r="AJ21" s="103">
        <v>15114</v>
      </c>
      <c r="AK21" s="104">
        <v>1.34E-2</v>
      </c>
      <c r="AL21" s="113">
        <v>1</v>
      </c>
      <c r="AM21" s="108">
        <f>ROUND(+$AL$10*(($L21*AL21)/AL$83),0)</f>
        <v>60</v>
      </c>
      <c r="AN21" s="109">
        <f>IF(AM21&lt;&gt;0,ROUND((AM21/$I21)*$H21,5),ROUND((AL$10/$I$83)*$H21*AL21,5))</f>
        <v>6.9999999999999994E-5</v>
      </c>
      <c r="AO21" s="113">
        <v>1</v>
      </c>
      <c r="AP21" s="110">
        <f>ROUND(+$AO$10*(($L21*AO21)/AO$83),0)</f>
        <v>0</v>
      </c>
      <c r="AQ21" s="109">
        <f>IF(AP21&lt;&gt;0,ROUND((AP21/$I21)*$H21,5),ROUND((AO$10/$I$83)*$H21*AO21,5))</f>
        <v>0</v>
      </c>
      <c r="AR21" s="113">
        <v>1</v>
      </c>
      <c r="AS21" s="110">
        <f>ROUND(+$AR$10*(($L21*AR21)/AR$83),0)</f>
        <v>0</v>
      </c>
      <c r="AT21" s="109">
        <f>IF(AS21&lt;&gt;0,ROUND((AS21/$I21)*$H21,5),ROUND((AR$10/$I$83)*$H21*AR21,5))</f>
        <v>0</v>
      </c>
      <c r="AX21" s="93">
        <f>P21*$D21</f>
        <v>0</v>
      </c>
      <c r="AY21" s="93">
        <f>S21*$D21</f>
        <v>0</v>
      </c>
      <c r="AZ21" s="93">
        <f>V21*$D21</f>
        <v>0</v>
      </c>
      <c r="BA21" s="93">
        <f>Y21*$D21</f>
        <v>1938.5697504458926</v>
      </c>
      <c r="BB21" s="93">
        <f>AB21*$D21</f>
        <v>311.49667784942545</v>
      </c>
      <c r="BC21" s="93">
        <f t="shared" si="25"/>
        <v>-23.196561116446574</v>
      </c>
      <c r="BD21" s="93">
        <f>AH21*$D21</f>
        <v>1796.0765893020066</v>
      </c>
      <c r="BE21" s="93">
        <f t="shared" si="27"/>
        <v>4440.4845565769165</v>
      </c>
      <c r="BF21" s="93">
        <f t="shared" si="28"/>
        <v>23.196561116446574</v>
      </c>
      <c r="BG21" s="94">
        <f t="shared" si="29"/>
        <v>8463.4310130577942</v>
      </c>
      <c r="BH21" s="95"/>
    </row>
    <row r="22" spans="1:60" x14ac:dyDescent="0.35">
      <c r="A22" s="13">
        <f t="shared" si="0"/>
        <v>16</v>
      </c>
      <c r="B22" s="96"/>
      <c r="C22" s="111" t="s">
        <v>83</v>
      </c>
      <c r="D22" s="78">
        <f>+'[13]Washington volumes'!J22</f>
        <v>593486.75547933462</v>
      </c>
      <c r="E22" s="79">
        <f>+'[13]Rates in detail'!D22</f>
        <v>0.89908999999999961</v>
      </c>
      <c r="F22" s="79">
        <f>+'[13]Rates in detail'!E22+'[13]Rates in detail'!F22+'[13]Rates in detail'!G22</f>
        <v>0.43274000000000001</v>
      </c>
      <c r="G22" s="79">
        <f>+[13]Temporaries!D22</f>
        <v>0.13903999999999997</v>
      </c>
      <c r="H22" s="79">
        <f t="shared" si="17"/>
        <v>0.32730999999999966</v>
      </c>
      <c r="I22" s="80"/>
      <c r="J22" s="81"/>
      <c r="K22" s="78"/>
      <c r="L22" s="82"/>
      <c r="M22" s="83"/>
      <c r="N22" s="84">
        <v>0</v>
      </c>
      <c r="O22" s="80"/>
      <c r="P22" s="85">
        <f>IF(O21&lt;&gt;0,ROUND((O21/$I21)*$H22,5),ROUND((N$10/$I$83)*$H22*N22,5))</f>
        <v>0</v>
      </c>
      <c r="Q22" s="84">
        <v>0</v>
      </c>
      <c r="R22" s="80"/>
      <c r="S22" s="85">
        <f>IF(R21&lt;&gt;0,ROUND((R21/$I21)*$H22,5),ROUND((Q$10/$I$83)*$H22*Q22,5))</f>
        <v>0</v>
      </c>
      <c r="T22" s="84">
        <v>0</v>
      </c>
      <c r="U22" s="80"/>
      <c r="V22" s="85">
        <f>IF(U21&lt;&gt;0,ROUND((U21/$I21)*$H22,5),ROUND((T$10/$I$83)*$H22*T22,5))</f>
        <v>0</v>
      </c>
      <c r="W22" s="84">
        <v>1</v>
      </c>
      <c r="X22" s="80"/>
      <c r="Y22" s="86">
        <f>IF(X21&lt;&gt;0,ROUND((X21/$I21)*$H22,5),ROUND((W$10/$I$83)*$H22*W22,5))</f>
        <v>5.1500000000000001E-3</v>
      </c>
      <c r="Z22" s="84">
        <v>1</v>
      </c>
      <c r="AA22" s="80"/>
      <c r="AB22" s="85">
        <f>IF(AA21&lt;&gt;0,ROUND((AA21/$I21)*$H22,5),ROUND((Z$10/$I$83)*$H22*Z22,5))</f>
        <v>8.3000000000000001E-4</v>
      </c>
      <c r="AC22" s="84">
        <v>1</v>
      </c>
      <c r="AD22" s="80"/>
      <c r="AE22" s="87">
        <f>IF(AD21&lt;&gt;0,ROUND((AD21/$I21)*$H22,5),ROUND((AC$10/$I$83)*$H22*AC22,5))</f>
        <v>-6.0000000000000002E-5</v>
      </c>
      <c r="AF22" s="84">
        <v>1</v>
      </c>
      <c r="AG22" s="80"/>
      <c r="AH22" s="87">
        <v>4.7800000000000004E-3</v>
      </c>
      <c r="AI22" s="84">
        <v>1</v>
      </c>
      <c r="AJ22" s="80"/>
      <c r="AK22" s="85">
        <v>1.1809999999999999E-2</v>
      </c>
      <c r="AL22" s="88">
        <v>1</v>
      </c>
      <c r="AM22" s="89"/>
      <c r="AN22" s="90">
        <f>IF(AM21&lt;&gt;0,ROUND((AM21/$I21)*$H22,5),ROUND((AL$10/$I$83)*$H22*AL22,5))</f>
        <v>6.0000000000000002E-5</v>
      </c>
      <c r="AO22" s="88">
        <v>1</v>
      </c>
      <c r="AP22" s="91"/>
      <c r="AQ22" s="90">
        <f>IF(AP21&lt;&gt;0,ROUND((AP21/$I21)*$H22,5),ROUND((AO$10/$I$83)*$H22*AO22,5))</f>
        <v>0</v>
      </c>
      <c r="AR22" s="88">
        <v>1</v>
      </c>
      <c r="AS22" s="91"/>
      <c r="AT22" s="90">
        <f>IF(AS21&lt;&gt;0,ROUND((AS21/$I21)*$H22,5),ROUND((AR$10/$I$83)*$H22*AR22,5))</f>
        <v>0</v>
      </c>
      <c r="AX22" s="93">
        <f>P22*$D22</f>
        <v>0</v>
      </c>
      <c r="AY22" s="93">
        <f>S22*$D22</f>
        <v>0</v>
      </c>
      <c r="AZ22" s="93">
        <f>V22*$D22</f>
        <v>0</v>
      </c>
      <c r="BA22" s="93">
        <f>Y22*$D22</f>
        <v>3056.4567907185733</v>
      </c>
      <c r="BB22" s="93">
        <f>AB22*$D22</f>
        <v>492.59400704784775</v>
      </c>
      <c r="BC22" s="93">
        <f t="shared" si="25"/>
        <v>-35.609205328760076</v>
      </c>
      <c r="BD22" s="93">
        <f>AH22*$D22</f>
        <v>2836.8666911912196</v>
      </c>
      <c r="BE22" s="93">
        <f t="shared" si="27"/>
        <v>7009.078582210941</v>
      </c>
      <c r="BF22" s="93">
        <f t="shared" si="28"/>
        <v>35.609205328760076</v>
      </c>
      <c r="BG22" s="94">
        <f t="shared" si="29"/>
        <v>13359.386865839821</v>
      </c>
      <c r="BH22" s="95"/>
    </row>
    <row r="23" spans="1:60" x14ac:dyDescent="0.35">
      <c r="A23" s="13">
        <f t="shared" si="0"/>
        <v>17</v>
      </c>
      <c r="B23" s="13" t="s">
        <v>85</v>
      </c>
      <c r="C23" s="97" t="s">
        <v>82</v>
      </c>
      <c r="D23" s="7">
        <f>+'[13]Washington volumes'!J23</f>
        <v>0</v>
      </c>
      <c r="E23" s="98">
        <f>+'[13]Rates in detail'!D23</f>
        <v>0.96427000000000007</v>
      </c>
      <c r="F23" s="98">
        <f>+'[13]Rates in detail'!E23+'[13]Rates in detail'!F23+'[13]Rates in detail'!G23</f>
        <v>0.43274000000000001</v>
      </c>
      <c r="G23" s="98">
        <f>+[13]Temporaries!D23</f>
        <v>0.14699999999999999</v>
      </c>
      <c r="H23" s="98">
        <f t="shared" si="17"/>
        <v>0.38453000000000004</v>
      </c>
      <c r="I23" s="99">
        <f>ROUND((H23*D23)+(D24*H24),0)</f>
        <v>0</v>
      </c>
      <c r="J23" s="112">
        <f>+'[13]Avg Bill by RS'!G25</f>
        <v>250</v>
      </c>
      <c r="K23" s="7">
        <f>+'[13]Washington volumes'!L23</f>
        <v>0</v>
      </c>
      <c r="L23" s="100">
        <f>ROUND((J23*K23*12)+I23+I24,0)</f>
        <v>0</v>
      </c>
      <c r="M23" s="101"/>
      <c r="N23" s="102">
        <v>1</v>
      </c>
      <c r="O23" s="103">
        <f>ROUND(+$N$10*(($L23*N23)/N$83),0)</f>
        <v>0</v>
      </c>
      <c r="P23" s="104">
        <f>IF(O23&lt;&gt;0,ROUND((O23/$I23)*$H23,5),ROUND((N$10/$I$83)*$H23*N23,5))</f>
        <v>4.233E-2</v>
      </c>
      <c r="Q23" s="102">
        <v>1</v>
      </c>
      <c r="R23" s="103">
        <f>ROUND(+$Q$10*(($L23*Q23)/Q$83),0)</f>
        <v>0</v>
      </c>
      <c r="S23" s="104">
        <f>IF(R23&lt;&gt;0,ROUND((R23/$I23)*$H23,5),ROUND((Q$10/$I$83)*$H23*Q23,5))</f>
        <v>-5.1999999999999995E-4</v>
      </c>
      <c r="T23" s="102">
        <v>1</v>
      </c>
      <c r="U23" s="103">
        <f>ROUND(+$T$10*(($L23*T23)/T$83),0)</f>
        <v>0</v>
      </c>
      <c r="V23" s="104">
        <f>IF(U23&lt;&gt;0,ROUND((U23/$I23)*$H23,5),ROUND((T$10/$I$83)*$H23*T23,5))</f>
        <v>0</v>
      </c>
      <c r="W23" s="102">
        <v>1</v>
      </c>
      <c r="X23" s="103">
        <f>ROUND(+$W$10*(($L23*W23)/W$83),0)</f>
        <v>0</v>
      </c>
      <c r="Y23" s="105">
        <f>IF(X23&lt;&gt;0,ROUND((X23/$I23)*$H23,5),ROUND((W$10/$I$83)*$H23*W23,5))</f>
        <v>6.0000000000000001E-3</v>
      </c>
      <c r="Z23" s="102">
        <v>1</v>
      </c>
      <c r="AA23" s="103">
        <f>ROUND(+$Z$10*(($L23*Z23)/Z$83),0)</f>
        <v>0</v>
      </c>
      <c r="AB23" s="104">
        <f>IF(AA23&lt;&gt;0,ROUND((AA23/$I23)*$H23,5),ROUND((Z$10/$I$83)*$H23*Z23,5))</f>
        <v>9.7000000000000005E-4</v>
      </c>
      <c r="AC23" s="102">
        <v>1</v>
      </c>
      <c r="AD23" s="103">
        <f>ROUND(+$AC$10*(($L23*AC23)/AC$83),0)</f>
        <v>0</v>
      </c>
      <c r="AE23" s="106">
        <f>IF(AD23&lt;&gt;0,ROUND((AD23/$I23)*$H23,5),ROUND((AC$10/$I$83)*$H23*AC23,5))</f>
        <v>-6.9999999999999994E-5</v>
      </c>
      <c r="AF23" s="102">
        <v>1</v>
      </c>
      <c r="AG23" s="103">
        <v>0</v>
      </c>
      <c r="AH23" s="106">
        <v>5.7800000000000004E-3</v>
      </c>
      <c r="AI23" s="102">
        <v>1</v>
      </c>
      <c r="AJ23" s="103">
        <v>0</v>
      </c>
      <c r="AK23" s="104">
        <v>1.4829999999999999E-2</v>
      </c>
      <c r="AL23" s="113">
        <v>1</v>
      </c>
      <c r="AM23" s="108">
        <f>ROUND(+$AL$10*(($L23*AL23)/AL$83),0)</f>
        <v>0</v>
      </c>
      <c r="AN23" s="109">
        <f>IF(AM23&lt;&gt;0,ROUND((AM23/$I23)*$H23,5),ROUND((AL$10/$I$83)*$H23*AL23,5))</f>
        <v>6.9999999999999994E-5</v>
      </c>
      <c r="AO23" s="113">
        <v>1</v>
      </c>
      <c r="AP23" s="110">
        <f>ROUND(+$AO$10*(($L23*AO23)/AO$83),0)</f>
        <v>0</v>
      </c>
      <c r="AQ23" s="109">
        <f>IF(AP23&lt;&gt;0,ROUND((AP23/$I23)*$H23,5),ROUND((AO$10/$I$83)*$H23*AO23,5))</f>
        <v>0</v>
      </c>
      <c r="AR23" s="113">
        <v>1</v>
      </c>
      <c r="AS23" s="110">
        <f>ROUND(+$AR$10*(($L23*AR23)/AR$83),0)</f>
        <v>0</v>
      </c>
      <c r="AT23" s="109">
        <f>IF(AS23&lt;&gt;0,ROUND((AS23/$I23)*$H23,5),ROUND((AR$10/$I$83)*$H23*AR23,5))</f>
        <v>0</v>
      </c>
      <c r="AX23" s="93">
        <f t="shared" si="20"/>
        <v>0</v>
      </c>
      <c r="AY23" s="93">
        <f t="shared" si="21"/>
        <v>0</v>
      </c>
      <c r="AZ23" s="93">
        <f t="shared" si="22"/>
        <v>0</v>
      </c>
      <c r="BA23" s="93">
        <f t="shared" si="23"/>
        <v>0</v>
      </c>
      <c r="BB23" s="93">
        <f t="shared" si="24"/>
        <v>0</v>
      </c>
      <c r="BC23" s="93">
        <f t="shared" si="25"/>
        <v>0</v>
      </c>
      <c r="BD23" s="93">
        <f t="shared" si="26"/>
        <v>0</v>
      </c>
      <c r="BE23" s="93">
        <f t="shared" si="27"/>
        <v>0</v>
      </c>
      <c r="BF23" s="93">
        <f t="shared" si="28"/>
        <v>0</v>
      </c>
      <c r="BG23" s="94">
        <f t="shared" si="29"/>
        <v>0</v>
      </c>
      <c r="BH23" s="95"/>
    </row>
    <row r="24" spans="1:60" x14ac:dyDescent="0.35">
      <c r="A24" s="13">
        <f t="shared" si="0"/>
        <v>18</v>
      </c>
      <c r="B24" s="96"/>
      <c r="C24" s="111" t="s">
        <v>83</v>
      </c>
      <c r="D24" s="78">
        <f>+'[13]Washington volumes'!J24</f>
        <v>0</v>
      </c>
      <c r="E24" s="79">
        <f>+'[13]Rates in detail'!D24</f>
        <v>0.91047000000000022</v>
      </c>
      <c r="F24" s="79">
        <f>+'[13]Rates in detail'!E24+'[13]Rates in detail'!F24+'[13]Rates in detail'!G24</f>
        <v>0.43274000000000001</v>
      </c>
      <c r="G24" s="79">
        <f>+[13]Temporaries!D24</f>
        <v>0.13892999999999997</v>
      </c>
      <c r="H24" s="79">
        <f t="shared" si="17"/>
        <v>0.33880000000000021</v>
      </c>
      <c r="I24" s="80"/>
      <c r="J24" s="81"/>
      <c r="K24" s="78"/>
      <c r="L24" s="82"/>
      <c r="M24" s="83"/>
      <c r="N24" s="84">
        <v>1</v>
      </c>
      <c r="O24" s="80"/>
      <c r="P24" s="85">
        <f>IF(O23&lt;&gt;0,ROUND((O23/$I23)*$H24,5),ROUND((N$10/$I$83)*$H24*N24,5))</f>
        <v>3.7289999999999997E-2</v>
      </c>
      <c r="Q24" s="84">
        <v>1</v>
      </c>
      <c r="R24" s="80"/>
      <c r="S24" s="85">
        <f>IF(R23&lt;&gt;0,ROUND((R23/$I23)*$H24,5),ROUND((Q$10/$I$83)*$H24*Q24,5))</f>
        <v>-4.6000000000000001E-4</v>
      </c>
      <c r="T24" s="84">
        <v>1</v>
      </c>
      <c r="U24" s="80"/>
      <c r="V24" s="85">
        <f>IF(U23&lt;&gt;0,ROUND((U23/$I23)*$H24,5),ROUND((T$10/$I$83)*$H24*T24,5))</f>
        <v>0</v>
      </c>
      <c r="W24" s="84">
        <v>1</v>
      </c>
      <c r="X24" s="80"/>
      <c r="Y24" s="86">
        <f>IF(X23&lt;&gt;0,ROUND((X23/$I23)*$H24,5),ROUND((W$10/$I$83)*$H24*W24,5))</f>
        <v>5.28E-3</v>
      </c>
      <c r="Z24" s="84">
        <v>1</v>
      </c>
      <c r="AA24" s="80"/>
      <c r="AB24" s="85">
        <f>IF(AA23&lt;&gt;0,ROUND((AA23/$I23)*$H24,5),ROUND((Z$10/$I$83)*$H24*Z24,5))</f>
        <v>8.4999999999999995E-4</v>
      </c>
      <c r="AC24" s="84">
        <v>1</v>
      </c>
      <c r="AD24" s="80"/>
      <c r="AE24" s="87">
        <f>IF(AD23&lt;&gt;0,ROUND((AD23/$I23)*$H24,5),ROUND((AC$10/$I$83)*$H24*AC24,5))</f>
        <v>-6.0000000000000002E-5</v>
      </c>
      <c r="AF24" s="84">
        <v>1</v>
      </c>
      <c r="AG24" s="80"/>
      <c r="AH24" s="87">
        <v>5.0899999999999999E-3</v>
      </c>
      <c r="AI24" s="84">
        <v>1</v>
      </c>
      <c r="AJ24" s="80"/>
      <c r="AK24" s="85">
        <v>1.307E-2</v>
      </c>
      <c r="AL24" s="88">
        <v>1</v>
      </c>
      <c r="AM24" s="89"/>
      <c r="AN24" s="90">
        <f>IF(AM23&lt;&gt;0,ROUND((AM23/$I23)*$H24,5),ROUND((AL$10/$I$83)*$H24*AL24,5))</f>
        <v>6.0000000000000002E-5</v>
      </c>
      <c r="AO24" s="88">
        <v>1</v>
      </c>
      <c r="AP24" s="91"/>
      <c r="AQ24" s="90">
        <f>IF(AP23&lt;&gt;0,ROUND((AP23/$I23)*$H24,5),ROUND((AO$10/$I$83)*$H24*AO24,5))</f>
        <v>0</v>
      </c>
      <c r="AR24" s="88">
        <v>1</v>
      </c>
      <c r="AS24" s="91"/>
      <c r="AT24" s="90">
        <f>IF(AS23&lt;&gt;0,ROUND((AS23/$I23)*$H24,5),ROUND((AR$10/$I$83)*$H24*AR24,5))</f>
        <v>0</v>
      </c>
      <c r="AX24" s="93">
        <f t="shared" si="20"/>
        <v>0</v>
      </c>
      <c r="AY24" s="93">
        <f t="shared" si="21"/>
        <v>0</v>
      </c>
      <c r="AZ24" s="93">
        <f t="shared" si="22"/>
        <v>0</v>
      </c>
      <c r="BA24" s="93">
        <f t="shared" si="23"/>
        <v>0</v>
      </c>
      <c r="BB24" s="93">
        <f t="shared" si="24"/>
        <v>0</v>
      </c>
      <c r="BC24" s="93">
        <f t="shared" si="25"/>
        <v>0</v>
      </c>
      <c r="BD24" s="93">
        <f t="shared" si="26"/>
        <v>0</v>
      </c>
      <c r="BE24" s="93">
        <f t="shared" si="27"/>
        <v>0</v>
      </c>
      <c r="BF24" s="93">
        <f t="shared" si="28"/>
        <v>0</v>
      </c>
      <c r="BG24" s="94">
        <f t="shared" si="29"/>
        <v>0</v>
      </c>
      <c r="BH24" s="95"/>
    </row>
    <row r="25" spans="1:60" x14ac:dyDescent="0.35">
      <c r="A25" s="13">
        <f t="shared" si="0"/>
        <v>19</v>
      </c>
      <c r="B25" s="13" t="s">
        <v>86</v>
      </c>
      <c r="C25" s="97" t="s">
        <v>82</v>
      </c>
      <c r="D25" s="114">
        <f>+'[13]Washington volumes'!J25</f>
        <v>0</v>
      </c>
      <c r="E25" s="98">
        <f>+'[13]Rates in detail'!D25</f>
        <v>0.90245000000000009</v>
      </c>
      <c r="F25" s="98">
        <f>+'[13]Rates in detail'!E25+'[13]Rates in detail'!F25+'[13]Rates in detail'!G25</f>
        <v>0.43274000000000001</v>
      </c>
      <c r="G25" s="98">
        <f>+[13]Temporaries!D25</f>
        <v>0.10593</v>
      </c>
      <c r="H25" s="98">
        <f t="shared" si="17"/>
        <v>0.3637800000000001</v>
      </c>
      <c r="I25" s="99">
        <f>ROUND((H25*D25)+(D26*H26),0)</f>
        <v>0</v>
      </c>
      <c r="J25" s="112">
        <f>+'[13]Avg Bill by RS'!G28</f>
        <v>250</v>
      </c>
      <c r="K25" s="7">
        <f>+'[13]Washington volumes'!L25</f>
        <v>0</v>
      </c>
      <c r="L25" s="100">
        <f>ROUND((J25*K25*12)+I25+I26,0)</f>
        <v>0</v>
      </c>
      <c r="M25" s="101"/>
      <c r="N25" s="102">
        <v>0</v>
      </c>
      <c r="O25" s="103">
        <f>ROUND(+$N$10*(($L25*N25)/N$83),0)</f>
        <v>0</v>
      </c>
      <c r="P25" s="104">
        <f>IF(O25&lt;&gt;0,ROUND((O25/$I25)*$H25,5),ROUND((N$10/$I$83)*$H25*N25,5))</f>
        <v>0</v>
      </c>
      <c r="Q25" s="102">
        <v>0</v>
      </c>
      <c r="R25" s="103">
        <f>ROUND(+$Q$10*(($L25*Q25)/Q$83),0)</f>
        <v>0</v>
      </c>
      <c r="S25" s="104">
        <f>IF(R25&lt;&gt;0,ROUND((R25/$I25)*$H25,5),ROUND((Q$10/$I$83)*$H25*Q25,5))</f>
        <v>0</v>
      </c>
      <c r="T25" s="102">
        <v>0</v>
      </c>
      <c r="U25" s="103">
        <f>ROUND(+$T$10*(($L25*T25)/T$83),0)</f>
        <v>0</v>
      </c>
      <c r="V25" s="104">
        <f>IF(U25&lt;&gt;0,ROUND((U25/$I25)*$H25,5),ROUND((T$10/$I$83)*$H25*T25,5))</f>
        <v>0</v>
      </c>
      <c r="W25" s="102">
        <v>1</v>
      </c>
      <c r="X25" s="103">
        <f>ROUND(+$W$10*(($L25*W25)/W$83),0)</f>
        <v>0</v>
      </c>
      <c r="Y25" s="105">
        <f>IF(X25&lt;&gt;0,ROUND((X25/$I25)*$H25,5),ROUND((W$10/$I$83)*$H25*W25,5))</f>
        <v>5.6699999999999997E-3</v>
      </c>
      <c r="Z25" s="102">
        <v>1</v>
      </c>
      <c r="AA25" s="103">
        <f>ROUND(+$Z$10*(($L25*Z25)/Z$83),0)</f>
        <v>0</v>
      </c>
      <c r="AB25" s="104">
        <f>IF(AA25&lt;&gt;0,ROUND((AA25/$I25)*$H25,5),ROUND((Z$10/$I$83)*$H25*Z25,5))</f>
        <v>9.1E-4</v>
      </c>
      <c r="AC25" s="102">
        <v>1</v>
      </c>
      <c r="AD25" s="103">
        <f>ROUND(+$AC$10*(($L25*AC25)/AC$83),0)</f>
        <v>0</v>
      </c>
      <c r="AE25" s="106">
        <f>IF(AD25&lt;&gt;0,ROUND((AD25/$I25)*$H25,5),ROUND((AC$10/$I$83)*$H25*AC25,5))</f>
        <v>-6.9999999999999994E-5</v>
      </c>
      <c r="AF25" s="102">
        <v>1</v>
      </c>
      <c r="AG25" s="103">
        <v>0</v>
      </c>
      <c r="AH25" s="106">
        <v>5.47E-3</v>
      </c>
      <c r="AI25" s="102">
        <v>1</v>
      </c>
      <c r="AJ25" s="103">
        <v>0</v>
      </c>
      <c r="AK25" s="104">
        <v>1.4030000000000001E-2</v>
      </c>
      <c r="AL25" s="113">
        <v>1</v>
      </c>
      <c r="AM25" s="108">
        <f>ROUND(+$AL$10*(($L25*AL25)/AL$83),0)</f>
        <v>0</v>
      </c>
      <c r="AN25" s="109">
        <f>IF(AM25&lt;&gt;0,ROUND((AM25/$I25)*$H25,5),ROUND((AL$10/$I$83)*$H25*AL25,5))</f>
        <v>6.9999999999999994E-5</v>
      </c>
      <c r="AO25" s="113">
        <v>1</v>
      </c>
      <c r="AP25" s="110">
        <f>ROUND(+$AO$10*(($L25*AO25)/AO$83),0)</f>
        <v>0</v>
      </c>
      <c r="AQ25" s="109">
        <f>IF(AP25&lt;&gt;0,ROUND((AP25/$I25)*$H25,5),ROUND((AO$10/$I$83)*$H25*AO25,5))</f>
        <v>0</v>
      </c>
      <c r="AR25" s="113">
        <v>1</v>
      </c>
      <c r="AS25" s="110">
        <f>ROUND(+$AR$10*(($L25*AR25)/AR$83),0)</f>
        <v>0</v>
      </c>
      <c r="AT25" s="109">
        <f>IF(AS25&lt;&gt;0,ROUND((AS25/$I25)*$H25,5),ROUND((AR$10/$I$83)*$H25*AR25,5))</f>
        <v>0</v>
      </c>
      <c r="AX25" s="93">
        <f>P25*$D25</f>
        <v>0</v>
      </c>
      <c r="AY25" s="93">
        <f>S25*$D25</f>
        <v>0</v>
      </c>
      <c r="AZ25" s="93">
        <f>V25*$D25</f>
        <v>0</v>
      </c>
      <c r="BA25" s="93">
        <f>Y25*$D25</f>
        <v>0</v>
      </c>
      <c r="BB25" s="93">
        <f>AB25*$D25</f>
        <v>0</v>
      </c>
      <c r="BC25" s="93">
        <f t="shared" si="25"/>
        <v>0</v>
      </c>
      <c r="BD25" s="93">
        <f>AH25*$D25</f>
        <v>0</v>
      </c>
      <c r="BE25" s="93">
        <f t="shared" si="27"/>
        <v>0</v>
      </c>
      <c r="BF25" s="93">
        <f t="shared" si="28"/>
        <v>0</v>
      </c>
      <c r="BG25" s="94">
        <f t="shared" si="29"/>
        <v>0</v>
      </c>
      <c r="BH25" s="95"/>
    </row>
    <row r="26" spans="1:60" x14ac:dyDescent="0.35">
      <c r="A26" s="13">
        <f t="shared" si="0"/>
        <v>20</v>
      </c>
      <c r="B26" s="96"/>
      <c r="C26" s="111" t="s">
        <v>83</v>
      </c>
      <c r="D26" s="78">
        <f>+'[13]Washington volumes'!J26</f>
        <v>0</v>
      </c>
      <c r="E26" s="79">
        <f>+'[13]Rates in detail'!D26</f>
        <v>0.8560899999999998</v>
      </c>
      <c r="F26" s="79">
        <f>+'[13]Rates in detail'!E26+'[13]Rates in detail'!F26+'[13]Rates in detail'!G26</f>
        <v>0.43274000000000001</v>
      </c>
      <c r="G26" s="79">
        <f>+[13]Temporaries!D26</f>
        <v>0.10284999999999997</v>
      </c>
      <c r="H26" s="79">
        <f t="shared" si="17"/>
        <v>0.32049999999999979</v>
      </c>
      <c r="I26" s="80"/>
      <c r="J26" s="81"/>
      <c r="K26" s="78"/>
      <c r="L26" s="82"/>
      <c r="M26" s="83"/>
      <c r="N26" s="84">
        <v>0</v>
      </c>
      <c r="O26" s="80"/>
      <c r="P26" s="85">
        <f>IF(O25&lt;&gt;0,ROUND((O25/$I25)*$H26,5),ROUND((N$10/$I$83)*$H26*N26,5))</f>
        <v>0</v>
      </c>
      <c r="Q26" s="84">
        <v>0</v>
      </c>
      <c r="R26" s="80"/>
      <c r="S26" s="85">
        <f>IF(R25&lt;&gt;0,ROUND((R25/$I25)*$H26,5),ROUND((Q$10/$I$83)*$H26*Q26,5))</f>
        <v>0</v>
      </c>
      <c r="T26" s="84">
        <v>0</v>
      </c>
      <c r="U26" s="80"/>
      <c r="V26" s="85">
        <f>IF(U25&lt;&gt;0,ROUND((U25/$I25)*$H26,5),ROUND((T$10/$I$83)*$H26*T26,5))</f>
        <v>0</v>
      </c>
      <c r="W26" s="84">
        <v>1</v>
      </c>
      <c r="X26" s="80"/>
      <c r="Y26" s="86">
        <f>IF(X25&lt;&gt;0,ROUND((X25/$I25)*$H26,5),ROUND((W$10/$I$83)*$H26*W26,5))</f>
        <v>5.0000000000000001E-3</v>
      </c>
      <c r="Z26" s="84">
        <v>1</v>
      </c>
      <c r="AA26" s="80"/>
      <c r="AB26" s="85">
        <f>IF(AA25&lt;&gt;0,ROUND((AA25/$I25)*$H26,5),ROUND((Z$10/$I$83)*$H26*Z26,5))</f>
        <v>8.0999999999999996E-4</v>
      </c>
      <c r="AC26" s="84">
        <v>1</v>
      </c>
      <c r="AD26" s="80"/>
      <c r="AE26" s="87">
        <f>IF(AD25&lt;&gt;0,ROUND((AD25/$I25)*$H26,5),ROUND((AC$10/$I$83)*$H26*AC26,5))</f>
        <v>-6.0000000000000002E-5</v>
      </c>
      <c r="AF26" s="84">
        <v>1</v>
      </c>
      <c r="AG26" s="80"/>
      <c r="AH26" s="87">
        <v>4.8199999999999996E-3</v>
      </c>
      <c r="AI26" s="84">
        <v>1</v>
      </c>
      <c r="AJ26" s="80"/>
      <c r="AK26" s="85">
        <v>1.2359999999999999E-2</v>
      </c>
      <c r="AL26" s="88">
        <v>1</v>
      </c>
      <c r="AM26" s="89"/>
      <c r="AN26" s="90">
        <f>IF(AM25&lt;&gt;0,ROUND((AM25/$I25)*$H26,5),ROUND((AL$10/$I$83)*$H26*AL26,5))</f>
        <v>6.0000000000000002E-5</v>
      </c>
      <c r="AO26" s="88">
        <v>1</v>
      </c>
      <c r="AP26" s="91"/>
      <c r="AQ26" s="90">
        <f>IF(AP25&lt;&gt;0,ROUND((AP25/$I25)*$H26,5),ROUND((AO$10/$I$83)*$H26*AO26,5))</f>
        <v>0</v>
      </c>
      <c r="AR26" s="88">
        <v>1</v>
      </c>
      <c r="AS26" s="91"/>
      <c r="AT26" s="90">
        <f>IF(AS25&lt;&gt;0,ROUND((AS25/$I25)*$H26,5),ROUND((AR$10/$I$83)*$H26*AR26,5))</f>
        <v>0</v>
      </c>
      <c r="AX26" s="93">
        <f>P26*$D26</f>
        <v>0</v>
      </c>
      <c r="AY26" s="93">
        <f>S26*$D26</f>
        <v>0</v>
      </c>
      <c r="AZ26" s="93">
        <f>V26*$D26</f>
        <v>0</v>
      </c>
      <c r="BA26" s="93">
        <f>Y26*$D26</f>
        <v>0</v>
      </c>
      <c r="BB26" s="93">
        <f>AB26*$D26</f>
        <v>0</v>
      </c>
      <c r="BC26" s="93">
        <f t="shared" si="25"/>
        <v>0</v>
      </c>
      <c r="BD26" s="93">
        <f>AH26*$D26</f>
        <v>0</v>
      </c>
      <c r="BE26" s="93">
        <f t="shared" si="27"/>
        <v>0</v>
      </c>
      <c r="BF26" s="93">
        <f t="shared" si="28"/>
        <v>0</v>
      </c>
      <c r="BG26" s="94">
        <f t="shared" si="29"/>
        <v>0</v>
      </c>
      <c r="BH26" s="95"/>
    </row>
    <row r="27" spans="1:60" x14ac:dyDescent="0.35">
      <c r="A27" s="13">
        <f t="shared" si="0"/>
        <v>21</v>
      </c>
      <c r="B27" s="13" t="s">
        <v>87</v>
      </c>
      <c r="C27" s="97" t="s">
        <v>82</v>
      </c>
      <c r="D27" s="7">
        <f>+'[13]Washington volumes'!J27</f>
        <v>123242.73967014518</v>
      </c>
      <c r="E27" s="98">
        <f>+'[13]Rates in detail'!D27</f>
        <v>0.64044000000000001</v>
      </c>
      <c r="F27" s="98">
        <f>+'[13]Rates in detail'!E27+'[13]Rates in detail'!F27+'[13]Rates in detail'!G27</f>
        <v>0</v>
      </c>
      <c r="G27" s="98">
        <f>+[13]Temporaries!D27</f>
        <v>0.26258999999999999</v>
      </c>
      <c r="H27" s="98">
        <f t="shared" si="17"/>
        <v>0.37785000000000002</v>
      </c>
      <c r="I27" s="99">
        <f>ROUND((H27*D27)+(D28*H28),0)</f>
        <v>141405</v>
      </c>
      <c r="J27" s="112">
        <f>+'[13]Avg Bill by RS'!G31</f>
        <v>500</v>
      </c>
      <c r="K27" s="7">
        <f>+'[13]Washington volumes'!L27</f>
        <v>8</v>
      </c>
      <c r="L27" s="100">
        <f>ROUND((J27*K27*12)+I27+I28,0)</f>
        <v>189405</v>
      </c>
      <c r="M27" s="101"/>
      <c r="N27" s="102">
        <v>0</v>
      </c>
      <c r="O27" s="103">
        <f>ROUND(+$N$10*(($L27*N27)/N$83),0)</f>
        <v>0</v>
      </c>
      <c r="P27" s="104">
        <f>IF(O27&lt;&gt;0,ROUND((O27/$I27)*$H27,5),ROUND((N$10/$I$83)*$H27*N27,5))</f>
        <v>0</v>
      </c>
      <c r="Q27" s="102">
        <v>0</v>
      </c>
      <c r="R27" s="103">
        <f>ROUND(+$Q$10*(($L27*Q27)/Q$83),0)</f>
        <v>0</v>
      </c>
      <c r="S27" s="104">
        <f>IF(R27&lt;&gt;0,ROUND((R27/$I27)*$H27,5),ROUND((Q$10/$I$83)*$H27*Q27,5))</f>
        <v>0</v>
      </c>
      <c r="T27" s="102">
        <v>0</v>
      </c>
      <c r="U27" s="103">
        <f>ROUND(+$T$10*(($L27*T27)/T$83),0)</f>
        <v>0</v>
      </c>
      <c r="V27" s="104">
        <f>IF(U27&lt;&gt;0,ROUND((U27/$I27)*$H27,5),ROUND((T$10/$I$83)*$H27*T27,5))</f>
        <v>0</v>
      </c>
      <c r="W27" s="102">
        <v>0</v>
      </c>
      <c r="X27" s="103">
        <f>ROUND(+$W$10*(($L27*W27)/W$83),0)</f>
        <v>0</v>
      </c>
      <c r="Y27" s="105">
        <f>IF(X27&lt;&gt;0,ROUND((X27/$I27)*$H27,5),ROUND((W$10/$I$83)*$H27*W27,5))</f>
        <v>0</v>
      </c>
      <c r="Z27" s="102">
        <v>0</v>
      </c>
      <c r="AA27" s="103">
        <f>ROUND(+$Z$10*(($L27*Z27)/Z$83),0)</f>
        <v>0</v>
      </c>
      <c r="AB27" s="104">
        <f>IF(AA27&lt;&gt;0,ROUND((AA27/$I27)*$H27,5),ROUND((Z$10/$I$83)*$H27*Z27,5))</f>
        <v>0</v>
      </c>
      <c r="AC27" s="102">
        <v>1</v>
      </c>
      <c r="AD27" s="103">
        <f>ROUND(+$AC$10*(($L27*AC27)/AC$83),0)</f>
        <v>-29</v>
      </c>
      <c r="AE27" s="106">
        <f>IF(AD27&lt;&gt;0,ROUND((AD27/$I27)*$H27,5),ROUND((AC$10/$I$83)*$H27*AC27,5))</f>
        <v>-8.0000000000000007E-5</v>
      </c>
      <c r="AF27" s="102">
        <v>1</v>
      </c>
      <c r="AG27" s="103">
        <v>2306</v>
      </c>
      <c r="AH27" s="106">
        <v>6.1599999999999997E-3</v>
      </c>
      <c r="AI27" s="102">
        <v>1</v>
      </c>
      <c r="AJ27" s="103">
        <v>6469</v>
      </c>
      <c r="AK27" s="104">
        <v>1.5440000000000001E-2</v>
      </c>
      <c r="AL27" s="113">
        <v>0</v>
      </c>
      <c r="AM27" s="108">
        <f>ROUND(+$AL$10*(($L27*AL27)/AL$83),0)</f>
        <v>0</v>
      </c>
      <c r="AN27" s="109">
        <f>IF(AM27&lt;&gt;0,ROUND((AM27/$I27)*$H27,5),ROUND((AL$10/$I$83)*$H27*AL27,5))</f>
        <v>0</v>
      </c>
      <c r="AO27" s="113">
        <v>1</v>
      </c>
      <c r="AP27" s="110">
        <f>ROUND(+$AO$10*(($L27*AO27)/AO$83),0)</f>
        <v>0</v>
      </c>
      <c r="AQ27" s="109">
        <f>IF(AP27&lt;&gt;0,ROUND((AP27/$I27)*$H27,5),ROUND((AO$10/$I$83)*$H27*AO27,5))</f>
        <v>0</v>
      </c>
      <c r="AR27" s="113">
        <v>1</v>
      </c>
      <c r="AS27" s="110">
        <f>ROUND(+$AR$10*(($L27*AR27)/AR$83),0)</f>
        <v>0</v>
      </c>
      <c r="AT27" s="109">
        <f>IF(AS27&lt;&gt;0,ROUND((AS27/$I27)*$H27,5),ROUND((AR$10/$I$83)*$H27*AR27,5))</f>
        <v>0</v>
      </c>
      <c r="AX27" s="93">
        <f t="shared" si="20"/>
        <v>0</v>
      </c>
      <c r="AY27" s="93">
        <f t="shared" si="21"/>
        <v>0</v>
      </c>
      <c r="AZ27" s="93">
        <f t="shared" si="22"/>
        <v>0</v>
      </c>
      <c r="BA27" s="93">
        <f t="shared" si="23"/>
        <v>0</v>
      </c>
      <c r="BB27" s="93">
        <f t="shared" si="24"/>
        <v>0</v>
      </c>
      <c r="BC27" s="93">
        <f t="shared" si="25"/>
        <v>-9.8594191736116148</v>
      </c>
      <c r="BD27" s="93">
        <f t="shared" si="26"/>
        <v>759.17527636809427</v>
      </c>
      <c r="BE27" s="93">
        <f t="shared" si="27"/>
        <v>1902.8679005070417</v>
      </c>
      <c r="BF27" s="93">
        <f t="shared" si="28"/>
        <v>0</v>
      </c>
      <c r="BG27" s="94">
        <f t="shared" si="29"/>
        <v>2652.1837577015244</v>
      </c>
      <c r="BH27" s="95"/>
    </row>
    <row r="28" spans="1:60" x14ac:dyDescent="0.35">
      <c r="A28" s="13">
        <f t="shared" si="0"/>
        <v>22</v>
      </c>
      <c r="B28" s="96"/>
      <c r="C28" s="111" t="s">
        <v>83</v>
      </c>
      <c r="D28" s="78">
        <f>+'[13]Washington volumes'!J28</f>
        <v>284875.42061605473</v>
      </c>
      <c r="E28" s="79">
        <f>+'[13]Rates in detail'!D28</f>
        <v>0.5930200000000001</v>
      </c>
      <c r="F28" s="79">
        <f>+'[13]Rates in detail'!E28+'[13]Rates in detail'!F28+'[13]Rates in detail'!G28</f>
        <v>0</v>
      </c>
      <c r="G28" s="79">
        <f>+[13]Temporaries!D28</f>
        <v>0.26011000000000001</v>
      </c>
      <c r="H28" s="79">
        <f t="shared" si="17"/>
        <v>0.33291000000000009</v>
      </c>
      <c r="I28" s="80"/>
      <c r="J28" s="81"/>
      <c r="K28" s="78"/>
      <c r="L28" s="82"/>
      <c r="M28" s="83"/>
      <c r="N28" s="84">
        <v>0</v>
      </c>
      <c r="O28" s="80"/>
      <c r="P28" s="85">
        <f>IF(O27&lt;&gt;0,ROUND((O27/$I27)*$H28,5),ROUND((N$10/$I$83)*$H28*N28,5))</f>
        <v>0</v>
      </c>
      <c r="Q28" s="84">
        <v>0</v>
      </c>
      <c r="R28" s="80"/>
      <c r="S28" s="85">
        <f>IF(R27&lt;&gt;0,ROUND((R27/$I27)*$H28,5),ROUND((Q$10/$I$83)*$H28*Q28,5))</f>
        <v>0</v>
      </c>
      <c r="T28" s="84">
        <v>0</v>
      </c>
      <c r="U28" s="80"/>
      <c r="V28" s="85">
        <f>IF(U27&lt;&gt;0,ROUND((U27/$I27)*$H28,5),ROUND((T$10/$I$83)*$H28*T28,5))</f>
        <v>0</v>
      </c>
      <c r="W28" s="84">
        <v>0</v>
      </c>
      <c r="X28" s="80"/>
      <c r="Y28" s="86">
        <f>IF(X27&lt;&gt;0,ROUND((X27/$I27)*$H28,5),ROUND((W$10/$I$83)*$H28*W28,5))</f>
        <v>0</v>
      </c>
      <c r="Z28" s="84">
        <v>0</v>
      </c>
      <c r="AA28" s="80"/>
      <c r="AB28" s="85">
        <f>IF(AA27&lt;&gt;0,ROUND((AA27/$I27)*$H28,5),ROUND((Z$10/$I$83)*$H28*Z28,5))</f>
        <v>0</v>
      </c>
      <c r="AC28" s="84">
        <v>1</v>
      </c>
      <c r="AD28" s="80"/>
      <c r="AE28" s="87">
        <f>IF(AD27&lt;&gt;0,ROUND((AD27/$I27)*$H28,5),ROUND((AC$10/$I$83)*$H28*AC28,5))</f>
        <v>-6.9999999999999994E-5</v>
      </c>
      <c r="AF28" s="84">
        <v>1</v>
      </c>
      <c r="AG28" s="80"/>
      <c r="AH28" s="87">
        <v>5.4299999999999999E-3</v>
      </c>
      <c r="AI28" s="84">
        <v>1</v>
      </c>
      <c r="AJ28" s="80"/>
      <c r="AK28" s="85">
        <v>1.3599999999999999E-2</v>
      </c>
      <c r="AL28" s="88">
        <v>0</v>
      </c>
      <c r="AM28" s="89"/>
      <c r="AN28" s="90">
        <f>IF(AM27&lt;&gt;0,ROUND((AM27/$I27)*$H28,5),ROUND((AL$10/$I$83)*$H28*AL28,5))</f>
        <v>0</v>
      </c>
      <c r="AO28" s="88">
        <v>1</v>
      </c>
      <c r="AP28" s="91"/>
      <c r="AQ28" s="90">
        <f>IF(AP27&lt;&gt;0,ROUND((AP27/$I27)*$H28,5),ROUND((AO$10/$I$83)*$H28*AO28,5))</f>
        <v>0</v>
      </c>
      <c r="AR28" s="88">
        <v>1</v>
      </c>
      <c r="AS28" s="91"/>
      <c r="AT28" s="90">
        <f>IF(AS27&lt;&gt;0,ROUND((AS27/$I27)*$H28,5),ROUND((AR$10/$I$83)*$H28*AR28,5))</f>
        <v>0</v>
      </c>
      <c r="AX28" s="93">
        <f t="shared" si="20"/>
        <v>0</v>
      </c>
      <c r="AY28" s="93">
        <f t="shared" si="21"/>
        <v>0</v>
      </c>
      <c r="AZ28" s="93">
        <f t="shared" si="22"/>
        <v>0</v>
      </c>
      <c r="BA28" s="93">
        <f t="shared" si="23"/>
        <v>0</v>
      </c>
      <c r="BB28" s="93">
        <f t="shared" si="24"/>
        <v>0</v>
      </c>
      <c r="BC28" s="93">
        <f t="shared" si="25"/>
        <v>-19.941279443123829</v>
      </c>
      <c r="BD28" s="93">
        <f t="shared" si="26"/>
        <v>1546.8735339451771</v>
      </c>
      <c r="BE28" s="93">
        <f t="shared" si="27"/>
        <v>3874.3057203783442</v>
      </c>
      <c r="BF28" s="93">
        <f t="shared" si="28"/>
        <v>0</v>
      </c>
      <c r="BG28" s="94">
        <f t="shared" si="29"/>
        <v>5401.2379748803978</v>
      </c>
      <c r="BH28" s="95"/>
    </row>
    <row r="29" spans="1:60" x14ac:dyDescent="0.35">
      <c r="A29" s="13">
        <f t="shared" si="0"/>
        <v>23</v>
      </c>
      <c r="B29" s="65" t="s">
        <v>88</v>
      </c>
      <c r="C29" s="97" t="s">
        <v>82</v>
      </c>
      <c r="D29" s="7">
        <f>+'[13]Washington volumes'!J29</f>
        <v>0</v>
      </c>
      <c r="E29" s="98">
        <f>+'[13]Rates in detail'!D29</f>
        <v>0.62856000000000001</v>
      </c>
      <c r="F29" s="98">
        <f>+'[13]Rates in detail'!E29+'[13]Rates in detail'!F29+'[13]Rates in detail'!G29</f>
        <v>0</v>
      </c>
      <c r="G29" s="98">
        <f>+[13]Temporaries!D29</f>
        <v>0.26074999999999998</v>
      </c>
      <c r="H29" s="98">
        <f>+E29-F29-G29</f>
        <v>0.36781000000000003</v>
      </c>
      <c r="I29" s="99">
        <f>ROUND((H29*D29)+(D30*H30),0)</f>
        <v>0</v>
      </c>
      <c r="J29" s="112">
        <f>+'[13]Avg Bill by RS'!G34</f>
        <v>500</v>
      </c>
      <c r="K29" s="7">
        <f>+'[13]Washington volumes'!L29</f>
        <v>0</v>
      </c>
      <c r="L29" s="100">
        <f>ROUND((J29*K29*12)+I29+I30,0)</f>
        <v>0</v>
      </c>
      <c r="M29" s="115"/>
      <c r="N29" s="116">
        <v>0</v>
      </c>
      <c r="O29" s="103">
        <f>ROUND(+$N$10*(($L29*N29)/N$83),0)</f>
        <v>0</v>
      </c>
      <c r="P29" s="104">
        <f>IF(O29&lt;&gt;0,ROUND((O29/$I29)*$H29,5),ROUND((N$10/$I$83)*$H29*N29,5))</f>
        <v>0</v>
      </c>
      <c r="Q29" s="116">
        <v>0</v>
      </c>
      <c r="R29" s="103">
        <f>ROUND(+$Q$10*(($L29*Q29)/Q$83),0)</f>
        <v>0</v>
      </c>
      <c r="S29" s="104">
        <f>IF(R29&lt;&gt;0,ROUND((R29/$I29)*$H29,5),ROUND((Q$10/$I$83)*$H29*Q29,5))</f>
        <v>0</v>
      </c>
      <c r="T29" s="102">
        <v>0</v>
      </c>
      <c r="U29" s="103">
        <f>ROUND(+$T$10*(($L29*T29)/T$83),0)</f>
        <v>0</v>
      </c>
      <c r="V29" s="104">
        <f>IF(U29&lt;&gt;0,ROUND((U29/$I29)*$H29,5),ROUND((T$10/$I$83)*$H29*T29,5))</f>
        <v>0</v>
      </c>
      <c r="W29" s="102">
        <v>0</v>
      </c>
      <c r="X29" s="103">
        <f>ROUND(+$W$10*(($L29*W29)/W$83),0)</f>
        <v>0</v>
      </c>
      <c r="Y29" s="105">
        <f>IF(X29&lt;&gt;0,ROUND((X29/$I29)*$H29,5),ROUND((W$10/$I$83)*$H29*W29,5))</f>
        <v>0</v>
      </c>
      <c r="Z29" s="102">
        <v>0</v>
      </c>
      <c r="AA29" s="103">
        <f>ROUND(+$Z$10*(($L29*Z29)/Z$83),0)</f>
        <v>0</v>
      </c>
      <c r="AB29" s="104">
        <f>IF(AA29&lt;&gt;0,ROUND((AA29/$I29)*$H29,5),ROUND((Z$10/$I$83)*$H29*Z29,5))</f>
        <v>0</v>
      </c>
      <c r="AC29" s="102">
        <v>1</v>
      </c>
      <c r="AD29" s="103">
        <f>ROUND(+$AC$10*(($L29*AC29)/AC$83),0)</f>
        <v>0</v>
      </c>
      <c r="AE29" s="106">
        <f>IF(AD29&lt;&gt;0,ROUND((AD29/$I29)*$H29,5),ROUND((AC$10/$I$83)*$H29*AC29,5))</f>
        <v>-6.9999999999999994E-5</v>
      </c>
      <c r="AF29" s="102">
        <v>1</v>
      </c>
      <c r="AG29" s="103">
        <v>0</v>
      </c>
      <c r="AH29" s="106">
        <v>5.5300000000000002E-3</v>
      </c>
      <c r="AI29" s="102">
        <v>1</v>
      </c>
      <c r="AJ29" s="103">
        <v>0</v>
      </c>
      <c r="AK29" s="104">
        <v>1.418E-2</v>
      </c>
      <c r="AL29" s="113">
        <v>0</v>
      </c>
      <c r="AM29" s="108">
        <f>ROUND(+$AL$10*(($L29*AL29)/AL$83),0)</f>
        <v>0</v>
      </c>
      <c r="AN29" s="109">
        <f>IF(AM29&lt;&gt;0,ROUND((AM29/$I29)*$H29,5),ROUND((AL$10/$I$83)*$H29*AL29,5))</f>
        <v>0</v>
      </c>
      <c r="AO29" s="113">
        <v>1</v>
      </c>
      <c r="AP29" s="110">
        <f>ROUND(+$AO$10*(($L29*AO29)/AO$83),0)</f>
        <v>0</v>
      </c>
      <c r="AQ29" s="109">
        <f>IF(AP29&lt;&gt;0,ROUND((AP29/$I29)*$H29,5),ROUND((AO$10/$I$83)*$H29*AO29,5))</f>
        <v>0</v>
      </c>
      <c r="AR29" s="113">
        <v>1</v>
      </c>
      <c r="AS29" s="110">
        <f>ROUND(+$AR$10*(($L29*AR29)/AR$83),0)</f>
        <v>0</v>
      </c>
      <c r="AT29" s="109">
        <f>IF(AS29&lt;&gt;0,ROUND((AS29/$I29)*$H29,5),ROUND((AR$10/$I$83)*$H29*AR29,5))</f>
        <v>0</v>
      </c>
      <c r="AX29" s="93">
        <f t="shared" si="20"/>
        <v>0</v>
      </c>
      <c r="AY29" s="93">
        <f t="shared" si="21"/>
        <v>0</v>
      </c>
      <c r="AZ29" s="93">
        <f t="shared" si="22"/>
        <v>0</v>
      </c>
      <c r="BA29" s="93">
        <f t="shared" si="23"/>
        <v>0</v>
      </c>
      <c r="BB29" s="93">
        <f t="shared" si="24"/>
        <v>0</v>
      </c>
      <c r="BC29" s="93">
        <f t="shared" si="25"/>
        <v>0</v>
      </c>
      <c r="BD29" s="93">
        <f t="shared" si="26"/>
        <v>0</v>
      </c>
      <c r="BE29" s="93">
        <f t="shared" si="27"/>
        <v>0</v>
      </c>
      <c r="BF29" s="93">
        <f t="shared" si="28"/>
        <v>0</v>
      </c>
      <c r="BG29" s="94">
        <f t="shared" si="29"/>
        <v>0</v>
      </c>
      <c r="BH29" s="95"/>
    </row>
    <row r="30" spans="1:60" x14ac:dyDescent="0.35">
      <c r="A30" s="13">
        <f t="shared" si="0"/>
        <v>24</v>
      </c>
      <c r="B30" s="96"/>
      <c r="C30" s="111" t="s">
        <v>83</v>
      </c>
      <c r="D30" s="78">
        <f>+'[13]Washington volumes'!J30</f>
        <v>0</v>
      </c>
      <c r="E30" s="79">
        <f>+'[13]Rates in detail'!D30</f>
        <v>0.58256000000000019</v>
      </c>
      <c r="F30" s="79">
        <f>+'[13]Rates in detail'!E30+'[13]Rates in detail'!F30+'[13]Rates in detail'!G30</f>
        <v>0</v>
      </c>
      <c r="G30" s="79">
        <f>+[13]Temporaries!D30</f>
        <v>0.25850000000000001</v>
      </c>
      <c r="H30" s="79">
        <f t="shared" ref="H30" si="32">+E30-F30-G30</f>
        <v>0.32406000000000018</v>
      </c>
      <c r="I30" s="80"/>
      <c r="J30" s="81"/>
      <c r="K30" s="78"/>
      <c r="L30" s="82"/>
      <c r="M30" s="83"/>
      <c r="N30" s="84">
        <v>0</v>
      </c>
      <c r="O30" s="80"/>
      <c r="P30" s="85">
        <f>IF(O29&lt;&gt;0,ROUND((O29/$I29)*$H30,5),ROUND((N$10/$I$83)*$H30*N30,5))</f>
        <v>0</v>
      </c>
      <c r="Q30" s="84">
        <v>0</v>
      </c>
      <c r="R30" s="80"/>
      <c r="S30" s="85">
        <f>IF(R29&lt;&gt;0,ROUND((R29/$I29)*$H30,5),ROUND((Q$10/$I$83)*$H30*Q30,5))</f>
        <v>0</v>
      </c>
      <c r="T30" s="84">
        <v>0</v>
      </c>
      <c r="U30" s="80"/>
      <c r="V30" s="85">
        <f>IF(U29&lt;&gt;0,ROUND((U29/$I29)*$H30,5),ROUND((T$10/$I$83)*$H30*T30,5))</f>
        <v>0</v>
      </c>
      <c r="W30" s="84">
        <v>0</v>
      </c>
      <c r="X30" s="80"/>
      <c r="Y30" s="86">
        <f>IF(X29&lt;&gt;0,ROUND((X29/$I29)*$H30,5),ROUND((W$10/$I$83)*$H30*W30,5))</f>
        <v>0</v>
      </c>
      <c r="Z30" s="84">
        <v>0</v>
      </c>
      <c r="AA30" s="80"/>
      <c r="AB30" s="85">
        <f>IF(AA29&lt;&gt;0,ROUND((AA29/$I29)*$H30,5),ROUND((Z$10/$I$83)*$H30*Z30,5))</f>
        <v>0</v>
      </c>
      <c r="AC30" s="84">
        <v>1</v>
      </c>
      <c r="AD30" s="80"/>
      <c r="AE30" s="87">
        <f>IF(AD29&lt;&gt;0,ROUND((AD29/$I29)*$H30,5),ROUND((AC$10/$I$83)*$H30*AC30,5))</f>
        <v>-6.0000000000000002E-5</v>
      </c>
      <c r="AF30" s="84">
        <v>1</v>
      </c>
      <c r="AG30" s="80"/>
      <c r="AH30" s="87">
        <v>4.8700000000000002E-3</v>
      </c>
      <c r="AI30" s="84">
        <v>1</v>
      </c>
      <c r="AJ30" s="80"/>
      <c r="AK30" s="85">
        <v>1.2500000000000001E-2</v>
      </c>
      <c r="AL30" s="88">
        <v>0</v>
      </c>
      <c r="AM30" s="89"/>
      <c r="AN30" s="90">
        <f>IF(AM29&lt;&gt;0,ROUND((AM29/$I29)*$H30,5),ROUND((AL$10/$I$83)*$H30*AL30,5))</f>
        <v>0</v>
      </c>
      <c r="AO30" s="88">
        <v>1</v>
      </c>
      <c r="AP30" s="91"/>
      <c r="AQ30" s="90">
        <f>IF(AP29&lt;&gt;0,ROUND((AP29/$I29)*$H30,5),ROUND((AO$10/$I$83)*$H30*AO30,5))</f>
        <v>0</v>
      </c>
      <c r="AR30" s="88">
        <v>1</v>
      </c>
      <c r="AS30" s="91"/>
      <c r="AT30" s="90">
        <f>IF(AS29&lt;&gt;0,ROUND((AS29/$I29)*$H30,5),ROUND((AR$10/$I$83)*$H30*AR30,5))</f>
        <v>0</v>
      </c>
      <c r="AX30" s="93">
        <f t="shared" si="20"/>
        <v>0</v>
      </c>
      <c r="AY30" s="93">
        <f t="shared" si="21"/>
        <v>0</v>
      </c>
      <c r="AZ30" s="93">
        <f t="shared" si="22"/>
        <v>0</v>
      </c>
      <c r="BA30" s="93">
        <f t="shared" si="23"/>
        <v>0</v>
      </c>
      <c r="BB30" s="93">
        <f t="shared" si="24"/>
        <v>0</v>
      </c>
      <c r="BC30" s="93">
        <f t="shared" si="25"/>
        <v>0</v>
      </c>
      <c r="BD30" s="93">
        <f t="shared" si="26"/>
        <v>0</v>
      </c>
      <c r="BE30" s="93">
        <f t="shared" si="27"/>
        <v>0</v>
      </c>
      <c r="BF30" s="93">
        <f t="shared" si="28"/>
        <v>0</v>
      </c>
      <c r="BG30" s="94">
        <f t="shared" si="29"/>
        <v>0</v>
      </c>
      <c r="BH30" s="95"/>
    </row>
    <row r="31" spans="1:60" x14ac:dyDescent="0.35">
      <c r="A31" s="13">
        <f t="shared" si="0"/>
        <v>25</v>
      </c>
      <c r="B31" s="13" t="s">
        <v>89</v>
      </c>
      <c r="C31" s="97" t="s">
        <v>82</v>
      </c>
      <c r="D31" s="7">
        <f>+'[13]Washington volumes'!J31</f>
        <v>820212.7</v>
      </c>
      <c r="E31" s="98">
        <f>+'[13]Rates in detail'!D31</f>
        <v>0.79625999999999986</v>
      </c>
      <c r="F31" s="98">
        <f>+'[13]Rates in detail'!E31+'[13]Rates in detail'!F31+'[13]Rates in detail'!G31</f>
        <v>0.43274000000000001</v>
      </c>
      <c r="G31" s="98">
        <f>+[13]Temporaries!D31</f>
        <v>0.15741999999999998</v>
      </c>
      <c r="H31" s="98">
        <f t="shared" si="17"/>
        <v>0.20609999999999987</v>
      </c>
      <c r="I31" s="99">
        <f>ROUND((H31*D31)+(D32*H32)+(D33*H33)+(D34*H34)+(D35*H35)+(D36*H36),0)</f>
        <v>395334</v>
      </c>
      <c r="J31" s="112">
        <f>+'[13]Avg Bill by RS'!G37</f>
        <v>1300</v>
      </c>
      <c r="K31" s="7">
        <f>+'[13]Washington volumes'!L31</f>
        <v>8</v>
      </c>
      <c r="L31" s="100">
        <f>ROUND((J31*K31*12)+I31+I32+I33+I34+I35+I36,0)</f>
        <v>520134</v>
      </c>
      <c r="M31" s="101"/>
      <c r="N31" s="102">
        <v>1</v>
      </c>
      <c r="O31" s="117">
        <f>ROUND(+$N$10*(($L31*N31)/N$83),0)</f>
        <v>49038</v>
      </c>
      <c r="P31" s="118">
        <f>IF(O31&lt;&gt;0,ROUND((O31/$I31)*$H31,5),ROUND((N$10/$I$83)*$H31*N31,5))</f>
        <v>2.5569999999999999E-2</v>
      </c>
      <c r="Q31" s="102">
        <v>1</v>
      </c>
      <c r="R31" s="117">
        <f>ROUND(+$Q$10*(($L31*Q31)/Q$83),0)</f>
        <v>-607</v>
      </c>
      <c r="S31" s="118">
        <f>IF(R31&lt;&gt;0,ROUND((R31/$I31)*$H31,5),ROUND((Q$10/$I$83)*$H31*Q31,5))</f>
        <v>-3.2000000000000003E-4</v>
      </c>
      <c r="T31" s="102">
        <v>1</v>
      </c>
      <c r="U31" s="117">
        <f>ROUND(+$T$10*(($L31*T31)/T$83),0)</f>
        <v>0</v>
      </c>
      <c r="V31" s="118">
        <f>IF(U31&lt;&gt;0,ROUND((U31/$I31)*$H31,5),ROUND((T$10/$I$83)*$H31*T31,5))</f>
        <v>0</v>
      </c>
      <c r="W31" s="102">
        <v>1</v>
      </c>
      <c r="X31" s="117">
        <f>ROUND(+$W$10*(($L31*W31)/W$83),0)</f>
        <v>6832</v>
      </c>
      <c r="Y31" s="119">
        <f>IF(X31&lt;&gt;0,ROUND((X31/$I31)*$H31,5),ROUND((W$10/$I$83)*$H31*W31,5))</f>
        <v>3.5599999999999998E-3</v>
      </c>
      <c r="Z31" s="102">
        <v>1</v>
      </c>
      <c r="AA31" s="117">
        <f>ROUND(+$Z$10*(($L31*Z31)/Z$83),0)</f>
        <v>1101</v>
      </c>
      <c r="AB31" s="118">
        <f>IF(AA31&lt;&gt;0,ROUND((AA31/$I31)*$H31,5),ROUND((Z$10/$I$83)*$H31*Z31,5))</f>
        <v>5.6999999999999998E-4</v>
      </c>
      <c r="AC31" s="102">
        <v>1</v>
      </c>
      <c r="AD31" s="117">
        <f>ROUND(+$AC$10*(($L31*AC31)/AC$83),0)</f>
        <v>-80</v>
      </c>
      <c r="AE31" s="120">
        <f>IF(AD31&lt;&gt;0,ROUND((AD31/$I31)*$H31,5),ROUND((AC$10/$I$83)*$H31*AC31,5))</f>
        <v>-4.0000000000000003E-5</v>
      </c>
      <c r="AF31" s="102">
        <v>1</v>
      </c>
      <c r="AG31" s="117">
        <v>6521</v>
      </c>
      <c r="AH31" s="120">
        <v>3.3999999999999998E-3</v>
      </c>
      <c r="AI31" s="102">
        <v>1</v>
      </c>
      <c r="AJ31" s="117">
        <v>15274</v>
      </c>
      <c r="AK31" s="118">
        <v>8.6899999999999998E-3</v>
      </c>
      <c r="AL31" s="113">
        <v>1</v>
      </c>
      <c r="AM31" s="121">
        <f>ROUND(+$AL$10*(($L31*AL31)/AL$83),0)</f>
        <v>83</v>
      </c>
      <c r="AN31" s="109">
        <f>IF(AM31&lt;&gt;0,ROUND((AM31/$I31)*$H31,5),ROUND((AL$10/$I$83)*$H31*AL31,5))</f>
        <v>4.0000000000000003E-5</v>
      </c>
      <c r="AO31" s="113">
        <v>1</v>
      </c>
      <c r="AP31" s="122">
        <f>ROUND(+$AO$10*(($L31*AO31)/AO$83),0)</f>
        <v>0</v>
      </c>
      <c r="AQ31" s="109">
        <f>IF(AP31&lt;&gt;0,ROUND((AP31/$I31)*$H31,5),ROUND((AO$10/$I$83)*$H31*AO31,5))</f>
        <v>0</v>
      </c>
      <c r="AR31" s="113">
        <v>1</v>
      </c>
      <c r="AS31" s="122">
        <f>ROUND(+$AR$10*(($L31*AR31)/AR$83),0)</f>
        <v>0</v>
      </c>
      <c r="AT31" s="109">
        <f>IF(AS31&lt;&gt;0,ROUND((AS31/$I31)*$H31,5),ROUND((AR$10/$I$83)*$H31*AR31,5))</f>
        <v>0</v>
      </c>
      <c r="AX31" s="93">
        <f t="shared" si="20"/>
        <v>20972.838738999999</v>
      </c>
      <c r="AY31" s="93">
        <f t="shared" si="21"/>
        <v>-262.46806400000003</v>
      </c>
      <c r="AZ31" s="93">
        <f t="shared" si="22"/>
        <v>0</v>
      </c>
      <c r="BA31" s="93">
        <f t="shared" si="23"/>
        <v>2919.9572119999998</v>
      </c>
      <c r="BB31" s="93">
        <f t="shared" si="24"/>
        <v>467.52123899999998</v>
      </c>
      <c r="BC31" s="93">
        <f t="shared" si="25"/>
        <v>-32.808508000000003</v>
      </c>
      <c r="BD31" s="93">
        <f t="shared" si="26"/>
        <v>2788.7231799999995</v>
      </c>
      <c r="BE31" s="93">
        <f t="shared" si="27"/>
        <v>7127.6483629999993</v>
      </c>
      <c r="BF31" s="93">
        <f t="shared" si="28"/>
        <v>32.808508000000003</v>
      </c>
      <c r="BG31" s="94">
        <f t="shared" si="29"/>
        <v>33981.412161</v>
      </c>
      <c r="BH31" s="95"/>
    </row>
    <row r="32" spans="1:60" x14ac:dyDescent="0.35">
      <c r="A32" s="13">
        <f t="shared" si="0"/>
        <v>26</v>
      </c>
      <c r="B32" s="13"/>
      <c r="C32" s="97" t="s">
        <v>83</v>
      </c>
      <c r="D32" s="7">
        <f>+'[13]Washington volumes'!J32</f>
        <v>926222.5</v>
      </c>
      <c r="E32" s="98">
        <f>+'[13]Rates in detail'!D32</f>
        <v>0.77026999999999957</v>
      </c>
      <c r="F32" s="98">
        <f>+'[13]Rates in detail'!E32+'[13]Rates in detail'!F32+'[13]Rates in detail'!G32</f>
        <v>0.43274000000000001</v>
      </c>
      <c r="G32" s="98">
        <f>+[13]Temporaries!D32</f>
        <v>0.15304999999999999</v>
      </c>
      <c r="H32" s="98">
        <f t="shared" si="17"/>
        <v>0.18447999999999956</v>
      </c>
      <c r="I32" s="99"/>
      <c r="J32" s="112"/>
      <c r="K32" s="7"/>
      <c r="L32" s="123"/>
      <c r="M32" s="101"/>
      <c r="N32" s="102">
        <v>1</v>
      </c>
      <c r="O32" s="99"/>
      <c r="P32" s="124">
        <f>IF(O31&lt;&gt;0,ROUND((O31/$I31)*$H32,5),ROUND((N$10/$I$83)*$H32*N32,5))</f>
        <v>2.2880000000000001E-2</v>
      </c>
      <c r="Q32" s="102">
        <v>1</v>
      </c>
      <c r="R32" s="99"/>
      <c r="S32" s="124">
        <f>IF(R31&lt;&gt;0,ROUND((R31/$I31)*$H32,5),ROUND((Q$10/$I$83)*$H32*Q32,5))</f>
        <v>-2.7999999999999998E-4</v>
      </c>
      <c r="T32" s="102">
        <v>1</v>
      </c>
      <c r="U32" s="99"/>
      <c r="V32" s="124">
        <f>IF(U31&lt;&gt;0,ROUND((U31/$I31)*$H32,5),ROUND((T$10/$I$83)*$H32*T32,5))</f>
        <v>0</v>
      </c>
      <c r="W32" s="102">
        <v>1</v>
      </c>
      <c r="X32" s="99"/>
      <c r="Y32" s="125">
        <f>IF(X31&lt;&gt;0,ROUND((X31/$I31)*$H32,5),ROUND((W$10/$I$83)*$H32*W32,5))</f>
        <v>3.1900000000000001E-3</v>
      </c>
      <c r="Z32" s="102">
        <v>1</v>
      </c>
      <c r="AA32" s="99"/>
      <c r="AB32" s="124">
        <f>IF(AA31&lt;&gt;0,ROUND((AA31/$I31)*$H32,5),ROUND((Z$10/$I$83)*$H32*Z32,5))</f>
        <v>5.1000000000000004E-4</v>
      </c>
      <c r="AC32" s="102">
        <v>1</v>
      </c>
      <c r="AD32" s="99"/>
      <c r="AE32" s="126">
        <f>IF(AD31&lt;&gt;0,ROUND((AD31/$I31)*$H32,5),ROUND((AC$10/$I$83)*$H32*AC32,5))</f>
        <v>-4.0000000000000003E-5</v>
      </c>
      <c r="AF32" s="102">
        <v>1</v>
      </c>
      <c r="AG32" s="99"/>
      <c r="AH32" s="126">
        <v>3.0400000000000002E-3</v>
      </c>
      <c r="AI32" s="102">
        <v>1</v>
      </c>
      <c r="AJ32" s="99"/>
      <c r="AK32" s="124">
        <v>7.7799999999999996E-3</v>
      </c>
      <c r="AL32" s="113">
        <v>1</v>
      </c>
      <c r="AM32" s="127"/>
      <c r="AN32" s="109">
        <f>IF(AM31&lt;&gt;0,ROUND((AM31/$I31)*$H32,5),ROUND((AL$10/$I$83)*$H32*AL32,5))</f>
        <v>4.0000000000000003E-5</v>
      </c>
      <c r="AO32" s="113">
        <v>1</v>
      </c>
      <c r="AP32" s="128"/>
      <c r="AQ32" s="109">
        <f>IF(AP31&lt;&gt;0,ROUND((AP31/$I31)*$H32,5),ROUND((AO$10/$I$83)*$H32*AO32,5))</f>
        <v>0</v>
      </c>
      <c r="AR32" s="113">
        <v>1</v>
      </c>
      <c r="AS32" s="128"/>
      <c r="AT32" s="109">
        <f>IF(AS31&lt;&gt;0,ROUND((AS31/$I31)*$H32,5),ROUND((AR$10/$I$83)*$H32*AR32,5))</f>
        <v>0</v>
      </c>
      <c r="AX32" s="93">
        <f t="shared" si="20"/>
        <v>21191.970799999999</v>
      </c>
      <c r="AY32" s="93">
        <f t="shared" si="21"/>
        <v>-259.34229999999997</v>
      </c>
      <c r="AZ32" s="93">
        <f t="shared" si="22"/>
        <v>0</v>
      </c>
      <c r="BA32" s="93">
        <f t="shared" si="23"/>
        <v>2954.6497750000003</v>
      </c>
      <c r="BB32" s="93">
        <f t="shared" si="24"/>
        <v>472.37347500000004</v>
      </c>
      <c r="BC32" s="93">
        <f t="shared" si="25"/>
        <v>-37.048900000000003</v>
      </c>
      <c r="BD32" s="93">
        <f t="shared" si="26"/>
        <v>2815.7164000000002</v>
      </c>
      <c r="BE32" s="93">
        <f t="shared" si="27"/>
        <v>7206.0110500000001</v>
      </c>
      <c r="BF32" s="93">
        <f t="shared" si="28"/>
        <v>37.048900000000003</v>
      </c>
      <c r="BG32" s="94">
        <f t="shared" si="29"/>
        <v>34344.330300000001</v>
      </c>
      <c r="BH32" s="95"/>
    </row>
    <row r="33" spans="1:60" x14ac:dyDescent="0.35">
      <c r="A33" s="13">
        <f t="shared" si="0"/>
        <v>27</v>
      </c>
      <c r="B33" s="13"/>
      <c r="C33" s="97" t="s">
        <v>90</v>
      </c>
      <c r="D33" s="7">
        <f>+'[13]Washington volumes'!J33</f>
        <v>323675.40000000002</v>
      </c>
      <c r="E33" s="98">
        <f>+'[13]Rates in detail'!D33</f>
        <v>0.71862999999999988</v>
      </c>
      <c r="F33" s="98">
        <f>+'[13]Rates in detail'!E33+'[13]Rates in detail'!F33+'[13]Rates in detail'!G33</f>
        <v>0.43274000000000001</v>
      </c>
      <c r="G33" s="98">
        <f>+[13]Temporaries!D33</f>
        <v>0.14438999999999999</v>
      </c>
      <c r="H33" s="98">
        <f t="shared" si="17"/>
        <v>0.14149999999999988</v>
      </c>
      <c r="I33" s="99"/>
      <c r="J33" s="112"/>
      <c r="K33" s="7"/>
      <c r="L33" s="123"/>
      <c r="M33" s="101"/>
      <c r="N33" s="102">
        <v>1</v>
      </c>
      <c r="O33" s="99"/>
      <c r="P33" s="124">
        <f>IF(O31&lt;&gt;0,ROUND((O31/$I31)*$H33,5),ROUND((N$10/$I$83)*$H33*N33,5))</f>
        <v>1.755E-2</v>
      </c>
      <c r="Q33" s="102">
        <v>1</v>
      </c>
      <c r="R33" s="99"/>
      <c r="S33" s="124">
        <f>IF(R31&lt;&gt;0,ROUND((R31/$I31)*$H33,5),ROUND((Q$10/$I$83)*$H33*Q33,5))</f>
        <v>-2.2000000000000001E-4</v>
      </c>
      <c r="T33" s="102">
        <v>1</v>
      </c>
      <c r="U33" s="99"/>
      <c r="V33" s="124">
        <f>IF(U31&lt;&gt;0,ROUND((U31/$I31)*$H33,5),ROUND((T$10/$I$83)*$H33*T33,5))</f>
        <v>0</v>
      </c>
      <c r="W33" s="102">
        <v>1</v>
      </c>
      <c r="X33" s="99"/>
      <c r="Y33" s="125">
        <f>IF(X31&lt;&gt;0,ROUND((X31/$I31)*$H33,5),ROUND((W$10/$I$83)*$H33*W33,5))</f>
        <v>2.4499999999999999E-3</v>
      </c>
      <c r="Z33" s="102">
        <v>1</v>
      </c>
      <c r="AA33" s="99"/>
      <c r="AB33" s="124">
        <f>IF(AA31&lt;&gt;0,ROUND((AA31/$I31)*$H33,5),ROUND((Z$10/$I$83)*$H33*Z33,5))</f>
        <v>3.8999999999999999E-4</v>
      </c>
      <c r="AC33" s="102">
        <v>1</v>
      </c>
      <c r="AD33" s="99"/>
      <c r="AE33" s="126">
        <f>IF(AD31&lt;&gt;0,ROUND((AD31/$I31)*$H33,5),ROUND((AC$10/$I$83)*$H33*AC33,5))</f>
        <v>-3.0000000000000001E-5</v>
      </c>
      <c r="AF33" s="102">
        <v>1</v>
      </c>
      <c r="AG33" s="99"/>
      <c r="AH33" s="126">
        <v>2.33E-3</v>
      </c>
      <c r="AI33" s="102">
        <v>1</v>
      </c>
      <c r="AJ33" s="99"/>
      <c r="AK33" s="124">
        <v>5.9699999999999996E-3</v>
      </c>
      <c r="AL33" s="113">
        <v>1</v>
      </c>
      <c r="AM33" s="127"/>
      <c r="AN33" s="109">
        <f>IF(AM31&lt;&gt;0,ROUND((AM31/$I31)*$H33,5),ROUND((AL$10/$I$83)*$H33*AL33,5))</f>
        <v>3.0000000000000001E-5</v>
      </c>
      <c r="AO33" s="113">
        <v>1</v>
      </c>
      <c r="AP33" s="128"/>
      <c r="AQ33" s="109">
        <f>IF(AP31&lt;&gt;0,ROUND((AP31/$I31)*$H33,5),ROUND((AO$10/$I$83)*$H33*AO33,5))</f>
        <v>0</v>
      </c>
      <c r="AR33" s="113">
        <v>1</v>
      </c>
      <c r="AS33" s="128"/>
      <c r="AT33" s="109">
        <f>IF(AS31&lt;&gt;0,ROUND((AS31/$I31)*$H33,5),ROUND((AR$10/$I$83)*$H33*AR33,5))</f>
        <v>0</v>
      </c>
      <c r="AX33" s="93">
        <f t="shared" si="20"/>
        <v>5680.5032700000002</v>
      </c>
      <c r="AY33" s="93">
        <f t="shared" si="21"/>
        <v>-71.208588000000006</v>
      </c>
      <c r="AZ33" s="93">
        <f t="shared" si="22"/>
        <v>0</v>
      </c>
      <c r="BA33" s="93">
        <f t="shared" si="23"/>
        <v>793.00473</v>
      </c>
      <c r="BB33" s="93">
        <f t="shared" si="24"/>
        <v>126.233406</v>
      </c>
      <c r="BC33" s="93">
        <f t="shared" si="25"/>
        <v>-9.7102620000000002</v>
      </c>
      <c r="BD33" s="93">
        <f t="shared" si="26"/>
        <v>754.16368200000011</v>
      </c>
      <c r="BE33" s="93">
        <f t="shared" si="27"/>
        <v>1932.342138</v>
      </c>
      <c r="BF33" s="93">
        <f t="shared" si="28"/>
        <v>9.7102620000000002</v>
      </c>
      <c r="BG33" s="94">
        <f t="shared" si="29"/>
        <v>9205.3283760000013</v>
      </c>
      <c r="BH33" s="95"/>
    </row>
    <row r="34" spans="1:60" x14ac:dyDescent="0.35">
      <c r="A34" s="13">
        <f t="shared" si="0"/>
        <v>28</v>
      </c>
      <c r="B34" s="13"/>
      <c r="C34" s="97" t="s">
        <v>91</v>
      </c>
      <c r="D34" s="7">
        <f>+'[13]Washington volumes'!J34</f>
        <v>84982.8</v>
      </c>
      <c r="E34" s="98">
        <f>+'[13]Rates in detail'!D34</f>
        <v>0.68461000000000016</v>
      </c>
      <c r="F34" s="98">
        <f>+'[13]Rates in detail'!E34+'[13]Rates in detail'!F34+'[13]Rates in detail'!G34</f>
        <v>0.43274000000000001</v>
      </c>
      <c r="G34" s="98">
        <f>+[13]Temporaries!D34</f>
        <v>0.13869000000000001</v>
      </c>
      <c r="H34" s="98">
        <f t="shared" si="17"/>
        <v>0.11318000000000014</v>
      </c>
      <c r="I34" s="99"/>
      <c r="J34" s="112"/>
      <c r="K34" s="7"/>
      <c r="L34" s="123"/>
      <c r="M34" s="101"/>
      <c r="N34" s="102">
        <v>1</v>
      </c>
      <c r="O34" s="99"/>
      <c r="P34" s="124">
        <f>IF(O31&lt;&gt;0,ROUND((O31/$I31)*$H34,5),ROUND((N$10/$I$83)*$H34*N34,5))</f>
        <v>1.404E-2</v>
      </c>
      <c r="Q34" s="102">
        <v>1</v>
      </c>
      <c r="R34" s="99"/>
      <c r="S34" s="124">
        <f>IF(R31&lt;&gt;0,ROUND((R31/$I31)*$H34,5),ROUND((Q$10/$I$83)*$H34*Q34,5))</f>
        <v>-1.7000000000000001E-4</v>
      </c>
      <c r="T34" s="102">
        <v>1</v>
      </c>
      <c r="U34" s="99"/>
      <c r="V34" s="124">
        <f>IF(U31&lt;&gt;0,ROUND((U31/$I31)*$H34,5),ROUND((T$10/$I$83)*$H34*T34,5))</f>
        <v>0</v>
      </c>
      <c r="W34" s="102">
        <v>1</v>
      </c>
      <c r="X34" s="99"/>
      <c r="Y34" s="125">
        <f>IF(X31&lt;&gt;0,ROUND((X31/$I31)*$H34,5),ROUND((W$10/$I$83)*$H34*W34,5))</f>
        <v>1.9599999999999999E-3</v>
      </c>
      <c r="Z34" s="102">
        <v>1</v>
      </c>
      <c r="AA34" s="99"/>
      <c r="AB34" s="124">
        <f>IF(AA31&lt;&gt;0,ROUND((AA31/$I31)*$H34,5),ROUND((Z$10/$I$83)*$H34*Z34,5))</f>
        <v>3.2000000000000003E-4</v>
      </c>
      <c r="AC34" s="102">
        <v>1</v>
      </c>
      <c r="AD34" s="99"/>
      <c r="AE34" s="126">
        <f>IF(AD31&lt;&gt;0,ROUND((AD31/$I31)*$H34,5),ROUND((AC$10/$I$83)*$H34*AC34,5))</f>
        <v>-2.0000000000000002E-5</v>
      </c>
      <c r="AF34" s="102">
        <v>1</v>
      </c>
      <c r="AG34" s="99"/>
      <c r="AH34" s="126">
        <v>1.8699999999999999E-3</v>
      </c>
      <c r="AI34" s="102">
        <v>1</v>
      </c>
      <c r="AJ34" s="99"/>
      <c r="AK34" s="124">
        <v>4.7699999999999999E-3</v>
      </c>
      <c r="AL34" s="113">
        <v>1</v>
      </c>
      <c r="AM34" s="127"/>
      <c r="AN34" s="109">
        <f>IF(AM31&lt;&gt;0,ROUND((AM31/$I31)*$H34,5),ROUND((AL$10/$I$83)*$H34*AL34,5))</f>
        <v>2.0000000000000002E-5</v>
      </c>
      <c r="AO34" s="113">
        <v>1</v>
      </c>
      <c r="AP34" s="128"/>
      <c r="AQ34" s="109">
        <f>IF(AP31&lt;&gt;0,ROUND((AP31/$I31)*$H34,5),ROUND((AO$10/$I$83)*$H34*AO34,5))</f>
        <v>0</v>
      </c>
      <c r="AR34" s="113">
        <v>1</v>
      </c>
      <c r="AS34" s="128"/>
      <c r="AT34" s="109">
        <f>IF(AS31&lt;&gt;0,ROUND((AS31/$I31)*$H34,5),ROUND((AR$10/$I$83)*$H34*AR34,5))</f>
        <v>0</v>
      </c>
      <c r="AX34" s="93">
        <f t="shared" si="20"/>
        <v>1193.158512</v>
      </c>
      <c r="AY34" s="93">
        <f t="shared" si="21"/>
        <v>-14.447076000000001</v>
      </c>
      <c r="AZ34" s="93">
        <f t="shared" si="22"/>
        <v>0</v>
      </c>
      <c r="BA34" s="93">
        <f t="shared" si="23"/>
        <v>166.56628800000001</v>
      </c>
      <c r="BB34" s="93">
        <f t="shared" si="24"/>
        <v>27.194496000000004</v>
      </c>
      <c r="BC34" s="93">
        <f t="shared" si="25"/>
        <v>-1.6996560000000003</v>
      </c>
      <c r="BD34" s="93">
        <f t="shared" si="26"/>
        <v>158.91783599999999</v>
      </c>
      <c r="BE34" s="93">
        <f t="shared" si="27"/>
        <v>405.36795599999999</v>
      </c>
      <c r="BF34" s="93">
        <f t="shared" si="28"/>
        <v>1.6996560000000003</v>
      </c>
      <c r="BG34" s="94">
        <f t="shared" si="29"/>
        <v>1935.0583560000002</v>
      </c>
      <c r="BH34" s="95"/>
    </row>
    <row r="35" spans="1:60" x14ac:dyDescent="0.35">
      <c r="A35" s="13">
        <f t="shared" si="0"/>
        <v>29</v>
      </c>
      <c r="B35" s="13"/>
      <c r="C35" s="97" t="s">
        <v>92</v>
      </c>
      <c r="D35" s="7">
        <f>+'[13]Washington volumes'!J35</f>
        <v>0</v>
      </c>
      <c r="E35" s="98">
        <f>+'[13]Rates in detail'!D35</f>
        <v>0.63927</v>
      </c>
      <c r="F35" s="98">
        <f>+'[13]Rates in detail'!E35+'[13]Rates in detail'!F35+'[13]Rates in detail'!G35</f>
        <v>0.43274000000000001</v>
      </c>
      <c r="G35" s="98">
        <f>+[13]Temporaries!D35</f>
        <v>0.13108</v>
      </c>
      <c r="H35" s="98">
        <f t="shared" si="17"/>
        <v>7.5449999999999989E-2</v>
      </c>
      <c r="I35" s="99"/>
      <c r="J35" s="112"/>
      <c r="K35" s="7"/>
      <c r="L35" s="123"/>
      <c r="M35" s="101"/>
      <c r="N35" s="102">
        <v>1</v>
      </c>
      <c r="O35" s="99"/>
      <c r="P35" s="124">
        <f>IF(O31&lt;&gt;0,ROUND((O31/$I31)*$H35,5),ROUND((N$10/$I$83)*$H35*N35,5))</f>
        <v>9.3600000000000003E-3</v>
      </c>
      <c r="Q35" s="102">
        <v>1</v>
      </c>
      <c r="R35" s="99"/>
      <c r="S35" s="124">
        <f>IF(R31&lt;&gt;0,ROUND((R31/$I31)*$H35,5),ROUND((Q$10/$I$83)*$H35*Q35,5))</f>
        <v>-1.2E-4</v>
      </c>
      <c r="T35" s="102">
        <v>1</v>
      </c>
      <c r="U35" s="99"/>
      <c r="V35" s="124">
        <f>IF(U31&lt;&gt;0,ROUND((U31/$I31)*$H35,5),ROUND((T$10/$I$83)*$H35*T35,5))</f>
        <v>0</v>
      </c>
      <c r="W35" s="102">
        <v>1</v>
      </c>
      <c r="X35" s="99"/>
      <c r="Y35" s="125">
        <f>IF(X31&lt;&gt;0,ROUND((X31/$I31)*$H35,5),ROUND((W$10/$I$83)*$H35*W35,5))</f>
        <v>1.2999999999999999E-3</v>
      </c>
      <c r="Z35" s="102">
        <v>1</v>
      </c>
      <c r="AA35" s="99"/>
      <c r="AB35" s="124">
        <f>IF(AA31&lt;&gt;0,ROUND((AA31/$I31)*$H35,5),ROUND((Z$10/$I$83)*$H35*Z35,5))</f>
        <v>2.1000000000000001E-4</v>
      </c>
      <c r="AC35" s="102">
        <v>1</v>
      </c>
      <c r="AD35" s="99"/>
      <c r="AE35" s="126">
        <f>IF(AD31&lt;&gt;0,ROUND((AD31/$I31)*$H35,5),ROUND((AC$10/$I$83)*$H35*AC35,5))</f>
        <v>-2.0000000000000002E-5</v>
      </c>
      <c r="AF35" s="102">
        <v>1</v>
      </c>
      <c r="AG35" s="99"/>
      <c r="AH35" s="126">
        <v>1.24E-3</v>
      </c>
      <c r="AI35" s="102">
        <v>1</v>
      </c>
      <c r="AJ35" s="99"/>
      <c r="AK35" s="124">
        <v>3.1800000000000001E-3</v>
      </c>
      <c r="AL35" s="113">
        <v>1</v>
      </c>
      <c r="AM35" s="127"/>
      <c r="AN35" s="109">
        <f>IF(AM31&lt;&gt;0,ROUND((AM31/$I31)*$H35,5),ROUND((AL$10/$I$83)*$H35*AL35,5))</f>
        <v>2.0000000000000002E-5</v>
      </c>
      <c r="AO35" s="113">
        <v>1</v>
      </c>
      <c r="AP35" s="128"/>
      <c r="AQ35" s="109">
        <f>IF(AP31&lt;&gt;0,ROUND((AP31/$I31)*$H35,5),ROUND((AO$10/$I$83)*$H35*AO35,5))</f>
        <v>0</v>
      </c>
      <c r="AR35" s="113">
        <v>1</v>
      </c>
      <c r="AS35" s="128"/>
      <c r="AT35" s="109">
        <f>IF(AS31&lt;&gt;0,ROUND((AS31/$I31)*$H35,5),ROUND((AR$10/$I$83)*$H35*AR35,5))</f>
        <v>0</v>
      </c>
      <c r="AX35" s="93">
        <f t="shared" si="20"/>
        <v>0</v>
      </c>
      <c r="AY35" s="93">
        <f t="shared" si="21"/>
        <v>0</v>
      </c>
      <c r="AZ35" s="93">
        <f t="shared" si="22"/>
        <v>0</v>
      </c>
      <c r="BA35" s="93">
        <f t="shared" si="23"/>
        <v>0</v>
      </c>
      <c r="BB35" s="93">
        <f t="shared" si="24"/>
        <v>0</v>
      </c>
      <c r="BC35" s="93">
        <f t="shared" si="25"/>
        <v>0</v>
      </c>
      <c r="BD35" s="93">
        <f t="shared" si="26"/>
        <v>0</v>
      </c>
      <c r="BE35" s="93">
        <f t="shared" si="27"/>
        <v>0</v>
      </c>
      <c r="BF35" s="93">
        <f t="shared" si="28"/>
        <v>0</v>
      </c>
      <c r="BG35" s="94">
        <f t="shared" si="29"/>
        <v>0</v>
      </c>
      <c r="BH35" s="95"/>
    </row>
    <row r="36" spans="1:60" x14ac:dyDescent="0.35">
      <c r="A36" s="13">
        <f t="shared" si="0"/>
        <v>30</v>
      </c>
      <c r="B36" s="96"/>
      <c r="C36" s="111" t="s">
        <v>93</v>
      </c>
      <c r="D36" s="78">
        <f>+'[13]Washington volumes'!J36</f>
        <v>0</v>
      </c>
      <c r="E36" s="79">
        <f>+'[13]Rates in detail'!D36</f>
        <v>0.58259000000000005</v>
      </c>
      <c r="F36" s="79">
        <f>+'[13]Rates in detail'!E36+'[13]Rates in detail'!F36+'[13]Rates in detail'!G36</f>
        <v>0.43274000000000001</v>
      </c>
      <c r="G36" s="79">
        <f>+[13]Temporaries!D36</f>
        <v>0.12156999999999998</v>
      </c>
      <c r="H36" s="79">
        <f t="shared" si="17"/>
        <v>2.8280000000000055E-2</v>
      </c>
      <c r="I36" s="80"/>
      <c r="J36" s="81"/>
      <c r="K36" s="78"/>
      <c r="L36" s="82"/>
      <c r="M36" s="83"/>
      <c r="N36" s="84">
        <v>1</v>
      </c>
      <c r="O36" s="80"/>
      <c r="P36" s="85">
        <f>IF(O31&lt;&gt;0,ROUND((O31/$I31)*$H36,5),ROUND((N$10/$I$83)*$H36*N36,5))</f>
        <v>3.5100000000000001E-3</v>
      </c>
      <c r="Q36" s="84">
        <v>1</v>
      </c>
      <c r="R36" s="80"/>
      <c r="S36" s="85">
        <f>IF(R31&lt;&gt;0,ROUND((R31/$I31)*$H36,5),ROUND((Q$10/$I$83)*$H36*Q36,5))</f>
        <v>-4.0000000000000003E-5</v>
      </c>
      <c r="T36" s="84">
        <v>1</v>
      </c>
      <c r="U36" s="80"/>
      <c r="V36" s="85">
        <f>IF(U31&lt;&gt;0,ROUND((U31/$I31)*$H36,5),ROUND((T$10/$I$83)*$H36*T36,5))</f>
        <v>0</v>
      </c>
      <c r="W36" s="84">
        <v>1</v>
      </c>
      <c r="X36" s="80"/>
      <c r="Y36" s="86">
        <f>IF(X31&lt;&gt;0,ROUND((X31/$I31)*$H36,5),ROUND((W$10/$I$83)*$H36*W36,5))</f>
        <v>4.8999999999999998E-4</v>
      </c>
      <c r="Z36" s="84">
        <v>1</v>
      </c>
      <c r="AA36" s="80"/>
      <c r="AB36" s="85">
        <f>IF(AA31&lt;&gt;0,ROUND((AA31/$I31)*$H36,5),ROUND((Z$10/$I$83)*$H36*Z36,5))</f>
        <v>8.0000000000000007E-5</v>
      </c>
      <c r="AC36" s="84">
        <v>1</v>
      </c>
      <c r="AD36" s="80"/>
      <c r="AE36" s="87">
        <f>IF(AD31&lt;&gt;0,ROUND((AD31/$I31)*$H36,5),ROUND((AC$10/$I$83)*$H36*AC36,5))</f>
        <v>-1.0000000000000001E-5</v>
      </c>
      <c r="AF36" s="84">
        <v>1</v>
      </c>
      <c r="AG36" s="80"/>
      <c r="AH36" s="87">
        <v>4.6999999999999999E-4</v>
      </c>
      <c r="AI36" s="84">
        <v>1</v>
      </c>
      <c r="AJ36" s="80"/>
      <c r="AK36" s="85">
        <v>1.1900000000000001E-3</v>
      </c>
      <c r="AL36" s="88">
        <v>1</v>
      </c>
      <c r="AM36" s="89"/>
      <c r="AN36" s="90">
        <f>IF(AM31&lt;&gt;0,ROUND((AM31/$I31)*$H36,5),ROUND((AL$10/$I$83)*$H36*AL36,5))</f>
        <v>1.0000000000000001E-5</v>
      </c>
      <c r="AO36" s="88">
        <v>1</v>
      </c>
      <c r="AP36" s="91"/>
      <c r="AQ36" s="90">
        <f>IF(AP31&lt;&gt;0,ROUND((AP31/$I31)*$H36,5),ROUND((AO$10/$I$83)*$H36*AO36,5))</f>
        <v>0</v>
      </c>
      <c r="AR36" s="88">
        <v>1</v>
      </c>
      <c r="AS36" s="91"/>
      <c r="AT36" s="90">
        <f>IF(AS31&lt;&gt;0,ROUND((AS31/$I31)*$H36,5),ROUND((AR$10/$I$83)*$H36*AR36,5))</f>
        <v>0</v>
      </c>
      <c r="AX36" s="93">
        <f t="shared" si="20"/>
        <v>0</v>
      </c>
      <c r="AY36" s="93">
        <f t="shared" si="21"/>
        <v>0</v>
      </c>
      <c r="AZ36" s="93">
        <f t="shared" si="22"/>
        <v>0</v>
      </c>
      <c r="BA36" s="93">
        <f t="shared" si="23"/>
        <v>0</v>
      </c>
      <c r="BB36" s="93">
        <f t="shared" si="24"/>
        <v>0</v>
      </c>
      <c r="BC36" s="93">
        <f t="shared" si="25"/>
        <v>0</v>
      </c>
      <c r="BD36" s="93">
        <f t="shared" si="26"/>
        <v>0</v>
      </c>
      <c r="BE36" s="93">
        <f t="shared" si="27"/>
        <v>0</v>
      </c>
      <c r="BF36" s="93">
        <f t="shared" si="28"/>
        <v>0</v>
      </c>
      <c r="BG36" s="94">
        <f t="shared" si="29"/>
        <v>0</v>
      </c>
      <c r="BH36" s="95"/>
    </row>
    <row r="37" spans="1:60" x14ac:dyDescent="0.35">
      <c r="A37" s="13">
        <f t="shared" si="0"/>
        <v>31</v>
      </c>
      <c r="B37" s="13" t="s">
        <v>94</v>
      </c>
      <c r="C37" s="97" t="s">
        <v>82</v>
      </c>
      <c r="D37" s="7">
        <f>+'[13]Washington volumes'!J37</f>
        <v>887029.75709862076</v>
      </c>
      <c r="E37" s="98">
        <f>+'[13]Rates in detail'!D37</f>
        <v>0.73169000000000006</v>
      </c>
      <c r="F37" s="98">
        <f>+'[13]Rates in detail'!E37+'[13]Rates in detail'!F37+'[13]Rates in detail'!G37</f>
        <v>0.43274000000000001</v>
      </c>
      <c r="G37" s="98">
        <f>+[13]Temporaries!D37</f>
        <v>0.13253999999999996</v>
      </c>
      <c r="H37" s="98">
        <f t="shared" si="17"/>
        <v>0.16641000000000009</v>
      </c>
      <c r="I37" s="99">
        <f>ROUND((H37*D37)+(D38*H38)+(D39*H39)+(D40*H40)+(D41*H41)+(D42*H42),0)</f>
        <v>261822</v>
      </c>
      <c r="J37" s="112">
        <f>+'[13]Avg Bill by RS'!G44</f>
        <v>1300</v>
      </c>
      <c r="K37" s="7">
        <f>+'[13]Washington volumes'!L37</f>
        <v>12</v>
      </c>
      <c r="L37" s="100">
        <f>ROUND((J37*K37*12)+I37+I38+I39+I40+I41+I42,0)</f>
        <v>449022</v>
      </c>
      <c r="M37" s="101"/>
      <c r="N37" s="102">
        <v>0</v>
      </c>
      <c r="O37" s="117">
        <f>ROUND(+$N$10*(($L37*N37)/N$83),0)</f>
        <v>0</v>
      </c>
      <c r="P37" s="118">
        <f>IF(O37&lt;&gt;0,ROUND((O37/$I37)*$H37,5),ROUND((N$10/$I$83)*$H37*N37,5))</f>
        <v>0</v>
      </c>
      <c r="Q37" s="102">
        <v>0</v>
      </c>
      <c r="R37" s="117">
        <f>ROUND(+$Q$10*(($L37*Q37)/Q$83),0)</f>
        <v>0</v>
      </c>
      <c r="S37" s="118">
        <f>IF(R37&lt;&gt;0,ROUND((R37/$I37)*$H37,5),ROUND((Q$10/$I$83)*$H37*Q37,5))</f>
        <v>0</v>
      </c>
      <c r="T37" s="102">
        <v>0</v>
      </c>
      <c r="U37" s="117">
        <f>ROUND(+$T$10*(($L37*T37)/T$83),0)</f>
        <v>0</v>
      </c>
      <c r="V37" s="118">
        <f>IF(U37&lt;&gt;0,ROUND((U37/$I37)*$H37,5),ROUND((T$10/$I$83)*$H37*T37,5))</f>
        <v>0</v>
      </c>
      <c r="W37" s="102">
        <v>1</v>
      </c>
      <c r="X37" s="117">
        <f>ROUND(+$W$10*(($L37*W37)/W$83),0)</f>
        <v>5898</v>
      </c>
      <c r="Y37" s="119">
        <f>IF(X37&lt;&gt;0,ROUND((X37/$I37)*$H37,5),ROUND((W$10/$I$83)*$H37*W37,5))</f>
        <v>3.7499999999999999E-3</v>
      </c>
      <c r="Z37" s="102">
        <v>1</v>
      </c>
      <c r="AA37" s="117">
        <f>ROUND(+$Z$10*(($L37*Z37)/Z$83),0)</f>
        <v>951</v>
      </c>
      <c r="AB37" s="118">
        <f>IF(AA37&lt;&gt;0,ROUND((AA37/$I37)*$H37,5),ROUND((Z$10/$I$83)*$H37*Z37,5))</f>
        <v>5.9999999999999995E-4</v>
      </c>
      <c r="AC37" s="102">
        <v>1</v>
      </c>
      <c r="AD37" s="117">
        <f>ROUND(+$AC$10*(($L37*AC37)/AC$83),0)</f>
        <v>-69</v>
      </c>
      <c r="AE37" s="120">
        <f>IF(AD37&lt;&gt;0,ROUND((AD37/$I37)*$H37,5),ROUND((AC$10/$I$83)*$H37*AC37,5))</f>
        <v>-4.0000000000000003E-5</v>
      </c>
      <c r="AF37" s="102">
        <v>1</v>
      </c>
      <c r="AG37" s="117">
        <v>5466</v>
      </c>
      <c r="AH37" s="120">
        <v>3.47E-3</v>
      </c>
      <c r="AI37" s="102">
        <v>1</v>
      </c>
      <c r="AJ37" s="117">
        <v>14135</v>
      </c>
      <c r="AK37" s="118">
        <v>8.43E-3</v>
      </c>
      <c r="AL37" s="113">
        <v>1</v>
      </c>
      <c r="AM37" s="121">
        <f>ROUND(+$AL$10*(($L37*AL37)/AL$83),0)</f>
        <v>71</v>
      </c>
      <c r="AN37" s="109">
        <f>IF(AM37&lt;&gt;0,ROUND((AM37/$I37)*$H37,5),ROUND((AL$10/$I$83)*$H37*AL37,5))</f>
        <v>5.0000000000000002E-5</v>
      </c>
      <c r="AO37" s="113">
        <v>1</v>
      </c>
      <c r="AP37" s="122">
        <f>ROUND(+$AO$10*(($L37*AO37)/AO$83),0)</f>
        <v>0</v>
      </c>
      <c r="AQ37" s="109">
        <f>IF(AP37&lt;&gt;0,ROUND((AP37/$I37)*$H37,5),ROUND((AO$10/$I$83)*$H37*AO37,5))</f>
        <v>0</v>
      </c>
      <c r="AR37" s="113">
        <v>1</v>
      </c>
      <c r="AS37" s="122">
        <f>ROUND(+$AR$10*(($L37*AR37)/AR$83),0)</f>
        <v>0</v>
      </c>
      <c r="AT37" s="109">
        <f>IF(AS37&lt;&gt;0,ROUND((AS37/$I37)*$H37,5),ROUND((AR$10/$I$83)*$H37*AR37,5))</f>
        <v>0</v>
      </c>
      <c r="AX37" s="93">
        <f t="shared" si="20"/>
        <v>0</v>
      </c>
      <c r="AY37" s="93">
        <f t="shared" si="21"/>
        <v>0</v>
      </c>
      <c r="AZ37" s="93">
        <f t="shared" si="22"/>
        <v>0</v>
      </c>
      <c r="BA37" s="93">
        <f t="shared" si="23"/>
        <v>3326.3615891198278</v>
      </c>
      <c r="BB37" s="93">
        <f t="shared" si="24"/>
        <v>532.21785425917244</v>
      </c>
      <c r="BC37" s="93">
        <f t="shared" si="25"/>
        <v>-35.481190283944834</v>
      </c>
      <c r="BD37" s="93">
        <f t="shared" si="26"/>
        <v>3077.9932571322142</v>
      </c>
      <c r="BE37" s="93">
        <f t="shared" si="27"/>
        <v>7477.6608523413734</v>
      </c>
      <c r="BF37" s="93">
        <f t="shared" si="28"/>
        <v>44.351487854931037</v>
      </c>
      <c r="BG37" s="94">
        <f t="shared" si="29"/>
        <v>14378.752362568644</v>
      </c>
      <c r="BH37" s="95"/>
    </row>
    <row r="38" spans="1:60" x14ac:dyDescent="0.35">
      <c r="A38" s="13">
        <f t="shared" si="0"/>
        <v>32</v>
      </c>
      <c r="B38" s="13"/>
      <c r="C38" s="97" t="s">
        <v>83</v>
      </c>
      <c r="D38" s="7">
        <f>+'[13]Washington volumes'!J38</f>
        <v>668287.37243846827</v>
      </c>
      <c r="E38" s="98">
        <f>+'[13]Rates in detail'!D38</f>
        <v>0.71257999999999988</v>
      </c>
      <c r="F38" s="98">
        <f>+'[13]Rates in detail'!E38+'[13]Rates in detail'!F38+'[13]Rates in detail'!G38</f>
        <v>0.43274000000000001</v>
      </c>
      <c r="G38" s="98">
        <f>+[13]Temporaries!D38</f>
        <v>0.13088999999999998</v>
      </c>
      <c r="H38" s="98">
        <f t="shared" si="17"/>
        <v>0.14894999999999989</v>
      </c>
      <c r="I38" s="99"/>
      <c r="J38" s="112"/>
      <c r="K38" s="7"/>
      <c r="L38" s="123"/>
      <c r="M38" s="101"/>
      <c r="N38" s="102">
        <v>0</v>
      </c>
      <c r="O38" s="99"/>
      <c r="P38" s="124">
        <f>IF(O37&lt;&gt;0,ROUND((O37/$I37)*$H38,5),ROUND((N$10/$I$83)*$H38*N38,5))</f>
        <v>0</v>
      </c>
      <c r="Q38" s="102">
        <v>0</v>
      </c>
      <c r="R38" s="99"/>
      <c r="S38" s="124">
        <f>IF(R37&lt;&gt;0,ROUND((R37/$I37)*$H38,5),ROUND((Q$10/$I$83)*$H38*Q38,5))</f>
        <v>0</v>
      </c>
      <c r="T38" s="102">
        <v>0</v>
      </c>
      <c r="U38" s="99"/>
      <c r="V38" s="124">
        <f>IF(U37&lt;&gt;0,ROUND((U37/$I37)*$H38,5),ROUND((T$10/$I$83)*$H38*T38,5))</f>
        <v>0</v>
      </c>
      <c r="W38" s="102">
        <v>1</v>
      </c>
      <c r="X38" s="99"/>
      <c r="Y38" s="125">
        <f>IF(X37&lt;&gt;0,ROUND((X37/$I37)*$H38,5),ROUND((W$10/$I$83)*$H38*W38,5))</f>
        <v>3.3600000000000001E-3</v>
      </c>
      <c r="Z38" s="102">
        <v>1</v>
      </c>
      <c r="AA38" s="99"/>
      <c r="AB38" s="124">
        <f>IF(AA37&lt;&gt;0,ROUND((AA37/$I37)*$H38,5),ROUND((Z$10/$I$83)*$H38*Z38,5))</f>
        <v>5.4000000000000001E-4</v>
      </c>
      <c r="AC38" s="102">
        <v>1</v>
      </c>
      <c r="AD38" s="99"/>
      <c r="AE38" s="126">
        <f>IF(AD37&lt;&gt;0,ROUND((AD37/$I37)*$H38,5),ROUND((AC$10/$I$83)*$H38*AC38,5))</f>
        <v>-4.0000000000000003E-5</v>
      </c>
      <c r="AF38" s="102">
        <v>1</v>
      </c>
      <c r="AG38" s="99"/>
      <c r="AH38" s="126">
        <v>3.1099999999999999E-3</v>
      </c>
      <c r="AI38" s="102">
        <v>1</v>
      </c>
      <c r="AJ38" s="99"/>
      <c r="AK38" s="124">
        <v>7.5399999999999998E-3</v>
      </c>
      <c r="AL38" s="113">
        <v>1</v>
      </c>
      <c r="AM38" s="127"/>
      <c r="AN38" s="109">
        <f>IF(AM37&lt;&gt;0,ROUND((AM37/$I37)*$H38,5),ROUND((AL$10/$I$83)*$H38*AL38,5))</f>
        <v>4.0000000000000003E-5</v>
      </c>
      <c r="AO38" s="113">
        <v>1</v>
      </c>
      <c r="AP38" s="128"/>
      <c r="AQ38" s="109">
        <f>IF(AP37&lt;&gt;0,ROUND((AP37/$I37)*$H38,5),ROUND((AO$10/$I$83)*$H38*AO38,5))</f>
        <v>0</v>
      </c>
      <c r="AR38" s="113">
        <v>1</v>
      </c>
      <c r="AS38" s="128"/>
      <c r="AT38" s="109">
        <f>IF(AS37&lt;&gt;0,ROUND((AS37/$I37)*$H38,5),ROUND((AR$10/$I$83)*$H38*AR38,5))</f>
        <v>0</v>
      </c>
      <c r="AX38" s="93">
        <f t="shared" si="20"/>
        <v>0</v>
      </c>
      <c r="AY38" s="93">
        <f t="shared" si="21"/>
        <v>0</v>
      </c>
      <c r="AZ38" s="93">
        <f t="shared" si="22"/>
        <v>0</v>
      </c>
      <c r="BA38" s="93">
        <f t="shared" si="23"/>
        <v>2245.4455713932534</v>
      </c>
      <c r="BB38" s="93">
        <f t="shared" si="24"/>
        <v>360.87518111677286</v>
      </c>
      <c r="BC38" s="93">
        <f t="shared" si="25"/>
        <v>-26.731494897538735</v>
      </c>
      <c r="BD38" s="93">
        <f t="shared" si="26"/>
        <v>2078.3737282836364</v>
      </c>
      <c r="BE38" s="93">
        <f t="shared" si="27"/>
        <v>5038.8867881860506</v>
      </c>
      <c r="BF38" s="93">
        <f t="shared" si="28"/>
        <v>26.731494897538735</v>
      </c>
      <c r="BG38" s="94">
        <f t="shared" si="29"/>
        <v>9696.8497740821731</v>
      </c>
      <c r="BH38" s="95"/>
    </row>
    <row r="39" spans="1:60" x14ac:dyDescent="0.35">
      <c r="A39" s="13">
        <f t="shared" si="0"/>
        <v>33</v>
      </c>
      <c r="B39" s="13"/>
      <c r="C39" s="97" t="s">
        <v>90</v>
      </c>
      <c r="D39" s="7">
        <f>+'[13]Washington volumes'!J39</f>
        <v>109047.67533172015</v>
      </c>
      <c r="E39" s="98">
        <f>+'[13]Rates in detail'!D39</f>
        <v>0.67456999999999967</v>
      </c>
      <c r="F39" s="98">
        <f>+'[13]Rates in detail'!E39+'[13]Rates in detail'!F39+'[13]Rates in detail'!G39</f>
        <v>0.43274000000000001</v>
      </c>
      <c r="G39" s="98">
        <f>+[13]Temporaries!D39</f>
        <v>0.12760999999999997</v>
      </c>
      <c r="H39" s="98">
        <f t="shared" si="17"/>
        <v>0.11421999999999968</v>
      </c>
      <c r="I39" s="99"/>
      <c r="J39" s="112"/>
      <c r="K39" s="7"/>
      <c r="L39" s="123"/>
      <c r="M39" s="101"/>
      <c r="N39" s="102">
        <v>0</v>
      </c>
      <c r="O39" s="99"/>
      <c r="P39" s="124">
        <f>IF(O37&lt;&gt;0,ROUND((O37/$I37)*$H39,5),ROUND((N$10/$I$83)*$H39*N39,5))</f>
        <v>0</v>
      </c>
      <c r="Q39" s="102">
        <v>0</v>
      </c>
      <c r="R39" s="99"/>
      <c r="S39" s="124">
        <f>IF(R37&lt;&gt;0,ROUND((R37/$I37)*$H39,5),ROUND((Q$10/$I$83)*$H39*Q39,5))</f>
        <v>0</v>
      </c>
      <c r="T39" s="102">
        <v>0</v>
      </c>
      <c r="U39" s="99"/>
      <c r="V39" s="124">
        <f>IF(U37&lt;&gt;0,ROUND((U37/$I37)*$H39,5),ROUND((T$10/$I$83)*$H39*T39,5))</f>
        <v>0</v>
      </c>
      <c r="W39" s="102">
        <v>1</v>
      </c>
      <c r="X39" s="99"/>
      <c r="Y39" s="125">
        <f>IF(X37&lt;&gt;0,ROUND((X37/$I37)*$H39,5),ROUND((W$10/$I$83)*$H39*W39,5))</f>
        <v>2.5699999999999998E-3</v>
      </c>
      <c r="Z39" s="102">
        <v>1</v>
      </c>
      <c r="AA39" s="99"/>
      <c r="AB39" s="124">
        <f>IF(AA37&lt;&gt;0,ROUND((AA37/$I37)*$H39,5),ROUND((Z$10/$I$83)*$H39*Z39,5))</f>
        <v>4.0999999999999999E-4</v>
      </c>
      <c r="AC39" s="102">
        <v>1</v>
      </c>
      <c r="AD39" s="99"/>
      <c r="AE39" s="126">
        <f>IF(AD37&lt;&gt;0,ROUND((AD37/$I37)*$H39,5),ROUND((AC$10/$I$83)*$H39*AC39,5))</f>
        <v>-3.0000000000000001E-5</v>
      </c>
      <c r="AF39" s="102">
        <v>1</v>
      </c>
      <c r="AG39" s="99"/>
      <c r="AH39" s="126">
        <v>2.3800000000000002E-3</v>
      </c>
      <c r="AI39" s="102">
        <v>1</v>
      </c>
      <c r="AJ39" s="99"/>
      <c r="AK39" s="124">
        <v>5.7800000000000004E-3</v>
      </c>
      <c r="AL39" s="113">
        <v>1</v>
      </c>
      <c r="AM39" s="127"/>
      <c r="AN39" s="109">
        <f>IF(AM37&lt;&gt;0,ROUND((AM37/$I37)*$H39,5),ROUND((AL$10/$I$83)*$H39*AL39,5))</f>
        <v>3.0000000000000001E-5</v>
      </c>
      <c r="AO39" s="113">
        <v>1</v>
      </c>
      <c r="AP39" s="128"/>
      <c r="AQ39" s="109">
        <f>IF(AP37&lt;&gt;0,ROUND((AP37/$I37)*$H39,5),ROUND((AO$10/$I$83)*$H39*AO39,5))</f>
        <v>0</v>
      </c>
      <c r="AR39" s="113">
        <v>1</v>
      </c>
      <c r="AS39" s="128"/>
      <c r="AT39" s="109">
        <f>IF(AS37&lt;&gt;0,ROUND((AS37/$I37)*$H39,5),ROUND((AR$10/$I$83)*$H39*AR39,5))</f>
        <v>0</v>
      </c>
      <c r="AX39" s="93">
        <f t="shared" si="20"/>
        <v>0</v>
      </c>
      <c r="AY39" s="93">
        <f t="shared" si="21"/>
        <v>0</v>
      </c>
      <c r="AZ39" s="93">
        <f t="shared" si="22"/>
        <v>0</v>
      </c>
      <c r="BA39" s="93">
        <f t="shared" si="23"/>
        <v>280.25252560252079</v>
      </c>
      <c r="BB39" s="93">
        <f t="shared" si="24"/>
        <v>44.709546886005263</v>
      </c>
      <c r="BC39" s="93">
        <f t="shared" si="25"/>
        <v>-3.2714302599516047</v>
      </c>
      <c r="BD39" s="93">
        <f t="shared" si="26"/>
        <v>259.53346728949396</v>
      </c>
      <c r="BE39" s="93">
        <f t="shared" si="27"/>
        <v>630.29556341734246</v>
      </c>
      <c r="BF39" s="93">
        <f t="shared" si="28"/>
        <v>3.2714302599516047</v>
      </c>
      <c r="BG39" s="94">
        <f t="shared" si="29"/>
        <v>1211.5196729354109</v>
      </c>
      <c r="BH39" s="95"/>
    </row>
    <row r="40" spans="1:60" x14ac:dyDescent="0.35">
      <c r="A40" s="13">
        <f t="shared" si="0"/>
        <v>34</v>
      </c>
      <c r="B40" s="13"/>
      <c r="C40" s="97" t="s">
        <v>91</v>
      </c>
      <c r="D40" s="7">
        <f>+'[13]Washington volumes'!J40</f>
        <v>24232.772003191028</v>
      </c>
      <c r="E40" s="98">
        <f>+'[13]Rates in detail'!D40</f>
        <v>0.64957000000000009</v>
      </c>
      <c r="F40" s="98">
        <f>+'[13]Rates in detail'!E40+'[13]Rates in detail'!F40+'[13]Rates in detail'!G40</f>
        <v>0.43274000000000001</v>
      </c>
      <c r="G40" s="98">
        <f>+[13]Temporaries!D40</f>
        <v>0.12544999999999998</v>
      </c>
      <c r="H40" s="98">
        <f t="shared" si="17"/>
        <v>9.13800000000001E-2</v>
      </c>
      <c r="I40" s="99"/>
      <c r="J40" s="112"/>
      <c r="K40" s="7"/>
      <c r="L40" s="123"/>
      <c r="M40" s="101"/>
      <c r="N40" s="102">
        <v>0</v>
      </c>
      <c r="O40" s="99"/>
      <c r="P40" s="124">
        <f>IF(O37&lt;&gt;0,ROUND((O37/$I37)*$H40,5),ROUND((N$10/$I$83)*$H40*N40,5))</f>
        <v>0</v>
      </c>
      <c r="Q40" s="102">
        <v>0</v>
      </c>
      <c r="R40" s="99"/>
      <c r="S40" s="124">
        <f>IF(R37&lt;&gt;0,ROUND((R37/$I37)*$H40,5),ROUND((Q$10/$I$83)*$H40*Q40,5))</f>
        <v>0</v>
      </c>
      <c r="T40" s="102">
        <v>0</v>
      </c>
      <c r="U40" s="99"/>
      <c r="V40" s="124">
        <f>IF(U37&lt;&gt;0,ROUND((U37/$I37)*$H40,5),ROUND((T$10/$I$83)*$H40*T40,5))</f>
        <v>0</v>
      </c>
      <c r="W40" s="102">
        <v>1</v>
      </c>
      <c r="X40" s="99"/>
      <c r="Y40" s="125">
        <f>IF(X37&lt;&gt;0,ROUND((X37/$I37)*$H40,5),ROUND((W$10/$I$83)*$H40*W40,5))</f>
        <v>2.0600000000000002E-3</v>
      </c>
      <c r="Z40" s="102">
        <v>1</v>
      </c>
      <c r="AA40" s="99"/>
      <c r="AB40" s="124">
        <f>IF(AA37&lt;&gt;0,ROUND((AA37/$I37)*$H40,5),ROUND((Z$10/$I$83)*$H40*Z40,5))</f>
        <v>3.3E-4</v>
      </c>
      <c r="AC40" s="102">
        <v>1</v>
      </c>
      <c r="AD40" s="99"/>
      <c r="AE40" s="126">
        <f>IF(AD37&lt;&gt;0,ROUND((AD37/$I37)*$H40,5),ROUND((AC$10/$I$83)*$H40*AC40,5))</f>
        <v>-2.0000000000000002E-5</v>
      </c>
      <c r="AF40" s="102">
        <v>1</v>
      </c>
      <c r="AG40" s="99"/>
      <c r="AH40" s="126">
        <v>1.91E-3</v>
      </c>
      <c r="AI40" s="102">
        <v>1</v>
      </c>
      <c r="AJ40" s="99"/>
      <c r="AK40" s="124">
        <v>4.6299999999999996E-3</v>
      </c>
      <c r="AL40" s="113">
        <v>1</v>
      </c>
      <c r="AM40" s="127"/>
      <c r="AN40" s="109">
        <f>IF(AM37&lt;&gt;0,ROUND((AM37/$I37)*$H40,5),ROUND((AL$10/$I$83)*$H40*AL40,5))</f>
        <v>2.0000000000000002E-5</v>
      </c>
      <c r="AO40" s="113">
        <v>1</v>
      </c>
      <c r="AP40" s="128"/>
      <c r="AQ40" s="109">
        <f>IF(AP37&lt;&gt;0,ROUND((AP37/$I37)*$H40,5),ROUND((AO$10/$I$83)*$H40*AO40,5))</f>
        <v>0</v>
      </c>
      <c r="AR40" s="113">
        <v>1</v>
      </c>
      <c r="AS40" s="128"/>
      <c r="AT40" s="109">
        <f>IF(AS37&lt;&gt;0,ROUND((AS37/$I37)*$H40,5),ROUND((AR$10/$I$83)*$H40*AR40,5))</f>
        <v>0</v>
      </c>
      <c r="AX40" s="93">
        <f t="shared" si="20"/>
        <v>0</v>
      </c>
      <c r="AY40" s="93">
        <f t="shared" si="21"/>
        <v>0</v>
      </c>
      <c r="AZ40" s="93">
        <f t="shared" si="22"/>
        <v>0</v>
      </c>
      <c r="BA40" s="93">
        <f t="shared" si="23"/>
        <v>49.919510326573523</v>
      </c>
      <c r="BB40" s="93">
        <f t="shared" si="24"/>
        <v>7.9968147610530398</v>
      </c>
      <c r="BC40" s="93">
        <f t="shared" si="25"/>
        <v>-0.48465544006382061</v>
      </c>
      <c r="BD40" s="93">
        <f t="shared" si="26"/>
        <v>46.284594526094864</v>
      </c>
      <c r="BE40" s="93">
        <f t="shared" si="27"/>
        <v>112.19773437477446</v>
      </c>
      <c r="BF40" s="93">
        <f t="shared" si="28"/>
        <v>0.48465544006382061</v>
      </c>
      <c r="BG40" s="94">
        <f t="shared" si="29"/>
        <v>215.91399854843206</v>
      </c>
      <c r="BH40" s="95"/>
    </row>
    <row r="41" spans="1:60" x14ac:dyDescent="0.35">
      <c r="A41" s="13">
        <f t="shared" si="0"/>
        <v>35</v>
      </c>
      <c r="B41" s="13"/>
      <c r="C41" s="97" t="s">
        <v>92</v>
      </c>
      <c r="D41" s="7">
        <f>+'[13]Washington volumes'!J41</f>
        <v>0</v>
      </c>
      <c r="E41" s="98">
        <f>+'[13]Rates in detail'!D41</f>
        <v>0.61626000000000036</v>
      </c>
      <c r="F41" s="98">
        <f>+'[13]Rates in detail'!E41+'[13]Rates in detail'!F41+'[13]Rates in detail'!G41</f>
        <v>0.43274000000000001</v>
      </c>
      <c r="G41" s="98">
        <f>+[13]Temporaries!D41</f>
        <v>0.12257999999999999</v>
      </c>
      <c r="H41" s="98">
        <f t="shared" si="17"/>
        <v>6.0940000000000355E-2</v>
      </c>
      <c r="I41" s="99"/>
      <c r="J41" s="112"/>
      <c r="K41" s="7"/>
      <c r="L41" s="123"/>
      <c r="M41" s="101"/>
      <c r="N41" s="102">
        <v>0</v>
      </c>
      <c r="O41" s="99"/>
      <c r="P41" s="124">
        <f>IF(O37&lt;&gt;0,ROUND((O37/$I37)*$H41,5),ROUND((N$10/$I$83)*$H41*N41,5))</f>
        <v>0</v>
      </c>
      <c r="Q41" s="102">
        <v>0</v>
      </c>
      <c r="R41" s="99"/>
      <c r="S41" s="124">
        <f>IF(R37&lt;&gt;0,ROUND((R37/$I37)*$H41,5),ROUND((Q$10/$I$83)*$H41*Q41,5))</f>
        <v>0</v>
      </c>
      <c r="T41" s="102">
        <v>0</v>
      </c>
      <c r="U41" s="99"/>
      <c r="V41" s="124">
        <f>IF(U37&lt;&gt;0,ROUND((U37/$I37)*$H41,5),ROUND((T$10/$I$83)*$H41*T41,5))</f>
        <v>0</v>
      </c>
      <c r="W41" s="102">
        <v>1</v>
      </c>
      <c r="X41" s="99"/>
      <c r="Y41" s="125">
        <f>IF(X37&lt;&gt;0,ROUND((X37/$I37)*$H41,5),ROUND((W$10/$I$83)*$H41*W41,5))</f>
        <v>1.3699999999999999E-3</v>
      </c>
      <c r="Z41" s="102">
        <v>1</v>
      </c>
      <c r="AA41" s="99"/>
      <c r="AB41" s="124">
        <f>IF(AA37&lt;&gt;0,ROUND((AA37/$I37)*$H41,5),ROUND((Z$10/$I$83)*$H41*Z41,5))</f>
        <v>2.2000000000000001E-4</v>
      </c>
      <c r="AC41" s="102">
        <v>1</v>
      </c>
      <c r="AD41" s="99"/>
      <c r="AE41" s="126">
        <f>IF(AD37&lt;&gt;0,ROUND((AD37/$I37)*$H41,5),ROUND((AC$10/$I$83)*$H41*AC41,5))</f>
        <v>-2.0000000000000002E-5</v>
      </c>
      <c r="AF41" s="102">
        <v>1</v>
      </c>
      <c r="AG41" s="99"/>
      <c r="AH41" s="126">
        <v>1.2700000000000001E-3</v>
      </c>
      <c r="AI41" s="102">
        <v>1</v>
      </c>
      <c r="AJ41" s="99"/>
      <c r="AK41" s="124">
        <v>3.0899999999999999E-3</v>
      </c>
      <c r="AL41" s="113">
        <v>1</v>
      </c>
      <c r="AM41" s="127"/>
      <c r="AN41" s="109">
        <f>IF(AM37&lt;&gt;0,ROUND((AM37/$I37)*$H41,5),ROUND((AL$10/$I$83)*$H41*AL41,5))</f>
        <v>2.0000000000000002E-5</v>
      </c>
      <c r="AO41" s="113">
        <v>1</v>
      </c>
      <c r="AP41" s="128"/>
      <c r="AQ41" s="109">
        <f>IF(AP37&lt;&gt;0,ROUND((AP37/$I37)*$H41,5),ROUND((AO$10/$I$83)*$H41*AO41,5))</f>
        <v>0</v>
      </c>
      <c r="AR41" s="113">
        <v>1</v>
      </c>
      <c r="AS41" s="128"/>
      <c r="AT41" s="109">
        <f>IF(AS37&lt;&gt;0,ROUND((AS37/$I37)*$H41,5),ROUND((AR$10/$I$83)*$H41*AR41,5))</f>
        <v>0</v>
      </c>
      <c r="AX41" s="93">
        <f t="shared" si="20"/>
        <v>0</v>
      </c>
      <c r="AY41" s="93">
        <f t="shared" si="21"/>
        <v>0</v>
      </c>
      <c r="AZ41" s="93">
        <f t="shared" si="22"/>
        <v>0</v>
      </c>
      <c r="BA41" s="93">
        <f t="shared" si="23"/>
        <v>0</v>
      </c>
      <c r="BB41" s="93">
        <f t="shared" si="24"/>
        <v>0</v>
      </c>
      <c r="BC41" s="93">
        <f t="shared" si="25"/>
        <v>0</v>
      </c>
      <c r="BD41" s="93">
        <f t="shared" si="26"/>
        <v>0</v>
      </c>
      <c r="BE41" s="93">
        <f t="shared" si="27"/>
        <v>0</v>
      </c>
      <c r="BF41" s="93">
        <f t="shared" si="28"/>
        <v>0</v>
      </c>
      <c r="BG41" s="94">
        <f t="shared" si="29"/>
        <v>0</v>
      </c>
      <c r="BH41" s="95"/>
    </row>
    <row r="42" spans="1:60" x14ac:dyDescent="0.35">
      <c r="A42" s="13">
        <f t="shared" si="0"/>
        <v>36</v>
      </c>
      <c r="B42" s="96"/>
      <c r="C42" s="111" t="s">
        <v>93</v>
      </c>
      <c r="D42" s="78">
        <f>+'[13]Washington volumes'!J42</f>
        <v>0</v>
      </c>
      <c r="E42" s="79">
        <f>+'[13]Rates in detail'!D42</f>
        <v>0.57454999999999989</v>
      </c>
      <c r="F42" s="79">
        <f>+'[13]Rates in detail'!E42+'[13]Rates in detail'!F42+'[13]Rates in detail'!G42</f>
        <v>0.43274000000000001</v>
      </c>
      <c r="G42" s="79">
        <f>+[13]Temporaries!D42</f>
        <v>0.11898</v>
      </c>
      <c r="H42" s="79">
        <f t="shared" si="17"/>
        <v>2.2829999999999878E-2</v>
      </c>
      <c r="I42" s="80"/>
      <c r="J42" s="81"/>
      <c r="K42" s="78"/>
      <c r="L42" s="82"/>
      <c r="M42" s="83"/>
      <c r="N42" s="84">
        <v>0</v>
      </c>
      <c r="O42" s="80"/>
      <c r="P42" s="85">
        <f>IF(O37&lt;&gt;0,ROUND((O37/$I37)*$H42,5),ROUND((N$10/$I$83)*$H42*N42,5))</f>
        <v>0</v>
      </c>
      <c r="Q42" s="84">
        <v>0</v>
      </c>
      <c r="R42" s="80"/>
      <c r="S42" s="85">
        <f>IF(R37&lt;&gt;0,ROUND((R37/$I37)*$H42,5),ROUND((Q$10/$I$83)*$H42*Q42,5))</f>
        <v>0</v>
      </c>
      <c r="T42" s="84">
        <v>0</v>
      </c>
      <c r="U42" s="80"/>
      <c r="V42" s="85">
        <f>IF(U37&lt;&gt;0,ROUND((U37/$I37)*$H42,5),ROUND((T$10/$I$83)*$H42*T42,5))</f>
        <v>0</v>
      </c>
      <c r="W42" s="84">
        <v>1</v>
      </c>
      <c r="X42" s="80"/>
      <c r="Y42" s="86">
        <f>IF(X37&lt;&gt;0,ROUND((X37/$I37)*$H42,5),ROUND((W$10/$I$83)*$H42*W42,5))</f>
        <v>5.1000000000000004E-4</v>
      </c>
      <c r="Z42" s="84">
        <v>1</v>
      </c>
      <c r="AA42" s="80"/>
      <c r="AB42" s="85">
        <f>IF(AA37&lt;&gt;0,ROUND((AA37/$I37)*$H42,5),ROUND((Z$10/$I$83)*$H42*Z42,5))</f>
        <v>8.0000000000000007E-5</v>
      </c>
      <c r="AC42" s="84">
        <v>1</v>
      </c>
      <c r="AD42" s="80"/>
      <c r="AE42" s="87">
        <f>IF(AD37&lt;&gt;0,ROUND((AD37/$I37)*$H42,5),ROUND((AC$10/$I$83)*$H42*AC42,5))</f>
        <v>-1.0000000000000001E-5</v>
      </c>
      <c r="AF42" s="84">
        <v>1</v>
      </c>
      <c r="AG42" s="80"/>
      <c r="AH42" s="87">
        <v>4.8000000000000001E-4</v>
      </c>
      <c r="AI42" s="84">
        <v>1</v>
      </c>
      <c r="AJ42" s="80"/>
      <c r="AK42" s="85">
        <v>1.16E-3</v>
      </c>
      <c r="AL42" s="88">
        <v>1</v>
      </c>
      <c r="AM42" s="89"/>
      <c r="AN42" s="90">
        <f>IF(AM37&lt;&gt;0,ROUND((AM37/$I37)*$H42,5),ROUND((AL$10/$I$83)*$H42*AL42,5))</f>
        <v>1.0000000000000001E-5</v>
      </c>
      <c r="AO42" s="88">
        <v>1</v>
      </c>
      <c r="AP42" s="91"/>
      <c r="AQ42" s="90">
        <f>IF(AP37&lt;&gt;0,ROUND((AP37/$I37)*$H42,5),ROUND((AO$10/$I$83)*$H42*AO42,5))</f>
        <v>0</v>
      </c>
      <c r="AR42" s="88">
        <v>1</v>
      </c>
      <c r="AS42" s="91"/>
      <c r="AT42" s="90">
        <f>IF(AS37&lt;&gt;0,ROUND((AS37/$I37)*$H42,5),ROUND((AR$10/$I$83)*$H42*AR42,5))</f>
        <v>0</v>
      </c>
      <c r="AX42" s="93">
        <f t="shared" si="20"/>
        <v>0</v>
      </c>
      <c r="AY42" s="93">
        <f t="shared" si="21"/>
        <v>0</v>
      </c>
      <c r="AZ42" s="93">
        <f t="shared" si="22"/>
        <v>0</v>
      </c>
      <c r="BA42" s="93">
        <f t="shared" si="23"/>
        <v>0</v>
      </c>
      <c r="BB42" s="93">
        <f t="shared" si="24"/>
        <v>0</v>
      </c>
      <c r="BC42" s="93">
        <f t="shared" si="25"/>
        <v>0</v>
      </c>
      <c r="BD42" s="93">
        <f t="shared" si="26"/>
        <v>0</v>
      </c>
      <c r="BE42" s="93">
        <f t="shared" si="27"/>
        <v>0</v>
      </c>
      <c r="BF42" s="93">
        <f t="shared" si="28"/>
        <v>0</v>
      </c>
      <c r="BG42" s="94">
        <f t="shared" si="29"/>
        <v>0</v>
      </c>
      <c r="BH42" s="95"/>
    </row>
    <row r="43" spans="1:60" x14ac:dyDescent="0.35">
      <c r="A43" s="13">
        <f t="shared" si="0"/>
        <v>37</v>
      </c>
      <c r="B43" s="13" t="s">
        <v>95</v>
      </c>
      <c r="C43" s="97" t="s">
        <v>82</v>
      </c>
      <c r="D43" s="7">
        <f>+'[13]Washington volumes'!J43</f>
        <v>122543.87639893022</v>
      </c>
      <c r="E43" s="98">
        <f>+'[13]Rates in detail'!D43</f>
        <v>0.40332000000000001</v>
      </c>
      <c r="F43" s="98">
        <f>+'[13]Rates in detail'!E43+'[13]Rates in detail'!F43+'[13]Rates in detail'!G43</f>
        <v>0</v>
      </c>
      <c r="G43" s="98">
        <f>+[13]Temporaries!D43</f>
        <v>0.24890000000000001</v>
      </c>
      <c r="H43" s="98">
        <f t="shared" si="17"/>
        <v>0.15442</v>
      </c>
      <c r="I43" s="99">
        <f>ROUND((H43*D43)+(D44*H44)+(D45*H45)+(D46*H46)+(D47*H47)+(D48*H48),0)</f>
        <v>112991</v>
      </c>
      <c r="J43" s="112">
        <f>+'[13]Avg Bill by RS'!G51</f>
        <v>1550</v>
      </c>
      <c r="K43" s="7">
        <f>+'[13]Washington volumes'!L43</f>
        <v>1</v>
      </c>
      <c r="L43" s="100">
        <f>ROUND((J43*K43*12)+I43+I44+I45+I46+I47+I48,0)</f>
        <v>131591</v>
      </c>
      <c r="M43" s="101"/>
      <c r="N43" s="102">
        <v>0</v>
      </c>
      <c r="O43" s="117">
        <f>ROUND(+$N$10*(($L43*N43)/N$83),0)</f>
        <v>0</v>
      </c>
      <c r="P43" s="118">
        <f>IF(O43&lt;&gt;0,ROUND((O43/$I43)*$H43,5),ROUND((N$10/$I$83)*$H43*N43,5))</f>
        <v>0</v>
      </c>
      <c r="Q43" s="102">
        <v>0</v>
      </c>
      <c r="R43" s="117">
        <f>ROUND(+$Q$10*(($L43*Q43)/Q$83),0)</f>
        <v>0</v>
      </c>
      <c r="S43" s="118">
        <f>IF(R43&lt;&gt;0,ROUND((R43/$I43)*$H43,5),ROUND((Q$10/$I$83)*$H43*Q43,5))</f>
        <v>0</v>
      </c>
      <c r="T43" s="102">
        <v>0</v>
      </c>
      <c r="U43" s="117">
        <f>ROUND(+$T$10*(($L43*T43)/T$83),0)</f>
        <v>0</v>
      </c>
      <c r="V43" s="118">
        <f>IF(U43&lt;&gt;0,ROUND((U43/$I43)*$H43,5),ROUND((T$10/$I$83)*$H43*T43,5))</f>
        <v>0</v>
      </c>
      <c r="W43" s="102">
        <v>0</v>
      </c>
      <c r="X43" s="117">
        <f>ROUND(+$W$10*(($L43*W43)/W$83),0)</f>
        <v>0</v>
      </c>
      <c r="Y43" s="119">
        <f>IF(X43&lt;&gt;0,ROUND((X43/$I43)*$H43,5),ROUND((W$10/$I$83)*$H43*W43,5))</f>
        <v>0</v>
      </c>
      <c r="Z43" s="102">
        <v>0</v>
      </c>
      <c r="AA43" s="117">
        <f>ROUND(+$Z$10*(($L43*Z43)/Z$83),0)</f>
        <v>0</v>
      </c>
      <c r="AB43" s="118">
        <f>IF(AA43&lt;&gt;0,ROUND((AA43/$I43)*$H43,5),ROUND((Z$10/$I$83)*$H43*Z43,5))</f>
        <v>0</v>
      </c>
      <c r="AC43" s="102">
        <v>1</v>
      </c>
      <c r="AD43" s="117">
        <f>ROUND(+$AC$10*(($L43*AC43)/AC$83),0)</f>
        <v>-20</v>
      </c>
      <c r="AE43" s="120">
        <f>IF(AD43&lt;&gt;0,ROUND((AD43/$I43)*$H43,5),ROUND((AC$10/$I$83)*$H43*AC43,5))</f>
        <v>-3.0000000000000001E-5</v>
      </c>
      <c r="AF43" s="102">
        <v>1</v>
      </c>
      <c r="AG43" s="117">
        <v>1602</v>
      </c>
      <c r="AH43" s="120">
        <v>2.1900000000000001E-3</v>
      </c>
      <c r="AI43" s="102">
        <v>1</v>
      </c>
      <c r="AJ43" s="117">
        <v>7620</v>
      </c>
      <c r="AK43" s="118">
        <v>5.2399999999999999E-3</v>
      </c>
      <c r="AL43" s="113">
        <v>0</v>
      </c>
      <c r="AM43" s="121">
        <f>ROUND(+$AL$10*(($L43*AL43)/AL$83),0)</f>
        <v>0</v>
      </c>
      <c r="AN43" s="109">
        <f>IF(AM43&lt;&gt;0,ROUND((AM43/$I43)*$H43,5),ROUND((AL$10/$I$83)*$H43*AL43,5))</f>
        <v>0</v>
      </c>
      <c r="AO43" s="113">
        <v>1</v>
      </c>
      <c r="AP43" s="122">
        <f>ROUND(+$AO$10*(($L43*AO43)/AO$83),0)</f>
        <v>0</v>
      </c>
      <c r="AQ43" s="109">
        <f>IF(AP43&lt;&gt;0,ROUND((AP43/$I43)*$H43,5),ROUND((AO$10/$I$83)*$H43*AO43,5))</f>
        <v>0</v>
      </c>
      <c r="AR43" s="113">
        <v>1</v>
      </c>
      <c r="AS43" s="122">
        <f>ROUND(+$AR$10*(($L43*AR43)/AR$83),0)</f>
        <v>0</v>
      </c>
      <c r="AT43" s="109">
        <f>IF(AS43&lt;&gt;0,ROUND((AS43/$I43)*$H43,5),ROUND((AR$10/$I$83)*$H43*AR43,5))</f>
        <v>0</v>
      </c>
      <c r="AX43" s="93">
        <f t="shared" si="20"/>
        <v>0</v>
      </c>
      <c r="AY43" s="93">
        <f t="shared" si="21"/>
        <v>0</v>
      </c>
      <c r="AZ43" s="93">
        <f t="shared" si="22"/>
        <v>0</v>
      </c>
      <c r="BA43" s="93">
        <f t="shared" si="23"/>
        <v>0</v>
      </c>
      <c r="BB43" s="93">
        <f t="shared" si="24"/>
        <v>0</v>
      </c>
      <c r="BC43" s="93">
        <f t="shared" si="25"/>
        <v>-3.6763162919679067</v>
      </c>
      <c r="BD43" s="93">
        <f t="shared" si="26"/>
        <v>268.37108931365719</v>
      </c>
      <c r="BE43" s="93">
        <f t="shared" si="27"/>
        <v>642.1299123303944</v>
      </c>
      <c r="BF43" s="93">
        <f t="shared" si="28"/>
        <v>0</v>
      </c>
      <c r="BG43" s="94">
        <f t="shared" si="29"/>
        <v>906.82468535208363</v>
      </c>
      <c r="BH43" s="95"/>
    </row>
    <row r="44" spans="1:60" x14ac:dyDescent="0.35">
      <c r="A44" s="13">
        <f t="shared" si="0"/>
        <v>38</v>
      </c>
      <c r="B44" s="13"/>
      <c r="C44" s="97" t="s">
        <v>83</v>
      </c>
      <c r="D44" s="7">
        <f>+'[13]Washington volumes'!J44</f>
        <v>245087.75279786045</v>
      </c>
      <c r="E44" s="98">
        <f>+'[13]Rates in detail'!D44</f>
        <v>0.38640000000000002</v>
      </c>
      <c r="F44" s="98">
        <f>+'[13]Rates in detail'!E44+'[13]Rates in detail'!F44+'[13]Rates in detail'!G44</f>
        <v>0</v>
      </c>
      <c r="G44" s="98">
        <f>+[13]Temporaries!D44</f>
        <v>0.24815999999999999</v>
      </c>
      <c r="H44" s="98">
        <f t="shared" si="17"/>
        <v>0.13824000000000003</v>
      </c>
      <c r="I44" s="99"/>
      <c r="J44" s="112"/>
      <c r="K44" s="7"/>
      <c r="L44" s="123"/>
      <c r="M44" s="101"/>
      <c r="N44" s="102">
        <v>0</v>
      </c>
      <c r="O44" s="99"/>
      <c r="P44" s="124">
        <f>IF(O43&lt;&gt;0,ROUND((O43/$I43)*$H44,5),ROUND((N$10/$I$83)*$H44*N44,5))</f>
        <v>0</v>
      </c>
      <c r="Q44" s="102">
        <v>0</v>
      </c>
      <c r="R44" s="99"/>
      <c r="S44" s="124">
        <f>IF(R43&lt;&gt;0,ROUND((R43/$I43)*$H44,5),ROUND((Q$10/$I$83)*$H44*Q44,5))</f>
        <v>0</v>
      </c>
      <c r="T44" s="102">
        <v>0</v>
      </c>
      <c r="U44" s="99"/>
      <c r="V44" s="124">
        <f>IF(U43&lt;&gt;0,ROUND((U43/$I43)*$H44,5),ROUND((T$10/$I$83)*$H44*T44,5))</f>
        <v>0</v>
      </c>
      <c r="W44" s="102">
        <v>0</v>
      </c>
      <c r="X44" s="99"/>
      <c r="Y44" s="125">
        <f>IF(X43&lt;&gt;0,ROUND((X43/$I43)*$H44,5),ROUND((W$10/$I$83)*$H44*W44,5))</f>
        <v>0</v>
      </c>
      <c r="Z44" s="102">
        <v>0</v>
      </c>
      <c r="AA44" s="99"/>
      <c r="AB44" s="124">
        <f>IF(AA43&lt;&gt;0,ROUND((AA43/$I43)*$H44,5),ROUND((Z$10/$I$83)*$H44*Z44,5))</f>
        <v>0</v>
      </c>
      <c r="AC44" s="102">
        <v>1</v>
      </c>
      <c r="AD44" s="99"/>
      <c r="AE44" s="126">
        <f>IF(AD43&lt;&gt;0,ROUND((AD43/$I43)*$H44,5),ROUND((AC$10/$I$83)*$H44*AC44,5))</f>
        <v>-2.0000000000000002E-5</v>
      </c>
      <c r="AF44" s="102">
        <v>1</v>
      </c>
      <c r="AG44" s="99"/>
      <c r="AH44" s="126">
        <v>1.9599999999999999E-3</v>
      </c>
      <c r="AI44" s="102">
        <v>1</v>
      </c>
      <c r="AJ44" s="99"/>
      <c r="AK44" s="124">
        <v>4.6899999999999997E-3</v>
      </c>
      <c r="AL44" s="113">
        <v>0</v>
      </c>
      <c r="AM44" s="127"/>
      <c r="AN44" s="109">
        <f>IF(AM43&lt;&gt;0,ROUND((AM43/$I43)*$H44,5),ROUND((AL$10/$I$83)*$H44*AL44,5))</f>
        <v>0</v>
      </c>
      <c r="AO44" s="113">
        <v>1</v>
      </c>
      <c r="AP44" s="128"/>
      <c r="AQ44" s="109">
        <f>IF(AP43&lt;&gt;0,ROUND((AP43/$I43)*$H44,5),ROUND((AO$10/$I$83)*$H44*AO44,5))</f>
        <v>0</v>
      </c>
      <c r="AR44" s="113">
        <v>1</v>
      </c>
      <c r="AS44" s="128"/>
      <c r="AT44" s="109">
        <f>IF(AS43&lt;&gt;0,ROUND((AS43/$I43)*$H44,5),ROUND((AR$10/$I$83)*$H44*AR44,5))</f>
        <v>0</v>
      </c>
      <c r="AX44" s="93">
        <f t="shared" si="20"/>
        <v>0</v>
      </c>
      <c r="AY44" s="93">
        <f t="shared" si="21"/>
        <v>0</v>
      </c>
      <c r="AZ44" s="93">
        <f t="shared" si="22"/>
        <v>0</v>
      </c>
      <c r="BA44" s="93">
        <f t="shared" si="23"/>
        <v>0</v>
      </c>
      <c r="BB44" s="93">
        <f t="shared" si="24"/>
        <v>0</v>
      </c>
      <c r="BC44" s="93">
        <f t="shared" si="25"/>
        <v>-4.9017550559572092</v>
      </c>
      <c r="BD44" s="93">
        <f t="shared" si="26"/>
        <v>480.37199548380647</v>
      </c>
      <c r="BE44" s="93">
        <f t="shared" si="27"/>
        <v>1149.4615606219654</v>
      </c>
      <c r="BF44" s="93">
        <f t="shared" si="28"/>
        <v>0</v>
      </c>
      <c r="BG44" s="94">
        <f t="shared" si="29"/>
        <v>1624.9318010498146</v>
      </c>
      <c r="BH44" s="95"/>
    </row>
    <row r="45" spans="1:60" x14ac:dyDescent="0.35">
      <c r="A45" s="13">
        <f t="shared" si="0"/>
        <v>39</v>
      </c>
      <c r="B45" s="13"/>
      <c r="C45" s="97" t="s">
        <v>90</v>
      </c>
      <c r="D45" s="7">
        <f>+'[13]Washington volumes'!J45</f>
        <v>245087.75279786045</v>
      </c>
      <c r="E45" s="98">
        <f>+'[13]Rates in detail'!D45</f>
        <v>0.35268999999999995</v>
      </c>
      <c r="F45" s="98">
        <f>+'[13]Rates in detail'!E45+'[13]Rates in detail'!F45+'[13]Rates in detail'!G45</f>
        <v>0</v>
      </c>
      <c r="G45" s="98">
        <f>+[13]Temporaries!D45</f>
        <v>0.24668999999999999</v>
      </c>
      <c r="H45" s="98">
        <f t="shared" si="17"/>
        <v>0.10599999999999996</v>
      </c>
      <c r="I45" s="99"/>
      <c r="J45" s="112"/>
      <c r="K45" s="7"/>
      <c r="L45" s="123"/>
      <c r="M45" s="101"/>
      <c r="N45" s="102">
        <v>0</v>
      </c>
      <c r="O45" s="99"/>
      <c r="P45" s="124">
        <f>IF(O43&lt;&gt;0,ROUND((O43/$I43)*$H45,5),ROUND((N$10/$I$83)*$H45*N45,5))</f>
        <v>0</v>
      </c>
      <c r="Q45" s="102">
        <v>0</v>
      </c>
      <c r="R45" s="99"/>
      <c r="S45" s="124">
        <f>IF(R43&lt;&gt;0,ROUND((R43/$I43)*$H45,5),ROUND((Q$10/$I$83)*$H45*Q45,5))</f>
        <v>0</v>
      </c>
      <c r="T45" s="102">
        <v>0</v>
      </c>
      <c r="U45" s="99"/>
      <c r="V45" s="124">
        <f>IF(U43&lt;&gt;0,ROUND((U43/$I43)*$H45,5),ROUND((T$10/$I$83)*$H45*T45,5))</f>
        <v>0</v>
      </c>
      <c r="W45" s="102">
        <v>0</v>
      </c>
      <c r="X45" s="99"/>
      <c r="Y45" s="125">
        <f>IF(X43&lt;&gt;0,ROUND((X43/$I43)*$H45,5),ROUND((W$10/$I$83)*$H45*W45,5))</f>
        <v>0</v>
      </c>
      <c r="Z45" s="102">
        <v>0</v>
      </c>
      <c r="AA45" s="99"/>
      <c r="AB45" s="124">
        <f>IF(AA43&lt;&gt;0,ROUND((AA43/$I43)*$H45,5),ROUND((Z$10/$I$83)*$H45*Z45,5))</f>
        <v>0</v>
      </c>
      <c r="AC45" s="102">
        <v>1</v>
      </c>
      <c r="AD45" s="99"/>
      <c r="AE45" s="126">
        <f>IF(AD43&lt;&gt;0,ROUND((AD43/$I43)*$H45,5),ROUND((AC$10/$I$83)*$H45*AC45,5))</f>
        <v>-2.0000000000000002E-5</v>
      </c>
      <c r="AF45" s="102">
        <v>1</v>
      </c>
      <c r="AG45" s="99"/>
      <c r="AH45" s="126">
        <v>1.5E-3</v>
      </c>
      <c r="AI45" s="102">
        <v>1</v>
      </c>
      <c r="AJ45" s="99"/>
      <c r="AK45" s="124">
        <v>3.5999999999999999E-3</v>
      </c>
      <c r="AL45" s="113">
        <v>0</v>
      </c>
      <c r="AM45" s="127"/>
      <c r="AN45" s="109">
        <f>IF(AM43&lt;&gt;0,ROUND((AM43/$I43)*$H45,5),ROUND((AL$10/$I$83)*$H45*AL45,5))</f>
        <v>0</v>
      </c>
      <c r="AO45" s="113">
        <v>1</v>
      </c>
      <c r="AP45" s="128"/>
      <c r="AQ45" s="109">
        <f>IF(AP43&lt;&gt;0,ROUND((AP43/$I43)*$H45,5),ROUND((AO$10/$I$83)*$H45*AO45,5))</f>
        <v>0</v>
      </c>
      <c r="AR45" s="113">
        <v>1</v>
      </c>
      <c r="AS45" s="128"/>
      <c r="AT45" s="109">
        <f>IF(AS43&lt;&gt;0,ROUND((AS43/$I43)*$H45,5),ROUND((AR$10/$I$83)*$H45*AR45,5))</f>
        <v>0</v>
      </c>
      <c r="AX45" s="93">
        <f t="shared" si="20"/>
        <v>0</v>
      </c>
      <c r="AY45" s="93">
        <f t="shared" si="21"/>
        <v>0</v>
      </c>
      <c r="AZ45" s="93">
        <f t="shared" si="22"/>
        <v>0</v>
      </c>
      <c r="BA45" s="93">
        <f t="shared" si="23"/>
        <v>0</v>
      </c>
      <c r="BB45" s="93">
        <f t="shared" si="24"/>
        <v>0</v>
      </c>
      <c r="BC45" s="93">
        <f t="shared" si="25"/>
        <v>-4.9017550559572092</v>
      </c>
      <c r="BD45" s="93">
        <f t="shared" si="26"/>
        <v>367.6316291967907</v>
      </c>
      <c r="BE45" s="93">
        <f t="shared" si="27"/>
        <v>882.31591007229758</v>
      </c>
      <c r="BF45" s="93">
        <f t="shared" si="28"/>
        <v>0</v>
      </c>
      <c r="BG45" s="94">
        <f t="shared" si="29"/>
        <v>1245.0457842131311</v>
      </c>
      <c r="BH45" s="95"/>
    </row>
    <row r="46" spans="1:60" x14ac:dyDescent="0.35">
      <c r="A46" s="13">
        <f t="shared" si="0"/>
        <v>40</v>
      </c>
      <c r="B46" s="13"/>
      <c r="C46" s="97" t="s">
        <v>91</v>
      </c>
      <c r="D46" s="7">
        <f>+'[13]Washington volumes'!J46</f>
        <v>403343.97837634891</v>
      </c>
      <c r="E46" s="98">
        <f>+'[13]Rates in detail'!D46</f>
        <v>0.33054000000000006</v>
      </c>
      <c r="F46" s="98">
        <f>+'[13]Rates in detail'!E46+'[13]Rates in detail'!F46+'[13]Rates in detail'!G46</f>
        <v>0</v>
      </c>
      <c r="G46" s="98">
        <f>+[13]Temporaries!D46</f>
        <v>0.24573</v>
      </c>
      <c r="H46" s="98">
        <f t="shared" si="17"/>
        <v>8.4810000000000052E-2</v>
      </c>
      <c r="I46" s="99"/>
      <c r="J46" s="112"/>
      <c r="K46" s="7"/>
      <c r="L46" s="123"/>
      <c r="M46" s="101"/>
      <c r="N46" s="102">
        <v>0</v>
      </c>
      <c r="O46" s="99"/>
      <c r="P46" s="124">
        <f>IF(O43&lt;&gt;0,ROUND((O43/$I43)*$H46,5),ROUND((N$10/$I$83)*$H46*N46,5))</f>
        <v>0</v>
      </c>
      <c r="Q46" s="102">
        <v>0</v>
      </c>
      <c r="R46" s="99"/>
      <c r="S46" s="124">
        <f>IF(R43&lt;&gt;0,ROUND((R43/$I43)*$H46,5),ROUND((Q$10/$I$83)*$H46*Q46,5))</f>
        <v>0</v>
      </c>
      <c r="T46" s="102">
        <v>0</v>
      </c>
      <c r="U46" s="99"/>
      <c r="V46" s="124">
        <f>IF(U43&lt;&gt;0,ROUND((U43/$I43)*$H46,5),ROUND((T$10/$I$83)*$H46*T46,5))</f>
        <v>0</v>
      </c>
      <c r="W46" s="102">
        <v>0</v>
      </c>
      <c r="X46" s="99"/>
      <c r="Y46" s="125">
        <f>IF(X43&lt;&gt;0,ROUND((X43/$I43)*$H46,5),ROUND((W$10/$I$83)*$H46*W46,5))</f>
        <v>0</v>
      </c>
      <c r="Z46" s="102">
        <v>0</v>
      </c>
      <c r="AA46" s="99"/>
      <c r="AB46" s="124">
        <f>IF(AA43&lt;&gt;0,ROUND((AA43/$I43)*$H46,5),ROUND((Z$10/$I$83)*$H46*Z46,5))</f>
        <v>0</v>
      </c>
      <c r="AC46" s="102">
        <v>1</v>
      </c>
      <c r="AD46" s="99"/>
      <c r="AE46" s="126">
        <f>IF(AD43&lt;&gt;0,ROUND((AD43/$I43)*$H46,5),ROUND((AC$10/$I$83)*$H46*AC46,5))</f>
        <v>-2.0000000000000002E-5</v>
      </c>
      <c r="AF46" s="102">
        <v>1</v>
      </c>
      <c r="AG46" s="99"/>
      <c r="AH46" s="126">
        <v>1.1999999999999999E-3</v>
      </c>
      <c r="AI46" s="102">
        <v>1</v>
      </c>
      <c r="AJ46" s="99"/>
      <c r="AK46" s="124">
        <v>2.8800000000000002E-3</v>
      </c>
      <c r="AL46" s="113">
        <v>0</v>
      </c>
      <c r="AM46" s="127"/>
      <c r="AN46" s="109">
        <f>IF(AM43&lt;&gt;0,ROUND((AM43/$I43)*$H46,5),ROUND((AL$10/$I$83)*$H46*AL46,5))</f>
        <v>0</v>
      </c>
      <c r="AO46" s="113">
        <v>1</v>
      </c>
      <c r="AP46" s="128"/>
      <c r="AQ46" s="109">
        <f>IF(AP43&lt;&gt;0,ROUND((AP43/$I43)*$H46,5),ROUND((AO$10/$I$83)*$H46*AO46,5))</f>
        <v>0</v>
      </c>
      <c r="AR46" s="113">
        <v>1</v>
      </c>
      <c r="AS46" s="128"/>
      <c r="AT46" s="109">
        <f>IF(AS43&lt;&gt;0,ROUND((AS43/$I43)*$H46,5),ROUND((AR$10/$I$83)*$H46*AR46,5))</f>
        <v>0</v>
      </c>
      <c r="AX46" s="93">
        <f t="shared" si="20"/>
        <v>0</v>
      </c>
      <c r="AY46" s="93">
        <f t="shared" si="21"/>
        <v>0</v>
      </c>
      <c r="AZ46" s="93">
        <f t="shared" si="22"/>
        <v>0</v>
      </c>
      <c r="BA46" s="93">
        <f t="shared" si="23"/>
        <v>0</v>
      </c>
      <c r="BB46" s="93">
        <f t="shared" si="24"/>
        <v>0</v>
      </c>
      <c r="BC46" s="93">
        <f t="shared" si="25"/>
        <v>-8.0668795675269784</v>
      </c>
      <c r="BD46" s="93">
        <f t="shared" si="26"/>
        <v>484.01277405161863</v>
      </c>
      <c r="BE46" s="93">
        <f t="shared" si="27"/>
        <v>1161.630657723885</v>
      </c>
      <c r="BF46" s="93">
        <f t="shared" si="28"/>
        <v>0</v>
      </c>
      <c r="BG46" s="94">
        <f t="shared" si="29"/>
        <v>1637.5765522079766</v>
      </c>
      <c r="BH46" s="95"/>
    </row>
    <row r="47" spans="1:60" x14ac:dyDescent="0.35">
      <c r="A47" s="13">
        <f t="shared" si="0"/>
        <v>41</v>
      </c>
      <c r="B47" s="13"/>
      <c r="C47" s="97" t="s">
        <v>92</v>
      </c>
      <c r="D47" s="7">
        <f>+'[13]Washington volumes'!J47</f>
        <v>0</v>
      </c>
      <c r="E47" s="98">
        <f>+'[13]Rates in detail'!D47</f>
        <v>0.30097000000000007</v>
      </c>
      <c r="F47" s="98">
        <f>+'[13]Rates in detail'!E47+'[13]Rates in detail'!F47+'[13]Rates in detail'!G47</f>
        <v>0</v>
      </c>
      <c r="G47" s="98">
        <f>+[13]Temporaries!D47</f>
        <v>0.24443000000000001</v>
      </c>
      <c r="H47" s="98">
        <f t="shared" si="17"/>
        <v>5.6540000000000062E-2</v>
      </c>
      <c r="I47" s="99"/>
      <c r="J47" s="112"/>
      <c r="K47" s="7"/>
      <c r="L47" s="123"/>
      <c r="M47" s="101"/>
      <c r="N47" s="102">
        <v>0</v>
      </c>
      <c r="O47" s="99"/>
      <c r="P47" s="124">
        <f>IF(O43&lt;&gt;0,ROUND((O43/$I43)*$H47,5),ROUND((N$10/$I$83)*$H47*N47,5))</f>
        <v>0</v>
      </c>
      <c r="Q47" s="102">
        <v>0</v>
      </c>
      <c r="R47" s="99"/>
      <c r="S47" s="124">
        <f>IF(R43&lt;&gt;0,ROUND((R43/$I43)*$H47,5),ROUND((Q$10/$I$83)*$H47*Q47,5))</f>
        <v>0</v>
      </c>
      <c r="T47" s="102">
        <v>0</v>
      </c>
      <c r="U47" s="99"/>
      <c r="V47" s="124">
        <f>IF(U43&lt;&gt;0,ROUND((U43/$I43)*$H47,5),ROUND((T$10/$I$83)*$H47*T47,5))</f>
        <v>0</v>
      </c>
      <c r="W47" s="102">
        <v>0</v>
      </c>
      <c r="X47" s="99"/>
      <c r="Y47" s="125">
        <f>IF(X43&lt;&gt;0,ROUND((X43/$I43)*$H47,5),ROUND((W$10/$I$83)*$H47*W47,5))</f>
        <v>0</v>
      </c>
      <c r="Z47" s="102">
        <v>0</v>
      </c>
      <c r="AA47" s="99"/>
      <c r="AB47" s="124">
        <f>IF(AA43&lt;&gt;0,ROUND((AA43/$I43)*$H47,5),ROUND((Z$10/$I$83)*$H47*Z47,5))</f>
        <v>0</v>
      </c>
      <c r="AC47" s="102">
        <v>1</v>
      </c>
      <c r="AD47" s="99"/>
      <c r="AE47" s="126">
        <f>IF(AD43&lt;&gt;0,ROUND((AD43/$I43)*$H47,5),ROUND((AC$10/$I$83)*$H47*AC47,5))</f>
        <v>-1.0000000000000001E-5</v>
      </c>
      <c r="AF47" s="102">
        <v>1</v>
      </c>
      <c r="AG47" s="99"/>
      <c r="AH47" s="126">
        <v>8.0000000000000004E-4</v>
      </c>
      <c r="AI47" s="102">
        <v>1</v>
      </c>
      <c r="AJ47" s="99"/>
      <c r="AK47" s="124">
        <v>1.92E-3</v>
      </c>
      <c r="AL47" s="113">
        <v>0</v>
      </c>
      <c r="AM47" s="127"/>
      <c r="AN47" s="109">
        <f>IF(AM43&lt;&gt;0,ROUND((AM43/$I43)*$H47,5),ROUND((AL$10/$I$83)*$H47*AL47,5))</f>
        <v>0</v>
      </c>
      <c r="AO47" s="113">
        <v>1</v>
      </c>
      <c r="AP47" s="128"/>
      <c r="AQ47" s="109">
        <f>IF(AP43&lt;&gt;0,ROUND((AP43/$I43)*$H47,5),ROUND((AO$10/$I$83)*$H47*AO47,5))</f>
        <v>0</v>
      </c>
      <c r="AR47" s="113">
        <v>1</v>
      </c>
      <c r="AS47" s="128"/>
      <c r="AT47" s="109">
        <f>IF(AS43&lt;&gt;0,ROUND((AS43/$I43)*$H47,5),ROUND((AR$10/$I$83)*$H47*AR47,5))</f>
        <v>0</v>
      </c>
      <c r="AX47" s="93">
        <f t="shared" si="20"/>
        <v>0</v>
      </c>
      <c r="AY47" s="93">
        <f t="shared" si="21"/>
        <v>0</v>
      </c>
      <c r="AZ47" s="93">
        <f t="shared" si="22"/>
        <v>0</v>
      </c>
      <c r="BA47" s="93">
        <f t="shared" si="23"/>
        <v>0</v>
      </c>
      <c r="BB47" s="93">
        <f t="shared" si="24"/>
        <v>0</v>
      </c>
      <c r="BC47" s="93">
        <f t="shared" si="25"/>
        <v>0</v>
      </c>
      <c r="BD47" s="93">
        <f t="shared" si="26"/>
        <v>0</v>
      </c>
      <c r="BE47" s="93">
        <f t="shared" si="27"/>
        <v>0</v>
      </c>
      <c r="BF47" s="93">
        <f t="shared" si="28"/>
        <v>0</v>
      </c>
      <c r="BG47" s="94">
        <f t="shared" si="29"/>
        <v>0</v>
      </c>
      <c r="BH47" s="95"/>
    </row>
    <row r="48" spans="1:60" x14ac:dyDescent="0.35">
      <c r="A48" s="13">
        <f t="shared" si="0"/>
        <v>42</v>
      </c>
      <c r="B48" s="96"/>
      <c r="C48" s="111" t="s">
        <v>93</v>
      </c>
      <c r="D48" s="78">
        <f>+'[13]Washington volumes'!J48</f>
        <v>0</v>
      </c>
      <c r="E48" s="79">
        <f>+'[13]Rates in detail'!D48</f>
        <v>0.26403000000000004</v>
      </c>
      <c r="F48" s="79">
        <f>+'[13]Rates in detail'!E48+'[13]Rates in detail'!F48+'[13]Rates in detail'!G48</f>
        <v>0</v>
      </c>
      <c r="G48" s="79">
        <f>+[13]Temporaries!D48</f>
        <v>0.24282999999999999</v>
      </c>
      <c r="H48" s="79">
        <f t="shared" si="17"/>
        <v>2.1200000000000052E-2</v>
      </c>
      <c r="I48" s="80"/>
      <c r="J48" s="81"/>
      <c r="K48" s="78"/>
      <c r="L48" s="82"/>
      <c r="M48" s="83"/>
      <c r="N48" s="84">
        <v>0</v>
      </c>
      <c r="O48" s="80"/>
      <c r="P48" s="85">
        <f>IF(O43&lt;&gt;0,ROUND((O43/$I43)*$H48,5),ROUND((N$10/$I$83)*$H48*N48,5))</f>
        <v>0</v>
      </c>
      <c r="Q48" s="84">
        <v>0</v>
      </c>
      <c r="R48" s="80"/>
      <c r="S48" s="85">
        <f>IF(R43&lt;&gt;0,ROUND((R43/$I43)*$H48,5),ROUND((Q$10/$I$83)*$H48*Q48,5))</f>
        <v>0</v>
      </c>
      <c r="T48" s="84">
        <v>0</v>
      </c>
      <c r="U48" s="80"/>
      <c r="V48" s="85">
        <f>IF(U43&lt;&gt;0,ROUND((U43/$I43)*$H48,5),ROUND((T$10/$I$83)*$H48*T48,5))</f>
        <v>0</v>
      </c>
      <c r="W48" s="84">
        <v>0</v>
      </c>
      <c r="X48" s="80"/>
      <c r="Y48" s="86">
        <f>IF(X43&lt;&gt;0,ROUND((X43/$I43)*$H48,5),ROUND((W$10/$I$83)*$H48*W48,5))</f>
        <v>0</v>
      </c>
      <c r="Z48" s="84">
        <v>0</v>
      </c>
      <c r="AA48" s="80"/>
      <c r="AB48" s="85">
        <f>IF(AA43&lt;&gt;0,ROUND((AA43/$I43)*$H48,5),ROUND((Z$10/$I$83)*$H48*Z48,5))</f>
        <v>0</v>
      </c>
      <c r="AC48" s="84">
        <v>1</v>
      </c>
      <c r="AD48" s="80"/>
      <c r="AE48" s="87">
        <f>IF(AD43&lt;&gt;0,ROUND((AD43/$I43)*$H48,5),ROUND((AC$10/$I$83)*$H48*AC48,5))</f>
        <v>0</v>
      </c>
      <c r="AF48" s="84">
        <v>1</v>
      </c>
      <c r="AG48" s="80"/>
      <c r="AH48" s="87">
        <v>2.9999999999999997E-4</v>
      </c>
      <c r="AI48" s="84">
        <v>1</v>
      </c>
      <c r="AJ48" s="80"/>
      <c r="AK48" s="85">
        <v>7.2000000000000005E-4</v>
      </c>
      <c r="AL48" s="88">
        <v>0</v>
      </c>
      <c r="AM48" s="89"/>
      <c r="AN48" s="90">
        <f>IF(AM43&lt;&gt;0,ROUND((AM43/$I43)*$H48,5),ROUND((AL$10/$I$83)*$H48*AL48,5))</f>
        <v>0</v>
      </c>
      <c r="AO48" s="88">
        <v>1</v>
      </c>
      <c r="AP48" s="91"/>
      <c r="AQ48" s="90">
        <f>IF(AP43&lt;&gt;0,ROUND((AP43/$I43)*$H48,5),ROUND((AO$10/$I$83)*$H48*AO48,5))</f>
        <v>0</v>
      </c>
      <c r="AR48" s="88">
        <v>1</v>
      </c>
      <c r="AS48" s="91"/>
      <c r="AT48" s="90">
        <f>IF(AS43&lt;&gt;0,ROUND((AS43/$I43)*$H48,5),ROUND((AR$10/$I$83)*$H48*AR48,5))</f>
        <v>0</v>
      </c>
      <c r="AX48" s="93">
        <f t="shared" si="20"/>
        <v>0</v>
      </c>
      <c r="AY48" s="93">
        <f t="shared" si="21"/>
        <v>0</v>
      </c>
      <c r="AZ48" s="93">
        <f t="shared" si="22"/>
        <v>0</v>
      </c>
      <c r="BA48" s="93">
        <f t="shared" si="23"/>
        <v>0</v>
      </c>
      <c r="BB48" s="93">
        <f t="shared" si="24"/>
        <v>0</v>
      </c>
      <c r="BC48" s="93">
        <f t="shared" si="25"/>
        <v>0</v>
      </c>
      <c r="BD48" s="93">
        <f t="shared" si="26"/>
        <v>0</v>
      </c>
      <c r="BE48" s="93">
        <f t="shared" si="27"/>
        <v>0</v>
      </c>
      <c r="BF48" s="93">
        <f t="shared" si="28"/>
        <v>0</v>
      </c>
      <c r="BG48" s="94">
        <f t="shared" si="29"/>
        <v>0</v>
      </c>
      <c r="BH48" s="95"/>
    </row>
    <row r="49" spans="1:60" x14ac:dyDescent="0.35">
      <c r="A49" s="13">
        <f t="shared" si="0"/>
        <v>43</v>
      </c>
      <c r="B49" s="13" t="s">
        <v>96</v>
      </c>
      <c r="C49" s="97" t="s">
        <v>82</v>
      </c>
      <c r="D49" s="114">
        <f>+'[13]Washington volumes'!J49</f>
        <v>933451.95163091726</v>
      </c>
      <c r="E49" s="98">
        <f>+'[13]Rates in detail'!D49</f>
        <v>0.40095999999999998</v>
      </c>
      <c r="F49" s="98">
        <f>+'[13]Rates in detail'!E49+'[13]Rates in detail'!F49+'[13]Rates in detail'!G49</f>
        <v>0</v>
      </c>
      <c r="G49" s="98">
        <f>+[13]Temporaries!D49</f>
        <v>0.24934999999999999</v>
      </c>
      <c r="H49" s="98">
        <f>+E49-F49-G49</f>
        <v>0.15160999999999999</v>
      </c>
      <c r="I49" s="99">
        <f>ROUND((H49*D49)+(D50*H50)+(D51*H51)+(D52*H52)+(D53*H53)+(D54*H54),0)</f>
        <v>734029</v>
      </c>
      <c r="J49" s="112">
        <f>+'[13]Avg Bill by RS'!G58</f>
        <v>1550</v>
      </c>
      <c r="K49" s="7">
        <f>+'[13]Washington volumes'!L49</f>
        <v>10</v>
      </c>
      <c r="L49" s="100">
        <f>ROUND((J49*K49*12)+I49+I50+I51+I52+I53+I54,0)</f>
        <v>920029</v>
      </c>
      <c r="M49" s="101"/>
      <c r="N49" s="102">
        <v>0</v>
      </c>
      <c r="O49" s="117">
        <f>ROUND(+$N$10*(($L49*N49)/N$83),0)</f>
        <v>0</v>
      </c>
      <c r="P49" s="118">
        <f>IF(O49&lt;&gt;0,ROUND((O49/$I49)*$H49,5),ROUND((N$10/$I$83)*$H49*N49,5))</f>
        <v>0</v>
      </c>
      <c r="Q49" s="102">
        <v>0</v>
      </c>
      <c r="R49" s="117">
        <f>ROUND(+$Q$10*(($L49*Q49)/Q$83),0)</f>
        <v>0</v>
      </c>
      <c r="S49" s="118">
        <f>IF(R49&lt;&gt;0,ROUND((R49/$I49)*$H49,5),ROUND((Q$10/$I$83)*$H49*Q49,5))</f>
        <v>0</v>
      </c>
      <c r="T49" s="102">
        <v>0</v>
      </c>
      <c r="U49" s="117">
        <f>ROUND(+$T$10*(($L49*T49)/T$83),0)</f>
        <v>0</v>
      </c>
      <c r="V49" s="118">
        <f>IF(U49&lt;&gt;0,ROUND((U49/$I49)*$H49,5),ROUND((T$10/$I$83)*$H49*T49,5))</f>
        <v>0</v>
      </c>
      <c r="W49" s="102">
        <v>0</v>
      </c>
      <c r="X49" s="117">
        <f>ROUND(+$W$10*(($L49*W49)/W$83),0)</f>
        <v>0</v>
      </c>
      <c r="Y49" s="119">
        <f>IF(X49&lt;&gt;0,ROUND((X49/$I49)*$H49,5),ROUND((W$10/$I$83)*$H49*W49,5))</f>
        <v>0</v>
      </c>
      <c r="Z49" s="102">
        <v>0</v>
      </c>
      <c r="AA49" s="117">
        <f>ROUND(+$Z$10*(($L49*Z49)/Z$83),0)</f>
        <v>0</v>
      </c>
      <c r="AB49" s="118">
        <f>IF(AA49&lt;&gt;0,ROUND((AA49/$I49)*$H49,5),ROUND((Z$10/$I$83)*$H49*Z49,5))</f>
        <v>0</v>
      </c>
      <c r="AC49" s="102">
        <v>1</v>
      </c>
      <c r="AD49" s="117">
        <f>ROUND(+$AC$10*(($L49*AC49)/AC$83),0)</f>
        <v>-142</v>
      </c>
      <c r="AE49" s="120">
        <f>IF(AD49&lt;&gt;0,ROUND((AD49/$I49)*$H49,5),ROUND((AC$10/$I$83)*$H49*AC49,5))</f>
        <v>-3.0000000000000001E-5</v>
      </c>
      <c r="AF49" s="102">
        <v>1</v>
      </c>
      <c r="AG49" s="117">
        <v>11199</v>
      </c>
      <c r="AH49" s="120">
        <v>2.31E-3</v>
      </c>
      <c r="AI49" s="102">
        <v>1</v>
      </c>
      <c r="AJ49" s="117">
        <v>31074</v>
      </c>
      <c r="AK49" s="118">
        <v>5.5900000000000004E-3</v>
      </c>
      <c r="AL49" s="113">
        <v>0</v>
      </c>
      <c r="AM49" s="121">
        <f>ROUND(+$AL$10*(($L49*AL49)/AL$83),0)</f>
        <v>0</v>
      </c>
      <c r="AN49" s="109">
        <f>IF(AM49&lt;&gt;0,ROUND((AM49/$I49)*$H49,5),ROUND((AL$10/$I$83)*$H49*AL49,5))</f>
        <v>0</v>
      </c>
      <c r="AO49" s="113">
        <v>1</v>
      </c>
      <c r="AP49" s="122">
        <f>ROUND(+$AO$10*(($L49*AO49)/AO$83),0)</f>
        <v>0</v>
      </c>
      <c r="AQ49" s="109">
        <f>IF(AP49&lt;&gt;0,ROUND((AP49/$I49)*$H49,5),ROUND((AO$10/$I$83)*$H49*AO49,5))</f>
        <v>0</v>
      </c>
      <c r="AR49" s="113">
        <v>1</v>
      </c>
      <c r="AS49" s="122">
        <f>ROUND(+$AR$10*(($L49*AR49)/AR$83),0)</f>
        <v>0</v>
      </c>
      <c r="AT49" s="109">
        <f>IF(AS49&lt;&gt;0,ROUND((AS49/$I49)*$H49,5),ROUND((AR$10/$I$83)*$H49*AR49,5))</f>
        <v>0</v>
      </c>
      <c r="AX49" s="93">
        <f t="shared" si="20"/>
        <v>0</v>
      </c>
      <c r="AY49" s="93">
        <f t="shared" si="21"/>
        <v>0</v>
      </c>
      <c r="AZ49" s="93">
        <f t="shared" si="22"/>
        <v>0</v>
      </c>
      <c r="BA49" s="93">
        <f t="shared" si="23"/>
        <v>0</v>
      </c>
      <c r="BB49" s="93">
        <f t="shared" si="24"/>
        <v>0</v>
      </c>
      <c r="BC49" s="93">
        <f t="shared" si="25"/>
        <v>-28.003558548927519</v>
      </c>
      <c r="BD49" s="93">
        <f t="shared" si="26"/>
        <v>2156.274008267419</v>
      </c>
      <c r="BE49" s="93">
        <f t="shared" si="27"/>
        <v>5217.9964096168278</v>
      </c>
      <c r="BF49" s="93">
        <f t="shared" si="28"/>
        <v>0</v>
      </c>
      <c r="BG49" s="94">
        <f t="shared" si="29"/>
        <v>7346.2668593353192</v>
      </c>
      <c r="BH49" s="95"/>
    </row>
    <row r="50" spans="1:60" x14ac:dyDescent="0.35">
      <c r="A50" s="13">
        <f t="shared" si="0"/>
        <v>44</v>
      </c>
      <c r="B50" s="13"/>
      <c r="C50" s="97" t="s">
        <v>83</v>
      </c>
      <c r="D50" s="7">
        <f>+'[13]Washington volumes'!J50</f>
        <v>1354331.8549391942</v>
      </c>
      <c r="E50" s="98">
        <f>+'[13]Rates in detail'!D50</f>
        <v>0.38426999999999989</v>
      </c>
      <c r="F50" s="98">
        <f>+'[13]Rates in detail'!E50+'[13]Rates in detail'!F50+'[13]Rates in detail'!G50</f>
        <v>0</v>
      </c>
      <c r="G50" s="98">
        <f>+[13]Temporaries!D50</f>
        <v>0.24856</v>
      </c>
      <c r="H50" s="98">
        <f t="shared" ref="H50:H60" si="33">+E50-F50-G50</f>
        <v>0.13570999999999989</v>
      </c>
      <c r="I50" s="99"/>
      <c r="J50" s="112"/>
      <c r="K50" s="7"/>
      <c r="L50" s="123"/>
      <c r="M50" s="101"/>
      <c r="N50" s="102">
        <v>0</v>
      </c>
      <c r="O50" s="99"/>
      <c r="P50" s="124">
        <f>IF(O49&lt;&gt;0,ROUND((O49/$I49)*$H50,5),ROUND((N$10/$I$83)*$H50*N50,5))</f>
        <v>0</v>
      </c>
      <c r="Q50" s="102">
        <v>0</v>
      </c>
      <c r="R50" s="99"/>
      <c r="S50" s="124">
        <f>IF(R49&lt;&gt;0,ROUND((R49/$I49)*$H50,5),ROUND((Q$10/$I$83)*$H50*Q50,5))</f>
        <v>0</v>
      </c>
      <c r="T50" s="102">
        <v>0</v>
      </c>
      <c r="U50" s="99"/>
      <c r="V50" s="124">
        <f>IF(U49&lt;&gt;0,ROUND((U49/$I49)*$H50,5),ROUND((T$10/$I$83)*$H50*T50,5))</f>
        <v>0</v>
      </c>
      <c r="W50" s="102">
        <v>0</v>
      </c>
      <c r="X50" s="99"/>
      <c r="Y50" s="125">
        <f>IF(X49&lt;&gt;0,ROUND((X49/$I49)*$H50,5),ROUND((W$10/$I$83)*$H50*W50,5))</f>
        <v>0</v>
      </c>
      <c r="Z50" s="102">
        <v>0</v>
      </c>
      <c r="AA50" s="99"/>
      <c r="AB50" s="124">
        <f>IF(AA49&lt;&gt;0,ROUND((AA49/$I49)*$H50,5),ROUND((Z$10/$I$83)*$H50*Z50,5))</f>
        <v>0</v>
      </c>
      <c r="AC50" s="102">
        <v>1</v>
      </c>
      <c r="AD50" s="99"/>
      <c r="AE50" s="126">
        <f>IF(AD49&lt;&gt;0,ROUND((AD49/$I49)*$H50,5),ROUND((AC$10/$I$83)*$H50*AC50,5))</f>
        <v>-3.0000000000000001E-5</v>
      </c>
      <c r="AF50" s="102">
        <v>1</v>
      </c>
      <c r="AG50" s="99"/>
      <c r="AH50" s="126">
        <v>2.0699999999999998E-3</v>
      </c>
      <c r="AI50" s="102">
        <v>1</v>
      </c>
      <c r="AJ50" s="99"/>
      <c r="AK50" s="124">
        <v>5.0099999999999997E-3</v>
      </c>
      <c r="AL50" s="113">
        <v>0</v>
      </c>
      <c r="AM50" s="127"/>
      <c r="AN50" s="109">
        <f>IF(AM49&lt;&gt;0,ROUND((AM49/$I49)*$H50,5),ROUND((AL$10/$I$83)*$H50*AL50,5))</f>
        <v>0</v>
      </c>
      <c r="AO50" s="113">
        <v>1</v>
      </c>
      <c r="AP50" s="128"/>
      <c r="AQ50" s="109">
        <f>IF(AP49&lt;&gt;0,ROUND((AP49/$I49)*$H50,5),ROUND((AO$10/$I$83)*$H50*AO50,5))</f>
        <v>0</v>
      </c>
      <c r="AR50" s="113">
        <v>1</v>
      </c>
      <c r="AS50" s="128"/>
      <c r="AT50" s="109">
        <f>IF(AS49&lt;&gt;0,ROUND((AS49/$I49)*$H50,5),ROUND((AR$10/$I$83)*$H50*AR50,5))</f>
        <v>0</v>
      </c>
      <c r="AX50" s="93">
        <f t="shared" si="20"/>
        <v>0</v>
      </c>
      <c r="AY50" s="93">
        <f t="shared" si="21"/>
        <v>0</v>
      </c>
      <c r="AZ50" s="93">
        <f t="shared" si="22"/>
        <v>0</v>
      </c>
      <c r="BA50" s="93">
        <f t="shared" si="23"/>
        <v>0</v>
      </c>
      <c r="BB50" s="93">
        <f t="shared" si="24"/>
        <v>0</v>
      </c>
      <c r="BC50" s="93">
        <f t="shared" si="25"/>
        <v>-40.629955648175823</v>
      </c>
      <c r="BD50" s="93">
        <f t="shared" si="26"/>
        <v>2803.4669397241319</v>
      </c>
      <c r="BE50" s="93">
        <f t="shared" si="27"/>
        <v>6785.2025932453626</v>
      </c>
      <c r="BF50" s="93">
        <f t="shared" si="28"/>
        <v>0</v>
      </c>
      <c r="BG50" s="94">
        <f t="shared" si="29"/>
        <v>9548.0395773213186</v>
      </c>
      <c r="BH50" s="95"/>
    </row>
    <row r="51" spans="1:60" x14ac:dyDescent="0.35">
      <c r="A51" s="13">
        <f t="shared" si="0"/>
        <v>45</v>
      </c>
      <c r="B51" s="13"/>
      <c r="C51" s="97" t="s">
        <v>90</v>
      </c>
      <c r="D51" s="7">
        <f>+'[13]Washington volumes'!J51</f>
        <v>1182764.9803330612</v>
      </c>
      <c r="E51" s="98">
        <f>+'[13]Rates in detail'!D51</f>
        <v>0.35105000000000003</v>
      </c>
      <c r="F51" s="98">
        <f>+'[13]Rates in detail'!E51+'[13]Rates in detail'!F51+'[13]Rates in detail'!G51</f>
        <v>0</v>
      </c>
      <c r="G51" s="98">
        <f>+[13]Temporaries!D51</f>
        <v>0.24698999999999999</v>
      </c>
      <c r="H51" s="98">
        <f t="shared" si="33"/>
        <v>0.10406000000000004</v>
      </c>
      <c r="I51" s="99"/>
      <c r="J51" s="112"/>
      <c r="K51" s="7"/>
      <c r="L51" s="123"/>
      <c r="M51" s="101"/>
      <c r="N51" s="102">
        <v>0</v>
      </c>
      <c r="O51" s="99"/>
      <c r="P51" s="124">
        <f>IF(O49&lt;&gt;0,ROUND((O49/$I49)*$H51,5),ROUND((N$10/$I$83)*$H51*N51,5))</f>
        <v>0</v>
      </c>
      <c r="Q51" s="102">
        <v>0</v>
      </c>
      <c r="R51" s="99"/>
      <c r="S51" s="124">
        <f>IF(R49&lt;&gt;0,ROUND((R49/$I49)*$H51,5),ROUND((Q$10/$I$83)*$H51*Q51,5))</f>
        <v>0</v>
      </c>
      <c r="T51" s="102">
        <v>0</v>
      </c>
      <c r="U51" s="99"/>
      <c r="V51" s="124">
        <f>IF(U49&lt;&gt;0,ROUND((U49/$I49)*$H51,5),ROUND((T$10/$I$83)*$H51*T51,5))</f>
        <v>0</v>
      </c>
      <c r="W51" s="102">
        <v>0</v>
      </c>
      <c r="X51" s="99"/>
      <c r="Y51" s="125">
        <f>IF(X49&lt;&gt;0,ROUND((X49/$I49)*$H51,5),ROUND((W$10/$I$83)*$H51*W51,5))</f>
        <v>0</v>
      </c>
      <c r="Z51" s="102">
        <v>0</v>
      </c>
      <c r="AA51" s="99"/>
      <c r="AB51" s="124">
        <f>IF(AA49&lt;&gt;0,ROUND((AA49/$I49)*$H51,5),ROUND((Z$10/$I$83)*$H51*Z51,5))</f>
        <v>0</v>
      </c>
      <c r="AC51" s="102">
        <v>1</v>
      </c>
      <c r="AD51" s="99"/>
      <c r="AE51" s="126">
        <f>IF(AD49&lt;&gt;0,ROUND((AD49/$I49)*$H51,5),ROUND((AC$10/$I$83)*$H51*AC51,5))</f>
        <v>-2.0000000000000002E-5</v>
      </c>
      <c r="AF51" s="102">
        <v>1</v>
      </c>
      <c r="AG51" s="99"/>
      <c r="AH51" s="126">
        <v>1.5900000000000001E-3</v>
      </c>
      <c r="AI51" s="102">
        <v>1</v>
      </c>
      <c r="AJ51" s="99"/>
      <c r="AK51" s="124">
        <v>3.8400000000000001E-3</v>
      </c>
      <c r="AL51" s="113">
        <v>0</v>
      </c>
      <c r="AM51" s="127"/>
      <c r="AN51" s="109">
        <f>IF(AM49&lt;&gt;0,ROUND((AM49/$I49)*$H51,5),ROUND((AL$10/$I$83)*$H51*AL51,5))</f>
        <v>0</v>
      </c>
      <c r="AO51" s="113">
        <v>1</v>
      </c>
      <c r="AP51" s="128"/>
      <c r="AQ51" s="109">
        <f>IF(AP49&lt;&gt;0,ROUND((AP49/$I49)*$H51,5),ROUND((AO$10/$I$83)*$H51*AO51,5))</f>
        <v>0</v>
      </c>
      <c r="AR51" s="113">
        <v>1</v>
      </c>
      <c r="AS51" s="128"/>
      <c r="AT51" s="109">
        <f>IF(AS49&lt;&gt;0,ROUND((AS49/$I49)*$H51,5),ROUND((AR$10/$I$83)*$H51*AR51,5))</f>
        <v>0</v>
      </c>
      <c r="AX51" s="93">
        <f t="shared" si="20"/>
        <v>0</v>
      </c>
      <c r="AY51" s="93">
        <f t="shared" si="21"/>
        <v>0</v>
      </c>
      <c r="AZ51" s="93">
        <f t="shared" si="22"/>
        <v>0</v>
      </c>
      <c r="BA51" s="93">
        <f t="shared" si="23"/>
        <v>0</v>
      </c>
      <c r="BB51" s="93">
        <f t="shared" si="24"/>
        <v>0</v>
      </c>
      <c r="BC51" s="93">
        <f t="shared" si="25"/>
        <v>-23.655299606661227</v>
      </c>
      <c r="BD51" s="93">
        <f t="shared" si="26"/>
        <v>1880.5963187295674</v>
      </c>
      <c r="BE51" s="93">
        <f t="shared" si="27"/>
        <v>4541.8175244789554</v>
      </c>
      <c r="BF51" s="93">
        <f t="shared" si="28"/>
        <v>0</v>
      </c>
      <c r="BG51" s="94">
        <f t="shared" si="29"/>
        <v>6398.7585436018617</v>
      </c>
      <c r="BH51" s="95"/>
    </row>
    <row r="52" spans="1:60" x14ac:dyDescent="0.35">
      <c r="A52" s="13">
        <f t="shared" si="0"/>
        <v>46</v>
      </c>
      <c r="B52" s="13"/>
      <c r="C52" s="97" t="s">
        <v>91</v>
      </c>
      <c r="D52" s="7">
        <f>+'[13]Washington volumes'!J52</f>
        <v>2743941.1371104051</v>
      </c>
      <c r="E52" s="98">
        <f>+'[13]Rates in detail'!D52</f>
        <v>0.32922000000000012</v>
      </c>
      <c r="F52" s="98">
        <f>+'[13]Rates in detail'!E52+'[13]Rates in detail'!F52+'[13]Rates in detail'!G52</f>
        <v>0</v>
      </c>
      <c r="G52" s="98">
        <f>+[13]Temporaries!D52</f>
        <v>0.24596000000000001</v>
      </c>
      <c r="H52" s="98">
        <f t="shared" si="33"/>
        <v>8.3260000000000112E-2</v>
      </c>
      <c r="I52" s="99"/>
      <c r="J52" s="112"/>
      <c r="K52" s="7"/>
      <c r="L52" s="123"/>
      <c r="M52" s="101"/>
      <c r="N52" s="102">
        <v>0</v>
      </c>
      <c r="O52" s="99"/>
      <c r="P52" s="124">
        <f>IF(O49&lt;&gt;0,ROUND((O49/$I49)*$H52,5),ROUND((N$10/$I$83)*$H52*N52,5))</f>
        <v>0</v>
      </c>
      <c r="Q52" s="102">
        <v>0</v>
      </c>
      <c r="R52" s="99"/>
      <c r="S52" s="124">
        <f>IF(R49&lt;&gt;0,ROUND((R49/$I49)*$H52,5),ROUND((Q$10/$I$83)*$H52*Q52,5))</f>
        <v>0</v>
      </c>
      <c r="T52" s="102">
        <v>0</v>
      </c>
      <c r="U52" s="99"/>
      <c r="V52" s="124">
        <f>IF(U49&lt;&gt;0,ROUND((U49/$I49)*$H52,5),ROUND((T$10/$I$83)*$H52*T52,5))</f>
        <v>0</v>
      </c>
      <c r="W52" s="102">
        <v>0</v>
      </c>
      <c r="X52" s="99"/>
      <c r="Y52" s="125">
        <f>IF(X49&lt;&gt;0,ROUND((X49/$I49)*$H52,5),ROUND((W$10/$I$83)*$H52*W52,5))</f>
        <v>0</v>
      </c>
      <c r="Z52" s="102">
        <v>0</v>
      </c>
      <c r="AA52" s="99"/>
      <c r="AB52" s="124">
        <f>IF(AA49&lt;&gt;0,ROUND((AA49/$I49)*$H52,5),ROUND((Z$10/$I$83)*$H52*Z52,5))</f>
        <v>0</v>
      </c>
      <c r="AC52" s="102">
        <v>1</v>
      </c>
      <c r="AD52" s="99"/>
      <c r="AE52" s="126">
        <f>IF(AD49&lt;&gt;0,ROUND((AD49/$I49)*$H52,5),ROUND((AC$10/$I$83)*$H52*AC52,5))</f>
        <v>-2.0000000000000002E-5</v>
      </c>
      <c r="AF52" s="102">
        <v>1</v>
      </c>
      <c r="AG52" s="99"/>
      <c r="AH52" s="126">
        <v>1.2700000000000001E-3</v>
      </c>
      <c r="AI52" s="102">
        <v>1</v>
      </c>
      <c r="AJ52" s="99"/>
      <c r="AK52" s="124">
        <v>3.0699999999999998E-3</v>
      </c>
      <c r="AL52" s="113">
        <v>0</v>
      </c>
      <c r="AM52" s="127"/>
      <c r="AN52" s="109">
        <f>IF(AM49&lt;&gt;0,ROUND((AM49/$I49)*$H52,5),ROUND((AL$10/$I$83)*$H52*AL52,5))</f>
        <v>0</v>
      </c>
      <c r="AO52" s="113">
        <v>1</v>
      </c>
      <c r="AP52" s="128"/>
      <c r="AQ52" s="109">
        <f>IF(AP49&lt;&gt;0,ROUND((AP49/$I49)*$H52,5),ROUND((AO$10/$I$83)*$H52*AO52,5))</f>
        <v>0</v>
      </c>
      <c r="AR52" s="113">
        <v>1</v>
      </c>
      <c r="AS52" s="128"/>
      <c r="AT52" s="109">
        <f>IF(AS49&lt;&gt;0,ROUND((AS49/$I49)*$H52,5),ROUND((AR$10/$I$83)*$H52*AR52,5))</f>
        <v>0</v>
      </c>
      <c r="AX52" s="93">
        <f t="shared" si="20"/>
        <v>0</v>
      </c>
      <c r="AY52" s="93">
        <f t="shared" si="21"/>
        <v>0</v>
      </c>
      <c r="AZ52" s="93">
        <f t="shared" si="22"/>
        <v>0</v>
      </c>
      <c r="BA52" s="93">
        <f t="shared" si="23"/>
        <v>0</v>
      </c>
      <c r="BB52" s="93">
        <f t="shared" si="24"/>
        <v>0</v>
      </c>
      <c r="BC52" s="93">
        <f t="shared" si="25"/>
        <v>-54.878822742208108</v>
      </c>
      <c r="BD52" s="93">
        <f t="shared" si="26"/>
        <v>3484.8052441302148</v>
      </c>
      <c r="BE52" s="93">
        <f t="shared" si="27"/>
        <v>8423.8992909289427</v>
      </c>
      <c r="BF52" s="93">
        <f t="shared" si="28"/>
        <v>0</v>
      </c>
      <c r="BG52" s="94">
        <f t="shared" si="29"/>
        <v>11853.82571231695</v>
      </c>
      <c r="BH52" s="95"/>
    </row>
    <row r="53" spans="1:60" x14ac:dyDescent="0.35">
      <c r="A53" s="13">
        <f t="shared" si="0"/>
        <v>47</v>
      </c>
      <c r="B53" s="13"/>
      <c r="C53" s="97" t="s">
        <v>92</v>
      </c>
      <c r="D53" s="7">
        <f>+'[13]Washington volumes'!J53</f>
        <v>1030133.9063092957</v>
      </c>
      <c r="E53" s="98">
        <f>+'[13]Rates in detail'!D53</f>
        <v>0.30008999999999997</v>
      </c>
      <c r="F53" s="98">
        <f>+'[13]Rates in detail'!E53+'[13]Rates in detail'!F53+'[13]Rates in detail'!G53</f>
        <v>0</v>
      </c>
      <c r="G53" s="98">
        <f>+[13]Temporaries!D53</f>
        <v>0.24459</v>
      </c>
      <c r="H53" s="98">
        <f t="shared" si="33"/>
        <v>5.5499999999999966E-2</v>
      </c>
      <c r="I53" s="99"/>
      <c r="J53" s="112"/>
      <c r="K53" s="7"/>
      <c r="L53" s="123"/>
      <c r="M53" s="101"/>
      <c r="N53" s="102">
        <v>0</v>
      </c>
      <c r="O53" s="99"/>
      <c r="P53" s="124">
        <f>IF(O49&lt;&gt;0,ROUND((O49/$I49)*$H53,5),ROUND((N$10/$I$83)*$H53*N53,5))</f>
        <v>0</v>
      </c>
      <c r="Q53" s="102">
        <v>0</v>
      </c>
      <c r="R53" s="99"/>
      <c r="S53" s="124">
        <f>IF(R49&lt;&gt;0,ROUND((R49/$I49)*$H53,5),ROUND((Q$10/$I$83)*$H53*Q53,5))</f>
        <v>0</v>
      </c>
      <c r="T53" s="102">
        <v>0</v>
      </c>
      <c r="U53" s="99"/>
      <c r="V53" s="124">
        <f>IF(U49&lt;&gt;0,ROUND((U49/$I49)*$H53,5),ROUND((T$10/$I$83)*$H53*T53,5))</f>
        <v>0</v>
      </c>
      <c r="W53" s="102">
        <v>0</v>
      </c>
      <c r="X53" s="99"/>
      <c r="Y53" s="125">
        <f>IF(X49&lt;&gt;0,ROUND((X49/$I49)*$H53,5),ROUND((W$10/$I$83)*$H53*W53,5))</f>
        <v>0</v>
      </c>
      <c r="Z53" s="102">
        <v>0</v>
      </c>
      <c r="AA53" s="99"/>
      <c r="AB53" s="124">
        <f>IF(AA49&lt;&gt;0,ROUND((AA49/$I49)*$H53,5),ROUND((Z$10/$I$83)*$H53*Z53,5))</f>
        <v>0</v>
      </c>
      <c r="AC53" s="102">
        <v>1</v>
      </c>
      <c r="AD53" s="99"/>
      <c r="AE53" s="126">
        <f>IF(AD49&lt;&gt;0,ROUND((AD49/$I49)*$H53,5),ROUND((AC$10/$I$83)*$H53*AC53,5))</f>
        <v>-1.0000000000000001E-5</v>
      </c>
      <c r="AF53" s="102">
        <v>1</v>
      </c>
      <c r="AG53" s="99"/>
      <c r="AH53" s="126">
        <v>8.4999999999999995E-4</v>
      </c>
      <c r="AI53" s="102">
        <v>1</v>
      </c>
      <c r="AJ53" s="99"/>
      <c r="AK53" s="124">
        <v>2.0500000000000002E-3</v>
      </c>
      <c r="AL53" s="113">
        <v>0</v>
      </c>
      <c r="AM53" s="127"/>
      <c r="AN53" s="109">
        <f>IF(AM49&lt;&gt;0,ROUND((AM49/$I49)*$H53,5),ROUND((AL$10/$I$83)*$H53*AL53,5))</f>
        <v>0</v>
      </c>
      <c r="AO53" s="113">
        <v>1</v>
      </c>
      <c r="AP53" s="128"/>
      <c r="AQ53" s="109">
        <f>IF(AP49&lt;&gt;0,ROUND((AP49/$I49)*$H53,5),ROUND((AO$10/$I$83)*$H53*AO53,5))</f>
        <v>0</v>
      </c>
      <c r="AR53" s="113">
        <v>1</v>
      </c>
      <c r="AS53" s="128"/>
      <c r="AT53" s="109">
        <f>IF(AS49&lt;&gt;0,ROUND((AS49/$I49)*$H53,5),ROUND((AR$10/$I$83)*$H53*AR53,5))</f>
        <v>0</v>
      </c>
      <c r="AX53" s="93">
        <f t="shared" si="20"/>
        <v>0</v>
      </c>
      <c r="AY53" s="93">
        <f t="shared" si="21"/>
        <v>0</v>
      </c>
      <c r="AZ53" s="93">
        <f t="shared" si="22"/>
        <v>0</v>
      </c>
      <c r="BA53" s="93">
        <f t="shared" si="23"/>
        <v>0</v>
      </c>
      <c r="BB53" s="93">
        <f t="shared" si="24"/>
        <v>0</v>
      </c>
      <c r="BC53" s="93">
        <f t="shared" si="25"/>
        <v>-10.301339063092957</v>
      </c>
      <c r="BD53" s="93">
        <f t="shared" si="26"/>
        <v>875.61382036290127</v>
      </c>
      <c r="BE53" s="93">
        <f t="shared" si="27"/>
        <v>2111.7745079340561</v>
      </c>
      <c r="BF53" s="93">
        <f t="shared" si="28"/>
        <v>0</v>
      </c>
      <c r="BG53" s="94">
        <f t="shared" si="29"/>
        <v>2977.0869892338642</v>
      </c>
      <c r="BH53" s="95"/>
    </row>
    <row r="54" spans="1:60" x14ac:dyDescent="0.35">
      <c r="A54" s="13">
        <f t="shared" si="0"/>
        <v>48</v>
      </c>
      <c r="B54" s="96"/>
      <c r="C54" s="111" t="s">
        <v>93</v>
      </c>
      <c r="D54" s="78">
        <f>+'[13]Washington volumes'!J54</f>
        <v>0</v>
      </c>
      <c r="E54" s="79">
        <f>+'[13]Rates in detail'!D54</f>
        <v>0.26369000000000009</v>
      </c>
      <c r="F54" s="79">
        <f>+'[13]Rates in detail'!E54+'[13]Rates in detail'!F54+'[13]Rates in detail'!G54</f>
        <v>0</v>
      </c>
      <c r="G54" s="79">
        <f>+[13]Temporaries!D54</f>
        <v>0.24287</v>
      </c>
      <c r="H54" s="79">
        <f t="shared" si="33"/>
        <v>2.0820000000000088E-2</v>
      </c>
      <c r="I54" s="80"/>
      <c r="J54" s="81"/>
      <c r="K54" s="78"/>
      <c r="L54" s="82"/>
      <c r="M54" s="83"/>
      <c r="N54" s="84">
        <v>0</v>
      </c>
      <c r="O54" s="80"/>
      <c r="P54" s="85">
        <f>IF(O49&lt;&gt;0,ROUND((O49/$I49)*$H54,5),ROUND((N$10/$I$83)*$H54*N54,5))</f>
        <v>0</v>
      </c>
      <c r="Q54" s="84">
        <v>0</v>
      </c>
      <c r="R54" s="80"/>
      <c r="S54" s="85">
        <f>IF(R49&lt;&gt;0,ROUND((R49/$I49)*$H54,5),ROUND((Q$10/$I$83)*$H54*Q54,5))</f>
        <v>0</v>
      </c>
      <c r="T54" s="84">
        <v>0</v>
      </c>
      <c r="U54" s="80"/>
      <c r="V54" s="85">
        <f>IF(U49&lt;&gt;0,ROUND((U49/$I49)*$H54,5),ROUND((T$10/$I$83)*$H54*T54,5))</f>
        <v>0</v>
      </c>
      <c r="W54" s="84">
        <v>0</v>
      </c>
      <c r="X54" s="80"/>
      <c r="Y54" s="86">
        <f>IF(X49&lt;&gt;0,ROUND((X49/$I49)*$H54,5),ROUND((W$10/$I$83)*$H54*W54,5))</f>
        <v>0</v>
      </c>
      <c r="Z54" s="84">
        <v>0</v>
      </c>
      <c r="AA54" s="80"/>
      <c r="AB54" s="85">
        <f>IF(AA49&lt;&gt;0,ROUND((AA49/$I49)*$H54,5),ROUND((Z$10/$I$83)*$H54*Z54,5))</f>
        <v>0</v>
      </c>
      <c r="AC54" s="84">
        <v>1</v>
      </c>
      <c r="AD54" s="80"/>
      <c r="AE54" s="87">
        <f>IF(AD49&lt;&gt;0,ROUND((AD49/$I49)*$H54,5),ROUND((AC$10/$I$83)*$H54*AC54,5))</f>
        <v>0</v>
      </c>
      <c r="AF54" s="84">
        <v>1</v>
      </c>
      <c r="AG54" s="80"/>
      <c r="AH54" s="87">
        <v>3.2000000000000003E-4</v>
      </c>
      <c r="AI54" s="84">
        <v>1</v>
      </c>
      <c r="AJ54" s="80"/>
      <c r="AK54" s="85">
        <v>7.6999999999999996E-4</v>
      </c>
      <c r="AL54" s="88">
        <v>0</v>
      </c>
      <c r="AM54" s="89"/>
      <c r="AN54" s="90">
        <f>IF(AM49&lt;&gt;0,ROUND((AM49/$I49)*$H54,5),ROUND((AL$10/$I$83)*$H54*AL54,5))</f>
        <v>0</v>
      </c>
      <c r="AO54" s="88">
        <v>1</v>
      </c>
      <c r="AP54" s="91"/>
      <c r="AQ54" s="90">
        <f>IF(AP49&lt;&gt;0,ROUND((AP49/$I49)*$H54,5),ROUND((AO$10/$I$83)*$H54*AO54,5))</f>
        <v>0</v>
      </c>
      <c r="AR54" s="88">
        <v>1</v>
      </c>
      <c r="AS54" s="91"/>
      <c r="AT54" s="90">
        <f>IF(AS49&lt;&gt;0,ROUND((AS49/$I49)*$H54,5),ROUND((AR$10/$I$83)*$H54*AR54,5))</f>
        <v>0</v>
      </c>
      <c r="AX54" s="93">
        <f t="shared" si="20"/>
        <v>0</v>
      </c>
      <c r="AY54" s="93">
        <f t="shared" si="21"/>
        <v>0</v>
      </c>
      <c r="AZ54" s="93">
        <f t="shared" si="22"/>
        <v>0</v>
      </c>
      <c r="BA54" s="93">
        <f t="shared" si="23"/>
        <v>0</v>
      </c>
      <c r="BB54" s="93">
        <f t="shared" si="24"/>
        <v>0</v>
      </c>
      <c r="BC54" s="93">
        <f t="shared" si="25"/>
        <v>0</v>
      </c>
      <c r="BD54" s="93">
        <f t="shared" si="26"/>
        <v>0</v>
      </c>
      <c r="BE54" s="93">
        <f t="shared" si="27"/>
        <v>0</v>
      </c>
      <c r="BF54" s="93">
        <f t="shared" si="28"/>
        <v>0</v>
      </c>
      <c r="BG54" s="94">
        <f t="shared" si="29"/>
        <v>0</v>
      </c>
      <c r="BH54" s="95"/>
    </row>
    <row r="55" spans="1:60" x14ac:dyDescent="0.35">
      <c r="A55" s="13">
        <f t="shared" si="0"/>
        <v>49</v>
      </c>
      <c r="B55" s="13" t="s">
        <v>97</v>
      </c>
      <c r="C55" s="97" t="s">
        <v>82</v>
      </c>
      <c r="D55" s="7">
        <f>+'[13]Washington volumes'!J55</f>
        <v>237823.79371068976</v>
      </c>
      <c r="E55" s="98">
        <f>+'[13]Rates in detail'!D55</f>
        <v>0.71133000000000013</v>
      </c>
      <c r="F55" s="98">
        <f>+'[13]Rates in detail'!E55+'[13]Rates in detail'!F55+'[13]Rates in detail'!G55</f>
        <v>0.43274000000000001</v>
      </c>
      <c r="G55" s="98">
        <f>+[13]Temporaries!D55</f>
        <v>0.10987</v>
      </c>
      <c r="H55" s="98">
        <f t="shared" si="33"/>
        <v>0.16872000000000012</v>
      </c>
      <c r="I55" s="99">
        <f>ROUND((H55*D55)+(D56*H56)+(D57*H57)+(D58*H58)+(D59*H59)+(D60*H60),0)</f>
        <v>136973</v>
      </c>
      <c r="J55" s="112">
        <f>+'[13]Avg Bill by RS'!G65</f>
        <v>1300</v>
      </c>
      <c r="K55" s="7">
        <f>+'[13]Washington volumes'!L55</f>
        <v>2</v>
      </c>
      <c r="L55" s="100">
        <f>ROUND((J55*K55*12)+I55+I56+I57+I58+I59+I60,0)</f>
        <v>168173</v>
      </c>
      <c r="M55" s="101"/>
      <c r="N55" s="102">
        <v>1</v>
      </c>
      <c r="O55" s="117">
        <f>ROUND(+$N$10*(($L55*N55)/N$83),0)</f>
        <v>15855</v>
      </c>
      <c r="P55" s="118">
        <f>IF(O55&lt;&gt;0,ROUND((O55/$I55)*$H55,5),ROUND((N$10/$I$83)*$H55*N55,5))</f>
        <v>1.9529999999999999E-2</v>
      </c>
      <c r="Q55" s="102">
        <v>1</v>
      </c>
      <c r="R55" s="117">
        <f>ROUND(+$Q$10*(($L55*Q55)/Q$83),0)</f>
        <v>-196</v>
      </c>
      <c r="S55" s="118">
        <f>IF(R55&lt;&gt;0,ROUND((R55/$I55)*$H55,5),ROUND((Q$10/$I$83)*$H55*Q55,5))</f>
        <v>-2.4000000000000001E-4</v>
      </c>
      <c r="T55" s="102">
        <v>1</v>
      </c>
      <c r="U55" s="117">
        <f>ROUND(+$T$10*(($L55*T55)/T$83),0)</f>
        <v>0</v>
      </c>
      <c r="V55" s="118">
        <f>IF(U55&lt;&gt;0,ROUND((U55/$I55)*$H55,5),ROUND((T$10/$I$83)*$H55*T55,5))</f>
        <v>0</v>
      </c>
      <c r="W55" s="102">
        <v>1</v>
      </c>
      <c r="X55" s="117">
        <f>ROUND(+$W$10*(($L55*W55)/W$83),0)</f>
        <v>2209</v>
      </c>
      <c r="Y55" s="119">
        <f>IF(X55&lt;&gt;0,ROUND((X55/$I55)*$H55,5),ROUND((W$10/$I$83)*$H55*W55,5))</f>
        <v>2.7200000000000002E-3</v>
      </c>
      <c r="Z55" s="102">
        <v>1</v>
      </c>
      <c r="AA55" s="117">
        <f>ROUND(+$Z$10*(($L55*Z55)/Z$83),0)</f>
        <v>356</v>
      </c>
      <c r="AB55" s="118">
        <f>IF(AA55&lt;&gt;0,ROUND((AA55/$I55)*$H55,5),ROUND((Z$10/$I$83)*$H55*Z55,5))</f>
        <v>4.4000000000000002E-4</v>
      </c>
      <c r="AC55" s="102">
        <v>1</v>
      </c>
      <c r="AD55" s="117">
        <f>ROUND(+$AC$10*(($L55*AC55)/AC$83),0)</f>
        <v>-26</v>
      </c>
      <c r="AE55" s="120">
        <f>IF(AD55&lt;&gt;0,ROUND((AD55/$I55)*$H55,5),ROUND((AC$10/$I$83)*$H55*AC55,5))</f>
        <v>-3.0000000000000001E-5</v>
      </c>
      <c r="AF55" s="102">
        <v>1</v>
      </c>
      <c r="AG55" s="117">
        <v>2047</v>
      </c>
      <c r="AH55" s="120">
        <v>2.5200000000000001E-3</v>
      </c>
      <c r="AI55" s="102">
        <v>1</v>
      </c>
      <c r="AJ55" s="117">
        <v>5544</v>
      </c>
      <c r="AK55" s="118">
        <v>6.4200000000000004E-3</v>
      </c>
      <c r="AL55" s="113">
        <v>1</v>
      </c>
      <c r="AM55" s="121">
        <f>ROUND(+$AL$10*(($L55*AL55)/AL$83),0)</f>
        <v>27</v>
      </c>
      <c r="AN55" s="109">
        <f>IF(AM55&lt;&gt;0,ROUND((AM55/$I55)*$H55,5),ROUND((AL$10/$I$83)*$H55*AL55,5))</f>
        <v>3.0000000000000001E-5</v>
      </c>
      <c r="AO55" s="113">
        <v>1</v>
      </c>
      <c r="AP55" s="122">
        <f>ROUND(+$AO$10*(($L55*AO55)/AO$83),0)</f>
        <v>0</v>
      </c>
      <c r="AQ55" s="109">
        <f>IF(AP55&lt;&gt;0,ROUND((AP55/$I55)*$H55,5),ROUND((AO$10/$I$83)*$H55*AO55,5))</f>
        <v>0</v>
      </c>
      <c r="AR55" s="113">
        <v>1</v>
      </c>
      <c r="AS55" s="122">
        <f>ROUND(+$AR$10*(($L55*AR55)/AR$83),0)</f>
        <v>0</v>
      </c>
      <c r="AT55" s="109">
        <f>IF(AS55&lt;&gt;0,ROUND((AS55/$I55)*$H55,5),ROUND((AR$10/$I$83)*$H55*AR55,5))</f>
        <v>0</v>
      </c>
      <c r="AX55" s="93">
        <f t="shared" si="20"/>
        <v>4644.6986911697704</v>
      </c>
      <c r="AY55" s="93">
        <f t="shared" si="21"/>
        <v>-57.077710490565543</v>
      </c>
      <c r="AZ55" s="93">
        <f t="shared" si="22"/>
        <v>0</v>
      </c>
      <c r="BA55" s="93">
        <f t="shared" si="23"/>
        <v>646.88071889307616</v>
      </c>
      <c r="BB55" s="93">
        <f t="shared" si="24"/>
        <v>104.6424692327035</v>
      </c>
      <c r="BC55" s="93">
        <f t="shared" si="25"/>
        <v>-7.1347138113206929</v>
      </c>
      <c r="BD55" s="93">
        <f t="shared" si="26"/>
        <v>599.31596015093817</v>
      </c>
      <c r="BE55" s="93">
        <f t="shared" si="27"/>
        <v>1526.8287556226283</v>
      </c>
      <c r="BF55" s="93">
        <f t="shared" si="28"/>
        <v>7.1347138113206929</v>
      </c>
      <c r="BG55" s="94">
        <f t="shared" si="29"/>
        <v>7458.1541707672295</v>
      </c>
      <c r="BH55" s="95"/>
    </row>
    <row r="56" spans="1:60" x14ac:dyDescent="0.35">
      <c r="A56" s="13">
        <f t="shared" si="0"/>
        <v>50</v>
      </c>
      <c r="B56" s="13"/>
      <c r="C56" s="97" t="s">
        <v>83</v>
      </c>
      <c r="D56" s="7">
        <f>+'[13]Washington volumes'!J56</f>
        <v>449890.27963003801</v>
      </c>
      <c r="E56" s="98">
        <f>+'[13]Rates in detail'!D56</f>
        <v>0.69042999999999966</v>
      </c>
      <c r="F56" s="98">
        <f>+'[13]Rates in detail'!E56+'[13]Rates in detail'!F56+'[13]Rates in detail'!G56</f>
        <v>0.43274000000000001</v>
      </c>
      <c r="G56" s="98">
        <f>+[13]Temporaries!D56</f>
        <v>0.10666</v>
      </c>
      <c r="H56" s="98">
        <f t="shared" si="33"/>
        <v>0.15102999999999964</v>
      </c>
      <c r="I56" s="99"/>
      <c r="J56" s="112"/>
      <c r="K56" s="7"/>
      <c r="L56" s="123"/>
      <c r="M56" s="101"/>
      <c r="N56" s="102">
        <v>1</v>
      </c>
      <c r="O56" s="99"/>
      <c r="P56" s="124">
        <f>IF(O55&lt;&gt;0,ROUND((O55/$I55)*$H56,5),ROUND((N$10/$I$83)*$H56*N56,5))</f>
        <v>1.7479999999999999E-2</v>
      </c>
      <c r="Q56" s="102">
        <v>1</v>
      </c>
      <c r="R56" s="99"/>
      <c r="S56" s="124">
        <f>IF(R55&lt;&gt;0,ROUND((R55/$I55)*$H56,5),ROUND((Q$10/$I$83)*$H56*Q56,5))</f>
        <v>-2.2000000000000001E-4</v>
      </c>
      <c r="T56" s="102">
        <v>1</v>
      </c>
      <c r="U56" s="99"/>
      <c r="V56" s="124">
        <f>IF(U55&lt;&gt;0,ROUND((U55/$I55)*$H56,5),ROUND((T$10/$I$83)*$H56*T56,5))</f>
        <v>0</v>
      </c>
      <c r="W56" s="102">
        <v>1</v>
      </c>
      <c r="X56" s="99"/>
      <c r="Y56" s="125">
        <f>IF(X55&lt;&gt;0,ROUND((X55/$I55)*$H56,5),ROUND((W$10/$I$83)*$H56*W56,5))</f>
        <v>2.4399999999999999E-3</v>
      </c>
      <c r="Z56" s="102">
        <v>1</v>
      </c>
      <c r="AA56" s="99"/>
      <c r="AB56" s="124">
        <f>IF(AA55&lt;&gt;0,ROUND((AA55/$I55)*$H56,5),ROUND((Z$10/$I$83)*$H56*Z56,5))</f>
        <v>3.8999999999999999E-4</v>
      </c>
      <c r="AC56" s="102">
        <v>1</v>
      </c>
      <c r="AD56" s="99"/>
      <c r="AE56" s="126">
        <f>IF(AD55&lt;&gt;0,ROUND((AD55/$I55)*$H56,5),ROUND((AC$10/$I$83)*$H56*AC56,5))</f>
        <v>-3.0000000000000001E-5</v>
      </c>
      <c r="AF56" s="102">
        <v>1</v>
      </c>
      <c r="AG56" s="99"/>
      <c r="AH56" s="126">
        <v>2.2599999999999999E-3</v>
      </c>
      <c r="AI56" s="102">
        <v>1</v>
      </c>
      <c r="AJ56" s="99"/>
      <c r="AK56" s="124">
        <v>5.7499999999999999E-3</v>
      </c>
      <c r="AL56" s="113">
        <v>1</v>
      </c>
      <c r="AM56" s="127"/>
      <c r="AN56" s="109">
        <f>IF(AM55&lt;&gt;0,ROUND((AM55/$I55)*$H56,5),ROUND((AL$10/$I$83)*$H56*AL56,5))</f>
        <v>3.0000000000000001E-5</v>
      </c>
      <c r="AO56" s="113">
        <v>1</v>
      </c>
      <c r="AP56" s="128"/>
      <c r="AQ56" s="109">
        <f>IF(AP55&lt;&gt;0,ROUND((AP55/$I55)*$H56,5),ROUND((AO$10/$I$83)*$H56*AO56,5))</f>
        <v>0</v>
      </c>
      <c r="AR56" s="113">
        <v>1</v>
      </c>
      <c r="AS56" s="128"/>
      <c r="AT56" s="109">
        <f>IF(AS55&lt;&gt;0,ROUND((AS55/$I55)*$H56,5),ROUND((AR$10/$I$83)*$H56*AR56,5))</f>
        <v>0</v>
      </c>
      <c r="AX56" s="93">
        <f t="shared" si="20"/>
        <v>7864.082087933064</v>
      </c>
      <c r="AY56" s="93">
        <f t="shared" si="21"/>
        <v>-98.975861518608369</v>
      </c>
      <c r="AZ56" s="93">
        <f t="shared" si="22"/>
        <v>0</v>
      </c>
      <c r="BA56" s="93">
        <f t="shared" si="23"/>
        <v>1097.7322822972926</v>
      </c>
      <c r="BB56" s="93">
        <f t="shared" si="24"/>
        <v>175.45720905571483</v>
      </c>
      <c r="BC56" s="93">
        <f t="shared" si="25"/>
        <v>-13.496708388901141</v>
      </c>
      <c r="BD56" s="93">
        <f t="shared" si="26"/>
        <v>1016.7520319638859</v>
      </c>
      <c r="BE56" s="93">
        <f t="shared" si="27"/>
        <v>2586.8691078727184</v>
      </c>
      <c r="BF56" s="93">
        <f t="shared" si="28"/>
        <v>13.496708388901141</v>
      </c>
      <c r="BG56" s="94">
        <f t="shared" si="29"/>
        <v>12628.420149215166</v>
      </c>
      <c r="BH56" s="95"/>
    </row>
    <row r="57" spans="1:60" x14ac:dyDescent="0.35">
      <c r="A57" s="13">
        <f t="shared" si="0"/>
        <v>51</v>
      </c>
      <c r="B57" s="13"/>
      <c r="C57" s="97" t="s">
        <v>90</v>
      </c>
      <c r="D57" s="7">
        <f>+'[13]Washington volumes'!J57</f>
        <v>201896.54594079489</v>
      </c>
      <c r="E57" s="98">
        <f>+'[13]Rates in detail'!D57</f>
        <v>0.64878000000000013</v>
      </c>
      <c r="F57" s="98">
        <f>+'[13]Rates in detail'!E57+'[13]Rates in detail'!F57+'[13]Rates in detail'!G57</f>
        <v>0.43274000000000001</v>
      </c>
      <c r="G57" s="98">
        <f>+[13]Temporaries!D57</f>
        <v>0.10023999999999997</v>
      </c>
      <c r="H57" s="98">
        <f t="shared" si="33"/>
        <v>0.11580000000000015</v>
      </c>
      <c r="I57" s="99"/>
      <c r="J57" s="112"/>
      <c r="K57" s="7"/>
      <c r="L57" s="123"/>
      <c r="M57" s="101"/>
      <c r="N57" s="102">
        <v>1</v>
      </c>
      <c r="O57" s="99"/>
      <c r="P57" s="124">
        <f>IF(O55&lt;&gt;0,ROUND((O55/$I55)*$H57,5),ROUND((N$10/$I$83)*$H57*N57,5))</f>
        <v>1.34E-2</v>
      </c>
      <c r="Q57" s="102">
        <v>1</v>
      </c>
      <c r="R57" s="99"/>
      <c r="S57" s="124">
        <f>IF(R55&lt;&gt;0,ROUND((R55/$I55)*$H57,5),ROUND((Q$10/$I$83)*$H57*Q57,5))</f>
        <v>-1.7000000000000001E-4</v>
      </c>
      <c r="T57" s="102">
        <v>1</v>
      </c>
      <c r="U57" s="99"/>
      <c r="V57" s="124">
        <f>IF(U55&lt;&gt;0,ROUND((U55/$I55)*$H57,5),ROUND((T$10/$I$83)*$H57*T57,5))</f>
        <v>0</v>
      </c>
      <c r="W57" s="102">
        <v>1</v>
      </c>
      <c r="X57" s="99"/>
      <c r="Y57" s="125">
        <f>IF(X55&lt;&gt;0,ROUND((X55/$I55)*$H57,5),ROUND((W$10/$I$83)*$H57*W57,5))</f>
        <v>1.8699999999999999E-3</v>
      </c>
      <c r="Z57" s="102">
        <v>1</v>
      </c>
      <c r="AA57" s="99"/>
      <c r="AB57" s="124">
        <f>IF(AA55&lt;&gt;0,ROUND((AA55/$I55)*$H57,5),ROUND((Z$10/$I$83)*$H57*Z57,5))</f>
        <v>2.9999999999999997E-4</v>
      </c>
      <c r="AC57" s="102">
        <v>1</v>
      </c>
      <c r="AD57" s="99"/>
      <c r="AE57" s="126">
        <f>IF(AD55&lt;&gt;0,ROUND((AD55/$I55)*$H57,5),ROUND((AC$10/$I$83)*$H57*AC57,5))</f>
        <v>-2.0000000000000002E-5</v>
      </c>
      <c r="AF57" s="102">
        <v>1</v>
      </c>
      <c r="AG57" s="99"/>
      <c r="AH57" s="126">
        <v>1.73E-3</v>
      </c>
      <c r="AI57" s="102">
        <v>1</v>
      </c>
      <c r="AJ57" s="99"/>
      <c r="AK57" s="124">
        <v>4.4099999999999999E-3</v>
      </c>
      <c r="AL57" s="113">
        <v>1</v>
      </c>
      <c r="AM57" s="127"/>
      <c r="AN57" s="109">
        <f>IF(AM55&lt;&gt;0,ROUND((AM55/$I55)*$H57,5),ROUND((AL$10/$I$83)*$H57*AL57,5))</f>
        <v>2.0000000000000002E-5</v>
      </c>
      <c r="AO57" s="113">
        <v>1</v>
      </c>
      <c r="AP57" s="128"/>
      <c r="AQ57" s="109">
        <f>IF(AP55&lt;&gt;0,ROUND((AP55/$I55)*$H57,5),ROUND((AO$10/$I$83)*$H57*AO57,5))</f>
        <v>0</v>
      </c>
      <c r="AR57" s="113">
        <v>1</v>
      </c>
      <c r="AS57" s="128"/>
      <c r="AT57" s="109">
        <f>IF(AS55&lt;&gt;0,ROUND((AS55/$I55)*$H57,5),ROUND((AR$10/$I$83)*$H57*AR57,5))</f>
        <v>0</v>
      </c>
      <c r="AX57" s="93">
        <f t="shared" si="20"/>
        <v>2705.4137156066517</v>
      </c>
      <c r="AY57" s="93">
        <f t="shared" si="21"/>
        <v>-34.322412809935138</v>
      </c>
      <c r="AZ57" s="93">
        <f t="shared" si="22"/>
        <v>0</v>
      </c>
      <c r="BA57" s="93">
        <f t="shared" si="23"/>
        <v>377.54654090928642</v>
      </c>
      <c r="BB57" s="93">
        <f t="shared" si="24"/>
        <v>60.568963782238463</v>
      </c>
      <c r="BC57" s="93">
        <f t="shared" si="25"/>
        <v>-4.0379309188158983</v>
      </c>
      <c r="BD57" s="93">
        <f t="shared" si="26"/>
        <v>349.28102447757516</v>
      </c>
      <c r="BE57" s="93">
        <f t="shared" si="27"/>
        <v>890.3637675989055</v>
      </c>
      <c r="BF57" s="93">
        <f t="shared" si="28"/>
        <v>4.0379309188158983</v>
      </c>
      <c r="BG57" s="94">
        <f t="shared" si="29"/>
        <v>4344.8136686459056</v>
      </c>
      <c r="BH57" s="95"/>
    </row>
    <row r="58" spans="1:60" x14ac:dyDescent="0.35">
      <c r="A58" s="13">
        <f t="shared" si="0"/>
        <v>52</v>
      </c>
      <c r="B58" s="13"/>
      <c r="C58" s="97" t="s">
        <v>91</v>
      </c>
      <c r="D58" s="7">
        <f>+'[13]Washington volumes'!J58</f>
        <v>59595.669906477466</v>
      </c>
      <c r="E58" s="98">
        <f>+'[13]Rates in detail'!D58</f>
        <v>0.62140999999999991</v>
      </c>
      <c r="F58" s="98">
        <f>+'[13]Rates in detail'!E58+'[13]Rates in detail'!F58+'[13]Rates in detail'!G58</f>
        <v>0.43274000000000001</v>
      </c>
      <c r="G58" s="98">
        <f>+[13]Temporaries!D58</f>
        <v>9.6029999999999976E-2</v>
      </c>
      <c r="H58" s="98">
        <f t="shared" si="33"/>
        <v>9.2639999999999917E-2</v>
      </c>
      <c r="I58" s="99"/>
      <c r="J58" s="112"/>
      <c r="K58" s="7"/>
      <c r="L58" s="123"/>
      <c r="M58" s="101"/>
      <c r="N58" s="102">
        <v>1</v>
      </c>
      <c r="O58" s="99"/>
      <c r="P58" s="124">
        <f>IF(O55&lt;&gt;0,ROUND((O55/$I55)*$H58,5),ROUND((N$10/$I$83)*$H58*N58,5))</f>
        <v>1.072E-2</v>
      </c>
      <c r="Q58" s="102">
        <v>1</v>
      </c>
      <c r="R58" s="99"/>
      <c r="S58" s="124">
        <f>IF(R55&lt;&gt;0,ROUND((R55/$I55)*$H58,5),ROUND((Q$10/$I$83)*$H58*Q58,5))</f>
        <v>-1.2999999999999999E-4</v>
      </c>
      <c r="T58" s="102">
        <v>1</v>
      </c>
      <c r="U58" s="99"/>
      <c r="V58" s="124">
        <f>IF(U55&lt;&gt;0,ROUND((U55/$I55)*$H58,5),ROUND((T$10/$I$83)*$H58*T58,5))</f>
        <v>0</v>
      </c>
      <c r="W58" s="102">
        <v>1</v>
      </c>
      <c r="X58" s="99"/>
      <c r="Y58" s="125">
        <f>IF(X55&lt;&gt;0,ROUND((X55/$I55)*$H58,5),ROUND((W$10/$I$83)*$H58*W58,5))</f>
        <v>1.49E-3</v>
      </c>
      <c r="Z58" s="102">
        <v>1</v>
      </c>
      <c r="AA58" s="99"/>
      <c r="AB58" s="124">
        <f>IF(AA55&lt;&gt;0,ROUND((AA55/$I55)*$H58,5),ROUND((Z$10/$I$83)*$H58*Z58,5))</f>
        <v>2.4000000000000001E-4</v>
      </c>
      <c r="AC58" s="102">
        <v>1</v>
      </c>
      <c r="AD58" s="99"/>
      <c r="AE58" s="126">
        <f>IF(AD55&lt;&gt;0,ROUND((AD55/$I55)*$H58,5),ROUND((AC$10/$I$83)*$H58*AC58,5))</f>
        <v>-2.0000000000000002E-5</v>
      </c>
      <c r="AF58" s="102">
        <v>1</v>
      </c>
      <c r="AG58" s="99"/>
      <c r="AH58" s="126">
        <v>1.3799999999999999E-3</v>
      </c>
      <c r="AI58" s="102">
        <v>1</v>
      </c>
      <c r="AJ58" s="99"/>
      <c r="AK58" s="124">
        <v>3.5300000000000002E-3</v>
      </c>
      <c r="AL58" s="113">
        <v>1</v>
      </c>
      <c r="AM58" s="127"/>
      <c r="AN58" s="109">
        <f>IF(AM55&lt;&gt;0,ROUND((AM55/$I55)*$H58,5),ROUND((AL$10/$I$83)*$H58*AL58,5))</f>
        <v>2.0000000000000002E-5</v>
      </c>
      <c r="AO58" s="113">
        <v>1</v>
      </c>
      <c r="AP58" s="128"/>
      <c r="AQ58" s="109">
        <f>IF(AP55&lt;&gt;0,ROUND((AP55/$I55)*$H58,5),ROUND((AO$10/$I$83)*$H58*AO58,5))</f>
        <v>0</v>
      </c>
      <c r="AR58" s="113">
        <v>1</v>
      </c>
      <c r="AS58" s="128"/>
      <c r="AT58" s="109">
        <f>IF(AS55&lt;&gt;0,ROUND((AS55/$I55)*$H58,5),ROUND((AR$10/$I$83)*$H58*AR58,5))</f>
        <v>0</v>
      </c>
      <c r="AX58" s="93">
        <f t="shared" si="20"/>
        <v>638.8655813974384</v>
      </c>
      <c r="AY58" s="93">
        <f t="shared" si="21"/>
        <v>-7.7474370878420702</v>
      </c>
      <c r="AZ58" s="93">
        <f t="shared" si="22"/>
        <v>0</v>
      </c>
      <c r="BA58" s="93">
        <f t="shared" si="23"/>
        <v>88.797548160651431</v>
      </c>
      <c r="BB58" s="93">
        <f t="shared" si="24"/>
        <v>14.302960777554592</v>
      </c>
      <c r="BC58" s="93">
        <f t="shared" si="25"/>
        <v>-1.1919133981295493</v>
      </c>
      <c r="BD58" s="93">
        <f t="shared" si="26"/>
        <v>82.242024470938901</v>
      </c>
      <c r="BE58" s="93">
        <f t="shared" si="27"/>
        <v>210.37271476986547</v>
      </c>
      <c r="BF58" s="93">
        <f t="shared" si="28"/>
        <v>1.1919133981295493</v>
      </c>
      <c r="BG58" s="94">
        <f t="shared" si="29"/>
        <v>1025.6414790904771</v>
      </c>
      <c r="BH58" s="95"/>
    </row>
    <row r="59" spans="1:60" x14ac:dyDescent="0.35">
      <c r="A59" s="13">
        <f t="shared" si="0"/>
        <v>53</v>
      </c>
      <c r="B59" s="13"/>
      <c r="C59" s="97" t="s">
        <v>92</v>
      </c>
      <c r="D59" s="7">
        <f>+'[13]Washington volumes'!J59</f>
        <v>0</v>
      </c>
      <c r="E59" s="98">
        <f>+'[13]Rates in detail'!D59</f>
        <v>0.58492999999999984</v>
      </c>
      <c r="F59" s="98">
        <f>+'[13]Rates in detail'!E59+'[13]Rates in detail'!F59+'[13]Rates in detail'!G59</f>
        <v>0.43274000000000001</v>
      </c>
      <c r="G59" s="98">
        <f>+[13]Temporaries!D59</f>
        <v>9.0409999999999963E-2</v>
      </c>
      <c r="H59" s="98">
        <f t="shared" si="33"/>
        <v>6.1779999999999863E-2</v>
      </c>
      <c r="I59" s="99"/>
      <c r="J59" s="112"/>
      <c r="K59" s="7"/>
      <c r="L59" s="123"/>
      <c r="M59" s="101"/>
      <c r="N59" s="102">
        <v>1</v>
      </c>
      <c r="O59" s="99"/>
      <c r="P59" s="124">
        <f>IF(O55&lt;&gt;0,ROUND((O55/$I55)*$H59,5),ROUND((N$10/$I$83)*$H59*N59,5))</f>
        <v>7.1500000000000001E-3</v>
      </c>
      <c r="Q59" s="102">
        <v>1</v>
      </c>
      <c r="R59" s="99"/>
      <c r="S59" s="124">
        <f>IF(R55&lt;&gt;0,ROUND((R55/$I55)*$H59,5),ROUND((Q$10/$I$83)*$H59*Q59,5))</f>
        <v>-9.0000000000000006E-5</v>
      </c>
      <c r="T59" s="102">
        <v>1</v>
      </c>
      <c r="U59" s="99"/>
      <c r="V59" s="124">
        <f>IF(U55&lt;&gt;0,ROUND((U55/$I55)*$H59,5),ROUND((T$10/$I$83)*$H59*T59,5))</f>
        <v>0</v>
      </c>
      <c r="W59" s="102">
        <v>1</v>
      </c>
      <c r="X59" s="99"/>
      <c r="Y59" s="125">
        <f>IF(X55&lt;&gt;0,ROUND((X55/$I55)*$H59,5),ROUND((W$10/$I$83)*$H59*W59,5))</f>
        <v>1E-3</v>
      </c>
      <c r="Z59" s="102">
        <v>1</v>
      </c>
      <c r="AA59" s="99"/>
      <c r="AB59" s="124">
        <f>IF(AA55&lt;&gt;0,ROUND((AA55/$I55)*$H59,5),ROUND((Z$10/$I$83)*$H59*Z59,5))</f>
        <v>1.6000000000000001E-4</v>
      </c>
      <c r="AC59" s="102">
        <v>1</v>
      </c>
      <c r="AD59" s="99"/>
      <c r="AE59" s="126">
        <f>IF(AD55&lt;&gt;0,ROUND((AD55/$I55)*$H59,5),ROUND((AC$10/$I$83)*$H59*AC59,5))</f>
        <v>-1.0000000000000001E-5</v>
      </c>
      <c r="AF59" s="102">
        <v>1</v>
      </c>
      <c r="AG59" s="99"/>
      <c r="AH59" s="126">
        <v>9.2000000000000003E-4</v>
      </c>
      <c r="AI59" s="102">
        <v>1</v>
      </c>
      <c r="AJ59" s="99"/>
      <c r="AK59" s="124">
        <v>2.3500000000000001E-3</v>
      </c>
      <c r="AL59" s="113">
        <v>1</v>
      </c>
      <c r="AM59" s="127"/>
      <c r="AN59" s="109">
        <f>IF(AM55&lt;&gt;0,ROUND((AM55/$I55)*$H59,5),ROUND((AL$10/$I$83)*$H59*AL59,5))</f>
        <v>1.0000000000000001E-5</v>
      </c>
      <c r="AO59" s="113">
        <v>1</v>
      </c>
      <c r="AP59" s="128"/>
      <c r="AQ59" s="109">
        <f>IF(AP55&lt;&gt;0,ROUND((AP55/$I55)*$H59,5),ROUND((AO$10/$I$83)*$H59*AO59,5))</f>
        <v>0</v>
      </c>
      <c r="AR59" s="113">
        <v>1</v>
      </c>
      <c r="AS59" s="128"/>
      <c r="AT59" s="109">
        <f>IF(AS55&lt;&gt;0,ROUND((AS55/$I55)*$H59,5),ROUND((AR$10/$I$83)*$H59*AR59,5))</f>
        <v>0</v>
      </c>
      <c r="AX59" s="93">
        <f t="shared" si="20"/>
        <v>0</v>
      </c>
      <c r="AY59" s="93">
        <f t="shared" si="21"/>
        <v>0</v>
      </c>
      <c r="AZ59" s="93">
        <f t="shared" si="22"/>
        <v>0</v>
      </c>
      <c r="BA59" s="93">
        <f t="shared" si="23"/>
        <v>0</v>
      </c>
      <c r="BB59" s="93">
        <f t="shared" si="24"/>
        <v>0</v>
      </c>
      <c r="BC59" s="93">
        <f t="shared" si="25"/>
        <v>0</v>
      </c>
      <c r="BD59" s="93">
        <f t="shared" si="26"/>
        <v>0</v>
      </c>
      <c r="BE59" s="93">
        <f t="shared" si="27"/>
        <v>0</v>
      </c>
      <c r="BF59" s="93">
        <f t="shared" si="28"/>
        <v>0</v>
      </c>
      <c r="BG59" s="94">
        <f t="shared" si="29"/>
        <v>0</v>
      </c>
      <c r="BH59" s="95"/>
    </row>
    <row r="60" spans="1:60" x14ac:dyDescent="0.35">
      <c r="A60" s="13">
        <f t="shared" si="0"/>
        <v>54</v>
      </c>
      <c r="B60" s="96"/>
      <c r="C60" s="111" t="s">
        <v>93</v>
      </c>
      <c r="D60" s="78">
        <f>+'[13]Washington volumes'!J60</f>
        <v>0</v>
      </c>
      <c r="E60" s="79">
        <f>+'[13]Rates in detail'!D60</f>
        <v>0.53925000000000001</v>
      </c>
      <c r="F60" s="79">
        <f>+'[13]Rates in detail'!E60+'[13]Rates in detail'!F60+'[13]Rates in detail'!G60</f>
        <v>0.43274000000000001</v>
      </c>
      <c r="G60" s="79">
        <f>+[13]Temporaries!D60</f>
        <v>8.3339999999999997E-2</v>
      </c>
      <c r="H60" s="79">
        <f t="shared" si="33"/>
        <v>2.3169999999999996E-2</v>
      </c>
      <c r="I60" s="80"/>
      <c r="J60" s="81"/>
      <c r="K60" s="78"/>
      <c r="L60" s="82"/>
      <c r="M60" s="83"/>
      <c r="N60" s="84">
        <v>1</v>
      </c>
      <c r="O60" s="80"/>
      <c r="P60" s="85">
        <f>IF(O55&lt;&gt;0,ROUND((O55/$I55)*$H60,5),ROUND((N$10/$I$83)*$H60*N60,5))</f>
        <v>2.6800000000000001E-3</v>
      </c>
      <c r="Q60" s="84">
        <v>1</v>
      </c>
      <c r="R60" s="80"/>
      <c r="S60" s="85">
        <f>IF(R55&lt;&gt;0,ROUND((R55/$I55)*$H60,5),ROUND((Q$10/$I$83)*$H60*Q60,5))</f>
        <v>-3.0000000000000001E-5</v>
      </c>
      <c r="T60" s="84">
        <v>1</v>
      </c>
      <c r="U60" s="80"/>
      <c r="V60" s="85">
        <f>IF(U55&lt;&gt;0,ROUND((U55/$I55)*$H60,5),ROUND((T$10/$I$83)*$H60*T60,5))</f>
        <v>0</v>
      </c>
      <c r="W60" s="84">
        <v>1</v>
      </c>
      <c r="X60" s="80"/>
      <c r="Y60" s="86">
        <f>IF(X55&lt;&gt;0,ROUND((X55/$I55)*$H60,5),ROUND((W$10/$I$83)*$H60*W60,5))</f>
        <v>3.6999999999999999E-4</v>
      </c>
      <c r="Z60" s="84">
        <v>1</v>
      </c>
      <c r="AA60" s="80"/>
      <c r="AB60" s="85">
        <f>IF(AA55&lt;&gt;0,ROUND((AA55/$I55)*$H60,5),ROUND((Z$10/$I$83)*$H60*Z60,5))</f>
        <v>6.0000000000000002E-5</v>
      </c>
      <c r="AC60" s="84">
        <v>1</v>
      </c>
      <c r="AD60" s="80"/>
      <c r="AE60" s="87">
        <f>IF(AD55&lt;&gt;0,ROUND((AD55/$I55)*$H60,5),ROUND((AC$10/$I$83)*$H60*AC60,5))</f>
        <v>0</v>
      </c>
      <c r="AF60" s="84">
        <v>1</v>
      </c>
      <c r="AG60" s="80"/>
      <c r="AH60" s="87">
        <v>3.5E-4</v>
      </c>
      <c r="AI60" s="84">
        <v>1</v>
      </c>
      <c r="AJ60" s="80"/>
      <c r="AK60" s="85">
        <v>8.8000000000000003E-4</v>
      </c>
      <c r="AL60" s="88">
        <v>1</v>
      </c>
      <c r="AM60" s="89"/>
      <c r="AN60" s="90">
        <f>IF(AM55&lt;&gt;0,ROUND((AM55/$I55)*$H60,5),ROUND((AL$10/$I$83)*$H60*AL60,5))</f>
        <v>0</v>
      </c>
      <c r="AO60" s="88">
        <v>1</v>
      </c>
      <c r="AP60" s="91"/>
      <c r="AQ60" s="90">
        <f>IF(AP55&lt;&gt;0,ROUND((AP55/$I55)*$H60,5),ROUND((AO$10/$I$83)*$H60*AO60,5))</f>
        <v>0</v>
      </c>
      <c r="AR60" s="88">
        <v>1</v>
      </c>
      <c r="AS60" s="91"/>
      <c r="AT60" s="90">
        <f>IF(AS55&lt;&gt;0,ROUND((AS55/$I55)*$H60,5),ROUND((AR$10/$I$83)*$H60*AR60,5))</f>
        <v>0</v>
      </c>
      <c r="AX60" s="93">
        <f t="shared" si="20"/>
        <v>0</v>
      </c>
      <c r="AY60" s="93">
        <f t="shared" si="21"/>
        <v>0</v>
      </c>
      <c r="AZ60" s="93">
        <f t="shared" si="22"/>
        <v>0</v>
      </c>
      <c r="BA60" s="93">
        <f t="shared" si="23"/>
        <v>0</v>
      </c>
      <c r="BB60" s="93">
        <f t="shared" si="24"/>
        <v>0</v>
      </c>
      <c r="BC60" s="93">
        <f t="shared" si="25"/>
        <v>0</v>
      </c>
      <c r="BD60" s="93">
        <f t="shared" si="26"/>
        <v>0</v>
      </c>
      <c r="BE60" s="93">
        <f t="shared" si="27"/>
        <v>0</v>
      </c>
      <c r="BF60" s="93">
        <f t="shared" si="28"/>
        <v>0</v>
      </c>
      <c r="BG60" s="94">
        <f t="shared" si="29"/>
        <v>0</v>
      </c>
      <c r="BH60" s="95"/>
    </row>
    <row r="61" spans="1:60" x14ac:dyDescent="0.35">
      <c r="A61" s="13">
        <f t="shared" si="0"/>
        <v>55</v>
      </c>
      <c r="B61" s="13" t="s">
        <v>98</v>
      </c>
      <c r="C61" s="97" t="s">
        <v>82</v>
      </c>
      <c r="D61" s="7">
        <f>+'[13]Washington volumes'!J61</f>
        <v>171532.62817612645</v>
      </c>
      <c r="E61" s="98">
        <f>+'[13]Rates in detail'!D61</f>
        <v>0.69063999999999992</v>
      </c>
      <c r="F61" s="98">
        <f>+'[13]Rates in detail'!E61+'[13]Rates in detail'!F61+'[13]Rates in detail'!G61</f>
        <v>0.43274000000000001</v>
      </c>
      <c r="G61" s="98">
        <f>+[13]Temporaries!D61</f>
        <v>9.4369999999999982E-2</v>
      </c>
      <c r="H61" s="98">
        <f t="shared" si="17"/>
        <v>0.16352999999999993</v>
      </c>
      <c r="I61" s="99">
        <f>ROUND((H61*D61)+(D62*H62)+(D63*H63)+(D64*H64)+(D65*H65)+(D66*H66),0)</f>
        <v>32008</v>
      </c>
      <c r="J61" s="112">
        <f>+'[13]Avg Bill by RS'!G72</f>
        <v>1300</v>
      </c>
      <c r="K61" s="7">
        <f>+'[13]Washington volumes'!L61</f>
        <v>1</v>
      </c>
      <c r="L61" s="100">
        <f>ROUND((J61*K61*12)+I61+I62+I63+I64+I65+I66,0)</f>
        <v>47608</v>
      </c>
      <c r="M61" s="101"/>
      <c r="N61" s="102">
        <v>0</v>
      </c>
      <c r="O61" s="117">
        <f>ROUND(+$N$10*(($L61*N61)/N$83),0)</f>
        <v>0</v>
      </c>
      <c r="P61" s="118">
        <f>IF(O61&lt;&gt;0,ROUND((O61/$I61)*$H61,5),ROUND((N$10/$I$83)*$H61*N61,5))</f>
        <v>0</v>
      </c>
      <c r="Q61" s="102">
        <v>0</v>
      </c>
      <c r="R61" s="117">
        <f>ROUND(+$Q$10*(($L61*Q61)/Q$83),0)</f>
        <v>0</v>
      </c>
      <c r="S61" s="118">
        <f>IF(R61&lt;&gt;0,ROUND((R61/$I61)*$H61,5),ROUND((Q$10/$I$83)*$H61*Q61,5))</f>
        <v>0</v>
      </c>
      <c r="T61" s="102">
        <v>0</v>
      </c>
      <c r="U61" s="117">
        <f>ROUND(+$T$10*(($L61*T61)/T$83),0)</f>
        <v>0</v>
      </c>
      <c r="V61" s="118">
        <f>IF(U61&lt;&gt;0,ROUND((U61/$I61)*$H61,5),ROUND((T$10/$I$83)*$H61*T61,5))</f>
        <v>0</v>
      </c>
      <c r="W61" s="102">
        <v>1</v>
      </c>
      <c r="X61" s="117">
        <f>ROUND(+$W$10*(($L61*W61)/W$83),0)</f>
        <v>625</v>
      </c>
      <c r="Y61" s="119">
        <f>IF(X61&lt;&gt;0,ROUND((X61/$I61)*$H61,5),ROUND((W$10/$I$83)*$H61*W61,5))</f>
        <v>3.1900000000000001E-3</v>
      </c>
      <c r="Z61" s="102">
        <v>1</v>
      </c>
      <c r="AA61" s="117">
        <f>ROUND(+$Z$10*(($L61*Z61)/Z$83),0)</f>
        <v>101</v>
      </c>
      <c r="AB61" s="118">
        <f>IF(AA61&lt;&gt;0,ROUND((AA61/$I61)*$H61,5),ROUND((Z$10/$I$83)*$H61*Z61,5))</f>
        <v>5.1999999999999995E-4</v>
      </c>
      <c r="AC61" s="102">
        <v>1</v>
      </c>
      <c r="AD61" s="117">
        <f>ROUND(+$AC$10*(($L61*AC61)/AC$83),0)</f>
        <v>-7</v>
      </c>
      <c r="AE61" s="120">
        <f>IF(AD61&lt;&gt;0,ROUND((AD61/$I61)*$H61,5),ROUND((AC$10/$I$83)*$H61*AC61,5))</f>
        <v>-4.0000000000000003E-5</v>
      </c>
      <c r="AF61" s="102">
        <v>1</v>
      </c>
      <c r="AG61" s="117">
        <v>580</v>
      </c>
      <c r="AH61" s="120">
        <v>2.96E-3</v>
      </c>
      <c r="AI61" s="102">
        <v>1</v>
      </c>
      <c r="AJ61" s="117">
        <v>1489</v>
      </c>
      <c r="AK61" s="118">
        <v>7.6400000000000001E-3</v>
      </c>
      <c r="AL61" s="113">
        <v>1</v>
      </c>
      <c r="AM61" s="121">
        <f>ROUND(+$AL$10*(($L61*AL61)/AL$83),0)</f>
        <v>8</v>
      </c>
      <c r="AN61" s="109">
        <f>IF(AM61&lt;&gt;0,ROUND((AM61/$I61)*$H61,5),ROUND((AL$10/$I$83)*$H61*AL61,5))</f>
        <v>4.0000000000000003E-5</v>
      </c>
      <c r="AO61" s="113">
        <v>1</v>
      </c>
      <c r="AP61" s="122">
        <f>ROUND(+$AO$10*(($L61*AO61)/AO$83),0)</f>
        <v>0</v>
      </c>
      <c r="AQ61" s="109">
        <f>IF(AP61&lt;&gt;0,ROUND((AP61/$I61)*$H61,5),ROUND((AO$10/$I$83)*$H61*AO61,5))</f>
        <v>0</v>
      </c>
      <c r="AR61" s="113">
        <v>1</v>
      </c>
      <c r="AS61" s="122">
        <f>ROUND(+$AR$10*(($L61*AR61)/AR$83),0)</f>
        <v>0</v>
      </c>
      <c r="AT61" s="109">
        <f>IF(AS61&lt;&gt;0,ROUND((AS61/$I61)*$H61,5),ROUND((AR$10/$I$83)*$H61*AR61,5))</f>
        <v>0</v>
      </c>
      <c r="AX61" s="93">
        <f t="shared" si="20"/>
        <v>0</v>
      </c>
      <c r="AY61" s="93">
        <f t="shared" si="21"/>
        <v>0</v>
      </c>
      <c r="AZ61" s="93">
        <f t="shared" si="22"/>
        <v>0</v>
      </c>
      <c r="BA61" s="93">
        <f t="shared" si="23"/>
        <v>547.18908388184343</v>
      </c>
      <c r="BB61" s="93">
        <f t="shared" si="24"/>
        <v>89.196966651585754</v>
      </c>
      <c r="BC61" s="93">
        <f t="shared" si="25"/>
        <v>-6.8613051270450587</v>
      </c>
      <c r="BD61" s="93">
        <f t="shared" si="26"/>
        <v>507.73657940133432</v>
      </c>
      <c r="BE61" s="93">
        <f t="shared" si="27"/>
        <v>1310.5092792656062</v>
      </c>
      <c r="BF61" s="93">
        <f t="shared" si="28"/>
        <v>6.8613051270450587</v>
      </c>
      <c r="BG61" s="94">
        <f t="shared" si="29"/>
        <v>2447.7706040733246</v>
      </c>
      <c r="BH61" s="95"/>
    </row>
    <row r="62" spans="1:60" x14ac:dyDescent="0.35">
      <c r="A62" s="13">
        <f t="shared" si="0"/>
        <v>56</v>
      </c>
      <c r="B62" s="13"/>
      <c r="C62" s="97" t="s">
        <v>83</v>
      </c>
      <c r="D62" s="7">
        <f>+'[13]Washington volumes'!J62</f>
        <v>27036.058789873507</v>
      </c>
      <c r="E62" s="98">
        <f>+'[13]Rates in detail'!D62</f>
        <v>0.67198999999999998</v>
      </c>
      <c r="F62" s="98">
        <f>+'[13]Rates in detail'!E62+'[13]Rates in detail'!F62+'[13]Rates in detail'!G62</f>
        <v>0.43274000000000001</v>
      </c>
      <c r="G62" s="98">
        <f>+[13]Temporaries!D62</f>
        <v>9.286999999999998E-2</v>
      </c>
      <c r="H62" s="98">
        <f t="shared" si="17"/>
        <v>0.14637999999999998</v>
      </c>
      <c r="I62" s="99"/>
      <c r="J62" s="112"/>
      <c r="K62" s="7"/>
      <c r="L62" s="123"/>
      <c r="M62" s="101"/>
      <c r="N62" s="102">
        <v>0</v>
      </c>
      <c r="O62" s="99"/>
      <c r="P62" s="124">
        <f>IF(O61&lt;&gt;0,ROUND((O61/$I61)*$H62,5),ROUND((N$10/$I$83)*$H62*N62,5))</f>
        <v>0</v>
      </c>
      <c r="Q62" s="102">
        <v>0</v>
      </c>
      <c r="R62" s="99"/>
      <c r="S62" s="124">
        <f>IF(R61&lt;&gt;0,ROUND((R61/$I61)*$H62,5),ROUND((Q$10/$I$83)*$H62*Q62,5))</f>
        <v>0</v>
      </c>
      <c r="T62" s="102">
        <v>0</v>
      </c>
      <c r="U62" s="99"/>
      <c r="V62" s="124">
        <f>IF(U61&lt;&gt;0,ROUND((U61/$I61)*$H62,5),ROUND((T$10/$I$83)*$H62*T62,5))</f>
        <v>0</v>
      </c>
      <c r="W62" s="102">
        <v>1</v>
      </c>
      <c r="X62" s="99"/>
      <c r="Y62" s="125">
        <f>IF(X61&lt;&gt;0,ROUND((X61/$I61)*$H62,5),ROUND((W$10/$I$83)*$H62*W62,5))</f>
        <v>2.8600000000000001E-3</v>
      </c>
      <c r="Z62" s="102">
        <v>1</v>
      </c>
      <c r="AA62" s="99"/>
      <c r="AB62" s="124">
        <f>IF(AA61&lt;&gt;0,ROUND((AA61/$I61)*$H62,5),ROUND((Z$10/$I$83)*$H62*Z62,5))</f>
        <v>4.6000000000000001E-4</v>
      </c>
      <c r="AC62" s="102">
        <v>1</v>
      </c>
      <c r="AD62" s="99"/>
      <c r="AE62" s="126">
        <f>IF(AD61&lt;&gt;0,ROUND((AD61/$I61)*$H62,5),ROUND((AC$10/$I$83)*$H62*AC62,5))</f>
        <v>-3.0000000000000001E-5</v>
      </c>
      <c r="AF62" s="102">
        <v>1</v>
      </c>
      <c r="AG62" s="99"/>
      <c r="AH62" s="126">
        <v>2.65E-3</v>
      </c>
      <c r="AI62" s="102">
        <v>1</v>
      </c>
      <c r="AJ62" s="99"/>
      <c r="AK62" s="124">
        <v>6.8300000000000001E-3</v>
      </c>
      <c r="AL62" s="113">
        <v>1</v>
      </c>
      <c r="AM62" s="127"/>
      <c r="AN62" s="109">
        <f>IF(AM61&lt;&gt;0,ROUND((AM61/$I61)*$H62,5),ROUND((AL$10/$I$83)*$H62*AL62,5))</f>
        <v>4.0000000000000003E-5</v>
      </c>
      <c r="AO62" s="113">
        <v>1</v>
      </c>
      <c r="AP62" s="128"/>
      <c r="AQ62" s="109">
        <f>IF(AP61&lt;&gt;0,ROUND((AP61/$I61)*$H62,5),ROUND((AO$10/$I$83)*$H62*AO62,5))</f>
        <v>0</v>
      </c>
      <c r="AR62" s="113">
        <v>1</v>
      </c>
      <c r="AS62" s="128"/>
      <c r="AT62" s="109">
        <f>IF(AS61&lt;&gt;0,ROUND((AS61/$I61)*$H62,5),ROUND((AR$10/$I$83)*$H62*AR62,5))</f>
        <v>0</v>
      </c>
      <c r="AX62" s="93">
        <f t="shared" si="20"/>
        <v>0</v>
      </c>
      <c r="AY62" s="93">
        <f t="shared" si="21"/>
        <v>0</v>
      </c>
      <c r="AZ62" s="93">
        <f t="shared" si="22"/>
        <v>0</v>
      </c>
      <c r="BA62" s="93">
        <f t="shared" si="23"/>
        <v>77.323128139038232</v>
      </c>
      <c r="BB62" s="93">
        <f t="shared" si="24"/>
        <v>12.436587043341813</v>
      </c>
      <c r="BC62" s="93">
        <f t="shared" si="25"/>
        <v>-0.81108176369620522</v>
      </c>
      <c r="BD62" s="93">
        <f t="shared" si="26"/>
        <v>71.645555793164789</v>
      </c>
      <c r="BE62" s="93">
        <f t="shared" si="27"/>
        <v>184.65628153483604</v>
      </c>
      <c r="BF62" s="93">
        <f t="shared" si="28"/>
        <v>1.0814423515949403</v>
      </c>
      <c r="BG62" s="94">
        <f t="shared" si="29"/>
        <v>345.25047074668464</v>
      </c>
      <c r="BH62" s="95"/>
    </row>
    <row r="63" spans="1:60" x14ac:dyDescent="0.35">
      <c r="A63" s="13">
        <f t="shared" si="0"/>
        <v>57</v>
      </c>
      <c r="B63" s="13"/>
      <c r="C63" s="97" t="s">
        <v>90</v>
      </c>
      <c r="D63" s="7">
        <f>+'[13]Washington volumes'!J63</f>
        <v>0</v>
      </c>
      <c r="E63" s="98">
        <f>+'[13]Rates in detail'!D63</f>
        <v>0.63488999999999995</v>
      </c>
      <c r="F63" s="98">
        <f>+'[13]Rates in detail'!E63+'[13]Rates in detail'!F63+'[13]Rates in detail'!G63</f>
        <v>0.43274000000000001</v>
      </c>
      <c r="G63" s="98">
        <f>+[13]Temporaries!D63</f>
        <v>8.9900000000000008E-2</v>
      </c>
      <c r="H63" s="98">
        <f t="shared" si="17"/>
        <v>0.11224999999999993</v>
      </c>
      <c r="I63" s="99"/>
      <c r="J63" s="112"/>
      <c r="K63" s="7"/>
      <c r="L63" s="123"/>
      <c r="M63" s="101"/>
      <c r="N63" s="102">
        <v>0</v>
      </c>
      <c r="O63" s="99"/>
      <c r="P63" s="124">
        <f>IF(O61&lt;&gt;0,ROUND((O61/$I61)*$H63,5),ROUND((N$10/$I$83)*$H63*N63,5))</f>
        <v>0</v>
      </c>
      <c r="Q63" s="102">
        <v>0</v>
      </c>
      <c r="R63" s="99"/>
      <c r="S63" s="124">
        <f>IF(R61&lt;&gt;0,ROUND((R61/$I61)*$H63,5),ROUND((Q$10/$I$83)*$H63*Q63,5))</f>
        <v>0</v>
      </c>
      <c r="T63" s="102">
        <v>0</v>
      </c>
      <c r="U63" s="99"/>
      <c r="V63" s="124">
        <f>IF(U61&lt;&gt;0,ROUND((U61/$I61)*$H63,5),ROUND((T$10/$I$83)*$H63*T63,5))</f>
        <v>0</v>
      </c>
      <c r="W63" s="102">
        <v>1</v>
      </c>
      <c r="X63" s="99"/>
      <c r="Y63" s="125">
        <f>IF(X61&lt;&gt;0,ROUND((X61/$I61)*$H63,5),ROUND((W$10/$I$83)*$H63*W63,5))</f>
        <v>2.1900000000000001E-3</v>
      </c>
      <c r="Z63" s="102">
        <v>1</v>
      </c>
      <c r="AA63" s="99"/>
      <c r="AB63" s="124">
        <f>IF(AA61&lt;&gt;0,ROUND((AA61/$I61)*$H63,5),ROUND((Z$10/$I$83)*$H63*Z63,5))</f>
        <v>3.5E-4</v>
      </c>
      <c r="AC63" s="102">
        <v>1</v>
      </c>
      <c r="AD63" s="99"/>
      <c r="AE63" s="126">
        <f>IF(AD61&lt;&gt;0,ROUND((AD61/$I61)*$H63,5),ROUND((AC$10/$I$83)*$H63*AC63,5))</f>
        <v>-2.0000000000000002E-5</v>
      </c>
      <c r="AF63" s="102">
        <v>1</v>
      </c>
      <c r="AG63" s="99"/>
      <c r="AH63" s="126">
        <v>2.0300000000000001E-3</v>
      </c>
      <c r="AI63" s="102">
        <v>1</v>
      </c>
      <c r="AJ63" s="99"/>
      <c r="AK63" s="124">
        <v>5.2399999999999999E-3</v>
      </c>
      <c r="AL63" s="113">
        <v>1</v>
      </c>
      <c r="AM63" s="127"/>
      <c r="AN63" s="109">
        <f>IF(AM61&lt;&gt;0,ROUND((AM61/$I61)*$H63,5),ROUND((AL$10/$I$83)*$H63*AL63,5))</f>
        <v>3.0000000000000001E-5</v>
      </c>
      <c r="AO63" s="113">
        <v>1</v>
      </c>
      <c r="AP63" s="128"/>
      <c r="AQ63" s="109">
        <f>IF(AP61&lt;&gt;0,ROUND((AP61/$I61)*$H63,5),ROUND((AO$10/$I$83)*$H63*AO63,5))</f>
        <v>0</v>
      </c>
      <c r="AR63" s="113">
        <v>1</v>
      </c>
      <c r="AS63" s="128"/>
      <c r="AT63" s="109">
        <f>IF(AS61&lt;&gt;0,ROUND((AS61/$I61)*$H63,5),ROUND((AR$10/$I$83)*$H63*AR63,5))</f>
        <v>0</v>
      </c>
      <c r="AX63" s="93">
        <f t="shared" si="20"/>
        <v>0</v>
      </c>
      <c r="AY63" s="93">
        <f t="shared" si="21"/>
        <v>0</v>
      </c>
      <c r="AZ63" s="93">
        <f t="shared" si="22"/>
        <v>0</v>
      </c>
      <c r="BA63" s="93">
        <f t="shared" si="23"/>
        <v>0</v>
      </c>
      <c r="BB63" s="93">
        <f t="shared" si="24"/>
        <v>0</v>
      </c>
      <c r="BC63" s="93">
        <f t="shared" si="25"/>
        <v>0</v>
      </c>
      <c r="BD63" s="93">
        <f t="shared" si="26"/>
        <v>0</v>
      </c>
      <c r="BE63" s="93">
        <f t="shared" si="27"/>
        <v>0</v>
      </c>
      <c r="BF63" s="93">
        <f t="shared" si="28"/>
        <v>0</v>
      </c>
      <c r="BG63" s="94">
        <f t="shared" si="29"/>
        <v>0</v>
      </c>
      <c r="BH63" s="95"/>
    </row>
    <row r="64" spans="1:60" x14ac:dyDescent="0.35">
      <c r="A64" s="13">
        <f t="shared" si="0"/>
        <v>58</v>
      </c>
      <c r="B64" s="13"/>
      <c r="C64" s="97" t="s">
        <v>91</v>
      </c>
      <c r="D64" s="7">
        <f>+'[13]Washington volumes'!J64</f>
        <v>0</v>
      </c>
      <c r="E64" s="98">
        <f>+'[13]Rates in detail'!D64</f>
        <v>0.61047999999999969</v>
      </c>
      <c r="F64" s="98">
        <f>+'[13]Rates in detail'!E64+'[13]Rates in detail'!F64+'[13]Rates in detail'!G64</f>
        <v>0.43274000000000001</v>
      </c>
      <c r="G64" s="98">
        <f>+[13]Temporaries!D64</f>
        <v>8.792999999999998E-2</v>
      </c>
      <c r="H64" s="98">
        <f t="shared" si="17"/>
        <v>8.9809999999999696E-2</v>
      </c>
      <c r="I64" s="99"/>
      <c r="J64" s="112"/>
      <c r="K64" s="7"/>
      <c r="L64" s="123"/>
      <c r="M64" s="101"/>
      <c r="N64" s="102">
        <v>0</v>
      </c>
      <c r="O64" s="99"/>
      <c r="P64" s="124">
        <f>IF(O61&lt;&gt;0,ROUND((O61/$I61)*$H64,5),ROUND((N$10/$I$83)*$H64*N64,5))</f>
        <v>0</v>
      </c>
      <c r="Q64" s="102">
        <v>0</v>
      </c>
      <c r="R64" s="99"/>
      <c r="S64" s="124">
        <f>IF(R61&lt;&gt;0,ROUND((R61/$I61)*$H64,5),ROUND((Q$10/$I$83)*$H64*Q64,5))</f>
        <v>0</v>
      </c>
      <c r="T64" s="102">
        <v>0</v>
      </c>
      <c r="U64" s="99"/>
      <c r="V64" s="124">
        <f>IF(U61&lt;&gt;0,ROUND((U61/$I61)*$H64,5),ROUND((T$10/$I$83)*$H64*T64,5))</f>
        <v>0</v>
      </c>
      <c r="W64" s="102">
        <v>1</v>
      </c>
      <c r="X64" s="99"/>
      <c r="Y64" s="125">
        <f>IF(X61&lt;&gt;0,ROUND((X61/$I61)*$H64,5),ROUND((W$10/$I$83)*$H64*W64,5))</f>
        <v>1.75E-3</v>
      </c>
      <c r="Z64" s="102">
        <v>1</v>
      </c>
      <c r="AA64" s="99"/>
      <c r="AB64" s="124">
        <f>IF(AA61&lt;&gt;0,ROUND((AA61/$I61)*$H64,5),ROUND((Z$10/$I$83)*$H64*Z64,5))</f>
        <v>2.7999999999999998E-4</v>
      </c>
      <c r="AC64" s="102">
        <v>1</v>
      </c>
      <c r="AD64" s="99"/>
      <c r="AE64" s="126">
        <f>IF(AD61&lt;&gt;0,ROUND((AD61/$I61)*$H64,5),ROUND((AC$10/$I$83)*$H64*AC64,5))</f>
        <v>-2.0000000000000002E-5</v>
      </c>
      <c r="AF64" s="102">
        <v>1</v>
      </c>
      <c r="AG64" s="99"/>
      <c r="AH64" s="126">
        <v>1.6299999999999999E-3</v>
      </c>
      <c r="AI64" s="102">
        <v>1</v>
      </c>
      <c r="AJ64" s="99"/>
      <c r="AK64" s="124">
        <v>4.1900000000000001E-3</v>
      </c>
      <c r="AL64" s="113">
        <v>1</v>
      </c>
      <c r="AM64" s="127"/>
      <c r="AN64" s="109">
        <f>IF(AM61&lt;&gt;0,ROUND((AM61/$I61)*$H64,5),ROUND((AL$10/$I$83)*$H64*AL64,5))</f>
        <v>2.0000000000000002E-5</v>
      </c>
      <c r="AO64" s="113">
        <v>1</v>
      </c>
      <c r="AP64" s="128"/>
      <c r="AQ64" s="109">
        <f>IF(AP61&lt;&gt;0,ROUND((AP61/$I61)*$H64,5),ROUND((AO$10/$I$83)*$H64*AO64,5))</f>
        <v>0</v>
      </c>
      <c r="AR64" s="113">
        <v>1</v>
      </c>
      <c r="AS64" s="128"/>
      <c r="AT64" s="109">
        <f>IF(AS61&lt;&gt;0,ROUND((AS61/$I61)*$H64,5),ROUND((AR$10/$I$83)*$H64*AR64,5))</f>
        <v>0</v>
      </c>
      <c r="AX64" s="93">
        <f t="shared" si="20"/>
        <v>0</v>
      </c>
      <c r="AY64" s="93">
        <f t="shared" si="21"/>
        <v>0</v>
      </c>
      <c r="AZ64" s="93">
        <f t="shared" si="22"/>
        <v>0</v>
      </c>
      <c r="BA64" s="93">
        <f t="shared" si="23"/>
        <v>0</v>
      </c>
      <c r="BB64" s="93">
        <f t="shared" si="24"/>
        <v>0</v>
      </c>
      <c r="BC64" s="93">
        <f t="shared" si="25"/>
        <v>0</v>
      </c>
      <c r="BD64" s="93">
        <f t="shared" si="26"/>
        <v>0</v>
      </c>
      <c r="BE64" s="93">
        <f t="shared" si="27"/>
        <v>0</v>
      </c>
      <c r="BF64" s="93">
        <f t="shared" si="28"/>
        <v>0</v>
      </c>
      <c r="BG64" s="94">
        <f t="shared" si="29"/>
        <v>0</v>
      </c>
      <c r="BH64" s="95"/>
    </row>
    <row r="65" spans="1:60" x14ac:dyDescent="0.35">
      <c r="A65" s="13">
        <f t="shared" si="0"/>
        <v>59</v>
      </c>
      <c r="B65" s="13"/>
      <c r="C65" s="97" t="s">
        <v>92</v>
      </c>
      <c r="D65" s="7">
        <f>+'[13]Washington volumes'!J65</f>
        <v>0</v>
      </c>
      <c r="E65" s="98">
        <f>+'[13]Rates in detail'!D65</f>
        <v>0.57791000000000003</v>
      </c>
      <c r="F65" s="98">
        <f>+'[13]Rates in detail'!E65+'[13]Rates in detail'!F65+'[13]Rates in detail'!G65</f>
        <v>0.43274000000000001</v>
      </c>
      <c r="G65" s="98">
        <f>+[13]Temporaries!D65</f>
        <v>8.5309999999999997E-2</v>
      </c>
      <c r="H65" s="98">
        <f t="shared" si="17"/>
        <v>5.9860000000000024E-2</v>
      </c>
      <c r="I65" s="99"/>
      <c r="J65" s="112"/>
      <c r="K65" s="7"/>
      <c r="L65" s="123"/>
      <c r="M65" s="101"/>
      <c r="N65" s="102">
        <v>0</v>
      </c>
      <c r="O65" s="99"/>
      <c r="P65" s="124">
        <f>IF(O61&lt;&gt;0,ROUND((O61/$I61)*$H65,5),ROUND((N$10/$I$83)*$H65*N65,5))</f>
        <v>0</v>
      </c>
      <c r="Q65" s="102">
        <v>0</v>
      </c>
      <c r="R65" s="99"/>
      <c r="S65" s="124">
        <f>IF(R61&lt;&gt;0,ROUND((R61/$I61)*$H65,5),ROUND((Q$10/$I$83)*$H65*Q65,5))</f>
        <v>0</v>
      </c>
      <c r="T65" s="102">
        <v>0</v>
      </c>
      <c r="U65" s="99"/>
      <c r="V65" s="124">
        <f>IF(U61&lt;&gt;0,ROUND((U61/$I61)*$H65,5),ROUND((T$10/$I$83)*$H65*T65,5))</f>
        <v>0</v>
      </c>
      <c r="W65" s="102">
        <v>1</v>
      </c>
      <c r="X65" s="99"/>
      <c r="Y65" s="125">
        <f>IF(X61&lt;&gt;0,ROUND((X61/$I61)*$H65,5),ROUND((W$10/$I$83)*$H65*W65,5))</f>
        <v>1.17E-3</v>
      </c>
      <c r="Z65" s="102">
        <v>1</v>
      </c>
      <c r="AA65" s="99"/>
      <c r="AB65" s="124">
        <f>IF(AA61&lt;&gt;0,ROUND((AA61/$I61)*$H65,5),ROUND((Z$10/$I$83)*$H65*Z65,5))</f>
        <v>1.9000000000000001E-4</v>
      </c>
      <c r="AC65" s="102">
        <v>1</v>
      </c>
      <c r="AD65" s="99"/>
      <c r="AE65" s="126">
        <f>IF(AD61&lt;&gt;0,ROUND((AD61/$I61)*$H65,5),ROUND((AC$10/$I$83)*$H65*AC65,5))</f>
        <v>-1.0000000000000001E-5</v>
      </c>
      <c r="AF65" s="102">
        <v>1</v>
      </c>
      <c r="AG65" s="99"/>
      <c r="AH65" s="126">
        <v>1.08E-3</v>
      </c>
      <c r="AI65" s="102">
        <v>1</v>
      </c>
      <c r="AJ65" s="99"/>
      <c r="AK65" s="124">
        <v>2.7899999999999999E-3</v>
      </c>
      <c r="AL65" s="113">
        <v>1</v>
      </c>
      <c r="AM65" s="127"/>
      <c r="AN65" s="109">
        <f>IF(AM61&lt;&gt;0,ROUND((AM61/$I61)*$H65,5),ROUND((AL$10/$I$83)*$H65*AL65,5))</f>
        <v>1.0000000000000001E-5</v>
      </c>
      <c r="AO65" s="113">
        <v>1</v>
      </c>
      <c r="AP65" s="128"/>
      <c r="AQ65" s="109">
        <f>IF(AP61&lt;&gt;0,ROUND((AP61/$I61)*$H65,5),ROUND((AO$10/$I$83)*$H65*AO65,5))</f>
        <v>0</v>
      </c>
      <c r="AR65" s="113">
        <v>1</v>
      </c>
      <c r="AS65" s="128"/>
      <c r="AT65" s="109">
        <f>IF(AS61&lt;&gt;0,ROUND((AS61/$I61)*$H65,5),ROUND((AR$10/$I$83)*$H65*AR65,5))</f>
        <v>0</v>
      </c>
      <c r="AX65" s="93">
        <f t="shared" si="20"/>
        <v>0</v>
      </c>
      <c r="AY65" s="93">
        <f t="shared" si="21"/>
        <v>0</v>
      </c>
      <c r="AZ65" s="93">
        <f t="shared" si="22"/>
        <v>0</v>
      </c>
      <c r="BA65" s="93">
        <f t="shared" si="23"/>
        <v>0</v>
      </c>
      <c r="BB65" s="93">
        <f t="shared" si="24"/>
        <v>0</v>
      </c>
      <c r="BC65" s="93">
        <f t="shared" si="25"/>
        <v>0</v>
      </c>
      <c r="BD65" s="93">
        <f t="shared" si="26"/>
        <v>0</v>
      </c>
      <c r="BE65" s="93">
        <f t="shared" si="27"/>
        <v>0</v>
      </c>
      <c r="BF65" s="93">
        <f t="shared" si="28"/>
        <v>0</v>
      </c>
      <c r="BG65" s="94">
        <f t="shared" si="29"/>
        <v>0</v>
      </c>
      <c r="BH65" s="95"/>
    </row>
    <row r="66" spans="1:60" x14ac:dyDescent="0.35">
      <c r="A66" s="13">
        <f t="shared" si="0"/>
        <v>60</v>
      </c>
      <c r="B66" s="96"/>
      <c r="C66" s="111" t="s">
        <v>93</v>
      </c>
      <c r="D66" s="78">
        <f>+'[13]Washington volumes'!J66</f>
        <v>0</v>
      </c>
      <c r="E66" s="79">
        <f>+'[13]Rates in detail'!D66</f>
        <v>0.53723999999999983</v>
      </c>
      <c r="F66" s="79">
        <f>+'[13]Rates in detail'!E66+'[13]Rates in detail'!F66+'[13]Rates in detail'!G66</f>
        <v>0.43274000000000001</v>
      </c>
      <c r="G66" s="79">
        <f>+[13]Temporaries!D66</f>
        <v>8.2059999999999994E-2</v>
      </c>
      <c r="H66" s="79">
        <f t="shared" si="17"/>
        <v>2.2439999999999821E-2</v>
      </c>
      <c r="I66" s="80"/>
      <c r="J66" s="81"/>
      <c r="K66" s="78"/>
      <c r="L66" s="82"/>
      <c r="M66" s="83"/>
      <c r="N66" s="84">
        <v>0</v>
      </c>
      <c r="O66" s="80"/>
      <c r="P66" s="85">
        <f>IF(O61&lt;&gt;0,ROUND((O61/$I61)*$H66,5),ROUND((N$10/$I$83)*$H66*N66,5))</f>
        <v>0</v>
      </c>
      <c r="Q66" s="84">
        <v>0</v>
      </c>
      <c r="R66" s="80"/>
      <c r="S66" s="85">
        <f>IF(R61&lt;&gt;0,ROUND((R61/$I61)*$H66,5),ROUND((Q$10/$I$83)*$H66*Q66,5))</f>
        <v>0</v>
      </c>
      <c r="T66" s="84">
        <v>0</v>
      </c>
      <c r="U66" s="80"/>
      <c r="V66" s="85">
        <f>IF(U61&lt;&gt;0,ROUND((U61/$I61)*$H66,5),ROUND((T$10/$I$83)*$H66*T66,5))</f>
        <v>0</v>
      </c>
      <c r="W66" s="84">
        <v>1</v>
      </c>
      <c r="X66" s="80"/>
      <c r="Y66" s="86">
        <f>IF(X61&lt;&gt;0,ROUND((X61/$I61)*$H66,5),ROUND((W$10/$I$83)*$H66*W66,5))</f>
        <v>4.4000000000000002E-4</v>
      </c>
      <c r="Z66" s="84">
        <v>1</v>
      </c>
      <c r="AA66" s="80"/>
      <c r="AB66" s="85">
        <f>IF(AA61&lt;&gt;0,ROUND((AA61/$I61)*$H66,5),ROUND((Z$10/$I$83)*$H66*Z66,5))</f>
        <v>6.9999999999999994E-5</v>
      </c>
      <c r="AC66" s="84">
        <v>1</v>
      </c>
      <c r="AD66" s="80"/>
      <c r="AE66" s="87">
        <f>IF(AD61&lt;&gt;0,ROUND((AD61/$I61)*$H66,5),ROUND((AC$10/$I$83)*$H66*AC66,5))</f>
        <v>0</v>
      </c>
      <c r="AF66" s="84">
        <v>1</v>
      </c>
      <c r="AG66" s="80"/>
      <c r="AH66" s="87">
        <v>4.0999999999999999E-4</v>
      </c>
      <c r="AI66" s="84">
        <v>1</v>
      </c>
      <c r="AJ66" s="80"/>
      <c r="AK66" s="85">
        <v>1.0499999999999999E-3</v>
      </c>
      <c r="AL66" s="88">
        <v>1</v>
      </c>
      <c r="AM66" s="89"/>
      <c r="AN66" s="90">
        <f>IF(AM61&lt;&gt;0,ROUND((AM61/$I61)*$H66,5),ROUND((AL$10/$I$83)*$H66*AL66,5))</f>
        <v>1.0000000000000001E-5</v>
      </c>
      <c r="AO66" s="88">
        <v>1</v>
      </c>
      <c r="AP66" s="91"/>
      <c r="AQ66" s="90">
        <f>IF(AP61&lt;&gt;0,ROUND((AP61/$I61)*$H66,5),ROUND((AO$10/$I$83)*$H66*AO66,5))</f>
        <v>0</v>
      </c>
      <c r="AR66" s="88">
        <v>1</v>
      </c>
      <c r="AS66" s="91"/>
      <c r="AT66" s="90">
        <f>IF(AS61&lt;&gt;0,ROUND((AS61/$I61)*$H66,5),ROUND((AR$10/$I$83)*$H66*AR66,5))</f>
        <v>0</v>
      </c>
      <c r="AX66" s="93">
        <f t="shared" si="20"/>
        <v>0</v>
      </c>
      <c r="AY66" s="93">
        <f t="shared" si="21"/>
        <v>0</v>
      </c>
      <c r="AZ66" s="93">
        <f t="shared" si="22"/>
        <v>0</v>
      </c>
      <c r="BA66" s="93">
        <f t="shared" si="23"/>
        <v>0</v>
      </c>
      <c r="BB66" s="93">
        <f t="shared" si="24"/>
        <v>0</v>
      </c>
      <c r="BC66" s="93">
        <f t="shared" si="25"/>
        <v>0</v>
      </c>
      <c r="BD66" s="93">
        <f t="shared" si="26"/>
        <v>0</v>
      </c>
      <c r="BE66" s="93">
        <f t="shared" si="27"/>
        <v>0</v>
      </c>
      <c r="BF66" s="93">
        <f t="shared" si="28"/>
        <v>0</v>
      </c>
      <c r="BG66" s="94">
        <f t="shared" si="29"/>
        <v>0</v>
      </c>
      <c r="BH66" s="95"/>
    </row>
    <row r="67" spans="1:60" x14ac:dyDescent="0.35">
      <c r="A67" s="13">
        <f t="shared" si="0"/>
        <v>61</v>
      </c>
      <c r="B67" s="13" t="s">
        <v>99</v>
      </c>
      <c r="C67" s="97" t="s">
        <v>82</v>
      </c>
      <c r="D67" s="7">
        <f>+'[13]Washington volumes'!J67</f>
        <v>0</v>
      </c>
      <c r="E67" s="98">
        <f>+'[13]Rates in detail'!D67</f>
        <v>0.39076</v>
      </c>
      <c r="F67" s="98">
        <f>+'[13]Rates in detail'!E67+'[13]Rates in detail'!F67+'[13]Rates in detail'!G67</f>
        <v>0</v>
      </c>
      <c r="G67" s="98">
        <f>+[13]Temporaries!D67</f>
        <v>0.24907000000000001</v>
      </c>
      <c r="H67" s="98">
        <f t="shared" si="17"/>
        <v>0.14168999999999998</v>
      </c>
      <c r="I67" s="99">
        <f>ROUND((H67*D67)+(D68*H68)+(D69*H69)+(D70*H70)+(D71*H71)+(D72*H72),0)</f>
        <v>0</v>
      </c>
      <c r="J67" s="112">
        <f>+'[13]Avg Bill by RS'!G79</f>
        <v>1550</v>
      </c>
      <c r="K67" s="7">
        <f>+'[13]Washington volumes'!L67</f>
        <v>0</v>
      </c>
      <c r="L67" s="100">
        <f>ROUND((J67*K67*12)+I67+I68+I69+I70+I71+I72,0)</f>
        <v>0</v>
      </c>
      <c r="M67" s="101"/>
      <c r="N67" s="102">
        <v>0</v>
      </c>
      <c r="O67" s="117">
        <f>ROUND(+$N$10*(($L67*N67)/N$83),0)</f>
        <v>0</v>
      </c>
      <c r="P67" s="118">
        <f>IF(O67&lt;&gt;0,ROUND((O67/$I67)*$H67,5),ROUND((N$10/$I$83)*$H67*N67,5))</f>
        <v>0</v>
      </c>
      <c r="Q67" s="102">
        <v>0</v>
      </c>
      <c r="R67" s="117">
        <f>ROUND(+$Q$10*(($L67*Q67)/Q$83),0)</f>
        <v>0</v>
      </c>
      <c r="S67" s="118">
        <f>IF(R67&lt;&gt;0,ROUND((R67/$I67)*$H67,5),ROUND((Q$10/$I$83)*$H67*Q67,5))</f>
        <v>0</v>
      </c>
      <c r="T67" s="102">
        <v>0</v>
      </c>
      <c r="U67" s="117">
        <f>ROUND(+$T$10*(($L67*T67)/T$83),0)</f>
        <v>0</v>
      </c>
      <c r="V67" s="118">
        <f>IF(U67&lt;&gt;0,ROUND((U67/$I67)*$H67,5),ROUND((T$10/$I$83)*$H67*T67,5))</f>
        <v>0</v>
      </c>
      <c r="W67" s="102">
        <v>0</v>
      </c>
      <c r="X67" s="117">
        <f>ROUND(+$W$10*(($L67*W67)/W$83),0)</f>
        <v>0</v>
      </c>
      <c r="Y67" s="119">
        <f>IF(X67&lt;&gt;0,ROUND((X67/$I67)*$H67,5),ROUND((W$10/$I$83)*$H67*W67,5))</f>
        <v>0</v>
      </c>
      <c r="Z67" s="102">
        <v>0</v>
      </c>
      <c r="AA67" s="117">
        <f>ROUND(+$Z$10*(($L67*Z67)/Z$83),0)</f>
        <v>0</v>
      </c>
      <c r="AB67" s="118">
        <f>IF(AA67&lt;&gt;0,ROUND((AA67/$I67)*$H67,5),ROUND((Z$10/$I$83)*$H67*Z67,5))</f>
        <v>0</v>
      </c>
      <c r="AC67" s="102">
        <v>1</v>
      </c>
      <c r="AD67" s="117">
        <f>ROUND(+$AC$10*(($L67*AC67)/AC$83),0)</f>
        <v>0</v>
      </c>
      <c r="AE67" s="120">
        <f>IF(AD67&lt;&gt;0,ROUND((AD67/$I67)*$H67,5),ROUND((AC$10/$I$83)*$H67*AC67,5))</f>
        <v>-3.0000000000000001E-5</v>
      </c>
      <c r="AF67" s="102">
        <v>1</v>
      </c>
      <c r="AG67" s="117">
        <v>0</v>
      </c>
      <c r="AH67" s="120">
        <v>2.1299999999999999E-3</v>
      </c>
      <c r="AI67" s="102">
        <v>1</v>
      </c>
      <c r="AJ67" s="117">
        <v>0</v>
      </c>
      <c r="AK67" s="118">
        <v>5.4599999999999996E-3</v>
      </c>
      <c r="AL67" s="113">
        <v>0</v>
      </c>
      <c r="AM67" s="121">
        <f>ROUND(+$AL$10*(($L67*AL67)/AL$83),0)</f>
        <v>0</v>
      </c>
      <c r="AN67" s="109">
        <f>IF(AM67&lt;&gt;0,ROUND((AM67/$I67)*$H67,5),ROUND((AL$10/$I$83)*$H67*AL67,5))</f>
        <v>0</v>
      </c>
      <c r="AO67" s="113">
        <v>1</v>
      </c>
      <c r="AP67" s="122">
        <f>ROUND(+$AO$10*(($L67*AO67)/AO$83),0)</f>
        <v>0</v>
      </c>
      <c r="AQ67" s="109">
        <f>IF(AP67&lt;&gt;0,ROUND((AP67/$I67)*$H67,5),ROUND((AO$10/$I$83)*$H67*AO67,5))</f>
        <v>0</v>
      </c>
      <c r="AR67" s="113">
        <v>1</v>
      </c>
      <c r="AS67" s="122">
        <f>ROUND(+$AR$10*(($L67*AR67)/AR$83),0)</f>
        <v>0</v>
      </c>
      <c r="AT67" s="109">
        <f>IF(AS67&lt;&gt;0,ROUND((AS67/$I67)*$H67,5),ROUND((AR$10/$I$83)*$H67*AR67,5))</f>
        <v>0</v>
      </c>
      <c r="AX67" s="93">
        <f t="shared" si="20"/>
        <v>0</v>
      </c>
      <c r="AY67" s="93">
        <f t="shared" si="21"/>
        <v>0</v>
      </c>
      <c r="AZ67" s="93">
        <f t="shared" si="22"/>
        <v>0</v>
      </c>
      <c r="BA67" s="93">
        <f t="shared" si="23"/>
        <v>0</v>
      </c>
      <c r="BB67" s="93">
        <f t="shared" si="24"/>
        <v>0</v>
      </c>
      <c r="BC67" s="93">
        <f t="shared" si="25"/>
        <v>0</v>
      </c>
      <c r="BD67" s="93">
        <f t="shared" si="26"/>
        <v>0</v>
      </c>
      <c r="BE67" s="93">
        <f t="shared" si="27"/>
        <v>0</v>
      </c>
      <c r="BF67" s="93">
        <f t="shared" si="28"/>
        <v>0</v>
      </c>
      <c r="BG67" s="94">
        <f t="shared" si="29"/>
        <v>0</v>
      </c>
      <c r="BH67" s="95"/>
    </row>
    <row r="68" spans="1:60" x14ac:dyDescent="0.35">
      <c r="A68" s="13">
        <f t="shared" si="0"/>
        <v>62</v>
      </c>
      <c r="B68" s="13"/>
      <c r="C68" s="97" t="s">
        <v>83</v>
      </c>
      <c r="D68" s="7">
        <f>+'[13]Washington volumes'!J68</f>
        <v>0</v>
      </c>
      <c r="E68" s="98">
        <f>+'[13]Rates in detail'!D68</f>
        <v>0.37516000000000005</v>
      </c>
      <c r="F68" s="98">
        <f>+'[13]Rates in detail'!E68+'[13]Rates in detail'!F68+'[13]Rates in detail'!G68</f>
        <v>0</v>
      </c>
      <c r="G68" s="98">
        <f>+[13]Temporaries!D68</f>
        <v>0.24831</v>
      </c>
      <c r="H68" s="98">
        <f t="shared" si="17"/>
        <v>0.12685000000000005</v>
      </c>
      <c r="I68" s="99"/>
      <c r="J68" s="112"/>
      <c r="K68" s="7"/>
      <c r="L68" s="123"/>
      <c r="M68" s="101"/>
      <c r="N68" s="102">
        <v>0</v>
      </c>
      <c r="O68" s="99"/>
      <c r="P68" s="124">
        <f>IF(O67&lt;&gt;0,ROUND((O67/$I67)*$H68,5),ROUND((N$10/$I$83)*$H68*N68,5))</f>
        <v>0</v>
      </c>
      <c r="Q68" s="102">
        <v>0</v>
      </c>
      <c r="R68" s="99"/>
      <c r="S68" s="124">
        <f>IF(R67&lt;&gt;0,ROUND((R67/$I67)*$H68,5),ROUND((Q$10/$I$83)*$H68*Q68,5))</f>
        <v>0</v>
      </c>
      <c r="T68" s="102">
        <v>0</v>
      </c>
      <c r="U68" s="99"/>
      <c r="V68" s="124">
        <f>IF(U67&lt;&gt;0,ROUND((U67/$I67)*$H68,5),ROUND((T$10/$I$83)*$H68*T68,5))</f>
        <v>0</v>
      </c>
      <c r="W68" s="102">
        <v>0</v>
      </c>
      <c r="X68" s="99"/>
      <c r="Y68" s="125">
        <f>IF(X67&lt;&gt;0,ROUND((X67/$I67)*$H68,5),ROUND((W$10/$I$83)*$H68*W68,5))</f>
        <v>0</v>
      </c>
      <c r="Z68" s="102">
        <v>0</v>
      </c>
      <c r="AA68" s="99"/>
      <c r="AB68" s="124">
        <f>IF(AA67&lt;&gt;0,ROUND((AA67/$I67)*$H68,5),ROUND((Z$10/$I$83)*$H68*Z68,5))</f>
        <v>0</v>
      </c>
      <c r="AC68" s="102">
        <v>1</v>
      </c>
      <c r="AD68" s="99"/>
      <c r="AE68" s="126">
        <f>IF(AD67&lt;&gt;0,ROUND((AD67/$I67)*$H68,5),ROUND((AC$10/$I$83)*$H68*AC68,5))</f>
        <v>-2.0000000000000002E-5</v>
      </c>
      <c r="AF68" s="102">
        <v>1</v>
      </c>
      <c r="AG68" s="99"/>
      <c r="AH68" s="126">
        <v>1.91E-3</v>
      </c>
      <c r="AI68" s="102">
        <v>1</v>
      </c>
      <c r="AJ68" s="99"/>
      <c r="AK68" s="124">
        <v>4.8900000000000002E-3</v>
      </c>
      <c r="AL68" s="113">
        <v>0</v>
      </c>
      <c r="AM68" s="127"/>
      <c r="AN68" s="109">
        <f>IF(AM67&lt;&gt;0,ROUND((AM67/$I67)*$H68,5),ROUND((AL$10/$I$83)*$H68*AL68,5))</f>
        <v>0</v>
      </c>
      <c r="AO68" s="113">
        <v>1</v>
      </c>
      <c r="AP68" s="128"/>
      <c r="AQ68" s="109">
        <f>IF(AP67&lt;&gt;0,ROUND((AP67/$I67)*$H68,5),ROUND((AO$10/$I$83)*$H68*AO68,5))</f>
        <v>0</v>
      </c>
      <c r="AR68" s="113">
        <v>1</v>
      </c>
      <c r="AS68" s="128"/>
      <c r="AT68" s="109">
        <f>IF(AS67&lt;&gt;0,ROUND((AS67/$I67)*$H68,5),ROUND((AR$10/$I$83)*$H68*AR68,5))</f>
        <v>0</v>
      </c>
      <c r="AX68" s="93">
        <f t="shared" si="20"/>
        <v>0</v>
      </c>
      <c r="AY68" s="93">
        <f t="shared" si="21"/>
        <v>0</v>
      </c>
      <c r="AZ68" s="93">
        <f t="shared" si="22"/>
        <v>0</v>
      </c>
      <c r="BA68" s="93">
        <f t="shared" si="23"/>
        <v>0</v>
      </c>
      <c r="BB68" s="93">
        <f t="shared" si="24"/>
        <v>0</v>
      </c>
      <c r="BC68" s="93">
        <f t="shared" si="25"/>
        <v>0</v>
      </c>
      <c r="BD68" s="93">
        <f t="shared" si="26"/>
        <v>0</v>
      </c>
      <c r="BE68" s="93">
        <f t="shared" si="27"/>
        <v>0</v>
      </c>
      <c r="BF68" s="93">
        <f t="shared" si="28"/>
        <v>0</v>
      </c>
      <c r="BG68" s="94">
        <f t="shared" si="29"/>
        <v>0</v>
      </c>
      <c r="BH68" s="95"/>
    </row>
    <row r="69" spans="1:60" x14ac:dyDescent="0.35">
      <c r="A69" s="13">
        <f t="shared" si="0"/>
        <v>63</v>
      </c>
      <c r="B69" s="13"/>
      <c r="C69" s="97" t="s">
        <v>90</v>
      </c>
      <c r="D69" s="7">
        <f>+'[13]Washington volumes'!J69</f>
        <v>0</v>
      </c>
      <c r="E69" s="98">
        <f>+'[13]Rates in detail'!D69</f>
        <v>0.34404999999999997</v>
      </c>
      <c r="F69" s="98">
        <f>+'[13]Rates in detail'!E69+'[13]Rates in detail'!F69+'[13]Rates in detail'!G69</f>
        <v>0</v>
      </c>
      <c r="G69" s="98">
        <f>+[13]Temporaries!D69</f>
        <v>0.24678</v>
      </c>
      <c r="H69" s="98">
        <f t="shared" si="17"/>
        <v>9.7269999999999968E-2</v>
      </c>
      <c r="I69" s="99"/>
      <c r="J69" s="112"/>
      <c r="K69" s="7"/>
      <c r="L69" s="123"/>
      <c r="M69" s="101"/>
      <c r="N69" s="102">
        <v>0</v>
      </c>
      <c r="O69" s="99"/>
      <c r="P69" s="124">
        <f>IF(O67&lt;&gt;0,ROUND((O67/$I67)*$H69,5),ROUND((N$10/$I$83)*$H69*N69,5))</f>
        <v>0</v>
      </c>
      <c r="Q69" s="102">
        <v>0</v>
      </c>
      <c r="R69" s="99"/>
      <c r="S69" s="124">
        <f>IF(R67&lt;&gt;0,ROUND((R67/$I67)*$H69,5),ROUND((Q$10/$I$83)*$H69*Q69,5))</f>
        <v>0</v>
      </c>
      <c r="T69" s="102">
        <v>0</v>
      </c>
      <c r="U69" s="99"/>
      <c r="V69" s="124">
        <f>IF(U67&lt;&gt;0,ROUND((U67/$I67)*$H69,5),ROUND((T$10/$I$83)*$H69*T69,5))</f>
        <v>0</v>
      </c>
      <c r="W69" s="102">
        <v>0</v>
      </c>
      <c r="X69" s="99"/>
      <c r="Y69" s="125">
        <f>IF(X67&lt;&gt;0,ROUND((X67/$I67)*$H69,5),ROUND((W$10/$I$83)*$H69*W69,5))</f>
        <v>0</v>
      </c>
      <c r="Z69" s="102">
        <v>0</v>
      </c>
      <c r="AA69" s="99"/>
      <c r="AB69" s="124">
        <f>IF(AA67&lt;&gt;0,ROUND((AA67/$I67)*$H69,5),ROUND((Z$10/$I$83)*$H69*Z69,5))</f>
        <v>0</v>
      </c>
      <c r="AC69" s="102">
        <v>1</v>
      </c>
      <c r="AD69" s="99"/>
      <c r="AE69" s="126">
        <f>IF(AD67&lt;&gt;0,ROUND((AD67/$I67)*$H69,5),ROUND((AC$10/$I$83)*$H69*AC69,5))</f>
        <v>-2.0000000000000002E-5</v>
      </c>
      <c r="AF69" s="102">
        <v>1</v>
      </c>
      <c r="AG69" s="99"/>
      <c r="AH69" s="126">
        <v>1.4599999999999999E-3</v>
      </c>
      <c r="AI69" s="102">
        <v>1</v>
      </c>
      <c r="AJ69" s="99"/>
      <c r="AK69" s="124">
        <v>3.7499999999999999E-3</v>
      </c>
      <c r="AL69" s="113">
        <v>0</v>
      </c>
      <c r="AM69" s="127"/>
      <c r="AN69" s="109">
        <f>IF(AM67&lt;&gt;0,ROUND((AM67/$I67)*$H69,5),ROUND((AL$10/$I$83)*$H69*AL69,5))</f>
        <v>0</v>
      </c>
      <c r="AO69" s="113">
        <v>1</v>
      </c>
      <c r="AP69" s="128"/>
      <c r="AQ69" s="109">
        <f>IF(AP67&lt;&gt;0,ROUND((AP67/$I67)*$H69,5),ROUND((AO$10/$I$83)*$H69*AO69,5))</f>
        <v>0</v>
      </c>
      <c r="AR69" s="113">
        <v>1</v>
      </c>
      <c r="AS69" s="128"/>
      <c r="AT69" s="109">
        <f>IF(AS67&lt;&gt;0,ROUND((AS67/$I67)*$H69,5),ROUND((AR$10/$I$83)*$H69*AR69,5))</f>
        <v>0</v>
      </c>
      <c r="AX69" s="93">
        <f t="shared" si="20"/>
        <v>0</v>
      </c>
      <c r="AY69" s="93">
        <f t="shared" si="21"/>
        <v>0</v>
      </c>
      <c r="AZ69" s="93">
        <f t="shared" si="22"/>
        <v>0</v>
      </c>
      <c r="BA69" s="93">
        <f t="shared" si="23"/>
        <v>0</v>
      </c>
      <c r="BB69" s="93">
        <f t="shared" si="24"/>
        <v>0</v>
      </c>
      <c r="BC69" s="93">
        <f t="shared" si="25"/>
        <v>0</v>
      </c>
      <c r="BD69" s="93">
        <f t="shared" si="26"/>
        <v>0</v>
      </c>
      <c r="BE69" s="93">
        <f t="shared" si="27"/>
        <v>0</v>
      </c>
      <c r="BF69" s="93">
        <f t="shared" si="28"/>
        <v>0</v>
      </c>
      <c r="BG69" s="94">
        <f t="shared" si="29"/>
        <v>0</v>
      </c>
      <c r="BH69" s="95"/>
    </row>
    <row r="70" spans="1:60" x14ac:dyDescent="0.35">
      <c r="A70" s="13">
        <f t="shared" si="0"/>
        <v>64</v>
      </c>
      <c r="B70" s="13"/>
      <c r="C70" s="97" t="s">
        <v>91</v>
      </c>
      <c r="D70" s="7">
        <f>+'[13]Washington volumes'!J70</f>
        <v>0</v>
      </c>
      <c r="E70" s="98">
        <f>+'[13]Rates in detail'!D70</f>
        <v>0.3236</v>
      </c>
      <c r="F70" s="98">
        <f>+'[13]Rates in detail'!E70+'[13]Rates in detail'!F70+'[13]Rates in detail'!G70</f>
        <v>0</v>
      </c>
      <c r="G70" s="98">
        <f>+[13]Temporaries!D70</f>
        <v>0.24578</v>
      </c>
      <c r="H70" s="98">
        <f t="shared" si="17"/>
        <v>7.782E-2</v>
      </c>
      <c r="I70" s="99"/>
      <c r="J70" s="112"/>
      <c r="K70" s="7"/>
      <c r="L70" s="123"/>
      <c r="M70" s="101"/>
      <c r="N70" s="102">
        <v>0</v>
      </c>
      <c r="O70" s="99"/>
      <c r="P70" s="124">
        <f>IF(O67&lt;&gt;0,ROUND((O67/$I67)*$H70,5),ROUND((N$10/$I$83)*$H70*N70,5))</f>
        <v>0</v>
      </c>
      <c r="Q70" s="102">
        <v>0</v>
      </c>
      <c r="R70" s="99"/>
      <c r="S70" s="124">
        <f>IF(R67&lt;&gt;0,ROUND((R67/$I67)*$H70,5),ROUND((Q$10/$I$83)*$H70*Q70,5))</f>
        <v>0</v>
      </c>
      <c r="T70" s="102">
        <v>0</v>
      </c>
      <c r="U70" s="99"/>
      <c r="V70" s="124">
        <f>IF(U67&lt;&gt;0,ROUND((U67/$I67)*$H70,5),ROUND((T$10/$I$83)*$H70*T70,5))</f>
        <v>0</v>
      </c>
      <c r="W70" s="102">
        <v>0</v>
      </c>
      <c r="X70" s="99"/>
      <c r="Y70" s="125">
        <f>IF(X67&lt;&gt;0,ROUND((X67/$I67)*$H70,5),ROUND((W$10/$I$83)*$H70*W70,5))</f>
        <v>0</v>
      </c>
      <c r="Z70" s="102">
        <v>0</v>
      </c>
      <c r="AA70" s="99"/>
      <c r="AB70" s="124">
        <f>IF(AA67&lt;&gt;0,ROUND((AA67/$I67)*$H70,5),ROUND((Z$10/$I$83)*$H70*Z70,5))</f>
        <v>0</v>
      </c>
      <c r="AC70" s="102">
        <v>1</v>
      </c>
      <c r="AD70" s="99"/>
      <c r="AE70" s="126">
        <f>IF(AD67&lt;&gt;0,ROUND((AD67/$I67)*$H70,5),ROUND((AC$10/$I$83)*$H70*AC70,5))</f>
        <v>-1.0000000000000001E-5</v>
      </c>
      <c r="AF70" s="102">
        <v>1</v>
      </c>
      <c r="AG70" s="99"/>
      <c r="AH70" s="126">
        <v>1.17E-3</v>
      </c>
      <c r="AI70" s="102">
        <v>1</v>
      </c>
      <c r="AJ70" s="99"/>
      <c r="AK70" s="124">
        <v>3.0000000000000001E-3</v>
      </c>
      <c r="AL70" s="113">
        <v>0</v>
      </c>
      <c r="AM70" s="127"/>
      <c r="AN70" s="109">
        <f>IF(AM67&lt;&gt;0,ROUND((AM67/$I67)*$H70,5),ROUND((AL$10/$I$83)*$H70*AL70,5))</f>
        <v>0</v>
      </c>
      <c r="AO70" s="113">
        <v>1</v>
      </c>
      <c r="AP70" s="128"/>
      <c r="AQ70" s="109">
        <f>IF(AP67&lt;&gt;0,ROUND((AP67/$I67)*$H70,5),ROUND((AO$10/$I$83)*$H70*AO70,5))</f>
        <v>0</v>
      </c>
      <c r="AR70" s="113">
        <v>1</v>
      </c>
      <c r="AS70" s="128"/>
      <c r="AT70" s="109">
        <f>IF(AS67&lt;&gt;0,ROUND((AS67/$I67)*$H70,5),ROUND((AR$10/$I$83)*$H70*AR70,5))</f>
        <v>0</v>
      </c>
      <c r="AX70" s="93">
        <f t="shared" si="20"/>
        <v>0</v>
      </c>
      <c r="AY70" s="93">
        <f t="shared" si="21"/>
        <v>0</v>
      </c>
      <c r="AZ70" s="93">
        <f t="shared" si="22"/>
        <v>0</v>
      </c>
      <c r="BA70" s="93">
        <f t="shared" si="23"/>
        <v>0</v>
      </c>
      <c r="BB70" s="93">
        <f t="shared" si="24"/>
        <v>0</v>
      </c>
      <c r="BC70" s="93">
        <f t="shared" si="25"/>
        <v>0</v>
      </c>
      <c r="BD70" s="93">
        <f t="shared" si="26"/>
        <v>0</v>
      </c>
      <c r="BE70" s="93">
        <f t="shared" si="27"/>
        <v>0</v>
      </c>
      <c r="BF70" s="93">
        <f t="shared" si="28"/>
        <v>0</v>
      </c>
      <c r="BG70" s="94">
        <f t="shared" si="29"/>
        <v>0</v>
      </c>
      <c r="BH70" s="95"/>
    </row>
    <row r="71" spans="1:60" x14ac:dyDescent="0.35">
      <c r="A71" s="13">
        <f t="shared" si="0"/>
        <v>65</v>
      </c>
      <c r="B71" s="13"/>
      <c r="C71" s="97" t="s">
        <v>92</v>
      </c>
      <c r="D71" s="7">
        <f>+'[13]Washington volumes'!J71</f>
        <v>0</v>
      </c>
      <c r="E71" s="98">
        <f>+'[13]Rates in detail'!D71</f>
        <v>0.29632999999999998</v>
      </c>
      <c r="F71" s="98">
        <f>+'[13]Rates in detail'!E71+'[13]Rates in detail'!F71+'[13]Rates in detail'!G71</f>
        <v>0</v>
      </c>
      <c r="G71" s="98">
        <f>+[13]Temporaries!D71</f>
        <v>0.24443999999999999</v>
      </c>
      <c r="H71" s="98">
        <f t="shared" si="17"/>
        <v>5.1889999999999992E-2</v>
      </c>
      <c r="I71" s="99"/>
      <c r="J71" s="112"/>
      <c r="K71" s="7"/>
      <c r="L71" s="123"/>
      <c r="M71" s="101"/>
      <c r="N71" s="102">
        <v>0</v>
      </c>
      <c r="O71" s="99"/>
      <c r="P71" s="124">
        <f>IF(O67&lt;&gt;0,ROUND((O67/$I67)*$H71,5),ROUND((N$10/$I$83)*$H71*N71,5))</f>
        <v>0</v>
      </c>
      <c r="Q71" s="102">
        <v>0</v>
      </c>
      <c r="R71" s="99"/>
      <c r="S71" s="124">
        <f>IF(R67&lt;&gt;0,ROUND((R67/$I67)*$H71,5),ROUND((Q$10/$I$83)*$H71*Q71,5))</f>
        <v>0</v>
      </c>
      <c r="T71" s="102">
        <v>0</v>
      </c>
      <c r="U71" s="99"/>
      <c r="V71" s="124">
        <f>IF(U67&lt;&gt;0,ROUND((U67/$I67)*$H71,5),ROUND((T$10/$I$83)*$H71*T71,5))</f>
        <v>0</v>
      </c>
      <c r="W71" s="102">
        <v>0</v>
      </c>
      <c r="X71" s="99"/>
      <c r="Y71" s="125">
        <f>IF(X67&lt;&gt;0,ROUND((X67/$I67)*$H71,5),ROUND((W$10/$I$83)*$H71*W71,5))</f>
        <v>0</v>
      </c>
      <c r="Z71" s="102">
        <v>0</v>
      </c>
      <c r="AA71" s="99"/>
      <c r="AB71" s="124">
        <f>IF(AA67&lt;&gt;0,ROUND((AA67/$I67)*$H71,5),ROUND((Z$10/$I$83)*$H71*Z71,5))</f>
        <v>0</v>
      </c>
      <c r="AC71" s="102">
        <v>1</v>
      </c>
      <c r="AD71" s="99"/>
      <c r="AE71" s="126">
        <f>IF(AD67&lt;&gt;0,ROUND((AD67/$I67)*$H71,5),ROUND((AC$10/$I$83)*$H71*AC71,5))</f>
        <v>-1.0000000000000001E-5</v>
      </c>
      <c r="AF71" s="102">
        <v>1</v>
      </c>
      <c r="AG71" s="99"/>
      <c r="AH71" s="126">
        <v>7.7999999999999999E-4</v>
      </c>
      <c r="AI71" s="102">
        <v>1</v>
      </c>
      <c r="AJ71" s="99"/>
      <c r="AK71" s="124">
        <v>2E-3</v>
      </c>
      <c r="AL71" s="113">
        <v>0</v>
      </c>
      <c r="AM71" s="127"/>
      <c r="AN71" s="109">
        <f>IF(AM67&lt;&gt;0,ROUND((AM67/$I67)*$H71,5),ROUND((AL$10/$I$83)*$H71*AL71,5))</f>
        <v>0</v>
      </c>
      <c r="AO71" s="113">
        <v>1</v>
      </c>
      <c r="AP71" s="128"/>
      <c r="AQ71" s="109">
        <f>IF(AP67&lt;&gt;0,ROUND((AP67/$I67)*$H71,5),ROUND((AO$10/$I$83)*$H71*AO71,5))</f>
        <v>0</v>
      </c>
      <c r="AR71" s="113">
        <v>1</v>
      </c>
      <c r="AS71" s="128"/>
      <c r="AT71" s="109">
        <f>IF(AS67&lt;&gt;0,ROUND((AS67/$I67)*$H71,5),ROUND((AR$10/$I$83)*$H71*AR71,5))</f>
        <v>0</v>
      </c>
      <c r="AX71" s="93">
        <f t="shared" si="20"/>
        <v>0</v>
      </c>
      <c r="AY71" s="93">
        <f t="shared" si="21"/>
        <v>0</v>
      </c>
      <c r="AZ71" s="93">
        <f t="shared" si="22"/>
        <v>0</v>
      </c>
      <c r="BA71" s="93">
        <f t="shared" si="23"/>
        <v>0</v>
      </c>
      <c r="BB71" s="93">
        <f t="shared" si="24"/>
        <v>0</v>
      </c>
      <c r="BC71" s="93">
        <f t="shared" si="25"/>
        <v>0</v>
      </c>
      <c r="BD71" s="93">
        <f t="shared" si="26"/>
        <v>0</v>
      </c>
      <c r="BE71" s="93">
        <f t="shared" si="27"/>
        <v>0</v>
      </c>
      <c r="BF71" s="93">
        <f t="shared" si="28"/>
        <v>0</v>
      </c>
      <c r="BG71" s="94">
        <f t="shared" si="29"/>
        <v>0</v>
      </c>
      <c r="BH71" s="95"/>
    </row>
    <row r="72" spans="1:60" x14ac:dyDescent="0.35">
      <c r="A72" s="13">
        <f t="shared" ref="A72:A90" si="34">+A71+1</f>
        <v>66</v>
      </c>
      <c r="B72" s="96"/>
      <c r="C72" s="111" t="s">
        <v>93</v>
      </c>
      <c r="D72" s="78">
        <f>+'[13]Washington volumes'!J72</f>
        <v>0</v>
      </c>
      <c r="E72" s="79">
        <f>+'[13]Rates in detail'!D72</f>
        <v>0.26221000000000005</v>
      </c>
      <c r="F72" s="79">
        <f>+'[13]Rates in detail'!E72+'[13]Rates in detail'!F72+'[13]Rates in detail'!G72</f>
        <v>0</v>
      </c>
      <c r="G72" s="79">
        <f>+[13]Temporaries!D72</f>
        <v>0.24276999999999999</v>
      </c>
      <c r="H72" s="79">
        <f t="shared" si="17"/>
        <v>1.9440000000000068E-2</v>
      </c>
      <c r="I72" s="80"/>
      <c r="J72" s="81"/>
      <c r="K72" s="78"/>
      <c r="L72" s="82"/>
      <c r="M72" s="83"/>
      <c r="N72" s="84">
        <v>0</v>
      </c>
      <c r="O72" s="80"/>
      <c r="P72" s="85">
        <f>IF(O67&lt;&gt;0,ROUND((O67/$I67)*$H72,5),ROUND((N$10/$I$83)*$H72*N72,5))</f>
        <v>0</v>
      </c>
      <c r="Q72" s="84">
        <v>0</v>
      </c>
      <c r="R72" s="80"/>
      <c r="S72" s="85">
        <f>IF(R67&lt;&gt;0,ROUND((R67/$I67)*$H72,5),ROUND((Q$10/$I$83)*$H72*Q72,5))</f>
        <v>0</v>
      </c>
      <c r="T72" s="84">
        <v>0</v>
      </c>
      <c r="U72" s="80"/>
      <c r="V72" s="85">
        <f>IF(U67&lt;&gt;0,ROUND((U67/$I67)*$H72,5),ROUND((T$10/$I$83)*$H72*T72,5))</f>
        <v>0</v>
      </c>
      <c r="W72" s="84">
        <v>0</v>
      </c>
      <c r="X72" s="80"/>
      <c r="Y72" s="86">
        <f>IF(X67&lt;&gt;0,ROUND((X67/$I67)*$H72,5),ROUND((W$10/$I$83)*$H72*W72,5))</f>
        <v>0</v>
      </c>
      <c r="Z72" s="84">
        <v>0</v>
      </c>
      <c r="AA72" s="80"/>
      <c r="AB72" s="85">
        <f>IF(AA67&lt;&gt;0,ROUND((AA67/$I67)*$H72,5),ROUND((Z$10/$I$83)*$H72*Z72,5))</f>
        <v>0</v>
      </c>
      <c r="AC72" s="84">
        <v>1</v>
      </c>
      <c r="AD72" s="80"/>
      <c r="AE72" s="87">
        <f>IF(AD67&lt;&gt;0,ROUND((AD67/$I67)*$H72,5),ROUND((AC$10/$I$83)*$H72*AC72,5))</f>
        <v>0</v>
      </c>
      <c r="AF72" s="84">
        <v>1</v>
      </c>
      <c r="AG72" s="80"/>
      <c r="AH72" s="87">
        <v>2.9E-4</v>
      </c>
      <c r="AI72" s="84">
        <v>1</v>
      </c>
      <c r="AJ72" s="80"/>
      <c r="AK72" s="85">
        <v>7.5000000000000002E-4</v>
      </c>
      <c r="AL72" s="88">
        <v>0</v>
      </c>
      <c r="AM72" s="89"/>
      <c r="AN72" s="90">
        <f>IF(AM67&lt;&gt;0,ROUND((AM67/$I67)*$H72,5),ROUND((AL$10/$I$83)*$H72*AL72,5))</f>
        <v>0</v>
      </c>
      <c r="AO72" s="88">
        <v>1</v>
      </c>
      <c r="AP72" s="91"/>
      <c r="AQ72" s="90">
        <f>IF(AP67&lt;&gt;0,ROUND((AP67/$I67)*$H72,5),ROUND((AO$10/$I$83)*$H72*AO72,5))</f>
        <v>0</v>
      </c>
      <c r="AR72" s="88">
        <v>1</v>
      </c>
      <c r="AS72" s="91"/>
      <c r="AT72" s="90">
        <f>IF(AS67&lt;&gt;0,ROUND((AS67/$I67)*$H72,5),ROUND((AR$10/$I$83)*$H72*AR72,5))</f>
        <v>0</v>
      </c>
      <c r="AX72" s="93">
        <f t="shared" si="20"/>
        <v>0</v>
      </c>
      <c r="AY72" s="93">
        <f t="shared" si="21"/>
        <v>0</v>
      </c>
      <c r="AZ72" s="93">
        <f t="shared" si="22"/>
        <v>0</v>
      </c>
      <c r="BA72" s="93">
        <f t="shared" si="23"/>
        <v>0</v>
      </c>
      <c r="BB72" s="93">
        <f t="shared" si="24"/>
        <v>0</v>
      </c>
      <c r="BC72" s="93">
        <f t="shared" si="25"/>
        <v>0</v>
      </c>
      <c r="BD72" s="93">
        <f t="shared" si="26"/>
        <v>0</v>
      </c>
      <c r="BE72" s="93">
        <f t="shared" si="27"/>
        <v>0</v>
      </c>
      <c r="BF72" s="93">
        <f t="shared" si="28"/>
        <v>0</v>
      </c>
      <c r="BG72" s="94">
        <f t="shared" si="29"/>
        <v>0</v>
      </c>
      <c r="BH72" s="95"/>
    </row>
    <row r="73" spans="1:60" x14ac:dyDescent="0.35">
      <c r="A73" s="13">
        <f t="shared" si="34"/>
        <v>67</v>
      </c>
      <c r="B73" s="13" t="s">
        <v>100</v>
      </c>
      <c r="C73" s="97" t="s">
        <v>82</v>
      </c>
      <c r="D73" s="7">
        <f>+'[13]Washington volumes'!J73</f>
        <v>952237.06746634038</v>
      </c>
      <c r="E73" s="98">
        <f>+'[13]Rates in detail'!D73</f>
        <v>0.39346999999999999</v>
      </c>
      <c r="F73" s="98">
        <f>+'[13]Rates in detail'!E73+'[13]Rates in detail'!F73+'[13]Rates in detail'!G73</f>
        <v>0</v>
      </c>
      <c r="G73" s="98">
        <f>+[13]Temporaries!D73</f>
        <v>0.24917</v>
      </c>
      <c r="H73" s="98">
        <f t="shared" si="17"/>
        <v>0.14429999999999998</v>
      </c>
      <c r="I73" s="99">
        <f>ROUND((H73*D73)+(D74*H74)+(D75*H75)+(D76*H76)+(D77*H77)+(D78*H78),0)</f>
        <v>931613</v>
      </c>
      <c r="J73" s="112">
        <f>+'[13]Avg Bill by RS'!G86</f>
        <v>1550</v>
      </c>
      <c r="K73" s="7">
        <f>+'[13]Washington volumes'!L73</f>
        <v>10</v>
      </c>
      <c r="L73" s="100">
        <f>ROUND((J73*K73*12)+I73+I74+I75+I76+I77+I78,0)</f>
        <v>1117613</v>
      </c>
      <c r="M73" s="101"/>
      <c r="N73" s="102">
        <v>0</v>
      </c>
      <c r="O73" s="117">
        <f>ROUND(+$N$10*(($L73*N73)/N$83),0)</f>
        <v>0</v>
      </c>
      <c r="P73" s="118">
        <f>IF(O73&lt;&gt;0,ROUND((O73/$I73)*$H73,5),ROUND((N$10/$I$83)*$H73*N73,5))</f>
        <v>0</v>
      </c>
      <c r="Q73" s="102">
        <v>0</v>
      </c>
      <c r="R73" s="117">
        <f>ROUND(+$Q$10*(($L73*Q73)/Q$83),0)</f>
        <v>0</v>
      </c>
      <c r="S73" s="118">
        <f>IF(R73&lt;&gt;0,ROUND((R73/$I73)*$H73,5),ROUND((Q$10/$I$83)*$H73*Q73,5))</f>
        <v>0</v>
      </c>
      <c r="T73" s="102">
        <v>0</v>
      </c>
      <c r="U73" s="117">
        <f>ROUND(+$T$10*(($L73*T73)/T$83),0)</f>
        <v>0</v>
      </c>
      <c r="V73" s="118">
        <f>IF(U73&lt;&gt;0,ROUND((U73/$I73)*$H73,5),ROUND((T$10/$I$83)*$H73*T73,5))</f>
        <v>0</v>
      </c>
      <c r="W73" s="102">
        <v>0</v>
      </c>
      <c r="X73" s="117">
        <f>ROUND(+$W$10*(($L73*W73)/W$83),0)</f>
        <v>0</v>
      </c>
      <c r="Y73" s="119">
        <f>IF(X73&lt;&gt;0,ROUND((X73/$I73)*$H73,5),ROUND((W$10/$I$83)*$H73*W73,5))</f>
        <v>0</v>
      </c>
      <c r="Z73" s="102">
        <v>0</v>
      </c>
      <c r="AA73" s="117">
        <f>ROUND(+$Z$10*(($L73*Z73)/Z$83),0)</f>
        <v>0</v>
      </c>
      <c r="AB73" s="118">
        <f>IF(AA73&lt;&gt;0,ROUND((AA73/$I73)*$H73,5),ROUND((Z$10/$I$83)*$H73*Z73,5))</f>
        <v>0</v>
      </c>
      <c r="AC73" s="102">
        <v>1</v>
      </c>
      <c r="AD73" s="117">
        <f>ROUND(+$AC$10*(($L73*AC73)/AC$83),0)</f>
        <v>-173</v>
      </c>
      <c r="AE73" s="120">
        <f>IF(AD73&lt;&gt;0,ROUND((AD73/$I73)*$H73,5),ROUND((AC$10/$I$83)*$H73*AC73,5))</f>
        <v>-3.0000000000000001E-5</v>
      </c>
      <c r="AF73" s="102">
        <v>1</v>
      </c>
      <c r="AG73" s="117">
        <v>13604</v>
      </c>
      <c r="AH73" s="120">
        <v>2.1099999999999999E-3</v>
      </c>
      <c r="AI73" s="102">
        <v>1</v>
      </c>
      <c r="AJ73" s="117">
        <v>34037</v>
      </c>
      <c r="AK73" s="118">
        <v>5.4599999999999996E-3</v>
      </c>
      <c r="AL73" s="113">
        <v>0</v>
      </c>
      <c r="AM73" s="121">
        <f>ROUND(+$AL$10*(($L73*AL73)/AL$83),0)</f>
        <v>0</v>
      </c>
      <c r="AN73" s="109">
        <f>IF(AM73&lt;&gt;0,ROUND((AM73/$I73)*$H73,5),ROUND((AL$10/$I$83)*$H73*AL73,5))</f>
        <v>0</v>
      </c>
      <c r="AO73" s="113">
        <v>1</v>
      </c>
      <c r="AP73" s="122">
        <f>ROUND(+$AO$10*(($L73*AO73)/AO$83),0)</f>
        <v>0</v>
      </c>
      <c r="AQ73" s="109">
        <f>IF(AP73&lt;&gt;0,ROUND((AP73/$I73)*$H73,5),ROUND((AO$10/$I$83)*$H73*AO73,5))</f>
        <v>0</v>
      </c>
      <c r="AR73" s="113">
        <v>1</v>
      </c>
      <c r="AS73" s="122">
        <f>ROUND(+$AR$10*(($L73*AR73)/AR$83),0)</f>
        <v>0</v>
      </c>
      <c r="AT73" s="109">
        <f>IF(AS73&lt;&gt;0,ROUND((AS73/$I73)*$H73,5),ROUND((AR$10/$I$83)*$H73*AR73,5))</f>
        <v>0</v>
      </c>
      <c r="AX73" s="93">
        <f t="shared" si="20"/>
        <v>0</v>
      </c>
      <c r="AY73" s="93">
        <f t="shared" si="21"/>
        <v>0</v>
      </c>
      <c r="AZ73" s="93">
        <f t="shared" si="22"/>
        <v>0</v>
      </c>
      <c r="BA73" s="93">
        <f t="shared" si="23"/>
        <v>0</v>
      </c>
      <c r="BB73" s="93">
        <f t="shared" si="24"/>
        <v>0</v>
      </c>
      <c r="BC73" s="93">
        <f t="shared" si="25"/>
        <v>-28.567112023990212</v>
      </c>
      <c r="BD73" s="93">
        <f t="shared" si="26"/>
        <v>2009.220212353978</v>
      </c>
      <c r="BE73" s="93">
        <f t="shared" si="27"/>
        <v>5199.2143883662184</v>
      </c>
      <c r="BF73" s="93">
        <f t="shared" si="28"/>
        <v>0</v>
      </c>
      <c r="BG73" s="94">
        <f t="shared" si="29"/>
        <v>7179.8674886962062</v>
      </c>
      <c r="BH73" s="95"/>
    </row>
    <row r="74" spans="1:60" x14ac:dyDescent="0.35">
      <c r="A74" s="13">
        <f t="shared" si="34"/>
        <v>68</v>
      </c>
      <c r="B74" s="13"/>
      <c r="C74" s="97" t="s">
        <v>83</v>
      </c>
      <c r="D74" s="7">
        <f>+'[13]Washington volumes'!J74</f>
        <v>1827774.6796347289</v>
      </c>
      <c r="E74" s="98">
        <f>+'[13]Rates in detail'!D74</f>
        <v>0.37758000000000003</v>
      </c>
      <c r="F74" s="98">
        <f>+'[13]Rates in detail'!E74+'[13]Rates in detail'!F74+'[13]Rates in detail'!G74</f>
        <v>0</v>
      </c>
      <c r="G74" s="98">
        <f>+[13]Temporaries!D74</f>
        <v>0.24840999999999999</v>
      </c>
      <c r="H74" s="98">
        <f t="shared" si="17"/>
        <v>0.12917000000000003</v>
      </c>
      <c r="I74" s="99"/>
      <c r="J74" s="112"/>
      <c r="K74" s="7"/>
      <c r="L74" s="123"/>
      <c r="M74" s="101"/>
      <c r="N74" s="102">
        <v>0</v>
      </c>
      <c r="O74" s="99"/>
      <c r="P74" s="124">
        <f>IF(O73&lt;&gt;0,ROUND((O73/$I73)*$H74,5),ROUND((N$10/$I$83)*$H74*N74,5))</f>
        <v>0</v>
      </c>
      <c r="Q74" s="102">
        <v>0</v>
      </c>
      <c r="R74" s="99"/>
      <c r="S74" s="124">
        <f>IF(R73&lt;&gt;0,ROUND((R73/$I73)*$H74,5),ROUND((Q$10/$I$83)*$H74*Q74,5))</f>
        <v>0</v>
      </c>
      <c r="T74" s="102">
        <v>0</v>
      </c>
      <c r="U74" s="99"/>
      <c r="V74" s="124">
        <f>IF(U73&lt;&gt;0,ROUND((U73/$I73)*$H74,5),ROUND((T$10/$I$83)*$H74*T74,5))</f>
        <v>0</v>
      </c>
      <c r="W74" s="102">
        <v>0</v>
      </c>
      <c r="X74" s="99"/>
      <c r="Y74" s="125">
        <f>IF(X73&lt;&gt;0,ROUND((X73/$I73)*$H74,5),ROUND((W$10/$I$83)*$H74*W74,5))</f>
        <v>0</v>
      </c>
      <c r="Z74" s="102">
        <v>0</v>
      </c>
      <c r="AA74" s="99"/>
      <c r="AB74" s="124">
        <f>IF(AA73&lt;&gt;0,ROUND((AA73/$I73)*$H74,5),ROUND((Z$10/$I$83)*$H74*Z74,5))</f>
        <v>0</v>
      </c>
      <c r="AC74" s="102">
        <v>1</v>
      </c>
      <c r="AD74" s="99"/>
      <c r="AE74" s="126">
        <f>IF(AD73&lt;&gt;0,ROUND((AD73/$I73)*$H74,5),ROUND((AC$10/$I$83)*$H74*AC74,5))</f>
        <v>-2.0000000000000002E-5</v>
      </c>
      <c r="AF74" s="102">
        <v>1</v>
      </c>
      <c r="AG74" s="99"/>
      <c r="AH74" s="126">
        <v>1.89E-3</v>
      </c>
      <c r="AI74" s="102">
        <v>1</v>
      </c>
      <c r="AJ74" s="99"/>
      <c r="AK74" s="124">
        <v>4.8900000000000002E-3</v>
      </c>
      <c r="AL74" s="113">
        <v>0</v>
      </c>
      <c r="AM74" s="127"/>
      <c r="AN74" s="109">
        <f>IF(AM73&lt;&gt;0,ROUND((AM73/$I73)*$H74,5),ROUND((AL$10/$I$83)*$H74*AL74,5))</f>
        <v>0</v>
      </c>
      <c r="AO74" s="113">
        <v>1</v>
      </c>
      <c r="AP74" s="128"/>
      <c r="AQ74" s="109">
        <f>IF(AP73&lt;&gt;0,ROUND((AP73/$I73)*$H74,5),ROUND((AO$10/$I$83)*$H74*AO74,5))</f>
        <v>0</v>
      </c>
      <c r="AR74" s="113">
        <v>1</v>
      </c>
      <c r="AS74" s="128"/>
      <c r="AT74" s="109">
        <f>IF(AS73&lt;&gt;0,ROUND((AS73/$I73)*$H74,5),ROUND((AR$10/$I$83)*$H74*AR74,5))</f>
        <v>0</v>
      </c>
      <c r="AX74" s="93">
        <f t="shared" si="20"/>
        <v>0</v>
      </c>
      <c r="AY74" s="93">
        <f t="shared" si="21"/>
        <v>0</v>
      </c>
      <c r="AZ74" s="93">
        <f t="shared" si="22"/>
        <v>0</v>
      </c>
      <c r="BA74" s="93">
        <f t="shared" si="23"/>
        <v>0</v>
      </c>
      <c r="BB74" s="93">
        <f t="shared" si="24"/>
        <v>0</v>
      </c>
      <c r="BC74" s="93">
        <f t="shared" si="25"/>
        <v>-36.555493592694582</v>
      </c>
      <c r="BD74" s="93">
        <f t="shared" si="26"/>
        <v>3454.4941445096374</v>
      </c>
      <c r="BE74" s="93">
        <f t="shared" si="27"/>
        <v>8937.818183413825</v>
      </c>
      <c r="BF74" s="93">
        <f t="shared" si="28"/>
        <v>0</v>
      </c>
      <c r="BG74" s="94">
        <f t="shared" si="29"/>
        <v>12355.756834330768</v>
      </c>
      <c r="BH74" s="95"/>
    </row>
    <row r="75" spans="1:60" x14ac:dyDescent="0.35">
      <c r="A75" s="13">
        <f t="shared" si="34"/>
        <v>69</v>
      </c>
      <c r="B75" s="13"/>
      <c r="C75" s="97" t="s">
        <v>90</v>
      </c>
      <c r="D75" s="7">
        <f>+'[13]Washington volumes'!J75</f>
        <v>1364375.8495009863</v>
      </c>
      <c r="E75" s="98">
        <f>+'[13]Rates in detail'!D75</f>
        <v>0.34592000000000001</v>
      </c>
      <c r="F75" s="98">
        <f>+'[13]Rates in detail'!E75+'[13]Rates in detail'!F75+'[13]Rates in detail'!G75</f>
        <v>0</v>
      </c>
      <c r="G75" s="98">
        <f>+[13]Temporaries!D75</f>
        <v>0.24687000000000001</v>
      </c>
      <c r="H75" s="98">
        <f t="shared" si="17"/>
        <v>9.9049999999999999E-2</v>
      </c>
      <c r="I75" s="99"/>
      <c r="J75" s="112"/>
      <c r="K75" s="7"/>
      <c r="L75" s="123"/>
      <c r="M75" s="101"/>
      <c r="N75" s="102">
        <v>0</v>
      </c>
      <c r="O75" s="99"/>
      <c r="P75" s="124">
        <f>IF(O73&lt;&gt;0,ROUND((O73/$I73)*$H75,5),ROUND((N$10/$I$83)*$H75*N75,5))</f>
        <v>0</v>
      </c>
      <c r="Q75" s="102">
        <v>0</v>
      </c>
      <c r="R75" s="99"/>
      <c r="S75" s="124">
        <f>IF(R73&lt;&gt;0,ROUND((R73/$I73)*$H75,5),ROUND((Q$10/$I$83)*$H75*Q75,5))</f>
        <v>0</v>
      </c>
      <c r="T75" s="102">
        <v>0</v>
      </c>
      <c r="U75" s="99"/>
      <c r="V75" s="124">
        <f>IF(U73&lt;&gt;0,ROUND((U73/$I73)*$H75,5),ROUND((T$10/$I$83)*$H75*T75,5))</f>
        <v>0</v>
      </c>
      <c r="W75" s="102">
        <v>0</v>
      </c>
      <c r="X75" s="99"/>
      <c r="Y75" s="125">
        <f>IF(X73&lt;&gt;0,ROUND((X73/$I73)*$H75,5),ROUND((W$10/$I$83)*$H75*W75,5))</f>
        <v>0</v>
      </c>
      <c r="Z75" s="102">
        <v>0</v>
      </c>
      <c r="AA75" s="99"/>
      <c r="AB75" s="124">
        <f>IF(AA73&lt;&gt;0,ROUND((AA73/$I73)*$H75,5),ROUND((Z$10/$I$83)*$H75*Z75,5))</f>
        <v>0</v>
      </c>
      <c r="AC75" s="102">
        <v>1</v>
      </c>
      <c r="AD75" s="99"/>
      <c r="AE75" s="126">
        <f>IF(AD73&lt;&gt;0,ROUND((AD73/$I73)*$H75,5),ROUND((AC$10/$I$83)*$H75*AC75,5))</f>
        <v>-2.0000000000000002E-5</v>
      </c>
      <c r="AF75" s="102">
        <v>1</v>
      </c>
      <c r="AG75" s="99"/>
      <c r="AH75" s="126">
        <v>1.4499999999999999E-3</v>
      </c>
      <c r="AI75" s="102">
        <v>1</v>
      </c>
      <c r="AJ75" s="99"/>
      <c r="AK75" s="124">
        <v>3.7499999999999999E-3</v>
      </c>
      <c r="AL75" s="113">
        <v>0</v>
      </c>
      <c r="AM75" s="127"/>
      <c r="AN75" s="109">
        <f>IF(AM73&lt;&gt;0,ROUND((AM73/$I73)*$H75,5),ROUND((AL$10/$I$83)*$H75*AL75,5))</f>
        <v>0</v>
      </c>
      <c r="AO75" s="113">
        <v>1</v>
      </c>
      <c r="AP75" s="128"/>
      <c r="AQ75" s="109">
        <f>IF(AP73&lt;&gt;0,ROUND((AP73/$I73)*$H75,5),ROUND((AO$10/$I$83)*$H75*AO75,5))</f>
        <v>0</v>
      </c>
      <c r="AR75" s="113">
        <v>1</v>
      </c>
      <c r="AS75" s="128"/>
      <c r="AT75" s="109">
        <f>IF(AS73&lt;&gt;0,ROUND((AS73/$I73)*$H75,5),ROUND((AR$10/$I$83)*$H75*AR75,5))</f>
        <v>0</v>
      </c>
      <c r="AX75" s="93">
        <f t="shared" si="20"/>
        <v>0</v>
      </c>
      <c r="AY75" s="93">
        <f t="shared" si="21"/>
        <v>0</v>
      </c>
      <c r="AZ75" s="93">
        <f t="shared" si="22"/>
        <v>0</v>
      </c>
      <c r="BA75" s="93">
        <f t="shared" si="23"/>
        <v>0</v>
      </c>
      <c r="BB75" s="93">
        <f t="shared" si="24"/>
        <v>0</v>
      </c>
      <c r="BC75" s="93">
        <f t="shared" si="25"/>
        <v>-27.287516990019729</v>
      </c>
      <c r="BD75" s="93">
        <f t="shared" si="26"/>
        <v>1978.3449817764299</v>
      </c>
      <c r="BE75" s="93">
        <f t="shared" si="27"/>
        <v>5116.4094356286987</v>
      </c>
      <c r="BF75" s="93">
        <f t="shared" si="28"/>
        <v>0</v>
      </c>
      <c r="BG75" s="94">
        <f t="shared" si="29"/>
        <v>7067.4669004151092</v>
      </c>
      <c r="BH75" s="95"/>
    </row>
    <row r="76" spans="1:60" x14ac:dyDescent="0.35">
      <c r="A76" s="13">
        <f t="shared" si="34"/>
        <v>70</v>
      </c>
      <c r="B76" s="13"/>
      <c r="C76" s="97" t="s">
        <v>91</v>
      </c>
      <c r="D76" s="7">
        <f>+'[13]Washington volumes'!J76</f>
        <v>4116253.0789308902</v>
      </c>
      <c r="E76" s="98">
        <f>+'[13]Rates in detail'!D76</f>
        <v>0.32511000000000001</v>
      </c>
      <c r="F76" s="98">
        <f>+'[13]Rates in detail'!E76+'[13]Rates in detail'!F76+'[13]Rates in detail'!G76</f>
        <v>0</v>
      </c>
      <c r="G76" s="98">
        <f>+[13]Temporaries!D76</f>
        <v>0.24586</v>
      </c>
      <c r="H76" s="98">
        <f t="shared" si="17"/>
        <v>7.9250000000000015E-2</v>
      </c>
      <c r="I76" s="99"/>
      <c r="J76" s="112"/>
      <c r="K76" s="7"/>
      <c r="L76" s="123"/>
      <c r="M76" s="101"/>
      <c r="N76" s="102">
        <v>0</v>
      </c>
      <c r="O76" s="99"/>
      <c r="P76" s="124">
        <f>IF(O73&lt;&gt;0,ROUND((O73/$I73)*$H76,5),ROUND((N$10/$I$83)*$H76*N76,5))</f>
        <v>0</v>
      </c>
      <c r="Q76" s="102">
        <v>0</v>
      </c>
      <c r="R76" s="99"/>
      <c r="S76" s="124">
        <f>IF(R73&lt;&gt;0,ROUND((R73/$I73)*$H76,5),ROUND((Q$10/$I$83)*$H76*Q76,5))</f>
        <v>0</v>
      </c>
      <c r="T76" s="102">
        <v>0</v>
      </c>
      <c r="U76" s="99"/>
      <c r="V76" s="124">
        <f>IF(U73&lt;&gt;0,ROUND((U73/$I73)*$H76,5),ROUND((T$10/$I$83)*$H76*T76,5))</f>
        <v>0</v>
      </c>
      <c r="W76" s="102">
        <v>0</v>
      </c>
      <c r="X76" s="99"/>
      <c r="Y76" s="125">
        <f>IF(X73&lt;&gt;0,ROUND((X73/$I73)*$H76,5),ROUND((W$10/$I$83)*$H76*W76,5))</f>
        <v>0</v>
      </c>
      <c r="Z76" s="102">
        <v>0</v>
      </c>
      <c r="AA76" s="99"/>
      <c r="AB76" s="124">
        <f>IF(AA73&lt;&gt;0,ROUND((AA73/$I73)*$H76,5),ROUND((Z$10/$I$83)*$H76*Z76,5))</f>
        <v>0</v>
      </c>
      <c r="AC76" s="102">
        <v>1</v>
      </c>
      <c r="AD76" s="99"/>
      <c r="AE76" s="126">
        <f>IF(AD73&lt;&gt;0,ROUND((AD73/$I73)*$H76,5),ROUND((AC$10/$I$83)*$H76*AC76,5))</f>
        <v>-1.0000000000000001E-5</v>
      </c>
      <c r="AF76" s="102">
        <v>1</v>
      </c>
      <c r="AG76" s="99"/>
      <c r="AH76" s="126">
        <v>1.16E-3</v>
      </c>
      <c r="AI76" s="102">
        <v>1</v>
      </c>
      <c r="AJ76" s="99"/>
      <c r="AK76" s="124">
        <v>3.0000000000000001E-3</v>
      </c>
      <c r="AL76" s="113">
        <v>0</v>
      </c>
      <c r="AM76" s="127"/>
      <c r="AN76" s="109">
        <f>IF(AM73&lt;&gt;0,ROUND((AM73/$I73)*$H76,5),ROUND((AL$10/$I$83)*$H76*AL76,5))</f>
        <v>0</v>
      </c>
      <c r="AO76" s="113">
        <v>1</v>
      </c>
      <c r="AP76" s="128"/>
      <c r="AQ76" s="109">
        <f>IF(AP73&lt;&gt;0,ROUND((AP73/$I73)*$H76,5),ROUND((AO$10/$I$83)*$H76*AO76,5))</f>
        <v>0</v>
      </c>
      <c r="AR76" s="113">
        <v>1</v>
      </c>
      <c r="AS76" s="128"/>
      <c r="AT76" s="109">
        <f>IF(AS73&lt;&gt;0,ROUND((AS73/$I73)*$H76,5),ROUND((AR$10/$I$83)*$H76*AR76,5))</f>
        <v>0</v>
      </c>
      <c r="AX76" s="93">
        <f t="shared" si="20"/>
        <v>0</v>
      </c>
      <c r="AY76" s="93">
        <f t="shared" si="21"/>
        <v>0</v>
      </c>
      <c r="AZ76" s="93">
        <f t="shared" si="22"/>
        <v>0</v>
      </c>
      <c r="BA76" s="93">
        <f t="shared" si="23"/>
        <v>0</v>
      </c>
      <c r="BB76" s="93">
        <f t="shared" si="24"/>
        <v>0</v>
      </c>
      <c r="BC76" s="93">
        <f t="shared" si="25"/>
        <v>-41.162530789308903</v>
      </c>
      <c r="BD76" s="93">
        <f t="shared" si="26"/>
        <v>4774.8535715598327</v>
      </c>
      <c r="BE76" s="93">
        <f t="shared" si="27"/>
        <v>12348.75923679267</v>
      </c>
      <c r="BF76" s="93">
        <f t="shared" si="28"/>
        <v>0</v>
      </c>
      <c r="BG76" s="94">
        <f t="shared" si="29"/>
        <v>17082.450277563192</v>
      </c>
      <c r="BH76" s="95"/>
    </row>
    <row r="77" spans="1:60" x14ac:dyDescent="0.35">
      <c r="A77" s="13">
        <f t="shared" si="34"/>
        <v>71</v>
      </c>
      <c r="B77" s="13"/>
      <c r="C77" s="97" t="s">
        <v>92</v>
      </c>
      <c r="D77" s="7">
        <f>+'[13]Washington volumes'!J77</f>
        <v>1831129.0067156893</v>
      </c>
      <c r="E77" s="98">
        <f>+'[13]Rates in detail'!D77</f>
        <v>0.29735999999999996</v>
      </c>
      <c r="F77" s="98">
        <f>+'[13]Rates in detail'!E77+'[13]Rates in detail'!F77+'[13]Rates in detail'!G77</f>
        <v>0</v>
      </c>
      <c r="G77" s="98">
        <f>+[13]Temporaries!D77</f>
        <v>0.24451999999999999</v>
      </c>
      <c r="H77" s="98">
        <f t="shared" si="17"/>
        <v>5.283999999999997E-2</v>
      </c>
      <c r="I77" s="99"/>
      <c r="J77" s="112"/>
      <c r="K77" s="7"/>
      <c r="L77" s="123"/>
      <c r="M77" s="101"/>
      <c r="N77" s="102">
        <v>0</v>
      </c>
      <c r="O77" s="99"/>
      <c r="P77" s="124">
        <f>IF(O73&lt;&gt;0,ROUND((O73/$I73)*$H77,5),ROUND((N$10/$I$83)*$H77*N77,5))</f>
        <v>0</v>
      </c>
      <c r="Q77" s="102">
        <v>0</v>
      </c>
      <c r="R77" s="99"/>
      <c r="S77" s="124">
        <f>IF(R73&lt;&gt;0,ROUND((R73/$I73)*$H77,5),ROUND((Q$10/$I$83)*$H77*Q77,5))</f>
        <v>0</v>
      </c>
      <c r="T77" s="102">
        <v>0</v>
      </c>
      <c r="U77" s="99"/>
      <c r="V77" s="124">
        <f>IF(U73&lt;&gt;0,ROUND((U73/$I73)*$H77,5),ROUND((T$10/$I$83)*$H77*T77,5))</f>
        <v>0</v>
      </c>
      <c r="W77" s="102">
        <v>0</v>
      </c>
      <c r="X77" s="99"/>
      <c r="Y77" s="125">
        <f>IF(X73&lt;&gt;0,ROUND((X73/$I73)*$H77,5),ROUND((W$10/$I$83)*$H77*W77,5))</f>
        <v>0</v>
      </c>
      <c r="Z77" s="102">
        <v>0</v>
      </c>
      <c r="AA77" s="99"/>
      <c r="AB77" s="124">
        <f>IF(AA73&lt;&gt;0,ROUND((AA73/$I73)*$H77,5),ROUND((Z$10/$I$83)*$H77*Z77,5))</f>
        <v>0</v>
      </c>
      <c r="AC77" s="102">
        <v>1</v>
      </c>
      <c r="AD77" s="99"/>
      <c r="AE77" s="126">
        <f>IF(AD73&lt;&gt;0,ROUND((AD73/$I73)*$H77,5),ROUND((AC$10/$I$83)*$H77*AC77,5))</f>
        <v>-1.0000000000000001E-5</v>
      </c>
      <c r="AF77" s="102">
        <v>1</v>
      </c>
      <c r="AG77" s="99"/>
      <c r="AH77" s="126">
        <v>7.6999999999999996E-4</v>
      </c>
      <c r="AI77" s="102">
        <v>1</v>
      </c>
      <c r="AJ77" s="99"/>
      <c r="AK77" s="124">
        <v>2E-3</v>
      </c>
      <c r="AL77" s="113">
        <v>0</v>
      </c>
      <c r="AM77" s="127"/>
      <c r="AN77" s="109">
        <f>IF(AM73&lt;&gt;0,ROUND((AM73/$I73)*$H77,5),ROUND((AL$10/$I$83)*$H77*AL77,5))</f>
        <v>0</v>
      </c>
      <c r="AO77" s="113">
        <v>1</v>
      </c>
      <c r="AP77" s="128"/>
      <c r="AQ77" s="109">
        <f>IF(AP73&lt;&gt;0,ROUND((AP73/$I73)*$H77,5),ROUND((AO$10/$I$83)*$H77*AO77,5))</f>
        <v>0</v>
      </c>
      <c r="AR77" s="113">
        <v>1</v>
      </c>
      <c r="AS77" s="128"/>
      <c r="AT77" s="109">
        <f>IF(AS73&lt;&gt;0,ROUND((AS73/$I73)*$H77,5),ROUND((AR$10/$I$83)*$H77*AR77,5))</f>
        <v>0</v>
      </c>
      <c r="AX77" s="93">
        <f t="shared" si="20"/>
        <v>0</v>
      </c>
      <c r="AY77" s="93">
        <f t="shared" si="21"/>
        <v>0</v>
      </c>
      <c r="AZ77" s="93">
        <f t="shared" si="22"/>
        <v>0</v>
      </c>
      <c r="BA77" s="93">
        <f t="shared" si="23"/>
        <v>0</v>
      </c>
      <c r="BB77" s="93">
        <f t="shared" si="24"/>
        <v>0</v>
      </c>
      <c r="BC77" s="93">
        <f t="shared" si="25"/>
        <v>-18.311290067156893</v>
      </c>
      <c r="BD77" s="93">
        <f t="shared" si="26"/>
        <v>1409.9693351710807</v>
      </c>
      <c r="BE77" s="93">
        <f t="shared" si="27"/>
        <v>3662.2580134313789</v>
      </c>
      <c r="BF77" s="93">
        <f t="shared" si="28"/>
        <v>0</v>
      </c>
      <c r="BG77" s="94">
        <f t="shared" si="29"/>
        <v>5053.9160585353029</v>
      </c>
      <c r="BH77" s="95"/>
    </row>
    <row r="78" spans="1:60" x14ac:dyDescent="0.35">
      <c r="A78" s="13">
        <f t="shared" si="34"/>
        <v>72</v>
      </c>
      <c r="B78" s="96"/>
      <c r="C78" s="111" t="s">
        <v>93</v>
      </c>
      <c r="D78" s="78">
        <f>+'[13]Washington volumes'!J78</f>
        <v>0</v>
      </c>
      <c r="E78" s="79">
        <f>+'[13]Rates in detail'!D78</f>
        <v>0.26266000000000006</v>
      </c>
      <c r="F78" s="79">
        <f>+'[13]Rates in detail'!E78+'[13]Rates in detail'!F78+'[13]Rates in detail'!G78</f>
        <v>0</v>
      </c>
      <c r="G78" s="79">
        <f>+[13]Temporaries!D78</f>
        <v>0.24285000000000001</v>
      </c>
      <c r="H78" s="79">
        <f t="shared" si="17"/>
        <v>1.981000000000005E-2</v>
      </c>
      <c r="I78" s="80"/>
      <c r="J78" s="81"/>
      <c r="K78" s="78"/>
      <c r="L78" s="82"/>
      <c r="M78" s="83"/>
      <c r="N78" s="84">
        <v>0</v>
      </c>
      <c r="O78" s="80"/>
      <c r="P78" s="85">
        <f>IF(O73&lt;&gt;0,ROUND((O73/$I73)*$H78,5),ROUND((N$10/$I$83)*$H78*N78,5))</f>
        <v>0</v>
      </c>
      <c r="Q78" s="84">
        <v>0</v>
      </c>
      <c r="R78" s="80"/>
      <c r="S78" s="85">
        <f>IF(R73&lt;&gt;0,ROUND((R73/$I73)*$H78,5),ROUND((Q$10/$I$83)*$H78*Q78,5))</f>
        <v>0</v>
      </c>
      <c r="T78" s="84">
        <v>0</v>
      </c>
      <c r="U78" s="80"/>
      <c r="V78" s="85">
        <f>IF(U73&lt;&gt;0,ROUND((U73/$I73)*$H78,5),ROUND((T$10/$I$83)*$H78*T78,5))</f>
        <v>0</v>
      </c>
      <c r="W78" s="84">
        <v>0</v>
      </c>
      <c r="X78" s="80"/>
      <c r="Y78" s="86">
        <f>IF(X73&lt;&gt;0,ROUND((X73/$I73)*$H78,5),ROUND((W$10/$I$83)*$H78*W78,5))</f>
        <v>0</v>
      </c>
      <c r="Z78" s="84">
        <v>0</v>
      </c>
      <c r="AA78" s="80"/>
      <c r="AB78" s="85">
        <f>IF(AA73&lt;&gt;0,ROUND((AA73/$I73)*$H78,5),ROUND((Z$10/$I$83)*$H78*Z78,5))</f>
        <v>0</v>
      </c>
      <c r="AC78" s="84">
        <v>1</v>
      </c>
      <c r="AD78" s="80"/>
      <c r="AE78" s="87">
        <f>IF(AD73&lt;&gt;0,ROUND((AD73/$I73)*$H78,5),ROUND((AC$10/$I$83)*$H78*AC78,5))</f>
        <v>0</v>
      </c>
      <c r="AF78" s="84">
        <v>1</v>
      </c>
      <c r="AG78" s="80"/>
      <c r="AH78" s="87">
        <v>2.9E-4</v>
      </c>
      <c r="AI78" s="84">
        <v>1</v>
      </c>
      <c r="AJ78" s="80"/>
      <c r="AK78" s="85">
        <v>7.5000000000000002E-4</v>
      </c>
      <c r="AL78" s="88">
        <v>0</v>
      </c>
      <c r="AM78" s="89"/>
      <c r="AN78" s="90">
        <f>IF(AM73&lt;&gt;0,ROUND((AM73/$I73)*$H78,5),ROUND((AL$10/$I$83)*$H78*AL78,5))</f>
        <v>0</v>
      </c>
      <c r="AO78" s="88">
        <v>1</v>
      </c>
      <c r="AP78" s="91"/>
      <c r="AQ78" s="90">
        <f>IF(AP73&lt;&gt;0,ROUND((AP73/$I73)*$H78,5),ROUND((AO$10/$I$83)*$H78*AO78,5))</f>
        <v>0</v>
      </c>
      <c r="AR78" s="88">
        <v>1</v>
      </c>
      <c r="AS78" s="91"/>
      <c r="AT78" s="90">
        <f>IF(AS73&lt;&gt;0,ROUND((AS73/$I73)*$H78,5),ROUND((AR$10/$I$83)*$H78*AR78,5))</f>
        <v>0</v>
      </c>
      <c r="AX78" s="93">
        <f t="shared" si="20"/>
        <v>0</v>
      </c>
      <c r="AY78" s="93">
        <f t="shared" si="21"/>
        <v>0</v>
      </c>
      <c r="AZ78" s="93">
        <f t="shared" si="22"/>
        <v>0</v>
      </c>
      <c r="BA78" s="93">
        <f t="shared" si="23"/>
        <v>0</v>
      </c>
      <c r="BB78" s="93">
        <f t="shared" si="24"/>
        <v>0</v>
      </c>
      <c r="BC78" s="93">
        <f t="shared" ref="BC78:BC81" si="35">AE78*D78</f>
        <v>0</v>
      </c>
      <c r="BD78" s="93">
        <f t="shared" si="26"/>
        <v>0</v>
      </c>
      <c r="BE78" s="93">
        <f t="shared" ref="BE78:BE81" si="36">AK78*D78</f>
        <v>0</v>
      </c>
      <c r="BF78" s="93">
        <f t="shared" ref="BF78:BF81" si="37">AN78*D78</f>
        <v>0</v>
      </c>
      <c r="BG78" s="94">
        <f t="shared" ref="BG78:BG81" si="38">SUM(AX78:BE78)</f>
        <v>0</v>
      </c>
      <c r="BH78" s="95"/>
    </row>
    <row r="79" spans="1:60" x14ac:dyDescent="0.35">
      <c r="A79" s="13">
        <f t="shared" si="34"/>
        <v>73</v>
      </c>
      <c r="B79" s="96" t="s">
        <v>101</v>
      </c>
      <c r="C79" s="96"/>
      <c r="D79" s="78">
        <f>+'[13]Washington volumes'!J79</f>
        <v>0</v>
      </c>
      <c r="E79" s="129">
        <f>+'[13]Rates in detail'!D79</f>
        <v>0.24684999999999996</v>
      </c>
      <c r="F79" s="129">
        <f>+'[13]Rates in detail'!E79+'[13]Rates in detail'!F79+'[13]Rates in detail'!G79</f>
        <v>0</v>
      </c>
      <c r="G79" s="129">
        <f>+[13]Temporaries!D79</f>
        <v>0.24193999999999999</v>
      </c>
      <c r="H79" s="129">
        <f t="shared" si="17"/>
        <v>4.9099999999999699E-3</v>
      </c>
      <c r="I79" s="130">
        <f t="shared" si="31"/>
        <v>0</v>
      </c>
      <c r="J79" s="131">
        <f>+'[13]Avg Bill by RS'!G93</f>
        <v>38000</v>
      </c>
      <c r="K79" s="78">
        <f>+'[13]Washington volumes'!L79</f>
        <v>0</v>
      </c>
      <c r="L79" s="82">
        <f>ROUND(I79+(J79*K79*12),0)</f>
        <v>0</v>
      </c>
      <c r="M79" s="132"/>
      <c r="N79" s="84">
        <v>0</v>
      </c>
      <c r="O79" s="80">
        <f>ROUND(+$N$10*(($L79*N79)/N$83),0)</f>
        <v>0</v>
      </c>
      <c r="P79" s="85">
        <f>IF(O79&lt;&gt;0,ROUND((O79/$I79)*$H79,5),ROUND((N$10/$I$83)*$H79*N79,5))</f>
        <v>0</v>
      </c>
      <c r="Q79" s="84">
        <v>0</v>
      </c>
      <c r="R79" s="80">
        <f>ROUND(+$Q$10*(($L79*Q79)/Q$83),0)</f>
        <v>0</v>
      </c>
      <c r="S79" s="85">
        <f>IF(R79&lt;&gt;0,ROUND((R79/$I79)*$H79,5),ROUND((Q$10/$I$83)*$H79*Q79,5))</f>
        <v>0</v>
      </c>
      <c r="T79" s="84">
        <v>0</v>
      </c>
      <c r="U79" s="80">
        <f>ROUND(+$T$10*(($L79*T79)/T$83),0)</f>
        <v>0</v>
      </c>
      <c r="V79" s="85">
        <f>IF(U79&lt;&gt;0,ROUND((U79/$I79)*$H79,5),ROUND((T$10/$I$83)*$H79*T79,5))</f>
        <v>0</v>
      </c>
      <c r="W79" s="84">
        <v>0</v>
      </c>
      <c r="X79" s="80">
        <f>ROUND(+$W$10*(($L79*W79)/W$83),0)</f>
        <v>0</v>
      </c>
      <c r="Y79" s="86">
        <f>IF(X79&lt;&gt;0,ROUND((X79/$I79)*$H79,5),ROUND((W$10/$I$83)*$H79*W79,5))</f>
        <v>0</v>
      </c>
      <c r="Z79" s="133">
        <v>0</v>
      </c>
      <c r="AA79" s="80">
        <f>ROUND(+$Z$10*(($L79*Z79)/Z$83),0)</f>
        <v>0</v>
      </c>
      <c r="AB79" s="134">
        <f>IF(AA79&lt;&gt;0,ROUND((AA79/$I79)*$H79,5),ROUND((Z$10/$I$83)*$H79*Z79,5))</f>
        <v>0</v>
      </c>
      <c r="AC79" s="133">
        <v>1</v>
      </c>
      <c r="AD79" s="80">
        <f>ROUND(+$AC$10*(($L79*AC79)/AC$83),0)</f>
        <v>0</v>
      </c>
      <c r="AE79" s="135">
        <f>IF(AD79&lt;&gt;0,ROUND((AD79/$I79)*$H79,5),ROUND((AC$10/$I$83)*$H79*AC79,5))</f>
        <v>0</v>
      </c>
      <c r="AF79" s="133">
        <v>1</v>
      </c>
      <c r="AG79" s="80">
        <v>0</v>
      </c>
      <c r="AH79" s="135">
        <v>0</v>
      </c>
      <c r="AI79" s="133">
        <v>1</v>
      </c>
      <c r="AJ79" s="80">
        <v>0</v>
      </c>
      <c r="AK79" s="85">
        <v>1.9000000000000001E-4</v>
      </c>
      <c r="AL79" s="88">
        <v>0</v>
      </c>
      <c r="AM79" s="89">
        <f>ROUND(+$AL$10*(($L79*AL79)/AL$83),0)</f>
        <v>0</v>
      </c>
      <c r="AN79" s="136">
        <f>IF(AM79&lt;&gt;0,ROUND((AM79/$I79)*$H79,5),ROUND((AL$10/$I$83)*$H79*AL79,5))</f>
        <v>0</v>
      </c>
      <c r="AO79" s="88">
        <v>1</v>
      </c>
      <c r="AP79" s="91">
        <f>ROUND(+$AO$10*(($L79*AO79)/AO$83),0)</f>
        <v>0</v>
      </c>
      <c r="AQ79" s="136">
        <f>IF(AP79&lt;&gt;0,ROUND((AP79/$I79)*$H79,5),ROUND((AO$10/$I$83)*$H79*AO79,5))</f>
        <v>0</v>
      </c>
      <c r="AR79" s="88">
        <v>1</v>
      </c>
      <c r="AS79" s="91">
        <f>ROUND(+$AR$10*(($L79*AR79)/AR$83),0)</f>
        <v>0</v>
      </c>
      <c r="AT79" s="136">
        <f>IF(AS79&lt;&gt;0,ROUND((AS79/$I79)*$H79,5),ROUND((AR$10/$I$83)*$H79*AR79,5))</f>
        <v>0</v>
      </c>
      <c r="AX79" s="93">
        <f t="shared" si="20"/>
        <v>0</v>
      </c>
      <c r="AY79" s="93">
        <f t="shared" si="21"/>
        <v>0</v>
      </c>
      <c r="AZ79" s="93">
        <f t="shared" si="22"/>
        <v>0</v>
      </c>
      <c r="BA79" s="93">
        <f t="shared" si="23"/>
        <v>0</v>
      </c>
      <c r="BB79" s="93">
        <f t="shared" si="24"/>
        <v>0</v>
      </c>
      <c r="BC79" s="93">
        <f t="shared" si="35"/>
        <v>0</v>
      </c>
      <c r="BD79" s="93">
        <f t="shared" si="26"/>
        <v>0</v>
      </c>
      <c r="BE79" s="93">
        <f t="shared" si="36"/>
        <v>0</v>
      </c>
      <c r="BF79" s="93">
        <f t="shared" si="37"/>
        <v>0</v>
      </c>
      <c r="BG79" s="94">
        <f t="shared" si="38"/>
        <v>0</v>
      </c>
      <c r="BH79" s="95"/>
    </row>
    <row r="80" spans="1:60" x14ac:dyDescent="0.35">
      <c r="A80" s="13">
        <f t="shared" si="34"/>
        <v>74</v>
      </c>
      <c r="B80" s="12" t="s">
        <v>102</v>
      </c>
      <c r="C80" s="12"/>
      <c r="D80" s="78">
        <f>+'[13]Washington volumes'!J80</f>
        <v>0</v>
      </c>
      <c r="E80" s="79">
        <f>+'[13]Rates in detail'!D80</f>
        <v>0.24684999999999996</v>
      </c>
      <c r="F80" s="79">
        <f>+'[13]Rates in detail'!E80+'[13]Rates in detail'!F80+'[13]Rates in detail'!G80</f>
        <v>0</v>
      </c>
      <c r="G80" s="79">
        <f>+[13]Temporaries!D80</f>
        <v>0.24193999999999999</v>
      </c>
      <c r="H80" s="79">
        <f t="shared" si="17"/>
        <v>4.9099999999999699E-3</v>
      </c>
      <c r="I80" s="80">
        <f t="shared" si="31"/>
        <v>0</v>
      </c>
      <c r="J80" s="81">
        <f>+'[13]Avg Bill by RS'!G94</f>
        <v>38000</v>
      </c>
      <c r="K80" s="78">
        <f>+'[13]Washington volumes'!L80</f>
        <v>0</v>
      </c>
      <c r="L80" s="82">
        <f>ROUND(I80+(J80*K80*12),0)</f>
        <v>0</v>
      </c>
      <c r="M80" s="83"/>
      <c r="N80" s="84">
        <v>0</v>
      </c>
      <c r="O80" s="80">
        <f>ROUND(+$N$10*(($L80*N80)/N$83),0)</f>
        <v>0</v>
      </c>
      <c r="P80" s="85">
        <f>IF(O80&lt;&gt;0,ROUND((O80/$I80)*$H80,5),ROUND((N$10/$I$83)*$H80*N80,5))</f>
        <v>0</v>
      </c>
      <c r="Q80" s="84">
        <v>0</v>
      </c>
      <c r="R80" s="80">
        <f>ROUND(+$Q$10*(($L80*Q80)/Q$83),0)</f>
        <v>0</v>
      </c>
      <c r="S80" s="85">
        <f>IF(R80&lt;&gt;0,ROUND((R80/$I80)*$H80,5),ROUND((Q$10/$I$83)*$H80*Q80,5))</f>
        <v>0</v>
      </c>
      <c r="T80" s="84">
        <v>0</v>
      </c>
      <c r="U80" s="80">
        <f>ROUND(+$T$10*(($L80*T80)/T$83),0)</f>
        <v>0</v>
      </c>
      <c r="V80" s="85">
        <f>IF(U80&lt;&gt;0,ROUND((U80/$I80)*$H80,5),ROUND((T$10/$I$83)*$H80*T80,5))</f>
        <v>0</v>
      </c>
      <c r="W80" s="84">
        <v>0</v>
      </c>
      <c r="X80" s="80">
        <f>ROUND(+$W$10*(($L80*W80)/W$83),0)</f>
        <v>0</v>
      </c>
      <c r="Y80" s="86">
        <f>IF(X80&lt;&gt;0,ROUND((X80/$I80)*$H80,5),ROUND((W$10/$I$83)*$H80*W80,5))</f>
        <v>0</v>
      </c>
      <c r="Z80" s="84">
        <v>0</v>
      </c>
      <c r="AA80" s="80">
        <f>ROUND(+$Z$10*(($L80*Z80)/Z$83),0)</f>
        <v>0</v>
      </c>
      <c r="AB80" s="85">
        <f>IF(AA80&lt;&gt;0,ROUND((AA80/$I80)*$H80,5),ROUND((Z$10/$I$83)*$H80*Z80,5))</f>
        <v>0</v>
      </c>
      <c r="AC80" s="84">
        <v>1</v>
      </c>
      <c r="AD80" s="80">
        <f>ROUND(+$AC$10*(($L80*AC80)/AC$83),0)</f>
        <v>0</v>
      </c>
      <c r="AE80" s="87">
        <f>IF(AD80&lt;&gt;0,ROUND((AD80/$I80)*$H80,5),ROUND((AC$10/$I$83)*$H80*AC80,5))</f>
        <v>0</v>
      </c>
      <c r="AF80" s="84">
        <v>1</v>
      </c>
      <c r="AG80" s="80">
        <v>0</v>
      </c>
      <c r="AH80" s="87">
        <v>0</v>
      </c>
      <c r="AI80" s="84">
        <v>1</v>
      </c>
      <c r="AJ80" s="80">
        <v>0</v>
      </c>
      <c r="AK80" s="85">
        <v>1.9000000000000001E-4</v>
      </c>
      <c r="AL80" s="88">
        <v>0</v>
      </c>
      <c r="AM80" s="89">
        <f>ROUND(+$AL$10*(($L80*AL80)/AL$83),0)</f>
        <v>0</v>
      </c>
      <c r="AN80" s="136">
        <f>IF(AM80&lt;&gt;0,ROUND((AM80/$I80)*$H80,5),ROUND((AL$10/$I$83)*$H80*AL80,5))</f>
        <v>0</v>
      </c>
      <c r="AO80" s="88">
        <v>1</v>
      </c>
      <c r="AP80" s="91">
        <f>ROUND(+$AO$10*(($L80*AO80)/AO$83),0)</f>
        <v>0</v>
      </c>
      <c r="AQ80" s="136">
        <f>IF(AP80&lt;&gt;0,ROUND((AP80/$I80)*$H80,5),ROUND((AO$10/$I$83)*$H80*AO80,5))</f>
        <v>0</v>
      </c>
      <c r="AR80" s="88">
        <v>1</v>
      </c>
      <c r="AS80" s="91">
        <f>ROUND(+$AR$10*(($L80*AR80)/AR$83),0)</f>
        <v>0</v>
      </c>
      <c r="AT80" s="136">
        <f>IF(AS80&lt;&gt;0,ROUND((AS80/$I80)*$H80,5),ROUND((AR$10/$I$83)*$H80*AR80,5))</f>
        <v>0</v>
      </c>
      <c r="AX80" s="93">
        <f t="shared" si="20"/>
        <v>0</v>
      </c>
      <c r="AY80" s="93">
        <f t="shared" si="21"/>
        <v>0</v>
      </c>
      <c r="AZ80" s="93">
        <f t="shared" si="22"/>
        <v>0</v>
      </c>
      <c r="BA80" s="93">
        <f t="shared" si="23"/>
        <v>0</v>
      </c>
      <c r="BB80" s="93">
        <f t="shared" si="24"/>
        <v>0</v>
      </c>
      <c r="BC80" s="93">
        <f t="shared" si="35"/>
        <v>0</v>
      </c>
      <c r="BD80" s="93">
        <f t="shared" si="26"/>
        <v>0</v>
      </c>
      <c r="BE80" s="93">
        <f t="shared" si="36"/>
        <v>0</v>
      </c>
      <c r="BF80" s="93">
        <f t="shared" si="37"/>
        <v>0</v>
      </c>
      <c r="BG80" s="94">
        <f t="shared" si="38"/>
        <v>0</v>
      </c>
      <c r="BH80" s="95"/>
    </row>
    <row r="81" spans="1:60" x14ac:dyDescent="0.35">
      <c r="A81" s="13">
        <f t="shared" si="34"/>
        <v>75</v>
      </c>
      <c r="B81" s="12" t="s">
        <v>103</v>
      </c>
      <c r="C81" s="12"/>
      <c r="D81" s="78"/>
      <c r="E81" s="79"/>
      <c r="F81" s="79"/>
      <c r="G81" s="79"/>
      <c r="H81" s="79"/>
      <c r="I81" s="80"/>
      <c r="J81" s="81"/>
      <c r="K81" s="78"/>
      <c r="L81" s="137"/>
      <c r="M81" s="83"/>
      <c r="N81" s="84"/>
      <c r="O81" s="78"/>
      <c r="P81" s="138"/>
      <c r="Q81" s="84"/>
      <c r="R81" s="78"/>
      <c r="S81" s="138"/>
      <c r="T81" s="84"/>
      <c r="U81" s="78"/>
      <c r="V81" s="138"/>
      <c r="W81" s="84"/>
      <c r="X81" s="78"/>
      <c r="Y81" s="86"/>
      <c r="Z81" s="84"/>
      <c r="AA81" s="78"/>
      <c r="AB81" s="85"/>
      <c r="AC81" s="84"/>
      <c r="AD81" s="78"/>
      <c r="AE81" s="87"/>
      <c r="AF81" s="84"/>
      <c r="AG81" s="78"/>
      <c r="AH81" s="87"/>
      <c r="AI81" s="84"/>
      <c r="AJ81" s="78"/>
      <c r="AK81" s="87"/>
      <c r="AL81" s="88"/>
      <c r="AM81" s="89"/>
      <c r="AN81" s="90"/>
      <c r="AO81" s="88"/>
      <c r="AP81" s="89"/>
      <c r="AQ81" s="90"/>
      <c r="AR81" s="88"/>
      <c r="AS81" s="89"/>
      <c r="AT81" s="90"/>
      <c r="AX81" s="139">
        <f t="shared" si="20"/>
        <v>0</v>
      </c>
      <c r="AY81" s="139">
        <f t="shared" si="21"/>
        <v>0</v>
      </c>
      <c r="AZ81" s="139">
        <f t="shared" si="22"/>
        <v>0</v>
      </c>
      <c r="BA81" s="139">
        <f t="shared" si="23"/>
        <v>0</v>
      </c>
      <c r="BB81" s="139">
        <f t="shared" si="24"/>
        <v>0</v>
      </c>
      <c r="BC81" s="93">
        <f t="shared" si="35"/>
        <v>0</v>
      </c>
      <c r="BD81" s="139">
        <f t="shared" si="26"/>
        <v>0</v>
      </c>
      <c r="BE81" s="139">
        <f t="shared" si="36"/>
        <v>0</v>
      </c>
      <c r="BF81" s="93">
        <f t="shared" si="37"/>
        <v>0</v>
      </c>
      <c r="BG81" s="140">
        <f t="shared" si="38"/>
        <v>0</v>
      </c>
      <c r="BH81" s="95"/>
    </row>
    <row r="82" spans="1:60" x14ac:dyDescent="0.35">
      <c r="A82" s="13">
        <f t="shared" si="34"/>
        <v>76</v>
      </c>
      <c r="B82" s="2"/>
      <c r="C82" s="2"/>
      <c r="D82" s="2"/>
      <c r="E82" s="98"/>
      <c r="F82" s="98"/>
      <c r="G82" s="98"/>
      <c r="H82" s="98"/>
      <c r="I82" s="3"/>
      <c r="J82" s="2"/>
      <c r="K82" s="2"/>
      <c r="L82" s="3"/>
      <c r="M82" s="2"/>
      <c r="N82" s="141"/>
      <c r="O82" s="2"/>
      <c r="P82" s="4"/>
      <c r="Q82" s="141"/>
      <c r="R82" s="2"/>
      <c r="S82" s="4"/>
      <c r="T82" s="141"/>
      <c r="U82" s="2"/>
      <c r="V82" s="4"/>
      <c r="W82" s="141"/>
      <c r="X82" s="2"/>
      <c r="Y82" s="4"/>
      <c r="Z82" s="141"/>
      <c r="AA82" s="2"/>
      <c r="AB82" s="4"/>
      <c r="AC82" s="141"/>
      <c r="AD82" s="2"/>
      <c r="AE82" s="4"/>
      <c r="AF82" s="141"/>
      <c r="AG82" s="2"/>
      <c r="AH82" s="4"/>
      <c r="AI82" s="141"/>
      <c r="AJ82" s="2"/>
      <c r="AK82" s="4"/>
      <c r="AL82" s="107"/>
      <c r="AN82" s="142"/>
      <c r="AO82" s="107"/>
      <c r="AQ82" s="142"/>
      <c r="AR82" s="107"/>
      <c r="AT82" s="142"/>
      <c r="BC82" s="143"/>
      <c r="BF82" s="143"/>
    </row>
    <row r="83" spans="1:60" x14ac:dyDescent="0.35">
      <c r="A83" s="13">
        <f t="shared" si="34"/>
        <v>77</v>
      </c>
      <c r="B83" s="2" t="s">
        <v>104</v>
      </c>
      <c r="C83" s="2"/>
      <c r="D83" s="7">
        <f>SUM(D13:D82)</f>
        <v>110817104.48625472</v>
      </c>
      <c r="E83" s="98"/>
      <c r="F83" s="98"/>
      <c r="G83" s="98"/>
      <c r="H83" s="98"/>
      <c r="I83" s="123">
        <f>SUM(I13:I81)</f>
        <v>49909911</v>
      </c>
      <c r="J83" s="7"/>
      <c r="K83" s="7"/>
      <c r="L83" s="123">
        <f>SUM(L13:L81)</f>
        <v>61618155</v>
      </c>
      <c r="M83" s="2"/>
      <c r="N83" s="144">
        <f>ROUND(($L13*N13)+($L14*N14)+($L15*N15)+($L16*N16)+($L17*N17)+($L18*N18)+($L19*N19)+($L$23*N23)+($L27*N27)+($L29*N29)+($L$21*N21)+($L25*N25)+($L31*N31)+($L37*N37)+($L43*N43)+($L$55*N55)+($L61*N61)+($L67*N67)+($L73*N73)+($L79*N79)+($L80*N80)+($L81*N81)+(L49*N49),0)</f>
        <v>58272780</v>
      </c>
      <c r="O83" s="99">
        <f>SUM(O13:O81)</f>
        <v>5493889</v>
      </c>
      <c r="P83" s="4"/>
      <c r="Q83" s="144">
        <f>ROUND(($L13*Q13)+($L14*Q14)+($L15*Q15)+($L16*Q16)+($L17*Q17)+($L18*Q18)+($L19*Q19)+($L$23*Q23)+($L27*Q27)+($L29*Q29)+($L$21*Q21)+($L25*Q25)+($L31*Q31)+($L37*Q37)+($L43*Q43)+($L$55*Q55)+($L61*Q61)+($L67*Q67)+($L73*Q73)+($L79*Q79)+($L80*Q80)+($L81*Q81)+(L49*Q49),0)</f>
        <v>58272780</v>
      </c>
      <c r="R83" s="99">
        <f>SUM(R13:R81)</f>
        <v>-68039</v>
      </c>
      <c r="S83" s="4"/>
      <c r="T83" s="144">
        <f>ROUND(($L13*T13)+($L14*T14)+($L15*T15)+($L16*T16)+($L17*T17)+($L18*T18)+($L19*T19)+($L$23*T23)+($L27*T27)+($L29*T29)+($L$21*T21)+($L25*T25)+($L31*T31)+($L37*T37)+($L43*T43)+($L$55*T55)+($L61*T61)+($L67*T67)+($L73*T73)+($L79*T79)+($L80*T80)+($L81*T81)+(L49*T49),0)</f>
        <v>58272780</v>
      </c>
      <c r="U83" s="99">
        <f>SUM(U13:U81)</f>
        <v>0</v>
      </c>
      <c r="V83" s="4"/>
      <c r="W83" s="144">
        <f>ROUND(($L13*W13)+($L14*W14)+($L15*W15)+($L16*W16)+($L17*W17)+($L18*W18)+($L19*W19)+($L$23*W23)+($L27*W27)+($L29*W29)+($L$21*W21)+($L25*W25)+($L31*W31)+($L37*W37)+($L43*W43)+($L$55*W55)+($L61*W61)+($L67*W67)+($L73*W73)+($L79*W79)+($L80*W80)+($L81*W81)+(L49*W49),0)</f>
        <v>59259517</v>
      </c>
      <c r="X83" s="99">
        <f>SUM(X13:X81)</f>
        <v>778363</v>
      </c>
      <c r="Y83" s="4"/>
      <c r="Z83" s="144">
        <f>ROUND(($L13*Z13)+($L14*Z14)+($L15*Z15)+($L16*Z16)+($L17*Z17)+($L18*Z18)+($L19*Z19)+($L$23*Z23)+($L27*Z27)+($L29*Z29)+($L$21*Z21)+($L25*Z25)+($L31*Z31)+($L37*Z37)+($L43*Z43)+($L$55*Z55)+($L61*Z61)+($L67*Z67)+($L73*Z73)+($L79*Z79)+($L80*Z80)+($L81*Z81)+(L49*Z49),0)</f>
        <v>59259517</v>
      </c>
      <c r="AA83" s="99">
        <f>SUM(AA13:AA81)</f>
        <v>125444</v>
      </c>
      <c r="AB83" s="4"/>
      <c r="AC83" s="144">
        <f>ROUND(($L13*AC13)+($L14*AC14)+($L15*AC15)+($L16*AC16)+($L17*AC17)+($L18*AC18)+($L19*AC19)+($L$23*AC23)+($L27*AC27)+($L29*AC29)+($L$21*AC21)+($L25*AC25)+($L31*AC31)+($L37*AC37)+($L43*AC43)+($L$55*AC55)+($L61*AC61)+($L67*AC67)+($L73*AC73)+($L79*AC79)+($L80*AC80)+($L81*AC81)+(L49*AC49),0)</f>
        <v>61618155</v>
      </c>
      <c r="AD83" s="7">
        <f>SUM(AD13:AD82)</f>
        <v>-9510</v>
      </c>
      <c r="AE83" s="4"/>
      <c r="AF83" s="144">
        <f>ROUND(($L13*AF13)+($L14*AF14)+($L15*AF15)+($L16*AF16)+($L17*AF17)+($L18*AF18)+($L19*AF19)+($L$23*AF23)+($L27*AF27)+($L29*AF29)+($L$21*AF21)+($L25*AF25)+($L31*AF31)+($L37*AF37)+($L43*AF43)+($L$55*AF55)+($L61*AF61)+($L67*AF67)+($L73*AF73)+($L79*AF79)+($L80*AF80)+($L81*AF81)+(L49*AF49),0)</f>
        <v>61618155</v>
      </c>
      <c r="AG83" s="99">
        <f>SUM(AG13:AG81)</f>
        <v>750234</v>
      </c>
      <c r="AH83" s="4"/>
      <c r="AI83" s="144">
        <f>ROUND(($L13*AI13)+($L14*AI14)+($L15*AI15)+($L16*AI16)+($L17*AI17)+($L18*AI18)+($L19*AI19)+($L$23*AI23)+($L27*AI27)+($L$21*AI21)+($L25*AI25)+($L31*AI31)+($L37*AI37)+($L43*AI43)+($L$55*AI55)+($L61*AI61)+($L67*AI67)+($L79*AI79)+($L80*AI80)+($L81*AI81)+(L49*AI49)+(AI73*L73),0)</f>
        <v>61618155</v>
      </c>
      <c r="AJ83" s="7">
        <f>SUM(AJ13:AJ82)</f>
        <v>1937819</v>
      </c>
      <c r="AK83" s="4"/>
      <c r="AL83" s="145">
        <f>ROUND(($L13*AL13)+($L14*AL14)+($L15*AL15)+($L16*AL16)+($L17*AL17)+($L18*AL18)+($L19*AL19)+($L$23*AL23)+($L27*AL27)+($L$21*AL21)+($L25*AL25)+($L31*AL31)+($L37*AL37)+($L43*AL43)+($L$55*AL55)+($L61*AL61)+($L67*AL67)+($L79*AL79)+($L80*AL80)+($L81*AL81)+($L49*AL49),0)</f>
        <v>59259517</v>
      </c>
      <c r="AM83" s="128">
        <f>SUM(AM13:AM80)</f>
        <v>9410</v>
      </c>
      <c r="AN83" s="142"/>
      <c r="AO83" s="145">
        <f>ROUND(($L13*AO13)+($L14*AO14)+($L15*AO15)+($L16*AO16)+($L17*AO17)+($L18*AO18)+($L19*AO19)+($L$23*AO23)+($L27*AO27)+($L$21*AO21)+($L25*AO25)+($L31*AO31)+($L37*AO37)+($L43*AO43)+($L$55*AO55)+($L61*AO61)+($L67*AO67)+($L79*AO79)+($L80*AO80)+($L81*AO81)+($L49*AO49),0)</f>
        <v>60500542</v>
      </c>
      <c r="AP83" s="128">
        <f>SUM(AP13:AP80)</f>
        <v>0</v>
      </c>
      <c r="AQ83" s="142"/>
      <c r="AR83" s="145">
        <f>ROUND(($L13*AR13)+($L14*AR14)+($L15*AR15)+($L16*AR16)+($L17*AR17)+($L18*AR18)+($L19*AR19)+($L$23*AR23)+($L27*AR27)+($L$21*AR21)+($L25*AR25)+($L31*AR31)+($L37*AR37)+($L43*AR43)+($L$55*AR55)+($L61*AR61)+($L67*AR67)+($L79*AR79)+($L80*AR80)+($L81*AR81)+($L49*AR49),0)</f>
        <v>60500542</v>
      </c>
      <c r="AS83" s="128">
        <f>SUM(AS13:AS80)</f>
        <v>0</v>
      </c>
      <c r="AT83" s="142"/>
      <c r="AX83" s="146">
        <f t="shared" ref="AX83:BD83" si="39">SUM(AX13:AX82)</f>
        <v>5493885.8381921081</v>
      </c>
      <c r="AY83" s="146">
        <f t="shared" si="39"/>
        <v>-68108.926466906967</v>
      </c>
      <c r="AZ83" s="146">
        <f t="shared" si="39"/>
        <v>0</v>
      </c>
      <c r="BA83" s="146">
        <f t="shared" si="39"/>
        <v>778610.47796588799</v>
      </c>
      <c r="BB83" s="146">
        <f t="shared" si="39"/>
        <v>125251.62872546341</v>
      </c>
      <c r="BC83" s="146">
        <f t="shared" si="39"/>
        <v>-9727.0568343949981</v>
      </c>
      <c r="BD83" s="146">
        <f t="shared" si="39"/>
        <v>750074.80948592687</v>
      </c>
      <c r="BE83" s="146">
        <f>SUM(BE13:BE82)</f>
        <v>1923047.0052342429</v>
      </c>
      <c r="BF83" s="146">
        <f>SUM(BF13:BF82)</f>
        <v>9378.3401028935023</v>
      </c>
      <c r="BG83" s="146">
        <f>SUM(AX83:BF83)</f>
        <v>9002412.1164052207</v>
      </c>
    </row>
    <row r="84" spans="1:60" x14ac:dyDescent="0.35">
      <c r="A84" s="15">
        <f t="shared" si="34"/>
        <v>78</v>
      </c>
      <c r="M84" s="127"/>
      <c r="N84" s="147"/>
      <c r="Q84" s="147"/>
      <c r="T84" s="147"/>
      <c r="W84" s="147"/>
      <c r="Z84" s="147"/>
      <c r="AC84" s="147"/>
      <c r="AD84" s="5"/>
      <c r="AF84" s="148"/>
      <c r="AG84" s="5"/>
      <c r="AI84" s="149"/>
      <c r="AL84" s="150"/>
      <c r="AN84" s="142"/>
      <c r="AO84" s="149"/>
      <c r="AQ84" s="142"/>
      <c r="AR84" s="149"/>
      <c r="AT84" s="142"/>
      <c r="AU84" s="151" t="s">
        <v>105</v>
      </c>
      <c r="AV84" s="151"/>
      <c r="AW84" s="151"/>
      <c r="AX84" s="94">
        <f>N10-AX83</f>
        <v>4.1618078919127584</v>
      </c>
      <c r="AY84" s="94">
        <f>Q10-AY83</f>
        <v>68.926466906967107</v>
      </c>
      <c r="AZ84" s="94">
        <f>T10-AZ83</f>
        <v>0</v>
      </c>
      <c r="BA84" s="94">
        <f>W10-BA83</f>
        <v>-248.47796588798519</v>
      </c>
      <c r="BB84" s="94">
        <f>Z10-BB83</f>
        <v>191.37127453659195</v>
      </c>
      <c r="BC84" s="94">
        <f>AC10-BC83</f>
        <v>215.05683439499808</v>
      </c>
      <c r="BD84" s="94">
        <f>AF10-BD83</f>
        <v>157.19051407312509</v>
      </c>
      <c r="BE84" s="94"/>
      <c r="BF84" s="94">
        <f>BF83-AL10</f>
        <v>-30.659694216761636</v>
      </c>
      <c r="BG84" s="146">
        <f>SUM(AX84:BF84)</f>
        <v>357.56923769884816</v>
      </c>
    </row>
    <row r="85" spans="1:60" ht="15" thickBot="1" x14ac:dyDescent="0.4">
      <c r="A85" s="15">
        <f t="shared" si="34"/>
        <v>79</v>
      </c>
      <c r="B85" s="152" t="s">
        <v>106</v>
      </c>
      <c r="N85" s="5"/>
      <c r="Q85" s="5"/>
      <c r="T85" s="5"/>
      <c r="W85" s="5"/>
      <c r="Z85" s="5"/>
      <c r="AC85" s="5"/>
      <c r="AD85" s="5"/>
      <c r="AF85" s="5"/>
      <c r="AG85" s="5"/>
      <c r="AI85" s="5"/>
      <c r="AK85" s="5"/>
      <c r="AL85" s="5"/>
      <c r="AN85" s="142"/>
      <c r="AO85" s="5"/>
      <c r="AQ85" s="142"/>
      <c r="AR85" s="5"/>
      <c r="AT85" s="142"/>
    </row>
    <row r="86" spans="1:60" ht="15" thickBot="1" x14ac:dyDescent="0.4">
      <c r="A86" s="15">
        <f t="shared" si="34"/>
        <v>80</v>
      </c>
      <c r="B86" s="153" t="s">
        <v>107</v>
      </c>
      <c r="C86" s="154"/>
      <c r="D86" s="154"/>
      <c r="E86" s="154"/>
      <c r="F86" s="154"/>
      <c r="G86" s="154"/>
      <c r="H86" s="154"/>
      <c r="I86" s="154"/>
      <c r="J86" s="154"/>
      <c r="K86" s="155" t="s">
        <v>108</v>
      </c>
      <c r="L86" s="154"/>
      <c r="M86" s="154"/>
      <c r="N86" s="155" t="s">
        <v>109</v>
      </c>
      <c r="O86" s="154"/>
      <c r="P86" s="156"/>
      <c r="Q86" s="155" t="s">
        <v>110</v>
      </c>
      <c r="R86" s="154"/>
      <c r="S86" s="156"/>
      <c r="T86" s="155" t="s">
        <v>110</v>
      </c>
      <c r="U86" s="154"/>
      <c r="V86" s="156"/>
      <c r="W86" s="155" t="s">
        <v>111</v>
      </c>
      <c r="X86" s="154"/>
      <c r="Y86" s="156"/>
      <c r="Z86" s="155" t="s">
        <v>112</v>
      </c>
      <c r="AA86" s="154"/>
      <c r="AB86" s="156"/>
      <c r="AC86" s="155" t="s">
        <v>113</v>
      </c>
      <c r="AD86" s="154"/>
      <c r="AE86" s="156"/>
      <c r="AF86" s="155" t="s">
        <v>114</v>
      </c>
      <c r="AG86" s="157"/>
      <c r="AH86" s="158"/>
      <c r="AI86" s="155" t="s">
        <v>115</v>
      </c>
      <c r="AJ86" s="154"/>
      <c r="AK86" s="159"/>
      <c r="AL86" s="155" t="s">
        <v>115</v>
      </c>
      <c r="AM86" s="35"/>
      <c r="AN86" s="36"/>
      <c r="AO86" s="155"/>
      <c r="AP86" s="154"/>
      <c r="AQ86" s="159"/>
      <c r="AR86" s="155"/>
      <c r="AS86" s="154"/>
      <c r="AT86" s="159"/>
    </row>
    <row r="87" spans="1:60" ht="15" thickBot="1" x14ac:dyDescent="0.4">
      <c r="A87" s="15">
        <f t="shared" si="34"/>
        <v>81</v>
      </c>
      <c r="B87" s="152" t="s">
        <v>116</v>
      </c>
      <c r="N87" s="5"/>
      <c r="Q87" s="5"/>
      <c r="T87" s="5"/>
      <c r="W87" s="5"/>
      <c r="Z87" s="5"/>
      <c r="AC87" s="5"/>
      <c r="AD87" s="5"/>
      <c r="AF87" s="5"/>
      <c r="AG87" s="5"/>
      <c r="AI87" s="5"/>
      <c r="AK87" s="142"/>
      <c r="AL87" s="5"/>
      <c r="AN87" s="142"/>
      <c r="AO87" s="5"/>
      <c r="AQ87" s="142"/>
      <c r="AR87" s="5"/>
      <c r="AT87" s="142"/>
    </row>
    <row r="88" spans="1:60" ht="15" thickBot="1" x14ac:dyDescent="0.4">
      <c r="A88" s="15">
        <f t="shared" si="34"/>
        <v>82</v>
      </c>
      <c r="B88" s="153" t="s">
        <v>117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5" t="s">
        <v>118</v>
      </c>
      <c r="O88" s="154"/>
      <c r="P88" s="156"/>
      <c r="Q88" s="155" t="s">
        <v>118</v>
      </c>
      <c r="R88" s="154"/>
      <c r="S88" s="156"/>
      <c r="T88" s="155" t="s">
        <v>118</v>
      </c>
      <c r="U88" s="154"/>
      <c r="V88" s="156"/>
      <c r="W88" s="155" t="s">
        <v>119</v>
      </c>
      <c r="X88" s="154"/>
      <c r="Y88" s="156"/>
      <c r="Z88" s="155" t="s">
        <v>120</v>
      </c>
      <c r="AA88" s="154"/>
      <c r="AB88" s="156"/>
      <c r="AC88" s="160" t="s">
        <v>121</v>
      </c>
      <c r="AD88" s="154"/>
      <c r="AE88" s="156"/>
      <c r="AF88" s="155" t="s">
        <v>122</v>
      </c>
      <c r="AG88" s="157"/>
      <c r="AH88" s="158"/>
      <c r="AI88" s="155" t="s">
        <v>123</v>
      </c>
      <c r="AJ88" s="154"/>
      <c r="AK88" s="159"/>
      <c r="AL88" s="155"/>
      <c r="AM88" s="35"/>
      <c r="AN88" s="36"/>
      <c r="AO88" s="155"/>
      <c r="AP88" s="154"/>
      <c r="AQ88" s="159"/>
      <c r="AR88" s="155"/>
      <c r="AS88" s="154"/>
      <c r="AT88" s="159"/>
    </row>
    <row r="89" spans="1:60" x14ac:dyDescent="0.35">
      <c r="A89" s="15">
        <f t="shared" si="34"/>
        <v>83</v>
      </c>
      <c r="N89" s="107"/>
      <c r="Q89" s="107"/>
      <c r="T89" s="107"/>
      <c r="W89" s="107"/>
      <c r="Z89" s="107"/>
      <c r="AI89" s="107"/>
      <c r="AL89" s="107"/>
      <c r="AO89" s="107"/>
      <c r="AR89" s="107"/>
    </row>
    <row r="90" spans="1:60" x14ac:dyDescent="0.35">
      <c r="A90" s="15">
        <f t="shared" si="34"/>
        <v>84</v>
      </c>
      <c r="B90" s="5" t="s">
        <v>124</v>
      </c>
      <c r="N90" s="107"/>
      <c r="Q90" s="107"/>
      <c r="T90" s="107"/>
      <c r="W90" s="107"/>
      <c r="Z90" s="107"/>
      <c r="AI90" s="107"/>
      <c r="AL90" s="107"/>
      <c r="AO90" s="107"/>
      <c r="AR90" s="107"/>
    </row>
    <row r="94" spans="1:60" x14ac:dyDescent="0.35">
      <c r="N94" s="15" t="s">
        <v>68</v>
      </c>
      <c r="O94" s="161">
        <f>+O13+O15</f>
        <v>3990597</v>
      </c>
      <c r="Q94" s="15" t="s">
        <v>68</v>
      </c>
      <c r="R94" s="161">
        <f>+R13+R15</f>
        <v>-49422</v>
      </c>
      <c r="T94" s="15" t="s">
        <v>68</v>
      </c>
      <c r="U94" s="161">
        <f>+U13+U15</f>
        <v>0</v>
      </c>
      <c r="W94" s="15" t="s">
        <v>68</v>
      </c>
      <c r="X94" s="161">
        <f>+X13+X15</f>
        <v>555965</v>
      </c>
      <c r="Z94" s="15" t="s">
        <v>68</v>
      </c>
      <c r="AA94" s="161">
        <f>+AA13+AA15</f>
        <v>89601</v>
      </c>
      <c r="AC94" s="15" t="s">
        <v>68</v>
      </c>
      <c r="AD94" s="161">
        <f>+AD13+AD15</f>
        <v>-6534</v>
      </c>
      <c r="AF94" s="15" t="s">
        <v>68</v>
      </c>
      <c r="AG94" s="161">
        <f>+AG13+AG15</f>
        <v>515230</v>
      </c>
      <c r="AI94" s="15" t="s">
        <v>68</v>
      </c>
      <c r="AJ94" s="161">
        <f>+AJ13+AJ15</f>
        <v>1343090</v>
      </c>
      <c r="AL94" s="15" t="s">
        <v>68</v>
      </c>
      <c r="AM94" s="161">
        <f>+AM13+AM15</f>
        <v>6721</v>
      </c>
      <c r="AO94" s="15" t="s">
        <v>68</v>
      </c>
      <c r="AP94" s="161">
        <f>+AP13+AP15</f>
        <v>0</v>
      </c>
      <c r="AR94" s="15" t="s">
        <v>68</v>
      </c>
      <c r="AS94" s="161">
        <f>+AS13+AS15</f>
        <v>0</v>
      </c>
    </row>
    <row r="95" spans="1:60" x14ac:dyDescent="0.35">
      <c r="N95" s="15" t="s">
        <v>54</v>
      </c>
      <c r="O95" s="161">
        <f>+O14+O16+SUM(O31:O36)+SUM(O19:O20)+SUM(O55:O60)+SUM(O23:O24)</f>
        <v>1498163</v>
      </c>
      <c r="Q95" s="15" t="s">
        <v>54</v>
      </c>
      <c r="R95" s="161">
        <f>+R14+R16+SUM(R31:R36)+SUM(R19:R20)+SUM(R55:R60)+SUM(R23:R24)</f>
        <v>-18553</v>
      </c>
      <c r="T95" s="15" t="s">
        <v>54</v>
      </c>
      <c r="U95" s="161">
        <f>+U14+U16+SUM(U31:U36)+SUM(U19:U20)+SUM(U55:U60)+SUM(U23:U24)</f>
        <v>0</v>
      </c>
      <c r="W95" s="15" t="s">
        <v>54</v>
      </c>
      <c r="X95" s="161">
        <f>+X14+X16+SUM(X31:X36)+SUM(X19:X20)+SUM(X55:X60)+SUM(X23:X24)</f>
        <v>208722</v>
      </c>
      <c r="Z95" s="15" t="s">
        <v>54</v>
      </c>
      <c r="AA95" s="161">
        <f>+AA14+AA16+SUM(AA31:AA36)+SUM(AA19:AA20)+SUM(AA55:AA60)+SUM(AA23:AA24)</f>
        <v>33639</v>
      </c>
      <c r="AC95" s="15" t="s">
        <v>54</v>
      </c>
      <c r="AD95" s="161">
        <f>+AD14+AD16+SUM(AD31:AD36)+SUM(AD19:AD20)+SUM(AD55:AD60)+SUM(AD23:AD24)+SUM(AD43:AD48)</f>
        <v>-2472</v>
      </c>
      <c r="AF95" s="15" t="s">
        <v>54</v>
      </c>
      <c r="AG95" s="161">
        <f>+AG14+AG16+SUM(AG31:AG36)+SUM(AG19:AG20)+SUM(AG55:AG60)+SUM(AG23:AG24)+SUM(AG43:AG48)</f>
        <v>195221</v>
      </c>
      <c r="AI95" s="15" t="s">
        <v>54</v>
      </c>
      <c r="AJ95" s="161">
        <f>+AJ14+AJ16+SUM(AJ31:AJ36)+SUM(AJ19:AJ20)+SUM(AJ55:AJ60)+SUM(AJ23:AJ24)+SUM(AJ43:AJ48)</f>
        <v>486585</v>
      </c>
      <c r="AK95" s="5"/>
      <c r="AL95" s="15" t="s">
        <v>54</v>
      </c>
      <c r="AM95" s="161">
        <f>+AM14+AM16+SUM(AM31:AM36)+SUM(AM19:AM20)+SUM(AM55:AM60)+SUM(AM23:AM24)+SUM(AM43:AM48)</f>
        <v>2524</v>
      </c>
      <c r="AN95" s="5"/>
      <c r="AO95" s="15" t="s">
        <v>54</v>
      </c>
      <c r="AP95" s="161">
        <f>+AP14+AP16+SUM(AP31:AP36)+SUM(AP19:AP20)+SUM(AP55:AP60)+SUM(AP23:AP24)+SUM(AP43:AP48)</f>
        <v>0</v>
      </c>
      <c r="AQ95" s="5"/>
      <c r="AR95" s="15" t="s">
        <v>54</v>
      </c>
      <c r="AS95" s="161">
        <f>+AS14+AS16+SUM(AS31:AS36)+SUM(AS19:AS20)+SUM(AS55:AS60)+SUM(AS23:AS24)+SUM(AS43:AS48)</f>
        <v>0</v>
      </c>
      <c r="AT95" s="5"/>
    </row>
    <row r="96" spans="1:60" x14ac:dyDescent="0.35">
      <c r="N96" s="15" t="s">
        <v>125</v>
      </c>
      <c r="O96" s="161">
        <f>+O17++SUM(O25:O26)+SUM(O37:O42)+SUM(O61:O66)+SUM(O67:O72)+SUM(O43:O48)+O27+SUM(O21:O22)</f>
        <v>0</v>
      </c>
      <c r="Q96" s="15" t="s">
        <v>125</v>
      </c>
      <c r="R96" s="161">
        <f>+R17++SUM(R25:R26)+SUM(R37:R42)+SUM(R61:R66)+SUM(R67:R72)+SUM(R43:R48)+R27+SUM(R21:R22)</f>
        <v>0</v>
      </c>
      <c r="T96" s="15" t="s">
        <v>125</v>
      </c>
      <c r="U96" s="161">
        <f>+U17++SUM(U25:U26)+SUM(U37:U42)+SUM(U61:U66)+SUM(U67:U72)+SUM(U43:U48)+U27+SUM(U21:U22)</f>
        <v>0</v>
      </c>
      <c r="W96" s="15" t="s">
        <v>125</v>
      </c>
      <c r="X96" s="161">
        <f>+X17++SUM(X25:X26)+SUM(X37:X42)+SUM(X61:X66)+SUM(X67:X72)+SUM(X43:X48)+X27+SUM(X21:X22)</f>
        <v>12961</v>
      </c>
      <c r="Z96" s="15" t="s">
        <v>125</v>
      </c>
      <c r="AA96" s="161">
        <f>+AA17++SUM(AA25:AA26)+SUM(AA37:AA42)+SUM(AA61:AA66)+SUM(AA67:AA72)+SUM(AA43:AA48)+AA27+SUM(AA21:AA22)</f>
        <v>2089</v>
      </c>
      <c r="AC96" s="15" t="s">
        <v>125</v>
      </c>
      <c r="AD96" s="161">
        <f>+AD17++SUM(AD25:AD26)+SUM(AD37:AD42)+SUM(AD61:AD66)+SUM(AD67:AD72)+AD27+SUM(AD21:AD22)+SUM(AD49:AD54)</f>
        <v>-323</v>
      </c>
      <c r="AF96" s="15" t="s">
        <v>125</v>
      </c>
      <c r="AG96" s="161">
        <f>+AG17++SUM(AG25:AG26)+SUM(AG37:AG42)+SUM(AG61:AG66)+SUM(AG67:AG72)+AG27+SUM(AG21:AG22)+SUM(AG49:AG54)</f>
        <v>25517</v>
      </c>
      <c r="AI96" s="15" t="s">
        <v>125</v>
      </c>
      <c r="AJ96" s="161">
        <f>+AJ17++SUM(AJ25:AJ26)+SUM(AJ37:AJ42)+SUM(AJ61:AJ66)+SUM(AJ67:AJ72)+AJ27+SUM(AJ21:AJ22)+SUM(AJ49:AJ54)</f>
        <v>72193</v>
      </c>
      <c r="AK96" s="5"/>
      <c r="AL96" s="15" t="s">
        <v>125</v>
      </c>
      <c r="AM96" s="161">
        <f>+AM17++SUM(AM25:AM26)+SUM(AM37:AM42)+SUM(AM61:AM66)+SUM(AM67:AM72)+AM27+SUM(AM21:AM22)+SUM(AM49:AM54)</f>
        <v>156</v>
      </c>
      <c r="AN96" s="5"/>
      <c r="AO96" s="15" t="s">
        <v>125</v>
      </c>
      <c r="AP96" s="161">
        <f>+AP17++SUM(AP25:AP26)+SUM(AP37:AP42)+SUM(AP61:AP66)+SUM(AP67:AP72)+AP27+SUM(AP21:AP22)+SUM(AP49:AP54)</f>
        <v>0</v>
      </c>
      <c r="AQ96" s="5"/>
      <c r="AR96" s="15" t="s">
        <v>125</v>
      </c>
      <c r="AS96" s="161">
        <f>+AS17++SUM(AS25:AS26)+SUM(AS37:AS42)+SUM(AS61:AS66)+SUM(AS67:AS72)+AS27+SUM(AS21:AS22)+SUM(AS49:AS54)</f>
        <v>0</v>
      </c>
      <c r="AT96" s="5"/>
    </row>
    <row r="97" spans="14:46" x14ac:dyDescent="0.35">
      <c r="N97" s="15">
        <v>27</v>
      </c>
      <c r="O97" s="161">
        <f>+O18</f>
        <v>5129</v>
      </c>
      <c r="Q97" s="15">
        <v>27</v>
      </c>
      <c r="R97" s="161">
        <f>+R18</f>
        <v>-64</v>
      </c>
      <c r="T97" s="15">
        <v>27</v>
      </c>
      <c r="U97" s="161">
        <f>+U18</f>
        <v>0</v>
      </c>
      <c r="W97" s="15">
        <v>27</v>
      </c>
      <c r="X97" s="161">
        <f>+X18</f>
        <v>715</v>
      </c>
      <c r="Z97" s="15">
        <v>27</v>
      </c>
      <c r="AA97" s="161">
        <f>+AA18</f>
        <v>115</v>
      </c>
      <c r="AC97" s="15">
        <v>27</v>
      </c>
      <c r="AD97" s="161">
        <f>+AD18</f>
        <v>-8</v>
      </c>
      <c r="AF97" s="15">
        <v>27</v>
      </c>
      <c r="AG97" s="161">
        <f>+AG18</f>
        <v>662</v>
      </c>
      <c r="AI97" s="15">
        <v>27</v>
      </c>
      <c r="AJ97" s="161">
        <f>+AJ18</f>
        <v>1914</v>
      </c>
      <c r="AK97" s="5"/>
      <c r="AL97" s="15">
        <v>27</v>
      </c>
      <c r="AM97" s="161">
        <f>+AM18</f>
        <v>9</v>
      </c>
      <c r="AN97" s="5"/>
      <c r="AO97" s="15">
        <v>27</v>
      </c>
      <c r="AP97" s="161">
        <f>+AP18</f>
        <v>0</v>
      </c>
      <c r="AQ97" s="5"/>
      <c r="AR97" s="15">
        <v>27</v>
      </c>
      <c r="AS97" s="161">
        <f>+AS18</f>
        <v>0</v>
      </c>
      <c r="AT97" s="5"/>
    </row>
    <row r="98" spans="14:46" x14ac:dyDescent="0.35">
      <c r="O98" s="161">
        <f>SUM(O94:O97)</f>
        <v>5493889</v>
      </c>
      <c r="R98" s="161">
        <f>SUM(R94:R97)</f>
        <v>-68039</v>
      </c>
      <c r="U98" s="161">
        <f>SUM(U94:U97)</f>
        <v>0</v>
      </c>
      <c r="X98" s="161">
        <f>SUM(X94:X97)</f>
        <v>778363</v>
      </c>
      <c r="AA98" s="161">
        <f>SUM(AA94:AA97)</f>
        <v>125444</v>
      </c>
      <c r="AC98" s="15"/>
      <c r="AD98" s="161">
        <f>SUM(AD94:AD97)</f>
        <v>-9337</v>
      </c>
      <c r="AF98" s="15"/>
      <c r="AG98" s="161">
        <f>SUM(AG94:AG97)</f>
        <v>736630</v>
      </c>
      <c r="AJ98" s="161">
        <f>SUM(AJ94:AJ97)</f>
        <v>1903782</v>
      </c>
      <c r="AK98" s="5"/>
      <c r="AM98" s="161">
        <f>SUM(AM94:AM97)</f>
        <v>9410</v>
      </c>
      <c r="AN98" s="5"/>
      <c r="AP98" s="161">
        <f>SUM(AP94:AP97)</f>
        <v>0</v>
      </c>
      <c r="AQ98" s="5"/>
      <c r="AS98" s="161">
        <f>SUM(AS94:AS97)</f>
        <v>0</v>
      </c>
      <c r="AT98" s="5"/>
    </row>
    <row r="99" spans="14:46" x14ac:dyDescent="0.35">
      <c r="O99" s="127">
        <f>+O98-O83</f>
        <v>0</v>
      </c>
      <c r="R99" s="127">
        <f>+R98-R83</f>
        <v>0</v>
      </c>
      <c r="U99" s="127">
        <f>+U98-U83</f>
        <v>0</v>
      </c>
      <c r="X99" s="127">
        <f>+X98-X83</f>
        <v>0</v>
      </c>
      <c r="AA99" s="127">
        <f>+AA98-AA83</f>
        <v>0</v>
      </c>
      <c r="AC99" s="15"/>
      <c r="AD99" s="127">
        <f>+AD98-AD83</f>
        <v>173</v>
      </c>
      <c r="AF99" s="15"/>
      <c r="AG99" s="127">
        <f>+AG98-AG83</f>
        <v>-13604</v>
      </c>
      <c r="AJ99" s="127">
        <f>+AJ98-AJ83</f>
        <v>-34037</v>
      </c>
      <c r="AK99" s="5"/>
      <c r="AM99" s="127">
        <f>+AM98-AM83</f>
        <v>0</v>
      </c>
      <c r="AN99" s="5"/>
      <c r="AP99" s="127">
        <f>+AP98-AP83</f>
        <v>0</v>
      </c>
      <c r="AQ99" s="5"/>
      <c r="AS99" s="127">
        <f>+AS98-AS83</f>
        <v>0</v>
      </c>
      <c r="AT99" s="5"/>
    </row>
  </sheetData>
  <mergeCells count="15">
    <mergeCell ref="N6:P6"/>
    <mergeCell ref="Q6:S6"/>
    <mergeCell ref="T6:V6"/>
    <mergeCell ref="AF6:AH6"/>
    <mergeCell ref="AI6:AK6"/>
    <mergeCell ref="AF7:AH7"/>
    <mergeCell ref="AL7:AN7"/>
    <mergeCell ref="AO7:AQ7"/>
    <mergeCell ref="AR7:AT7"/>
    <mergeCell ref="L11:L12"/>
    <mergeCell ref="N7:P7"/>
    <mergeCell ref="Q7:S7"/>
    <mergeCell ref="T7:V7"/>
    <mergeCell ref="Z7:AB7"/>
    <mergeCell ref="AC7:AE7"/>
  </mergeCells>
  <pageMargins left="0.5" right="0.5" top="0.5" bottom="0.25" header="0.25" footer="0.25"/>
  <pageSetup scale="31" orientation="landscape" r:id="rId1"/>
  <headerFooter alignWithMargins="0">
    <oddHeader xml:space="preserve">&amp;RUG-250711 - NWN WUTC Advice No. 25-06A
Exhibit A - Supporting Materials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93AC-7D6F-4653-9812-D9BDD51A63FC}">
  <sheetPr>
    <tabColor theme="0" tint="-0.14999847407452621"/>
    <pageSetUpPr fitToPage="1"/>
  </sheetPr>
  <dimension ref="A1:AH99"/>
  <sheetViews>
    <sheetView zoomScaleNormal="100" workbookViewId="0">
      <selection activeCell="I39" sqref="I39"/>
    </sheetView>
  </sheetViews>
  <sheetFormatPr defaultColWidth="8.453125" defaultRowHeight="14.5" outlineLevelCol="1" x14ac:dyDescent="0.35"/>
  <cols>
    <col min="1" max="1" width="5.1796875" style="420" customWidth="1"/>
    <col min="2" max="2" width="15.7265625" style="420" customWidth="1"/>
    <col min="3" max="3" width="7.54296875" style="420" customWidth="1"/>
    <col min="4" max="4" width="14.81640625" style="420" customWidth="1"/>
    <col min="5" max="5" width="12.1796875" style="420" customWidth="1"/>
    <col min="6" max="6" width="17.81640625" style="420" customWidth="1"/>
    <col min="7" max="7" width="12.7265625" style="420" bestFit="1" customWidth="1"/>
    <col min="8" max="8" width="10.26953125" style="420" customWidth="1"/>
    <col min="9" max="9" width="18" style="420" bestFit="1" customWidth="1"/>
    <col min="10" max="10" width="26.54296875" style="420" customWidth="1"/>
    <col min="11" max="11" width="13.81640625" style="424" customWidth="1"/>
    <col min="12" max="12" width="14.7265625" style="420" customWidth="1"/>
    <col min="13" max="13" width="15.54296875" style="421" customWidth="1"/>
    <col min="14" max="14" width="14.7265625" style="424" hidden="1" customWidth="1" outlineLevel="1"/>
    <col min="15" max="15" width="14.7265625" style="420" hidden="1" customWidth="1" outlineLevel="1"/>
    <col min="16" max="16" width="14.7265625" style="421" hidden="1" customWidth="1" outlineLevel="1"/>
    <col min="17" max="17" width="14.7265625" style="424" hidden="1" customWidth="1" outlineLevel="1"/>
    <col min="18" max="18" width="14.7265625" style="420" hidden="1" customWidth="1" outlineLevel="1"/>
    <col min="19" max="19" width="14.7265625" style="421" hidden="1" customWidth="1" outlineLevel="1"/>
    <col min="20" max="20" width="14.7265625" style="424" hidden="1" customWidth="1" outlineLevel="1"/>
    <col min="21" max="21" width="14.7265625" style="420" hidden="1" customWidth="1" outlineLevel="1"/>
    <col min="22" max="22" width="14.7265625" style="421" hidden="1" customWidth="1" outlineLevel="1"/>
    <col min="23" max="23" width="14.7265625" style="424" hidden="1" customWidth="1" outlineLevel="1"/>
    <col min="24" max="24" width="14.7265625" style="420" hidden="1" customWidth="1" outlineLevel="1"/>
    <col min="25" max="25" width="14.7265625" style="421" hidden="1" customWidth="1" outlineLevel="1"/>
    <col min="26" max="26" width="8.453125" style="420" collapsed="1"/>
    <col min="27" max="27" width="25.26953125" style="420" bestFit="1" customWidth="1"/>
    <col min="28" max="28" width="8.453125" style="420"/>
    <col min="29" max="29" width="13" style="422" bestFit="1" customWidth="1"/>
    <col min="30" max="30" width="10.26953125" style="422" bestFit="1" customWidth="1"/>
    <col min="31" max="31" width="8.453125" style="420"/>
    <col min="32" max="33" width="15.7265625" style="420" bestFit="1" customWidth="1"/>
    <col min="34" max="16384" width="8.453125" style="420"/>
  </cols>
  <sheetData>
    <row r="1" spans="1:34" x14ac:dyDescent="0.35">
      <c r="A1" s="419" t="str">
        <f>+'[13]Washington volumes'!A1</f>
        <v>NW Natural</v>
      </c>
      <c r="F1" s="518"/>
      <c r="K1" s="420"/>
      <c r="N1" s="420"/>
      <c r="Q1" s="420"/>
      <c r="T1" s="420"/>
      <c r="W1" s="420"/>
    </row>
    <row r="2" spans="1:34" x14ac:dyDescent="0.35">
      <c r="A2" s="419" t="str">
        <f>+'[13]Washington volumes'!A2</f>
        <v>Rates &amp; Regulatory Affairs</v>
      </c>
      <c r="F2" s="518"/>
      <c r="K2" s="420"/>
      <c r="N2" s="420"/>
      <c r="Q2" s="420"/>
      <c r="T2" s="420"/>
      <c r="W2" s="420"/>
    </row>
    <row r="3" spans="1:34" x14ac:dyDescent="0.35">
      <c r="A3" s="419" t="str">
        <f>+'[13]Washington volumes'!A3</f>
        <v>2025-2026 PGA Filing - Washington: September Filing</v>
      </c>
      <c r="F3" s="518"/>
      <c r="K3" s="478"/>
      <c r="N3" s="420"/>
      <c r="Q3" s="420"/>
      <c r="T3" s="420"/>
      <c r="W3" s="420"/>
    </row>
    <row r="4" spans="1:34" x14ac:dyDescent="0.35">
      <c r="A4" s="419" t="s">
        <v>347</v>
      </c>
      <c r="F4" s="518"/>
      <c r="K4" s="478"/>
      <c r="N4" s="420"/>
      <c r="Q4" s="420"/>
      <c r="T4" s="420"/>
      <c r="W4" s="420"/>
    </row>
    <row r="5" spans="1:34" x14ac:dyDescent="0.35">
      <c r="F5" s="518"/>
      <c r="K5" s="420"/>
      <c r="N5" s="420"/>
      <c r="Q5" s="420"/>
      <c r="T5" s="420"/>
      <c r="W5" s="420"/>
    </row>
    <row r="6" spans="1:34" ht="15" thickBot="1" x14ac:dyDescent="0.4">
      <c r="A6" s="419"/>
      <c r="B6" s="419"/>
      <c r="C6" s="419"/>
      <c r="D6" s="419"/>
      <c r="F6" s="518"/>
      <c r="G6" s="423"/>
      <c r="K6" s="420"/>
      <c r="M6" s="420"/>
      <c r="N6" s="715"/>
      <c r="O6" s="715"/>
      <c r="P6" s="715"/>
    </row>
    <row r="7" spans="1:34" ht="15" thickBot="1" x14ac:dyDescent="0.4">
      <c r="A7" s="424">
        <v>1</v>
      </c>
      <c r="D7" s="424"/>
      <c r="E7" s="424" t="s">
        <v>6</v>
      </c>
      <c r="F7" s="424"/>
      <c r="G7" s="425"/>
      <c r="H7" s="424"/>
      <c r="I7" s="426" t="s">
        <v>1</v>
      </c>
      <c r="K7" s="716" t="str">
        <f>[13]Inputs!C58</f>
        <v>WA Regulatory Fee</v>
      </c>
      <c r="L7" s="717"/>
      <c r="M7" s="718"/>
      <c r="N7" s="719" t="s">
        <v>10</v>
      </c>
      <c r="O7" s="720"/>
      <c r="P7" s="721"/>
      <c r="Q7" s="719" t="s">
        <v>10</v>
      </c>
      <c r="R7" s="720"/>
      <c r="S7" s="721"/>
      <c r="T7" s="719" t="s">
        <v>10</v>
      </c>
      <c r="U7" s="720"/>
      <c r="V7" s="721"/>
      <c r="W7" s="719" t="s">
        <v>10</v>
      </c>
      <c r="X7" s="720"/>
      <c r="Y7" s="721"/>
      <c r="AA7" s="23" t="s">
        <v>348</v>
      </c>
    </row>
    <row r="8" spans="1:34" ht="15" customHeight="1" thickBot="1" x14ac:dyDescent="0.4">
      <c r="A8" s="424">
        <f t="shared" ref="A8:A71" si="0">+A7+1</f>
        <v>2</v>
      </c>
      <c r="D8" s="424" t="s">
        <v>12</v>
      </c>
      <c r="E8" s="424" t="s">
        <v>13</v>
      </c>
      <c r="F8" s="424"/>
      <c r="G8" s="425"/>
      <c r="H8" s="424"/>
      <c r="I8" s="424"/>
      <c r="J8" s="427" t="s">
        <v>16</v>
      </c>
      <c r="K8" s="428">
        <f>[13]Inputs!B58</f>
        <v>1620</v>
      </c>
      <c r="L8" s="429" t="str">
        <f>+[13]Inputs!C34</f>
        <v>Temporary Increments</v>
      </c>
      <c r="M8" s="430"/>
      <c r="N8" s="431"/>
      <c r="O8" s="432"/>
      <c r="P8" s="433"/>
      <c r="Q8" s="434"/>
      <c r="R8" s="432" t="str">
        <f>+[13]Inputs!F34</f>
        <v>Allocated to Rate Schedules</v>
      </c>
      <c r="S8" s="433"/>
      <c r="T8" s="431"/>
      <c r="U8" s="432" t="str">
        <f>+[13]Inputs!F34</f>
        <v>Allocated to Rate Schedules</v>
      </c>
      <c r="V8" s="433"/>
      <c r="W8" s="431"/>
      <c r="X8" s="432" t="str">
        <f>+[13]Inputs!F34</f>
        <v>Allocated to Rate Schedules</v>
      </c>
      <c r="Y8" s="433"/>
      <c r="AA8" s="435">
        <f>K8</f>
        <v>1620</v>
      </c>
    </row>
    <row r="9" spans="1:34" ht="15" customHeight="1" thickBot="1" x14ac:dyDescent="0.4">
      <c r="A9" s="424">
        <f t="shared" si="0"/>
        <v>3</v>
      </c>
      <c r="D9" s="424" t="s">
        <v>17</v>
      </c>
      <c r="E9" s="424" t="s">
        <v>18</v>
      </c>
      <c r="F9" s="424" t="s">
        <v>21</v>
      </c>
      <c r="G9" s="425" t="s">
        <v>22</v>
      </c>
      <c r="H9" s="424"/>
      <c r="I9" s="425" t="s">
        <v>23</v>
      </c>
      <c r="J9" s="427" t="s">
        <v>24</v>
      </c>
      <c r="K9" s="436">
        <f>IF([13]Inputs!$G58="yes",[13]Inputs!$B$30,"N/A")</f>
        <v>4.3568999999999997E-2</v>
      </c>
      <c r="L9" s="437" t="s">
        <v>25</v>
      </c>
      <c r="M9" s="438"/>
      <c r="N9" s="439"/>
      <c r="O9" s="437" t="s">
        <v>26</v>
      </c>
      <c r="P9" s="438"/>
      <c r="Q9" s="440"/>
      <c r="R9" s="437" t="s">
        <v>26</v>
      </c>
      <c r="S9" s="438"/>
      <c r="T9" s="439"/>
      <c r="U9" s="437" t="s">
        <v>26</v>
      </c>
      <c r="V9" s="438"/>
      <c r="W9" s="439"/>
      <c r="X9" s="437" t="s">
        <v>26</v>
      </c>
      <c r="Y9" s="438"/>
      <c r="AA9" s="441">
        <f>COUNTIF(K9:M9,revsens)</f>
        <v>1</v>
      </c>
    </row>
    <row r="10" spans="1:34" s="448" customFormat="1" ht="15" customHeight="1" thickBot="1" x14ac:dyDescent="0.4">
      <c r="A10" s="424">
        <f t="shared" si="0"/>
        <v>4</v>
      </c>
      <c r="B10" s="420"/>
      <c r="C10" s="420"/>
      <c r="D10" s="442" t="s">
        <v>27</v>
      </c>
      <c r="E10" s="442" t="s">
        <v>28</v>
      </c>
      <c r="F10" s="442" t="s">
        <v>349</v>
      </c>
      <c r="G10" s="443" t="s">
        <v>32</v>
      </c>
      <c r="H10" s="443" t="s">
        <v>33</v>
      </c>
      <c r="I10" s="443" t="s">
        <v>349</v>
      </c>
      <c r="J10" s="444" t="s">
        <v>34</v>
      </c>
      <c r="K10" s="445">
        <f>IF(K9&lt;&gt;"N/A",ROUND(+K8/(1-K9),0),K8)</f>
        <v>1694</v>
      </c>
      <c r="L10" s="446" t="str">
        <f>[13]Inputs!F58</f>
        <v>All Customers</v>
      </c>
      <c r="M10" s="447"/>
      <c r="N10" s="445">
        <f>IF(N9&lt;&gt;"N/A",ROUND(+N8/(1-N9),0),N8)</f>
        <v>0</v>
      </c>
      <c r="O10" s="446" t="s">
        <v>35</v>
      </c>
      <c r="P10" s="447"/>
      <c r="Q10" s="445">
        <f>IF(Q9&lt;&gt;"N/A",ROUND(+Q8/(1-Q9),0),Q8)</f>
        <v>0</v>
      </c>
      <c r="R10" s="446" t="s">
        <v>35</v>
      </c>
      <c r="S10" s="447"/>
      <c r="T10" s="445">
        <f>IF(T9&lt;&gt;"N/A",ROUND(+T8/(1-T9),0),T8)</f>
        <v>0</v>
      </c>
      <c r="U10" s="446" t="s">
        <v>35</v>
      </c>
      <c r="V10" s="447"/>
      <c r="W10" s="445">
        <f>IF(W9&lt;&gt;"N/A",ROUND(+W8/(1-W9),0),W8)</f>
        <v>0</v>
      </c>
      <c r="X10" s="446" t="s">
        <v>35</v>
      </c>
      <c r="Y10" s="447"/>
      <c r="AA10" s="449">
        <f>SUM(K10:M10)</f>
        <v>1694</v>
      </c>
      <c r="AC10" s="712" t="s">
        <v>350</v>
      </c>
      <c r="AD10" s="712"/>
    </row>
    <row r="11" spans="1:34" s="448" customFormat="1" x14ac:dyDescent="0.35">
      <c r="A11" s="424">
        <f t="shared" si="0"/>
        <v>5</v>
      </c>
      <c r="B11" s="420"/>
      <c r="C11" s="420"/>
      <c r="G11" s="425"/>
      <c r="I11" s="713" t="s">
        <v>37</v>
      </c>
      <c r="J11" s="450"/>
      <c r="K11" s="451" t="s">
        <v>38</v>
      </c>
      <c r="L11" s="424" t="s">
        <v>39</v>
      </c>
      <c r="M11" s="452" t="s">
        <v>40</v>
      </c>
      <c r="N11" s="451" t="s">
        <v>38</v>
      </c>
      <c r="O11" s="424" t="s">
        <v>39</v>
      </c>
      <c r="P11" s="452" t="s">
        <v>40</v>
      </c>
      <c r="Q11" s="451" t="s">
        <v>38</v>
      </c>
      <c r="R11" s="424" t="s">
        <v>39</v>
      </c>
      <c r="S11" s="452" t="s">
        <v>40</v>
      </c>
      <c r="T11" s="451" t="s">
        <v>38</v>
      </c>
      <c r="U11" s="424" t="s">
        <v>39</v>
      </c>
      <c r="V11" s="452" t="s">
        <v>40</v>
      </c>
      <c r="W11" s="451" t="s">
        <v>38</v>
      </c>
      <c r="X11" s="424" t="s">
        <v>39</v>
      </c>
      <c r="Y11" s="452" t="s">
        <v>40</v>
      </c>
      <c r="AC11" s="453" t="s">
        <v>351</v>
      </c>
      <c r="AD11" s="453" t="s">
        <v>21</v>
      </c>
      <c r="AF11" s="425" t="s">
        <v>352</v>
      </c>
      <c r="AG11" s="425" t="s">
        <v>49</v>
      </c>
    </row>
    <row r="12" spans="1:34" s="448" customFormat="1" x14ac:dyDescent="0.35">
      <c r="A12" s="424">
        <f t="shared" si="0"/>
        <v>6</v>
      </c>
      <c r="B12" s="454" t="s">
        <v>50</v>
      </c>
      <c r="C12" s="454" t="s">
        <v>51</v>
      </c>
      <c r="D12" s="455" t="s">
        <v>52</v>
      </c>
      <c r="E12" s="455" t="s">
        <v>53</v>
      </c>
      <c r="F12" s="455" t="s">
        <v>57</v>
      </c>
      <c r="G12" s="455" t="s">
        <v>58</v>
      </c>
      <c r="H12" s="455" t="s">
        <v>59</v>
      </c>
      <c r="I12" s="714"/>
      <c r="J12" s="456"/>
      <c r="K12" s="457" t="s">
        <v>60</v>
      </c>
      <c r="L12" s="455" t="s">
        <v>61</v>
      </c>
      <c r="M12" s="458" t="s">
        <v>62</v>
      </c>
      <c r="N12" s="457" t="s">
        <v>72</v>
      </c>
      <c r="O12" s="455" t="s">
        <v>73</v>
      </c>
      <c r="P12" s="458" t="s">
        <v>74</v>
      </c>
      <c r="Q12" s="457" t="s">
        <v>72</v>
      </c>
      <c r="R12" s="455" t="s">
        <v>73</v>
      </c>
      <c r="S12" s="458" t="s">
        <v>74</v>
      </c>
      <c r="T12" s="457" t="s">
        <v>72</v>
      </c>
      <c r="U12" s="455" t="s">
        <v>73</v>
      </c>
      <c r="V12" s="458" t="s">
        <v>74</v>
      </c>
      <c r="W12" s="457" t="s">
        <v>72</v>
      </c>
      <c r="X12" s="455" t="s">
        <v>73</v>
      </c>
      <c r="Y12" s="458" t="s">
        <v>74</v>
      </c>
      <c r="AC12" s="459" t="s">
        <v>63</v>
      </c>
      <c r="AD12" s="460" t="s">
        <v>64</v>
      </c>
      <c r="AF12" s="425" t="s">
        <v>75</v>
      </c>
      <c r="AG12" s="425" t="s">
        <v>75</v>
      </c>
    </row>
    <row r="13" spans="1:34" x14ac:dyDescent="0.35">
      <c r="A13" s="424">
        <f t="shared" si="0"/>
        <v>7</v>
      </c>
      <c r="B13" s="461" t="s">
        <v>76</v>
      </c>
      <c r="C13" s="461"/>
      <c r="D13" s="462">
        <f>+'[13]Washington volumes'!J13</f>
        <v>179824.1</v>
      </c>
      <c r="E13" s="463">
        <f>+'[13]Rates in detail'!D13</f>
        <v>1.6683000000000003</v>
      </c>
      <c r="F13" s="464">
        <f>D13*E13</f>
        <v>300000.54603000009</v>
      </c>
      <c r="G13" s="465">
        <f>+'[13]Avg Bill by RS'!I13</f>
        <v>3.6833857922138522</v>
      </c>
      <c r="H13" s="462">
        <f>+'[13]Washington volumes'!L13</f>
        <v>1884</v>
      </c>
      <c r="I13" s="466">
        <f>(G13*H13*12)+F13</f>
        <v>383274.53202037083</v>
      </c>
      <c r="J13" s="467"/>
      <c r="K13" s="519">
        <v>1</v>
      </c>
      <c r="L13" s="468">
        <f t="shared" ref="L13:L18" si="1">ROUND(+$K$10*((I13*K13)/$K$83),0)</f>
        <v>5</v>
      </c>
      <c r="M13" s="469">
        <f t="shared" ref="M13:M76" si="2">ROUND(E13*AD13,5)</f>
        <v>3.0000000000000001E-5</v>
      </c>
      <c r="N13" s="519">
        <v>1</v>
      </c>
      <c r="O13" s="464">
        <f t="shared" ref="O13:O19" si="3">ROUND(+$N$10*(($I13*N13)/N$83),0)</f>
        <v>0</v>
      </c>
      <c r="P13" s="469" t="e">
        <f>IF(O13&lt;&gt;0,ROUND((O13/$F13)*#REF!,5),ROUND((N$10/$F$83)*#REF!*N13,5))</f>
        <v>#REF!</v>
      </c>
      <c r="Q13" s="519">
        <v>1</v>
      </c>
      <c r="R13" s="462">
        <f t="shared" ref="R13:R19" si="4">ROUND(+$Q$10*(($I13*Q13)/Q$83),0)</f>
        <v>0</v>
      </c>
      <c r="S13" s="470" t="e">
        <f>IF(R13&lt;&gt;0,ROUND((R13/$F13)*#REF!,5),ROUND((Q$10/$F$83)*#REF!*Q13,5))</f>
        <v>#REF!</v>
      </c>
      <c r="T13" s="519">
        <v>1</v>
      </c>
      <c r="U13" s="464">
        <f t="shared" ref="U13:U19" si="5">ROUND(+$T$10*(($I13*T13)/T$83),0)</f>
        <v>0</v>
      </c>
      <c r="V13" s="470" t="e">
        <f>IF(U13&lt;&gt;0,ROUND((U13/$F13)*#REF!,5),ROUND((T$10/$F$83)*#REF!*T13,5))</f>
        <v>#REF!</v>
      </c>
      <c r="W13" s="519">
        <v>1</v>
      </c>
      <c r="X13" s="464">
        <f t="shared" ref="X13:X19" si="6">ROUND(+$W$10*(($I13*W13)/W$83),0)</f>
        <v>0</v>
      </c>
      <c r="Y13" s="470" t="e">
        <f>IF(X13&lt;&gt;0,ROUND((X13/$F13)*#REF!,5),ROUND((W$10/$F$83)*#REF!*W13,5))</f>
        <v>#REF!</v>
      </c>
      <c r="Z13" s="471"/>
      <c r="AA13" s="471"/>
      <c r="AB13" s="471"/>
      <c r="AC13" s="472">
        <f t="shared" ref="AC13:AC19" si="7">IFERROR(L13/I13,0)</f>
        <v>1.3045479368648092E-5</v>
      </c>
      <c r="AD13" s="473">
        <f t="shared" ref="AD13:AD19" si="8">IFERROR(L13/F13,0)</f>
        <v>1.6666636331721876E-5</v>
      </c>
      <c r="AE13" s="471"/>
      <c r="AF13" s="474">
        <f t="shared" ref="AF13:AF76" si="9">M13*$D13</f>
        <v>5.3947229999999999</v>
      </c>
      <c r="AG13" s="475">
        <f t="shared" ref="AG13:AG44" si="10">SUM(AF13:AF13)</f>
        <v>5.3947229999999999</v>
      </c>
      <c r="AH13" s="520"/>
    </row>
    <row r="14" spans="1:34" x14ac:dyDescent="0.35">
      <c r="A14" s="424">
        <f t="shared" si="0"/>
        <v>8</v>
      </c>
      <c r="B14" s="461" t="s">
        <v>77</v>
      </c>
      <c r="C14" s="461"/>
      <c r="D14" s="462">
        <f>+'[13]Washington volumes'!J14</f>
        <v>18807.400000000001</v>
      </c>
      <c r="E14" s="463">
        <f>+'[13]Rates in detail'!D14</f>
        <v>1.672639999999999</v>
      </c>
      <c r="F14" s="464">
        <f t="shared" ref="F14:F18" si="11">D14*E14</f>
        <v>31458.009535999983</v>
      </c>
      <c r="G14" s="465">
        <f>+'[13]Avg Bill by RS'!I14</f>
        <v>1.6574174576721861</v>
      </c>
      <c r="H14" s="462">
        <f>+'[13]Washington volumes'!L14</f>
        <v>36</v>
      </c>
      <c r="I14" s="466">
        <f t="shared" ref="I14:I19" si="12">(G14*H14*12)+F14</f>
        <v>32174.013877714366</v>
      </c>
      <c r="J14" s="467"/>
      <c r="K14" s="519">
        <v>1</v>
      </c>
      <c r="L14" s="468">
        <f t="shared" si="1"/>
        <v>0</v>
      </c>
      <c r="M14" s="469">
        <f t="shared" si="2"/>
        <v>0</v>
      </c>
      <c r="N14" s="519">
        <v>1</v>
      </c>
      <c r="O14" s="464">
        <f t="shared" si="3"/>
        <v>0</v>
      </c>
      <c r="P14" s="469" t="e">
        <f>IF(O14&lt;&gt;0,ROUND((O14/$F14)*#REF!,5),ROUND((N$10/$F$83)*#REF!*N14,5))</f>
        <v>#REF!</v>
      </c>
      <c r="Q14" s="519">
        <v>1</v>
      </c>
      <c r="R14" s="462">
        <f t="shared" si="4"/>
        <v>0</v>
      </c>
      <c r="S14" s="470" t="e">
        <f>IF(R14&lt;&gt;0,ROUND((R14/$F14)*#REF!,5),ROUND((Q$10/$F$83)*#REF!*Q14,5))</f>
        <v>#REF!</v>
      </c>
      <c r="T14" s="519">
        <v>1</v>
      </c>
      <c r="U14" s="464">
        <f t="shared" si="5"/>
        <v>0</v>
      </c>
      <c r="V14" s="470" t="e">
        <f>IF(U14&lt;&gt;0,ROUND((U14/$F14)*#REF!,5),ROUND((T$10/$F$83)*#REF!*T14,5))</f>
        <v>#REF!</v>
      </c>
      <c r="W14" s="519">
        <v>1</v>
      </c>
      <c r="X14" s="464">
        <f t="shared" si="6"/>
        <v>0</v>
      </c>
      <c r="Y14" s="470" t="e">
        <f>IF(X14&lt;&gt;0,ROUND((X14/$F14)*#REF!,5),ROUND((W$10/$F$83)*#REF!*W14,5))</f>
        <v>#REF!</v>
      </c>
      <c r="AC14" s="472">
        <f t="shared" si="7"/>
        <v>0</v>
      </c>
      <c r="AD14" s="473">
        <f t="shared" si="8"/>
        <v>0</v>
      </c>
      <c r="AF14" s="474">
        <f t="shared" si="9"/>
        <v>0</v>
      </c>
      <c r="AG14" s="475">
        <f t="shared" si="10"/>
        <v>0</v>
      </c>
      <c r="AH14" s="520"/>
    </row>
    <row r="15" spans="1:34" x14ac:dyDescent="0.35">
      <c r="A15" s="424">
        <f t="shared" si="0"/>
        <v>9</v>
      </c>
      <c r="B15" s="461" t="s">
        <v>78</v>
      </c>
      <c r="C15" s="461"/>
      <c r="D15" s="462">
        <f>+'[13]Washington volumes'!J15</f>
        <v>59991191.600000001</v>
      </c>
      <c r="E15" s="463">
        <f>+'[13]Rates in detail'!D15</f>
        <v>1.3152700000000002</v>
      </c>
      <c r="F15" s="464">
        <f t="shared" si="11"/>
        <v>78904614.575732008</v>
      </c>
      <c r="G15" s="465">
        <f>+'[13]Avg Bill by RS'!I15</f>
        <v>-2.5409041087411151</v>
      </c>
      <c r="H15" s="462">
        <f>+'[13]Washington volumes'!L15</f>
        <v>89230</v>
      </c>
      <c r="I15" s="466">
        <f t="shared" si="12"/>
        <v>76183916.092256367</v>
      </c>
      <c r="J15" s="467"/>
      <c r="K15" s="519">
        <v>1</v>
      </c>
      <c r="L15" s="468">
        <f t="shared" si="1"/>
        <v>1084</v>
      </c>
      <c r="M15" s="469">
        <f t="shared" si="2"/>
        <v>2.0000000000000002E-5</v>
      </c>
      <c r="N15" s="519">
        <v>1</v>
      </c>
      <c r="O15" s="464">
        <f t="shared" si="3"/>
        <v>0</v>
      </c>
      <c r="P15" s="469" t="e">
        <f>IF(O15&lt;&gt;0,ROUND((O15/$F15)*#REF!,5),ROUND((N$10/$F$83)*#REF!*N15,5))</f>
        <v>#REF!</v>
      </c>
      <c r="Q15" s="519">
        <v>1</v>
      </c>
      <c r="R15" s="462">
        <f t="shared" si="4"/>
        <v>0</v>
      </c>
      <c r="S15" s="470" t="e">
        <f>IF(R15&lt;&gt;0,ROUND((R15/$F15)*#REF!,5),ROUND((Q$10/$F$83)*#REF!*Q15,5))</f>
        <v>#REF!</v>
      </c>
      <c r="T15" s="519">
        <v>1</v>
      </c>
      <c r="U15" s="464">
        <f t="shared" si="5"/>
        <v>0</v>
      </c>
      <c r="V15" s="470" t="e">
        <f>IF(U15&lt;&gt;0,ROUND((U15/$F15)*#REF!,5),ROUND((T$10/$F$83)*#REF!*T15,5))</f>
        <v>#REF!</v>
      </c>
      <c r="W15" s="519">
        <v>1</v>
      </c>
      <c r="X15" s="464">
        <f t="shared" si="6"/>
        <v>0</v>
      </c>
      <c r="Y15" s="470" t="e">
        <f>IF(X15&lt;&gt;0,ROUND((X15/$F15)*#REF!,5),ROUND((W$10/$F$83)*#REF!*W15,5))</f>
        <v>#REF!</v>
      </c>
      <c r="AC15" s="472">
        <f t="shared" si="7"/>
        <v>1.4228725111574858E-5</v>
      </c>
      <c r="AD15" s="473">
        <f t="shared" si="8"/>
        <v>1.373810652049489E-5</v>
      </c>
      <c r="AF15" s="474">
        <f t="shared" si="9"/>
        <v>1199.823832</v>
      </c>
      <c r="AG15" s="475">
        <f t="shared" si="10"/>
        <v>1199.823832</v>
      </c>
      <c r="AH15" s="520"/>
    </row>
    <row r="16" spans="1:34" x14ac:dyDescent="0.35">
      <c r="A16" s="424">
        <f t="shared" si="0"/>
        <v>10</v>
      </c>
      <c r="B16" s="461" t="s">
        <v>79</v>
      </c>
      <c r="C16" s="461"/>
      <c r="D16" s="462">
        <f>+'[13]Washington volumes'!J16</f>
        <v>21359578.800000001</v>
      </c>
      <c r="E16" s="463">
        <f>+'[13]Rates in detail'!D16</f>
        <v>1.2785399999999996</v>
      </c>
      <c r="F16" s="464">
        <f t="shared" si="11"/>
        <v>27309075.878951993</v>
      </c>
      <c r="G16" s="465">
        <f>+'[13]Avg Bill by RS'!I16</f>
        <v>-26.320758584764796</v>
      </c>
      <c r="H16" s="462">
        <f>+'[13]Washington volumes'!L16</f>
        <v>6828</v>
      </c>
      <c r="I16" s="466">
        <f t="shared" si="12"/>
        <v>25152458.203550704</v>
      </c>
      <c r="J16" s="467"/>
      <c r="K16" s="519">
        <v>1</v>
      </c>
      <c r="L16" s="468">
        <f t="shared" si="1"/>
        <v>358</v>
      </c>
      <c r="M16" s="469">
        <f t="shared" si="2"/>
        <v>2.0000000000000002E-5</v>
      </c>
      <c r="N16" s="519">
        <v>1</v>
      </c>
      <c r="O16" s="464">
        <f t="shared" si="3"/>
        <v>0</v>
      </c>
      <c r="P16" s="469" t="e">
        <f>IF(O16&lt;&gt;0,ROUND((O16/$F16)*#REF!,5),ROUND((N$10/$F$83)*#REF!*N16,5))</f>
        <v>#REF!</v>
      </c>
      <c r="Q16" s="519">
        <v>1</v>
      </c>
      <c r="R16" s="462">
        <f t="shared" si="4"/>
        <v>0</v>
      </c>
      <c r="S16" s="470" t="e">
        <f>IF(R16&lt;&gt;0,ROUND((R16/$F16)*#REF!,5),ROUND((Q$10/$F$83)*#REF!*Q16,5))</f>
        <v>#REF!</v>
      </c>
      <c r="T16" s="519">
        <v>1</v>
      </c>
      <c r="U16" s="464">
        <f t="shared" si="5"/>
        <v>0</v>
      </c>
      <c r="V16" s="470" t="e">
        <f>IF(U16&lt;&gt;0,ROUND((U16/$F16)*#REF!,5),ROUND((T$10/$F$83)*#REF!*T16,5))</f>
        <v>#REF!</v>
      </c>
      <c r="W16" s="519">
        <v>1</v>
      </c>
      <c r="X16" s="464">
        <f t="shared" si="6"/>
        <v>0</v>
      </c>
      <c r="Y16" s="470" t="e">
        <f>IF(X16&lt;&gt;0,ROUND((X16/$F16)*#REF!,5),ROUND((W$10/$F$83)*#REF!*W16,5))</f>
        <v>#REF!</v>
      </c>
      <c r="AC16" s="472">
        <f t="shared" si="7"/>
        <v>1.4233201268155258E-5</v>
      </c>
      <c r="AD16" s="473">
        <f t="shared" si="8"/>
        <v>1.3109194964591329E-5</v>
      </c>
      <c r="AF16" s="474">
        <f t="shared" si="9"/>
        <v>427.19157600000005</v>
      </c>
      <c r="AG16" s="475">
        <f t="shared" si="10"/>
        <v>427.19157600000005</v>
      </c>
      <c r="AH16" s="520"/>
    </row>
    <row r="17" spans="1:34" x14ac:dyDescent="0.35">
      <c r="A17" s="424">
        <f t="shared" si="0"/>
        <v>11</v>
      </c>
      <c r="B17" s="461" t="s">
        <v>80</v>
      </c>
      <c r="C17" s="461"/>
      <c r="D17" s="462">
        <f>+'[13]Washington volumes'!J17</f>
        <v>192102.2</v>
      </c>
      <c r="E17" s="463">
        <f>+'[13]Rates in detail'!D17</f>
        <v>1.2303099999999996</v>
      </c>
      <c r="F17" s="464">
        <f t="shared" si="11"/>
        <v>236345.25768199994</v>
      </c>
      <c r="G17" s="465">
        <f>+'[13]Avg Bill by RS'!I17</f>
        <v>-107.16257090345997</v>
      </c>
      <c r="H17" s="462">
        <f>+'[13]Washington volumes'!L17</f>
        <v>20</v>
      </c>
      <c r="I17" s="466">
        <f t="shared" si="12"/>
        <v>210626.24066516955</v>
      </c>
      <c r="J17" s="467"/>
      <c r="K17" s="519">
        <v>1</v>
      </c>
      <c r="L17" s="468">
        <f t="shared" si="1"/>
        <v>3</v>
      </c>
      <c r="M17" s="469">
        <f t="shared" si="2"/>
        <v>2.0000000000000002E-5</v>
      </c>
      <c r="N17" s="519">
        <v>1</v>
      </c>
      <c r="O17" s="464">
        <f t="shared" si="3"/>
        <v>0</v>
      </c>
      <c r="P17" s="469" t="e">
        <f>IF(O17&lt;&gt;0,ROUND((O17/$F17)*#REF!,5),ROUND((N$10/$F$83)*#REF!*N17,5))</f>
        <v>#REF!</v>
      </c>
      <c r="Q17" s="519">
        <v>1</v>
      </c>
      <c r="R17" s="462">
        <f t="shared" si="4"/>
        <v>0</v>
      </c>
      <c r="S17" s="470" t="e">
        <f>IF(R17&lt;&gt;0,ROUND((R17/$F17)*#REF!,5),ROUND((Q$10/$F$83)*#REF!*Q17,5))</f>
        <v>#REF!</v>
      </c>
      <c r="T17" s="519">
        <v>1</v>
      </c>
      <c r="U17" s="464">
        <f t="shared" si="5"/>
        <v>0</v>
      </c>
      <c r="V17" s="470" t="e">
        <f>IF(U17&lt;&gt;0,ROUND((U17/$F17)*#REF!,5),ROUND((T$10/$F$83)*#REF!*T17,5))</f>
        <v>#REF!</v>
      </c>
      <c r="W17" s="519">
        <v>1</v>
      </c>
      <c r="X17" s="464">
        <f t="shared" si="6"/>
        <v>0</v>
      </c>
      <c r="Y17" s="470" t="e">
        <f>IF(X17&lt;&gt;0,ROUND((X17/$F17)*#REF!,5),ROUND((W$10/$F$83)*#REF!*W17,5))</f>
        <v>#REF!</v>
      </c>
      <c r="AC17" s="472">
        <f t="shared" si="7"/>
        <v>1.4243239543780637E-5</v>
      </c>
      <c r="AD17" s="473">
        <f t="shared" si="8"/>
        <v>1.2693294671630214E-5</v>
      </c>
      <c r="AF17" s="474">
        <f t="shared" si="9"/>
        <v>3.8420440000000005</v>
      </c>
      <c r="AG17" s="475">
        <f t="shared" si="10"/>
        <v>3.8420440000000005</v>
      </c>
      <c r="AH17" s="520"/>
    </row>
    <row r="18" spans="1:34" x14ac:dyDescent="0.35">
      <c r="A18" s="424">
        <f t="shared" si="0"/>
        <v>12</v>
      </c>
      <c r="B18" s="476">
        <v>27</v>
      </c>
      <c r="C18" s="476"/>
      <c r="D18" s="462">
        <f>+'[13]Washington volumes'!J18</f>
        <v>34823.1</v>
      </c>
      <c r="E18" s="463">
        <f>+'[13]Rates in detail'!D18</f>
        <v>1.11591</v>
      </c>
      <c r="F18" s="464">
        <f t="shared" si="11"/>
        <v>38859.445520999994</v>
      </c>
      <c r="G18" s="465">
        <f>+'[13]Avg Bill by RS'!I18</f>
        <v>9</v>
      </c>
      <c r="H18" s="462">
        <f>+'[13]Washington volumes'!L18</f>
        <v>403</v>
      </c>
      <c r="I18" s="466">
        <f t="shared" si="12"/>
        <v>82383.445520999987</v>
      </c>
      <c r="J18" s="467"/>
      <c r="K18" s="519">
        <v>1</v>
      </c>
      <c r="L18" s="468">
        <f t="shared" si="1"/>
        <v>1</v>
      </c>
      <c r="M18" s="469">
        <f t="shared" si="2"/>
        <v>3.0000000000000001E-5</v>
      </c>
      <c r="N18" s="519">
        <v>1</v>
      </c>
      <c r="O18" s="464">
        <f t="shared" si="3"/>
        <v>0</v>
      </c>
      <c r="P18" s="469" t="e">
        <f>IF(O18&lt;&gt;0,ROUND((O18/$F18)*#REF!,5),ROUND((N$10/$F$83)*#REF!*N18,5))</f>
        <v>#REF!</v>
      </c>
      <c r="Q18" s="519">
        <v>1</v>
      </c>
      <c r="R18" s="462">
        <f t="shared" si="4"/>
        <v>0</v>
      </c>
      <c r="S18" s="470" t="e">
        <f>IF(R18&lt;&gt;0,ROUND((R18/$F18)*#REF!,5),ROUND((Q$10/$F$83)*#REF!*Q18,5))</f>
        <v>#REF!</v>
      </c>
      <c r="T18" s="519">
        <v>1</v>
      </c>
      <c r="U18" s="464">
        <f t="shared" si="5"/>
        <v>0</v>
      </c>
      <c r="V18" s="470" t="e">
        <f>IF(U18&lt;&gt;0,ROUND((U18/$F18)*#REF!,5),ROUND((T$10/$F$83)*#REF!*T18,5))</f>
        <v>#REF!</v>
      </c>
      <c r="W18" s="519">
        <v>1</v>
      </c>
      <c r="X18" s="464">
        <f t="shared" si="6"/>
        <v>0</v>
      </c>
      <c r="Y18" s="470" t="e">
        <f>IF(X18&lt;&gt;0,ROUND((X18/$F18)*#REF!,5),ROUND((W$10/$F$83)*#REF!*W18,5))</f>
        <v>#REF!</v>
      </c>
      <c r="AC18" s="472">
        <f t="shared" si="7"/>
        <v>1.2138360973808683E-5</v>
      </c>
      <c r="AD18" s="473">
        <f t="shared" si="8"/>
        <v>2.5733769141394233E-5</v>
      </c>
      <c r="AF18" s="474">
        <f t="shared" si="9"/>
        <v>1.0446930000000001</v>
      </c>
      <c r="AG18" s="475">
        <f t="shared" si="10"/>
        <v>1.0446930000000001</v>
      </c>
      <c r="AH18" s="520"/>
    </row>
    <row r="19" spans="1:34" x14ac:dyDescent="0.35">
      <c r="A19" s="424">
        <f t="shared" si="0"/>
        <v>13</v>
      </c>
      <c r="B19" s="424" t="s">
        <v>81</v>
      </c>
      <c r="C19" s="477" t="s">
        <v>82</v>
      </c>
      <c r="D19" s="478">
        <f>+'[13]Washington volumes'!J19</f>
        <v>1665389.3</v>
      </c>
      <c r="E19" s="479">
        <f>+'[13]Rates in detail'!D19</f>
        <v>1.0394899999999998</v>
      </c>
      <c r="F19" s="480">
        <f>ROUND((E19*D19)+(D20*E20),0)</f>
        <v>4378797</v>
      </c>
      <c r="G19" s="471">
        <f>+'[13]Avg Bill by RS'!I19</f>
        <v>-265.08785319123695</v>
      </c>
      <c r="H19" s="478">
        <f>+'[13]Washington volumes'!L19</f>
        <v>101</v>
      </c>
      <c r="I19" s="466">
        <f t="shared" si="12"/>
        <v>4057510.521932221</v>
      </c>
      <c r="J19" s="481"/>
      <c r="K19" s="521">
        <v>1</v>
      </c>
      <c r="L19" s="482">
        <f>ROUND(+$K$10*(($I19*K19)/K$83),0)</f>
        <v>58</v>
      </c>
      <c r="M19" s="483">
        <f t="shared" si="2"/>
        <v>1.0000000000000001E-5</v>
      </c>
      <c r="N19" s="521">
        <v>1</v>
      </c>
      <c r="O19" s="482">
        <f t="shared" si="3"/>
        <v>0</v>
      </c>
      <c r="P19" s="483" t="e">
        <f>IF(O19&lt;&gt;0,ROUND((O19/$F19)*#REF!,5),ROUND((N$10/$F$83)*#REF!*N19,5))</f>
        <v>#REF!</v>
      </c>
      <c r="Q19" s="522">
        <v>1</v>
      </c>
      <c r="R19" s="484">
        <f t="shared" si="4"/>
        <v>0</v>
      </c>
      <c r="S19" s="485" t="e">
        <f>IF(R19&lt;&gt;0,ROUND((R19/$F19)*#REF!,5),ROUND((Q$10/$F$83)*#REF!*Q19,5))</f>
        <v>#REF!</v>
      </c>
      <c r="T19" s="522">
        <v>1</v>
      </c>
      <c r="U19" s="482">
        <f t="shared" si="5"/>
        <v>0</v>
      </c>
      <c r="V19" s="485" t="e">
        <f>IF(U19&lt;&gt;0,ROUND((U19/$F19)*#REF!,5),ROUND((T$10/$F$83)*#REF!*T19,5))</f>
        <v>#REF!</v>
      </c>
      <c r="W19" s="522">
        <v>1</v>
      </c>
      <c r="X19" s="482">
        <f t="shared" si="6"/>
        <v>0</v>
      </c>
      <c r="Y19" s="485" t="e">
        <f>IF(X19&lt;&gt;0,ROUND((X19/$F19)*#REF!,5),ROUND((W$10/$F$83)*#REF!*W19,5))</f>
        <v>#REF!</v>
      </c>
      <c r="AC19" s="472">
        <f t="shared" si="7"/>
        <v>1.4294479259262624E-5</v>
      </c>
      <c r="AD19" s="473">
        <f t="shared" si="8"/>
        <v>1.3245647149205592E-5</v>
      </c>
      <c r="AF19" s="474">
        <f t="shared" si="9"/>
        <v>16.653893</v>
      </c>
      <c r="AG19" s="475">
        <f t="shared" si="10"/>
        <v>16.653893</v>
      </c>
      <c r="AH19" s="520"/>
    </row>
    <row r="20" spans="1:34" x14ac:dyDescent="0.35">
      <c r="A20" s="424">
        <f t="shared" si="0"/>
        <v>14</v>
      </c>
      <c r="B20" s="476"/>
      <c r="C20" s="486" t="s">
        <v>83</v>
      </c>
      <c r="D20" s="462">
        <f>+'[13]Washington volumes'!J20</f>
        <v>2698480.8</v>
      </c>
      <c r="E20" s="463">
        <f>+'[13]Rates in detail'!D20</f>
        <v>0.98116000000000014</v>
      </c>
      <c r="F20" s="464"/>
      <c r="G20" s="465"/>
      <c r="H20" s="462"/>
      <c r="I20" s="466"/>
      <c r="J20" s="467"/>
      <c r="K20" s="519">
        <v>1</v>
      </c>
      <c r="L20" s="464"/>
      <c r="M20" s="469">
        <f t="shared" si="2"/>
        <v>1.0000000000000001E-5</v>
      </c>
      <c r="N20" s="519">
        <v>1</v>
      </c>
      <c r="O20" s="464"/>
      <c r="P20" s="469" t="e">
        <f>IF(O19&lt;&gt;0,ROUND((O19/$F19)*#REF!,5),ROUND((N$10/$F$83)*#REF!*N20,5))</f>
        <v>#REF!</v>
      </c>
      <c r="Q20" s="519">
        <v>1</v>
      </c>
      <c r="R20" s="462"/>
      <c r="S20" s="470" t="e">
        <f>IF(R19&lt;&gt;0,ROUND((R19/$F19)*#REF!,5),ROUND((Q$10/$F$83)*#REF!*Q20,5))</f>
        <v>#REF!</v>
      </c>
      <c r="T20" s="519">
        <v>1</v>
      </c>
      <c r="U20" s="464"/>
      <c r="V20" s="470" t="e">
        <f>IF(U19&lt;&gt;0,ROUND((U19/$F19)*#REF!,5),ROUND((T$10/$F$83)*#REF!*T20,5))</f>
        <v>#REF!</v>
      </c>
      <c r="W20" s="519">
        <v>1</v>
      </c>
      <c r="X20" s="464"/>
      <c r="Y20" s="470" t="e">
        <f>IF(X19&lt;&gt;0,ROUND((X19/$F19)*#REF!,5),ROUND((W$10/$F$83)*#REF!*W20,5))</f>
        <v>#REF!</v>
      </c>
      <c r="AC20" s="487">
        <f>AC19</f>
        <v>1.4294479259262624E-5</v>
      </c>
      <c r="AD20" s="488">
        <f>AD19</f>
        <v>1.3245647149205592E-5</v>
      </c>
      <c r="AF20" s="474">
        <f t="shared" si="9"/>
        <v>26.984808000000001</v>
      </c>
      <c r="AG20" s="475">
        <f t="shared" si="10"/>
        <v>26.984808000000001</v>
      </c>
      <c r="AH20" s="520"/>
    </row>
    <row r="21" spans="1:34" x14ac:dyDescent="0.35">
      <c r="A21" s="424">
        <f t="shared" si="0"/>
        <v>15</v>
      </c>
      <c r="B21" s="424" t="s">
        <v>84</v>
      </c>
      <c r="C21" s="477" t="s">
        <v>82</v>
      </c>
      <c r="D21" s="478">
        <f>+'[13]Washington volumes'!J21</f>
        <v>331379.44452066539</v>
      </c>
      <c r="E21" s="479">
        <f>+'[13]Rates in detail'!D21</f>
        <v>0.94622000000000028</v>
      </c>
      <c r="F21" s="480">
        <f>ROUND((E21*D21)+(D22*E22),0)</f>
        <v>847156</v>
      </c>
      <c r="G21" s="471">
        <f>+'[13]Avg Bill by RS'!I22</f>
        <v>-372.72278920943302</v>
      </c>
      <c r="H21" s="478">
        <f>+'[13]Washington volumes'!L21</f>
        <v>21</v>
      </c>
      <c r="I21" s="466">
        <f>(G21*H21*12)+F21</f>
        <v>753229.85711922287</v>
      </c>
      <c r="J21" s="481"/>
      <c r="K21" s="521">
        <v>1</v>
      </c>
      <c r="L21" s="482">
        <f>ROUND(+$K$10*(($I21*K21)/K$83),0)</f>
        <v>11</v>
      </c>
      <c r="M21" s="483">
        <f t="shared" si="2"/>
        <v>1.0000000000000001E-5</v>
      </c>
      <c r="N21" s="521">
        <v>1</v>
      </c>
      <c r="O21" s="482">
        <f>ROUND(+$N$10*(($I21*N21)/N$83),0)</f>
        <v>0</v>
      </c>
      <c r="P21" s="483" t="e">
        <f>IF(O21&lt;&gt;0,ROUND((O21/$F21)*#REF!,5),ROUND((N$10/$F$83)*#REF!*N21,5))</f>
        <v>#REF!</v>
      </c>
      <c r="Q21" s="521">
        <v>1</v>
      </c>
      <c r="R21" s="484">
        <f>ROUND(+$Q$10*(($I21*Q21)/Q$83),0)</f>
        <v>0</v>
      </c>
      <c r="S21" s="485" t="e">
        <f>IF(R21&lt;&gt;0,ROUND((R21/$F21)*#REF!,5),ROUND((Q$10/$F$83)*#REF!*Q21,5))</f>
        <v>#REF!</v>
      </c>
      <c r="T21" s="521">
        <v>1</v>
      </c>
      <c r="U21" s="482">
        <f>ROUND(+$T$10*(($I21*T21)/T$83),0)</f>
        <v>0</v>
      </c>
      <c r="V21" s="485" t="e">
        <f>IF(U21&lt;&gt;0,ROUND((U21/$F21)*#REF!,5),ROUND((T$10/$F$83)*#REF!*T21,5))</f>
        <v>#REF!</v>
      </c>
      <c r="W21" s="521">
        <v>1</v>
      </c>
      <c r="X21" s="482">
        <f>ROUND(+$W$10*(($I21*W21)/W$83),0)</f>
        <v>0</v>
      </c>
      <c r="Y21" s="485" t="e">
        <f>IF(X21&lt;&gt;0,ROUND((X21/$F21)*#REF!,5),ROUND((W$10/$F$83)*#REF!*W21,5))</f>
        <v>#REF!</v>
      </c>
      <c r="AC21" s="472">
        <f>IFERROR(L21/I21,0)</f>
        <v>1.4603775854120047E-5</v>
      </c>
      <c r="AD21" s="473">
        <f>IFERROR(L21/F21,0)</f>
        <v>1.2984621486479468E-5</v>
      </c>
      <c r="AF21" s="474">
        <f t="shared" si="9"/>
        <v>3.3137944452066543</v>
      </c>
      <c r="AG21" s="475">
        <f t="shared" si="10"/>
        <v>3.3137944452066543</v>
      </c>
      <c r="AH21" s="520"/>
    </row>
    <row r="22" spans="1:34" x14ac:dyDescent="0.35">
      <c r="A22" s="424">
        <f t="shared" si="0"/>
        <v>16</v>
      </c>
      <c r="B22" s="476"/>
      <c r="C22" s="486" t="s">
        <v>83</v>
      </c>
      <c r="D22" s="462">
        <f>+'[13]Washington volumes'!J22</f>
        <v>593486.75547933462</v>
      </c>
      <c r="E22" s="463">
        <f>+'[13]Rates in detail'!D22</f>
        <v>0.89908999999999961</v>
      </c>
      <c r="F22" s="464"/>
      <c r="G22" s="465"/>
      <c r="H22" s="462"/>
      <c r="I22" s="466"/>
      <c r="J22" s="467"/>
      <c r="K22" s="519">
        <v>1</v>
      </c>
      <c r="L22" s="464"/>
      <c r="M22" s="469">
        <f t="shared" si="2"/>
        <v>1.0000000000000001E-5</v>
      </c>
      <c r="N22" s="519">
        <v>1</v>
      </c>
      <c r="O22" s="464"/>
      <c r="P22" s="469" t="e">
        <f>IF(O21&lt;&gt;0,ROUND((O21/$F21)*#REF!,5),ROUND((N$10/$F$83)*#REF!*N22,5))</f>
        <v>#REF!</v>
      </c>
      <c r="Q22" s="519">
        <v>1</v>
      </c>
      <c r="R22" s="462"/>
      <c r="S22" s="470" t="e">
        <f>IF(R21&lt;&gt;0,ROUND((R21/$F21)*#REF!,5),ROUND((Q$10/$F$83)*#REF!*Q22,5))</f>
        <v>#REF!</v>
      </c>
      <c r="T22" s="519">
        <v>1</v>
      </c>
      <c r="U22" s="464"/>
      <c r="V22" s="470" t="e">
        <f>IF(U21&lt;&gt;0,ROUND((U21/$F21)*#REF!,5),ROUND((T$10/$F$83)*#REF!*T22,5))</f>
        <v>#REF!</v>
      </c>
      <c r="W22" s="519">
        <v>1</v>
      </c>
      <c r="X22" s="464"/>
      <c r="Y22" s="470" t="e">
        <f>IF(X21&lt;&gt;0,ROUND((X21/$F21)*#REF!,5),ROUND((W$10/$F$83)*#REF!*W22,5))</f>
        <v>#REF!</v>
      </c>
      <c r="AC22" s="487">
        <f>AC21</f>
        <v>1.4603775854120047E-5</v>
      </c>
      <c r="AD22" s="488">
        <f>AD21</f>
        <v>1.2984621486479468E-5</v>
      </c>
      <c r="AF22" s="474">
        <f t="shared" si="9"/>
        <v>5.9348675547933469</v>
      </c>
      <c r="AG22" s="475">
        <f t="shared" si="10"/>
        <v>5.9348675547933469</v>
      </c>
      <c r="AH22" s="520"/>
    </row>
    <row r="23" spans="1:34" x14ac:dyDescent="0.35">
      <c r="A23" s="424">
        <f t="shared" si="0"/>
        <v>17</v>
      </c>
      <c r="B23" s="424" t="s">
        <v>85</v>
      </c>
      <c r="C23" s="477" t="s">
        <v>82</v>
      </c>
      <c r="D23" s="478">
        <f>+'[13]Washington volumes'!J23</f>
        <v>0</v>
      </c>
      <c r="E23" s="479">
        <f>+'[13]Rates in detail'!D23</f>
        <v>0.96427000000000007</v>
      </c>
      <c r="F23" s="480">
        <f>ROUND((E23*D23)+(D24*E24),0)</f>
        <v>0</v>
      </c>
      <c r="G23" s="471">
        <f>+'[13]Avg Bill by RS'!I25</f>
        <v>250</v>
      </c>
      <c r="H23" s="478">
        <f>+'[13]Washington volumes'!L23</f>
        <v>0</v>
      </c>
      <c r="I23" s="466">
        <f>(G23*H23*12)+F23</f>
        <v>0</v>
      </c>
      <c r="J23" s="481"/>
      <c r="K23" s="521">
        <v>1</v>
      </c>
      <c r="L23" s="482">
        <f>ROUND(+$K$10*(($I23*K23)/K$83),0)</f>
        <v>0</v>
      </c>
      <c r="M23" s="483">
        <f t="shared" si="2"/>
        <v>0</v>
      </c>
      <c r="N23" s="521">
        <v>1</v>
      </c>
      <c r="O23" s="482">
        <f>ROUND(+$N$10*(($I23*N23)/N$83),0)</f>
        <v>0</v>
      </c>
      <c r="P23" s="483" t="e">
        <f>IF(O23&lt;&gt;0,ROUND((O23/$F23)*#REF!,5),ROUND((N$10/$F$83)*#REF!*N23,5))</f>
        <v>#REF!</v>
      </c>
      <c r="Q23" s="521">
        <v>1</v>
      </c>
      <c r="R23" s="484">
        <f>ROUND(+$Q$10*(($I23*Q23)/Q$83),0)</f>
        <v>0</v>
      </c>
      <c r="S23" s="485" t="e">
        <f>IF(R23&lt;&gt;0,ROUND((R23/$F23)*#REF!,5),ROUND((Q$10/$F$83)*#REF!*Q23,5))</f>
        <v>#REF!</v>
      </c>
      <c r="T23" s="521">
        <v>1</v>
      </c>
      <c r="U23" s="482">
        <f>ROUND(+$T$10*(($I23*T23)/T$83),0)</f>
        <v>0</v>
      </c>
      <c r="V23" s="485" t="e">
        <f>IF(U23&lt;&gt;0,ROUND((U23/$F23)*#REF!,5),ROUND((T$10/$F$83)*#REF!*T23,5))</f>
        <v>#REF!</v>
      </c>
      <c r="W23" s="521">
        <v>1</v>
      </c>
      <c r="X23" s="482">
        <f>ROUND(+$W$10*(($I23*W23)/W$83),0)</f>
        <v>0</v>
      </c>
      <c r="Y23" s="485" t="e">
        <f>IF(X23&lt;&gt;0,ROUND((X23/$F23)*#REF!,5),ROUND((W$10/$F$83)*#REF!*W23,5))</f>
        <v>#REF!</v>
      </c>
      <c r="AC23" s="472">
        <f>IFERROR(L23/I23,0)</f>
        <v>0</v>
      </c>
      <c r="AD23" s="473">
        <f>IFERROR(L23/F23,0)</f>
        <v>0</v>
      </c>
      <c r="AF23" s="474">
        <f t="shared" si="9"/>
        <v>0</v>
      </c>
      <c r="AG23" s="475">
        <f t="shared" si="10"/>
        <v>0</v>
      </c>
      <c r="AH23" s="520"/>
    </row>
    <row r="24" spans="1:34" x14ac:dyDescent="0.35">
      <c r="A24" s="424">
        <f t="shared" si="0"/>
        <v>18</v>
      </c>
      <c r="B24" s="476"/>
      <c r="C24" s="486" t="s">
        <v>83</v>
      </c>
      <c r="D24" s="462">
        <f>+'[13]Washington volumes'!J24</f>
        <v>0</v>
      </c>
      <c r="E24" s="463">
        <f>+'[13]Rates in detail'!D24</f>
        <v>0.91047000000000022</v>
      </c>
      <c r="F24" s="464"/>
      <c r="G24" s="465"/>
      <c r="H24" s="462"/>
      <c r="I24" s="466"/>
      <c r="J24" s="467"/>
      <c r="K24" s="519">
        <v>1</v>
      </c>
      <c r="L24" s="464"/>
      <c r="M24" s="469">
        <f t="shared" si="2"/>
        <v>0</v>
      </c>
      <c r="N24" s="519">
        <v>1</v>
      </c>
      <c r="O24" s="464"/>
      <c r="P24" s="469" t="e">
        <f>IF(O23&lt;&gt;0,ROUND((O23/$F23)*#REF!,5),ROUND((N$10/$F$83)*#REF!*N24,5))</f>
        <v>#REF!</v>
      </c>
      <c r="Q24" s="519">
        <v>1</v>
      </c>
      <c r="R24" s="462"/>
      <c r="S24" s="470" t="e">
        <f>IF(R23&lt;&gt;0,ROUND((R23/$F23)*#REF!,5),ROUND((Q$10/$F$83)*#REF!*Q24,5))</f>
        <v>#REF!</v>
      </c>
      <c r="T24" s="519">
        <v>1</v>
      </c>
      <c r="U24" s="464"/>
      <c r="V24" s="470" t="e">
        <f>IF(U23&lt;&gt;0,ROUND((U23/$F23)*#REF!,5),ROUND((T$10/$F$83)*#REF!*T24,5))</f>
        <v>#REF!</v>
      </c>
      <c r="W24" s="519">
        <v>1</v>
      </c>
      <c r="X24" s="464"/>
      <c r="Y24" s="470" t="e">
        <f>IF(X23&lt;&gt;0,ROUND((X23/$F23)*#REF!,5),ROUND((W$10/$F$83)*#REF!*W24,5))</f>
        <v>#REF!</v>
      </c>
      <c r="AC24" s="487">
        <f>AC23</f>
        <v>0</v>
      </c>
      <c r="AD24" s="488">
        <f>AD23</f>
        <v>0</v>
      </c>
      <c r="AF24" s="474">
        <f t="shared" si="9"/>
        <v>0</v>
      </c>
      <c r="AG24" s="475">
        <f t="shared" si="10"/>
        <v>0</v>
      </c>
      <c r="AH24" s="520"/>
    </row>
    <row r="25" spans="1:34" x14ac:dyDescent="0.35">
      <c r="A25" s="424">
        <f t="shared" si="0"/>
        <v>19</v>
      </c>
      <c r="B25" s="424" t="s">
        <v>86</v>
      </c>
      <c r="C25" s="477" t="s">
        <v>82</v>
      </c>
      <c r="D25" s="489">
        <f>+'[13]Washington volumes'!J25</f>
        <v>0</v>
      </c>
      <c r="E25" s="479">
        <f>+'[13]Rates in detail'!D25</f>
        <v>0.90245000000000009</v>
      </c>
      <c r="F25" s="480">
        <f>ROUND((E25*D25)+(D26*E26),0)</f>
        <v>0</v>
      </c>
      <c r="G25" s="471">
        <f>+'[13]Avg Bill by RS'!I28</f>
        <v>250</v>
      </c>
      <c r="H25" s="478">
        <f>+'[13]Washington volumes'!L25</f>
        <v>0</v>
      </c>
      <c r="I25" s="466">
        <f>(G25*H25*12)+F25</f>
        <v>0</v>
      </c>
      <c r="J25" s="481"/>
      <c r="K25" s="521">
        <v>1</v>
      </c>
      <c r="L25" s="482">
        <f>ROUND(+$K$10*(($I25*K25)/K$83),0)</f>
        <v>0</v>
      </c>
      <c r="M25" s="483">
        <f t="shared" si="2"/>
        <v>0</v>
      </c>
      <c r="N25" s="521">
        <v>1</v>
      </c>
      <c r="O25" s="482">
        <f>ROUND(+$N$10*(($I25*N25)/N$83),0)</f>
        <v>0</v>
      </c>
      <c r="P25" s="483" t="e">
        <f>IF(O25&lt;&gt;0,ROUND((O25/$F25)*#REF!,5),ROUND((N$10/$F$83)*#REF!*N25,5))</f>
        <v>#REF!</v>
      </c>
      <c r="Q25" s="521">
        <v>1</v>
      </c>
      <c r="R25" s="484">
        <f>ROUND(+$Q$10*(($I25*Q25)/Q$83),0)</f>
        <v>0</v>
      </c>
      <c r="S25" s="485" t="e">
        <f>IF(R25&lt;&gt;0,ROUND((R25/$F25)*#REF!,5),ROUND((Q$10/$F$83)*#REF!*Q25,5))</f>
        <v>#REF!</v>
      </c>
      <c r="T25" s="521">
        <v>1</v>
      </c>
      <c r="U25" s="482">
        <f>ROUND(+$T$10*(($I25*T25)/T$83),0)</f>
        <v>0</v>
      </c>
      <c r="V25" s="485" t="e">
        <f>IF(U25&lt;&gt;0,ROUND((U25/$F25)*#REF!,5),ROUND((T$10/$F$83)*#REF!*T25,5))</f>
        <v>#REF!</v>
      </c>
      <c r="W25" s="521">
        <v>1</v>
      </c>
      <c r="X25" s="482">
        <f>ROUND(+$W$10*(($I25*W25)/W$83),0)</f>
        <v>0</v>
      </c>
      <c r="Y25" s="485" t="e">
        <f>IF(X25&lt;&gt;0,ROUND((X25/$F25)*#REF!,5),ROUND((W$10/$F$83)*#REF!*W25,5))</f>
        <v>#REF!</v>
      </c>
      <c r="AC25" s="472">
        <f>IFERROR(L25/I25,0)</f>
        <v>0</v>
      </c>
      <c r="AD25" s="473">
        <f>IFERROR(L25/F25,0)</f>
        <v>0</v>
      </c>
      <c r="AF25" s="474">
        <f t="shared" si="9"/>
        <v>0</v>
      </c>
      <c r="AG25" s="475">
        <f t="shared" si="10"/>
        <v>0</v>
      </c>
      <c r="AH25" s="520"/>
    </row>
    <row r="26" spans="1:34" x14ac:dyDescent="0.35">
      <c r="A26" s="424">
        <f t="shared" si="0"/>
        <v>20</v>
      </c>
      <c r="B26" s="476"/>
      <c r="C26" s="486" t="s">
        <v>83</v>
      </c>
      <c r="D26" s="462">
        <f>+'[13]Washington volumes'!J26</f>
        <v>0</v>
      </c>
      <c r="E26" s="463">
        <f>+'[13]Rates in detail'!D26</f>
        <v>0.8560899999999998</v>
      </c>
      <c r="F26" s="464"/>
      <c r="G26" s="465"/>
      <c r="H26" s="462"/>
      <c r="I26" s="466"/>
      <c r="J26" s="467"/>
      <c r="K26" s="519">
        <v>1</v>
      </c>
      <c r="L26" s="464"/>
      <c r="M26" s="469">
        <f t="shared" si="2"/>
        <v>0</v>
      </c>
      <c r="N26" s="519">
        <v>1</v>
      </c>
      <c r="O26" s="464"/>
      <c r="P26" s="469" t="e">
        <f>IF(O25&lt;&gt;0,ROUND((O25/$F25)*#REF!,5),ROUND((N$10/$F$83)*#REF!*N26,5))</f>
        <v>#REF!</v>
      </c>
      <c r="Q26" s="519">
        <v>1</v>
      </c>
      <c r="R26" s="462"/>
      <c r="S26" s="470" t="e">
        <f>IF(R25&lt;&gt;0,ROUND((R25/$F25)*#REF!,5),ROUND((Q$10/$F$83)*#REF!*Q26,5))</f>
        <v>#REF!</v>
      </c>
      <c r="T26" s="519">
        <v>1</v>
      </c>
      <c r="U26" s="464"/>
      <c r="V26" s="470" t="e">
        <f>IF(U25&lt;&gt;0,ROUND((U25/$F25)*#REF!,5),ROUND((T$10/$F$83)*#REF!*T26,5))</f>
        <v>#REF!</v>
      </c>
      <c r="W26" s="519">
        <v>1</v>
      </c>
      <c r="X26" s="464"/>
      <c r="Y26" s="470" t="e">
        <f>IF(X25&lt;&gt;0,ROUND((X25/$F25)*#REF!,5),ROUND((W$10/$F$83)*#REF!*W26,5))</f>
        <v>#REF!</v>
      </c>
      <c r="AC26" s="487">
        <f>AC25</f>
        <v>0</v>
      </c>
      <c r="AD26" s="488">
        <f>AD25</f>
        <v>0</v>
      </c>
      <c r="AF26" s="474">
        <f t="shared" si="9"/>
        <v>0</v>
      </c>
      <c r="AG26" s="475">
        <f t="shared" si="10"/>
        <v>0</v>
      </c>
      <c r="AH26" s="520"/>
    </row>
    <row r="27" spans="1:34" x14ac:dyDescent="0.35">
      <c r="A27" s="424">
        <f t="shared" si="0"/>
        <v>21</v>
      </c>
      <c r="B27" s="424" t="s">
        <v>87</v>
      </c>
      <c r="C27" s="477" t="s">
        <v>82</v>
      </c>
      <c r="D27" s="478">
        <f>+'[13]Washington volumes'!J27</f>
        <v>123242.73967014518</v>
      </c>
      <c r="E27" s="479">
        <f>+'[13]Rates in detail'!D27</f>
        <v>0.64044000000000001</v>
      </c>
      <c r="F27" s="480">
        <f>ROUND((E27*D27)+(D28*E28),0)</f>
        <v>247866</v>
      </c>
      <c r="G27" s="471">
        <f>+'[13]Avg Bill by RS'!I31</f>
        <v>-15.087853191236945</v>
      </c>
      <c r="H27" s="478">
        <f>+'[13]Washington volumes'!L27</f>
        <v>8</v>
      </c>
      <c r="I27" s="466">
        <f>(G27*H27*12)+F27</f>
        <v>246417.56609364125</v>
      </c>
      <c r="J27" s="481"/>
      <c r="K27" s="521">
        <v>1</v>
      </c>
      <c r="L27" s="482">
        <f>ROUND(+$K$10*(($I27*K27)/K$83),0)</f>
        <v>4</v>
      </c>
      <c r="M27" s="483">
        <f t="shared" si="2"/>
        <v>1.0000000000000001E-5</v>
      </c>
      <c r="N27" s="521">
        <v>1</v>
      </c>
      <c r="O27" s="482">
        <f>ROUND(+$N$10*(($I27*N27)/N$83),0)</f>
        <v>0</v>
      </c>
      <c r="P27" s="483" t="e">
        <f>IF(O27&lt;&gt;0,ROUND((O27/$F27)*#REF!,5),ROUND((N$10/$F$83)*#REF!*N27,5))</f>
        <v>#REF!</v>
      </c>
      <c r="Q27" s="521">
        <v>1</v>
      </c>
      <c r="R27" s="484">
        <f>ROUND(+$Q$10*(($I27*Q27)/Q$83),0)</f>
        <v>0</v>
      </c>
      <c r="S27" s="485" t="e">
        <f>IF(R27&lt;&gt;0,ROUND((R27/$F27)*#REF!,5),ROUND((Q$10/$F$83)*#REF!*Q27,5))</f>
        <v>#REF!</v>
      </c>
      <c r="T27" s="521">
        <v>1</v>
      </c>
      <c r="U27" s="482">
        <f>ROUND(+$T$10*(($I27*T27)/T$83),0)</f>
        <v>0</v>
      </c>
      <c r="V27" s="485" t="e">
        <f>IF(U27&lt;&gt;0,ROUND((U27/$F27)*#REF!,5),ROUND((T$10/$F$83)*#REF!*T27,5))</f>
        <v>#REF!</v>
      </c>
      <c r="W27" s="521">
        <v>1</v>
      </c>
      <c r="X27" s="482">
        <f>ROUND(+$W$10*(($I27*W27)/W$83),0)</f>
        <v>0</v>
      </c>
      <c r="Y27" s="485" t="e">
        <f>IF(X27&lt;&gt;0,ROUND((X27/$F27)*#REF!,5),ROUND((W$10/$F$83)*#REF!*W27,5))</f>
        <v>#REF!</v>
      </c>
      <c r="AC27" s="472">
        <f>IFERROR(L27/I27,0)</f>
        <v>1.6232608995415362E-5</v>
      </c>
      <c r="AD27" s="473">
        <f>IFERROR(L27/F27,0)</f>
        <v>1.6137751849789805E-5</v>
      </c>
      <c r="AF27" s="474">
        <f t="shared" si="9"/>
        <v>1.2324273967014518</v>
      </c>
      <c r="AG27" s="475">
        <f t="shared" si="10"/>
        <v>1.2324273967014518</v>
      </c>
      <c r="AH27" s="520"/>
    </row>
    <row r="28" spans="1:34" x14ac:dyDescent="0.35">
      <c r="A28" s="424">
        <f t="shared" si="0"/>
        <v>22</v>
      </c>
      <c r="B28" s="476"/>
      <c r="C28" s="486" t="s">
        <v>83</v>
      </c>
      <c r="D28" s="462">
        <f>+'[13]Washington volumes'!J28</f>
        <v>284875.42061605473</v>
      </c>
      <c r="E28" s="463">
        <f>+'[13]Rates in detail'!D28</f>
        <v>0.5930200000000001</v>
      </c>
      <c r="F28" s="464"/>
      <c r="G28" s="465"/>
      <c r="H28" s="462"/>
      <c r="I28" s="466"/>
      <c r="J28" s="467"/>
      <c r="K28" s="519">
        <v>1</v>
      </c>
      <c r="L28" s="464"/>
      <c r="M28" s="469">
        <f t="shared" si="2"/>
        <v>1.0000000000000001E-5</v>
      </c>
      <c r="N28" s="519">
        <v>1</v>
      </c>
      <c r="O28" s="464"/>
      <c r="P28" s="469" t="e">
        <f>IF(O27&lt;&gt;0,ROUND((O27/$F27)*#REF!,5),ROUND((N$10/$F$83)*#REF!*N28,5))</f>
        <v>#REF!</v>
      </c>
      <c r="Q28" s="519">
        <v>1</v>
      </c>
      <c r="R28" s="462"/>
      <c r="S28" s="470" t="e">
        <f>IF(R27&lt;&gt;0,ROUND((R27/$F27)*#REF!,5),ROUND((Q$10/$F$83)*#REF!*Q28,5))</f>
        <v>#REF!</v>
      </c>
      <c r="T28" s="519">
        <v>1</v>
      </c>
      <c r="U28" s="464"/>
      <c r="V28" s="470" t="e">
        <f>IF(U27&lt;&gt;0,ROUND((U27/$F27)*#REF!,5),ROUND((T$10/$F$83)*#REF!*T28,5))</f>
        <v>#REF!</v>
      </c>
      <c r="W28" s="519">
        <v>1</v>
      </c>
      <c r="X28" s="464"/>
      <c r="Y28" s="470" t="e">
        <f>IF(X27&lt;&gt;0,ROUND((X27/$F27)*#REF!,5),ROUND((W$10/$F$83)*#REF!*W28,5))</f>
        <v>#REF!</v>
      </c>
      <c r="AC28" s="487">
        <f>AC27</f>
        <v>1.6232608995415362E-5</v>
      </c>
      <c r="AD28" s="488">
        <f>AD27</f>
        <v>1.6137751849789805E-5</v>
      </c>
      <c r="AF28" s="474">
        <f t="shared" si="9"/>
        <v>2.8487542061605478</v>
      </c>
      <c r="AG28" s="475">
        <f t="shared" si="10"/>
        <v>2.8487542061605478</v>
      </c>
      <c r="AH28" s="520"/>
    </row>
    <row r="29" spans="1:34" x14ac:dyDescent="0.35">
      <c r="A29" s="424">
        <f t="shared" si="0"/>
        <v>23</v>
      </c>
      <c r="B29" s="454" t="s">
        <v>88</v>
      </c>
      <c r="C29" s="477" t="s">
        <v>82</v>
      </c>
      <c r="D29" s="478">
        <f>+'[13]Washington volumes'!J29</f>
        <v>0</v>
      </c>
      <c r="E29" s="479">
        <f>+'[13]Rates in detail'!D29</f>
        <v>0.62856000000000001</v>
      </c>
      <c r="F29" s="480">
        <f>ROUND((E29*D29)+(D30*E30),0)</f>
        <v>0</v>
      </c>
      <c r="G29" s="471">
        <f>+'[13]Avg Bill by RS'!I34</f>
        <v>500</v>
      </c>
      <c r="H29" s="478">
        <f>+'[13]Washington volumes'!L29</f>
        <v>0</v>
      </c>
      <c r="I29" s="466">
        <f>(G29*H29*12)+F29</f>
        <v>0</v>
      </c>
      <c r="J29" s="490"/>
      <c r="K29" s="523">
        <v>1</v>
      </c>
      <c r="L29" s="482">
        <f>ROUND(+$K$10*(($I29*K29)/K$83),0)</f>
        <v>0</v>
      </c>
      <c r="M29" s="483">
        <f t="shared" si="2"/>
        <v>0</v>
      </c>
      <c r="N29" s="521">
        <v>1</v>
      </c>
      <c r="O29" s="482">
        <f>ROUND(+$N$10*(($I29*N29)/N$83),0)</f>
        <v>0</v>
      </c>
      <c r="P29" s="483" t="e">
        <f>IF(O29&lt;&gt;0,ROUND((O29/$F29)*#REF!,5),ROUND((N$10/$F$83)*#REF!*N29,5))</f>
        <v>#REF!</v>
      </c>
      <c r="Q29" s="521">
        <v>1</v>
      </c>
      <c r="R29" s="484">
        <f>ROUND(+$Q$10*(($I29*Q29)/Q$83),0)</f>
        <v>0</v>
      </c>
      <c r="S29" s="485" t="e">
        <f>IF(R29&lt;&gt;0,ROUND((R29/$F29)*#REF!,5),ROUND((Q$10/$F$83)*#REF!*Q29,5))</f>
        <v>#REF!</v>
      </c>
      <c r="T29" s="521">
        <v>1</v>
      </c>
      <c r="U29" s="482">
        <f>ROUND(+$T$10*(($I29*T29)/T$83),0)</f>
        <v>0</v>
      </c>
      <c r="V29" s="485" t="e">
        <f>IF(U29&lt;&gt;0,ROUND((U29/$F29)*#REF!,5),ROUND((T$10/$F$83)*#REF!*T29,5))</f>
        <v>#REF!</v>
      </c>
      <c r="W29" s="521">
        <v>1</v>
      </c>
      <c r="X29" s="482">
        <f>ROUND(+$W$10*(($I29*W29)/W$83),0)</f>
        <v>0</v>
      </c>
      <c r="Y29" s="485" t="e">
        <f>IF(X29&lt;&gt;0,ROUND((X29/$F29)*#REF!,5),ROUND((W$10/$F$83)*#REF!*W29,5))</f>
        <v>#REF!</v>
      </c>
      <c r="AC29" s="472">
        <f>IFERROR(L29/I29,0)</f>
        <v>0</v>
      </c>
      <c r="AD29" s="473">
        <f>IFERROR(L29/F29,0)</f>
        <v>0</v>
      </c>
      <c r="AF29" s="474">
        <f t="shared" si="9"/>
        <v>0</v>
      </c>
      <c r="AG29" s="475">
        <f t="shared" si="10"/>
        <v>0</v>
      </c>
      <c r="AH29" s="520"/>
    </row>
    <row r="30" spans="1:34" x14ac:dyDescent="0.35">
      <c r="A30" s="424">
        <f t="shared" si="0"/>
        <v>24</v>
      </c>
      <c r="B30" s="476"/>
      <c r="C30" s="486" t="s">
        <v>83</v>
      </c>
      <c r="D30" s="462">
        <f>+'[13]Washington volumes'!J30</f>
        <v>0</v>
      </c>
      <c r="E30" s="463">
        <f>+'[13]Rates in detail'!D30</f>
        <v>0.58256000000000019</v>
      </c>
      <c r="F30" s="464"/>
      <c r="G30" s="465"/>
      <c r="H30" s="462"/>
      <c r="I30" s="466"/>
      <c r="J30" s="467"/>
      <c r="K30" s="519">
        <v>1</v>
      </c>
      <c r="L30" s="464"/>
      <c r="M30" s="469">
        <f t="shared" si="2"/>
        <v>0</v>
      </c>
      <c r="N30" s="519">
        <v>1</v>
      </c>
      <c r="O30" s="464"/>
      <c r="P30" s="469" t="e">
        <f>IF(O29&lt;&gt;0,ROUND((O29/$F29)*#REF!,5),ROUND((N$10/$F$83)*#REF!*N30,5))</f>
        <v>#REF!</v>
      </c>
      <c r="Q30" s="519">
        <v>1</v>
      </c>
      <c r="R30" s="462"/>
      <c r="S30" s="470" t="e">
        <f>IF(R29&lt;&gt;0,ROUND((R29/$F29)*#REF!,5),ROUND((Q$10/$F$83)*#REF!*Q30,5))</f>
        <v>#REF!</v>
      </c>
      <c r="T30" s="519">
        <v>1</v>
      </c>
      <c r="U30" s="464"/>
      <c r="V30" s="470" t="e">
        <f>IF(U29&lt;&gt;0,ROUND((U29/$F29)*#REF!,5),ROUND((T$10/$F$83)*#REF!*T30,5))</f>
        <v>#REF!</v>
      </c>
      <c r="W30" s="519">
        <v>1</v>
      </c>
      <c r="X30" s="464"/>
      <c r="Y30" s="470" t="e">
        <f>IF(X29&lt;&gt;0,ROUND((X29/$F29)*#REF!,5),ROUND((W$10/$F$83)*#REF!*W30,5))</f>
        <v>#REF!</v>
      </c>
      <c r="AC30" s="487">
        <f>AC29</f>
        <v>0</v>
      </c>
      <c r="AD30" s="488">
        <f>AD29</f>
        <v>0</v>
      </c>
      <c r="AF30" s="474">
        <f t="shared" si="9"/>
        <v>0</v>
      </c>
      <c r="AG30" s="475">
        <f t="shared" si="10"/>
        <v>0</v>
      </c>
      <c r="AH30" s="520"/>
    </row>
    <row r="31" spans="1:34" x14ac:dyDescent="0.35">
      <c r="A31" s="424">
        <f t="shared" si="0"/>
        <v>25</v>
      </c>
      <c r="B31" s="424" t="s">
        <v>89</v>
      </c>
      <c r="C31" s="477" t="s">
        <v>82</v>
      </c>
      <c r="D31" s="478">
        <f>+'[13]Washington volumes'!J31</f>
        <v>820212.7</v>
      </c>
      <c r="E31" s="479">
        <f>+'[13]Rates in detail'!D31</f>
        <v>0.79625999999999986</v>
      </c>
      <c r="F31" s="480">
        <f>ROUND((E31*D31)+(D32*E32)+(D33*E33)+(D34*E34)+(D35*E35)+(D36*E36),0)</f>
        <v>1657327</v>
      </c>
      <c r="G31" s="471">
        <f>+'[13]Avg Bill by RS'!I37</f>
        <v>-3842.2693365131181</v>
      </c>
      <c r="H31" s="478">
        <f>+'[13]Washington volumes'!L31</f>
        <v>8</v>
      </c>
      <c r="I31" s="491">
        <v>1412529</v>
      </c>
      <c r="J31" s="481"/>
      <c r="K31" s="521">
        <v>1</v>
      </c>
      <c r="L31" s="492">
        <f>ROUND(+$K$10*(($I31*K31)/K$83),0)</f>
        <v>20</v>
      </c>
      <c r="M31" s="493">
        <f t="shared" si="2"/>
        <v>1.0000000000000001E-5</v>
      </c>
      <c r="N31" s="521">
        <v>1</v>
      </c>
      <c r="O31" s="492">
        <f>ROUND(+$N$10*(($I31*N31)/N$83),0)</f>
        <v>0</v>
      </c>
      <c r="P31" s="493" t="e">
        <f>IF(O31&lt;&gt;0,ROUND((O31/$F31)*#REF!,5),ROUND((N$10/$F$83)*#REF!*N31,5))</f>
        <v>#REF!</v>
      </c>
      <c r="Q31" s="521">
        <v>1</v>
      </c>
      <c r="R31" s="494">
        <f>ROUND(+$Q$10*(($I31*Q31)/Q$83),0)</f>
        <v>0</v>
      </c>
      <c r="S31" s="485" t="e">
        <f>IF(R31&lt;&gt;0,ROUND((R31/$F31)*#REF!,5),ROUND((Q$10/$F$83)*#REF!*Q31,5))</f>
        <v>#REF!</v>
      </c>
      <c r="T31" s="521">
        <v>1</v>
      </c>
      <c r="U31" s="492">
        <f>ROUND(+$T$10*(($I31*T31)/T$83),0)</f>
        <v>0</v>
      </c>
      <c r="V31" s="485" t="e">
        <f>IF(U31&lt;&gt;0,ROUND((U31/$F31)*#REF!,5),ROUND((T$10/$F$83)*#REF!*T31,5))</f>
        <v>#REF!</v>
      </c>
      <c r="W31" s="521">
        <v>1</v>
      </c>
      <c r="X31" s="492">
        <f>ROUND(+$W$10*(($I31*W31)/W$83),0)</f>
        <v>0</v>
      </c>
      <c r="Y31" s="485" t="e">
        <f>IF(X31&lt;&gt;0,ROUND((X31/$F31)*#REF!,5),ROUND((W$10/$F$83)*#REF!*W31,5))</f>
        <v>#REF!</v>
      </c>
      <c r="AC31" s="472">
        <f>IFERROR(L31/I31,0)</f>
        <v>1.4159001337317677E-5</v>
      </c>
      <c r="AD31" s="473">
        <f>IFERROR(L31/F31,0)</f>
        <v>1.2067624554478386E-5</v>
      </c>
      <c r="AF31" s="474">
        <f t="shared" si="9"/>
        <v>8.2021270000000008</v>
      </c>
      <c r="AG31" s="475">
        <f t="shared" si="10"/>
        <v>8.2021270000000008</v>
      </c>
      <c r="AH31" s="520"/>
    </row>
    <row r="32" spans="1:34" x14ac:dyDescent="0.35">
      <c r="A32" s="424">
        <f t="shared" si="0"/>
        <v>26</v>
      </c>
      <c r="B32" s="424"/>
      <c r="C32" s="477" t="s">
        <v>83</v>
      </c>
      <c r="D32" s="478">
        <f>+'[13]Washington volumes'!J32</f>
        <v>926222.5</v>
      </c>
      <c r="E32" s="479">
        <f>+'[13]Rates in detail'!D32</f>
        <v>0.77026999999999957</v>
      </c>
      <c r="F32" s="480"/>
      <c r="G32" s="471"/>
      <c r="H32" s="478"/>
      <c r="I32" s="495"/>
      <c r="J32" s="481"/>
      <c r="K32" s="521">
        <v>1</v>
      </c>
      <c r="L32" s="480"/>
      <c r="M32" s="496">
        <f t="shared" si="2"/>
        <v>1.0000000000000001E-5</v>
      </c>
      <c r="N32" s="521">
        <v>1</v>
      </c>
      <c r="O32" s="480"/>
      <c r="P32" s="496" t="e">
        <f>IF(O31&lt;&gt;0,ROUND((O31/$F31)*#REF!,5),ROUND((N$10/$F$83)*#REF!*N32,5))</f>
        <v>#REF!</v>
      </c>
      <c r="Q32" s="521">
        <v>1</v>
      </c>
      <c r="R32" s="478"/>
      <c r="S32" s="485" t="e">
        <f>IF(R31&lt;&gt;0,ROUND((R31/$F31)*#REF!,5),ROUND((Q$10/$F$83)*#REF!*Q32,5))</f>
        <v>#REF!</v>
      </c>
      <c r="T32" s="521">
        <v>1</v>
      </c>
      <c r="U32" s="480"/>
      <c r="V32" s="485" t="e">
        <f>IF(U31&lt;&gt;0,ROUND((U31/$F31)*#REF!,5),ROUND((T$10/$F$83)*#REF!*T32,5))</f>
        <v>#REF!</v>
      </c>
      <c r="W32" s="521">
        <v>1</v>
      </c>
      <c r="X32" s="480"/>
      <c r="Y32" s="485" t="e">
        <f>IF(X31&lt;&gt;0,ROUND((X31/$F31)*#REF!,5),ROUND((W$10/$F$83)*#REF!*W32,5))</f>
        <v>#REF!</v>
      </c>
      <c r="AC32" s="487">
        <f>AC31</f>
        <v>1.4159001337317677E-5</v>
      </c>
      <c r="AD32" s="488">
        <f>AD31</f>
        <v>1.2067624554478386E-5</v>
      </c>
      <c r="AF32" s="474">
        <f t="shared" si="9"/>
        <v>9.2622250000000008</v>
      </c>
      <c r="AG32" s="475">
        <f t="shared" si="10"/>
        <v>9.2622250000000008</v>
      </c>
      <c r="AH32" s="520"/>
    </row>
    <row r="33" spans="1:34" x14ac:dyDescent="0.35">
      <c r="A33" s="424">
        <f t="shared" si="0"/>
        <v>27</v>
      </c>
      <c r="B33" s="424"/>
      <c r="C33" s="477" t="s">
        <v>90</v>
      </c>
      <c r="D33" s="478">
        <f>+'[13]Washington volumes'!J33</f>
        <v>323675.40000000002</v>
      </c>
      <c r="E33" s="479">
        <f>+'[13]Rates in detail'!D33</f>
        <v>0.71862999999999988</v>
      </c>
      <c r="F33" s="480"/>
      <c r="G33" s="471"/>
      <c r="H33" s="478"/>
      <c r="I33" s="495"/>
      <c r="J33" s="481"/>
      <c r="K33" s="521">
        <v>1</v>
      </c>
      <c r="L33" s="480"/>
      <c r="M33" s="496">
        <f t="shared" si="2"/>
        <v>1.0000000000000001E-5</v>
      </c>
      <c r="N33" s="521">
        <v>1</v>
      </c>
      <c r="O33" s="480"/>
      <c r="P33" s="496" t="e">
        <f>IF(O31&lt;&gt;0,ROUND((O31/$F31)*#REF!,5),ROUND((N$10/$F$83)*#REF!*N33,5))</f>
        <v>#REF!</v>
      </c>
      <c r="Q33" s="521">
        <v>1</v>
      </c>
      <c r="R33" s="478"/>
      <c r="S33" s="485" t="e">
        <f>IF(R31&lt;&gt;0,ROUND((R31/$F31)*#REF!,5),ROUND((Q$10/$F$83)*#REF!*Q33,5))</f>
        <v>#REF!</v>
      </c>
      <c r="T33" s="521">
        <v>1</v>
      </c>
      <c r="U33" s="480"/>
      <c r="V33" s="485" t="e">
        <f>IF(U31&lt;&gt;0,ROUND((U31/$F31)*#REF!,5),ROUND((T$10/$F$83)*#REF!*T33,5))</f>
        <v>#REF!</v>
      </c>
      <c r="W33" s="521">
        <v>1</v>
      </c>
      <c r="X33" s="480"/>
      <c r="Y33" s="485" t="e">
        <f>IF(X31&lt;&gt;0,ROUND((X31/$F31)*#REF!,5),ROUND((W$10/$F$83)*#REF!*W33,5))</f>
        <v>#REF!</v>
      </c>
      <c r="AC33" s="487">
        <f t="shared" ref="AC33:AD36" si="13">AC32</f>
        <v>1.4159001337317677E-5</v>
      </c>
      <c r="AD33" s="488">
        <f t="shared" si="13"/>
        <v>1.2067624554478386E-5</v>
      </c>
      <c r="AF33" s="474">
        <f t="shared" si="9"/>
        <v>3.2367540000000004</v>
      </c>
      <c r="AG33" s="475">
        <f t="shared" si="10"/>
        <v>3.2367540000000004</v>
      </c>
      <c r="AH33" s="520"/>
    </row>
    <row r="34" spans="1:34" x14ac:dyDescent="0.35">
      <c r="A34" s="424">
        <f t="shared" si="0"/>
        <v>28</v>
      </c>
      <c r="B34" s="424"/>
      <c r="C34" s="477" t="s">
        <v>91</v>
      </c>
      <c r="D34" s="478">
        <f>+'[13]Washington volumes'!J34</f>
        <v>84982.8</v>
      </c>
      <c r="E34" s="479">
        <f>+'[13]Rates in detail'!D34</f>
        <v>0.68461000000000016</v>
      </c>
      <c r="F34" s="480"/>
      <c r="G34" s="471"/>
      <c r="H34" s="478"/>
      <c r="I34" s="495"/>
      <c r="J34" s="481"/>
      <c r="K34" s="521">
        <v>1</v>
      </c>
      <c r="L34" s="480"/>
      <c r="M34" s="496">
        <f t="shared" si="2"/>
        <v>1.0000000000000001E-5</v>
      </c>
      <c r="N34" s="521">
        <v>1</v>
      </c>
      <c r="O34" s="480"/>
      <c r="P34" s="496" t="e">
        <f>IF(O31&lt;&gt;0,ROUND((O31/$F31)*#REF!,5),ROUND((N$10/$F$83)*#REF!*N34,5))</f>
        <v>#REF!</v>
      </c>
      <c r="Q34" s="521">
        <v>1</v>
      </c>
      <c r="R34" s="478"/>
      <c r="S34" s="485" t="e">
        <f>IF(R31&lt;&gt;0,ROUND((R31/$F31)*#REF!,5),ROUND((Q$10/$F$83)*#REF!*Q34,5))</f>
        <v>#REF!</v>
      </c>
      <c r="T34" s="521">
        <v>1</v>
      </c>
      <c r="U34" s="480"/>
      <c r="V34" s="485" t="e">
        <f>IF(U31&lt;&gt;0,ROUND((U31/$F31)*#REF!,5),ROUND((T$10/$F$83)*#REF!*T34,5))</f>
        <v>#REF!</v>
      </c>
      <c r="W34" s="521">
        <v>1</v>
      </c>
      <c r="X34" s="480"/>
      <c r="Y34" s="485" t="e">
        <f>IF(X31&lt;&gt;0,ROUND((X31/$F31)*#REF!,5),ROUND((W$10/$F$83)*#REF!*W34,5))</f>
        <v>#REF!</v>
      </c>
      <c r="AC34" s="487">
        <f t="shared" si="13"/>
        <v>1.4159001337317677E-5</v>
      </c>
      <c r="AD34" s="488">
        <f t="shared" si="13"/>
        <v>1.2067624554478386E-5</v>
      </c>
      <c r="AF34" s="474">
        <f t="shared" si="9"/>
        <v>0.84982800000000014</v>
      </c>
      <c r="AG34" s="475">
        <f t="shared" si="10"/>
        <v>0.84982800000000014</v>
      </c>
      <c r="AH34" s="520"/>
    </row>
    <row r="35" spans="1:34" x14ac:dyDescent="0.35">
      <c r="A35" s="424">
        <f t="shared" si="0"/>
        <v>29</v>
      </c>
      <c r="B35" s="424"/>
      <c r="C35" s="477" t="s">
        <v>92</v>
      </c>
      <c r="D35" s="478">
        <f>+'[13]Washington volumes'!J35</f>
        <v>0</v>
      </c>
      <c r="E35" s="479">
        <f>+'[13]Rates in detail'!D35</f>
        <v>0.63927</v>
      </c>
      <c r="F35" s="480"/>
      <c r="G35" s="471"/>
      <c r="H35" s="478"/>
      <c r="I35" s="495"/>
      <c r="J35" s="481"/>
      <c r="K35" s="521">
        <v>1</v>
      </c>
      <c r="L35" s="480"/>
      <c r="M35" s="496">
        <f t="shared" si="2"/>
        <v>1.0000000000000001E-5</v>
      </c>
      <c r="N35" s="521">
        <v>1</v>
      </c>
      <c r="O35" s="480"/>
      <c r="P35" s="496" t="e">
        <f>IF(O31&lt;&gt;0,ROUND((O31/$F31)*#REF!,5),ROUND((N$10/$F$83)*#REF!*N35,5))</f>
        <v>#REF!</v>
      </c>
      <c r="Q35" s="521">
        <v>1</v>
      </c>
      <c r="R35" s="478"/>
      <c r="S35" s="485" t="e">
        <f>IF(R31&lt;&gt;0,ROUND((R31/$F31)*#REF!,5),ROUND((Q$10/$F$83)*#REF!*Q35,5))</f>
        <v>#REF!</v>
      </c>
      <c r="T35" s="521">
        <v>1</v>
      </c>
      <c r="U35" s="480"/>
      <c r="V35" s="485" t="e">
        <f>IF(U31&lt;&gt;0,ROUND((U31/$F31)*#REF!,5),ROUND((T$10/$F$83)*#REF!*T35,5))</f>
        <v>#REF!</v>
      </c>
      <c r="W35" s="521">
        <v>1</v>
      </c>
      <c r="X35" s="480"/>
      <c r="Y35" s="485" t="e">
        <f>IF(X31&lt;&gt;0,ROUND((X31/$F31)*#REF!,5),ROUND((W$10/$F$83)*#REF!*W35,5))</f>
        <v>#REF!</v>
      </c>
      <c r="AC35" s="487">
        <f t="shared" si="13"/>
        <v>1.4159001337317677E-5</v>
      </c>
      <c r="AD35" s="488">
        <f t="shared" si="13"/>
        <v>1.2067624554478386E-5</v>
      </c>
      <c r="AF35" s="474">
        <f t="shared" si="9"/>
        <v>0</v>
      </c>
      <c r="AG35" s="475">
        <f t="shared" si="10"/>
        <v>0</v>
      </c>
      <c r="AH35" s="520"/>
    </row>
    <row r="36" spans="1:34" x14ac:dyDescent="0.35">
      <c r="A36" s="424">
        <f t="shared" si="0"/>
        <v>30</v>
      </c>
      <c r="B36" s="476"/>
      <c r="C36" s="486" t="s">
        <v>93</v>
      </c>
      <c r="D36" s="462">
        <f>+'[13]Washington volumes'!J36</f>
        <v>0</v>
      </c>
      <c r="E36" s="463">
        <f>+'[13]Rates in detail'!D36</f>
        <v>0.58259000000000005</v>
      </c>
      <c r="F36" s="464"/>
      <c r="G36" s="465"/>
      <c r="H36" s="462"/>
      <c r="I36" s="466"/>
      <c r="J36" s="467"/>
      <c r="K36" s="519">
        <v>1</v>
      </c>
      <c r="L36" s="464"/>
      <c r="M36" s="469">
        <f t="shared" si="2"/>
        <v>1.0000000000000001E-5</v>
      </c>
      <c r="N36" s="519">
        <v>1</v>
      </c>
      <c r="O36" s="464"/>
      <c r="P36" s="469" t="e">
        <f>IF(O31&lt;&gt;0,ROUND((O31/$F31)*#REF!,5),ROUND((N$10/$F$83)*#REF!*N36,5))</f>
        <v>#REF!</v>
      </c>
      <c r="Q36" s="519">
        <v>1</v>
      </c>
      <c r="R36" s="462"/>
      <c r="S36" s="470" t="e">
        <f>IF(R31&lt;&gt;0,ROUND((R31/$F31)*#REF!,5),ROUND((Q$10/$F$83)*#REF!*Q36,5))</f>
        <v>#REF!</v>
      </c>
      <c r="T36" s="519">
        <v>1</v>
      </c>
      <c r="U36" s="464"/>
      <c r="V36" s="470" t="e">
        <f>IF(U31&lt;&gt;0,ROUND((U31/$F31)*#REF!,5),ROUND((T$10/$F$83)*#REF!*T36,5))</f>
        <v>#REF!</v>
      </c>
      <c r="W36" s="519">
        <v>1</v>
      </c>
      <c r="X36" s="464"/>
      <c r="Y36" s="470" t="e">
        <f>IF(X31&lt;&gt;0,ROUND((X31/$F31)*#REF!,5),ROUND((W$10/$F$83)*#REF!*W36,5))</f>
        <v>#REF!</v>
      </c>
      <c r="AC36" s="487">
        <f t="shared" si="13"/>
        <v>1.4159001337317677E-5</v>
      </c>
      <c r="AD36" s="488">
        <f t="shared" si="13"/>
        <v>1.2067624554478386E-5</v>
      </c>
      <c r="AF36" s="474">
        <f t="shared" si="9"/>
        <v>0</v>
      </c>
      <c r="AG36" s="475">
        <f t="shared" si="10"/>
        <v>0</v>
      </c>
      <c r="AH36" s="520"/>
    </row>
    <row r="37" spans="1:34" x14ac:dyDescent="0.35">
      <c r="A37" s="424">
        <f t="shared" si="0"/>
        <v>31</v>
      </c>
      <c r="B37" s="424" t="s">
        <v>94</v>
      </c>
      <c r="C37" s="477" t="s">
        <v>82</v>
      </c>
      <c r="D37" s="478">
        <f>+'[13]Washington volumes'!J37</f>
        <v>887029.75709862076</v>
      </c>
      <c r="E37" s="479">
        <f>+'[13]Rates in detail'!D37</f>
        <v>0.73169000000000006</v>
      </c>
      <c r="F37" s="480">
        <f>ROUND((E37*D37)+(D38*E38)+(D39*E39)+(D40*E40)+(D41*E41)+(D42*E42),0)</f>
        <v>1214540</v>
      </c>
      <c r="G37" s="471">
        <f>+'[13]Avg Bill by RS'!I44</f>
        <v>-1522.7999799999998</v>
      </c>
      <c r="H37" s="478">
        <f>+'[13]Washington volumes'!L37</f>
        <v>12</v>
      </c>
      <c r="I37" s="491">
        <v>301220</v>
      </c>
      <c r="J37" s="481"/>
      <c r="K37" s="521">
        <v>1</v>
      </c>
      <c r="L37" s="492">
        <f>ROUND(+$K$10*(($I37*K37)/K$83),0)</f>
        <v>4</v>
      </c>
      <c r="M37" s="493">
        <f t="shared" si="2"/>
        <v>0</v>
      </c>
      <c r="N37" s="521">
        <v>1</v>
      </c>
      <c r="O37" s="492">
        <f>ROUND(+$N$10*(($I37*N37)/N$83),0)</f>
        <v>0</v>
      </c>
      <c r="P37" s="493" t="e">
        <f>IF(O37&lt;&gt;0,ROUND((O37/$F37)*#REF!,5),ROUND((N$10/$F$83)*#REF!*N37,5))</f>
        <v>#REF!</v>
      </c>
      <c r="Q37" s="521">
        <v>1</v>
      </c>
      <c r="R37" s="494">
        <f>ROUND(+$Q$10*(($I37*Q37)/Q$83),0)</f>
        <v>0</v>
      </c>
      <c r="S37" s="485" t="e">
        <f>IF(R37&lt;&gt;0,ROUND((R37/$F37)*#REF!,5),ROUND((Q$10/$F$83)*#REF!*Q37,5))</f>
        <v>#REF!</v>
      </c>
      <c r="T37" s="521">
        <v>1</v>
      </c>
      <c r="U37" s="492">
        <f>ROUND(+$T$10*(($I37*T37)/T$83),0)</f>
        <v>0</v>
      </c>
      <c r="V37" s="485" t="e">
        <f>IF(U37&lt;&gt;0,ROUND((U37/$F37)*#REF!,5),ROUND((T$10/$F$83)*#REF!*T37,5))</f>
        <v>#REF!</v>
      </c>
      <c r="W37" s="521">
        <v>1</v>
      </c>
      <c r="X37" s="492">
        <f>ROUND(+$W$10*(($I37*W37)/W$83),0)</f>
        <v>0</v>
      </c>
      <c r="Y37" s="485" t="e">
        <f>IF(X37&lt;&gt;0,ROUND((X37/$F37)*#REF!,5),ROUND((W$10/$F$83)*#REF!*W37,5))</f>
        <v>#REF!</v>
      </c>
      <c r="AC37" s="472">
        <f>IFERROR(L37/I37,0)</f>
        <v>1.3279330721731625E-5</v>
      </c>
      <c r="AD37" s="473">
        <f>IFERROR(L37/F37,0)</f>
        <v>3.2934279644968465E-6</v>
      </c>
      <c r="AF37" s="474">
        <f t="shared" si="9"/>
        <v>0</v>
      </c>
      <c r="AG37" s="475">
        <f t="shared" si="10"/>
        <v>0</v>
      </c>
      <c r="AH37" s="520"/>
    </row>
    <row r="38" spans="1:34" x14ac:dyDescent="0.35">
      <c r="A38" s="424">
        <f t="shared" si="0"/>
        <v>32</v>
      </c>
      <c r="B38" s="424"/>
      <c r="C38" s="477" t="s">
        <v>83</v>
      </c>
      <c r="D38" s="478">
        <f>+'[13]Washington volumes'!J38</f>
        <v>668287.37243846827</v>
      </c>
      <c r="E38" s="479">
        <f>+'[13]Rates in detail'!D38</f>
        <v>0.71257999999999988</v>
      </c>
      <c r="F38" s="480"/>
      <c r="G38" s="471"/>
      <c r="H38" s="478"/>
      <c r="I38" s="495"/>
      <c r="J38" s="481"/>
      <c r="K38" s="521">
        <v>1</v>
      </c>
      <c r="L38" s="480"/>
      <c r="M38" s="496">
        <f t="shared" si="2"/>
        <v>0</v>
      </c>
      <c r="N38" s="521">
        <v>1</v>
      </c>
      <c r="O38" s="480"/>
      <c r="P38" s="496" t="e">
        <f>IF(O37&lt;&gt;0,ROUND((O37/$F37)*#REF!,5),ROUND((N$10/$F$83)*#REF!*N38,5))</f>
        <v>#REF!</v>
      </c>
      <c r="Q38" s="521">
        <v>1</v>
      </c>
      <c r="R38" s="478"/>
      <c r="S38" s="485" t="e">
        <f>IF(R37&lt;&gt;0,ROUND((R37/$F37)*#REF!,5),ROUND((Q$10/$F$83)*#REF!*Q38,5))</f>
        <v>#REF!</v>
      </c>
      <c r="T38" s="521">
        <v>1</v>
      </c>
      <c r="U38" s="480"/>
      <c r="V38" s="485" t="e">
        <f>IF(U37&lt;&gt;0,ROUND((U37/$F37)*#REF!,5),ROUND((T$10/$F$83)*#REF!*T38,5))</f>
        <v>#REF!</v>
      </c>
      <c r="W38" s="521">
        <v>1</v>
      </c>
      <c r="X38" s="480"/>
      <c r="Y38" s="485" t="e">
        <f>IF(X37&lt;&gt;0,ROUND((X37/$F37)*#REF!,5),ROUND((W$10/$F$83)*#REF!*W38,5))</f>
        <v>#REF!</v>
      </c>
      <c r="AC38" s="487">
        <f>AC37</f>
        <v>1.3279330721731625E-5</v>
      </c>
      <c r="AD38" s="488">
        <f>AD37</f>
        <v>3.2934279644968465E-6</v>
      </c>
      <c r="AF38" s="474">
        <f t="shared" si="9"/>
        <v>0</v>
      </c>
      <c r="AG38" s="475">
        <f t="shared" si="10"/>
        <v>0</v>
      </c>
      <c r="AH38" s="520"/>
    </row>
    <row r="39" spans="1:34" x14ac:dyDescent="0.35">
      <c r="A39" s="424">
        <f t="shared" si="0"/>
        <v>33</v>
      </c>
      <c r="B39" s="424"/>
      <c r="C39" s="477" t="s">
        <v>90</v>
      </c>
      <c r="D39" s="478">
        <f>+'[13]Washington volumes'!J39</f>
        <v>109047.67533172015</v>
      </c>
      <c r="E39" s="479">
        <f>+'[13]Rates in detail'!D39</f>
        <v>0.67456999999999967</v>
      </c>
      <c r="F39" s="480"/>
      <c r="G39" s="471"/>
      <c r="H39" s="478"/>
      <c r="I39" s="495"/>
      <c r="J39" s="481"/>
      <c r="K39" s="521">
        <v>1</v>
      </c>
      <c r="L39" s="480"/>
      <c r="M39" s="496">
        <f t="shared" si="2"/>
        <v>0</v>
      </c>
      <c r="N39" s="521">
        <v>1</v>
      </c>
      <c r="O39" s="480"/>
      <c r="P39" s="496" t="e">
        <f>IF(O37&lt;&gt;0,ROUND((O37/$F37)*#REF!,5),ROUND((N$10/$F$83)*#REF!*N39,5))</f>
        <v>#REF!</v>
      </c>
      <c r="Q39" s="521">
        <v>1</v>
      </c>
      <c r="R39" s="478"/>
      <c r="S39" s="485" t="e">
        <f>IF(R37&lt;&gt;0,ROUND((R37/$F37)*#REF!,5),ROUND((Q$10/$F$83)*#REF!*Q39,5))</f>
        <v>#REF!</v>
      </c>
      <c r="T39" s="521">
        <v>1</v>
      </c>
      <c r="U39" s="480"/>
      <c r="V39" s="485" t="e">
        <f>IF(U37&lt;&gt;0,ROUND((U37/$F37)*#REF!,5),ROUND((T$10/$F$83)*#REF!*T39,5))</f>
        <v>#REF!</v>
      </c>
      <c r="W39" s="521">
        <v>1</v>
      </c>
      <c r="X39" s="480"/>
      <c r="Y39" s="485" t="e">
        <f>IF(X37&lt;&gt;0,ROUND((X37/$F37)*#REF!,5),ROUND((W$10/$F$83)*#REF!*W39,5))</f>
        <v>#REF!</v>
      </c>
      <c r="AC39" s="487">
        <f t="shared" ref="AC39:AD42" si="14">AC38</f>
        <v>1.3279330721731625E-5</v>
      </c>
      <c r="AD39" s="488">
        <f t="shared" si="14"/>
        <v>3.2934279644968465E-6</v>
      </c>
      <c r="AF39" s="474">
        <f t="shared" si="9"/>
        <v>0</v>
      </c>
      <c r="AG39" s="475">
        <f t="shared" si="10"/>
        <v>0</v>
      </c>
      <c r="AH39" s="520"/>
    </row>
    <row r="40" spans="1:34" x14ac:dyDescent="0.35">
      <c r="A40" s="424">
        <f t="shared" si="0"/>
        <v>34</v>
      </c>
      <c r="B40" s="424"/>
      <c r="C40" s="477" t="s">
        <v>91</v>
      </c>
      <c r="D40" s="478">
        <f>+'[13]Washington volumes'!J40</f>
        <v>24232.772003191028</v>
      </c>
      <c r="E40" s="479">
        <f>+'[13]Rates in detail'!D40</f>
        <v>0.64957000000000009</v>
      </c>
      <c r="F40" s="480"/>
      <c r="G40" s="471"/>
      <c r="H40" s="478"/>
      <c r="I40" s="495"/>
      <c r="J40" s="481"/>
      <c r="K40" s="521">
        <v>1</v>
      </c>
      <c r="L40" s="480"/>
      <c r="M40" s="496">
        <f t="shared" si="2"/>
        <v>0</v>
      </c>
      <c r="N40" s="521">
        <v>1</v>
      </c>
      <c r="O40" s="480"/>
      <c r="P40" s="496" t="e">
        <f>IF(O37&lt;&gt;0,ROUND((O37/$F37)*#REF!,5),ROUND((N$10/$F$83)*#REF!*N40,5))</f>
        <v>#REF!</v>
      </c>
      <c r="Q40" s="521">
        <v>1</v>
      </c>
      <c r="R40" s="478"/>
      <c r="S40" s="485" t="e">
        <f>IF(R37&lt;&gt;0,ROUND((R37/$F37)*#REF!,5),ROUND((Q$10/$F$83)*#REF!*Q40,5))</f>
        <v>#REF!</v>
      </c>
      <c r="T40" s="521">
        <v>1</v>
      </c>
      <c r="U40" s="480"/>
      <c r="V40" s="485" t="e">
        <f>IF(U37&lt;&gt;0,ROUND((U37/$F37)*#REF!,5),ROUND((T$10/$F$83)*#REF!*T40,5))</f>
        <v>#REF!</v>
      </c>
      <c r="W40" s="521">
        <v>1</v>
      </c>
      <c r="X40" s="480"/>
      <c r="Y40" s="485" t="e">
        <f>IF(X37&lt;&gt;0,ROUND((X37/$F37)*#REF!,5),ROUND((W$10/$F$83)*#REF!*W40,5))</f>
        <v>#REF!</v>
      </c>
      <c r="AC40" s="487">
        <f t="shared" si="14"/>
        <v>1.3279330721731625E-5</v>
      </c>
      <c r="AD40" s="488">
        <f t="shared" si="14"/>
        <v>3.2934279644968465E-6</v>
      </c>
      <c r="AF40" s="474">
        <f t="shared" si="9"/>
        <v>0</v>
      </c>
      <c r="AG40" s="475">
        <f t="shared" si="10"/>
        <v>0</v>
      </c>
      <c r="AH40" s="520"/>
    </row>
    <row r="41" spans="1:34" x14ac:dyDescent="0.35">
      <c r="A41" s="424">
        <f t="shared" si="0"/>
        <v>35</v>
      </c>
      <c r="B41" s="424"/>
      <c r="C41" s="477" t="s">
        <v>92</v>
      </c>
      <c r="D41" s="478">
        <f>+'[13]Washington volumes'!J41</f>
        <v>0</v>
      </c>
      <c r="E41" s="479">
        <f>+'[13]Rates in detail'!D41</f>
        <v>0.61626000000000036</v>
      </c>
      <c r="F41" s="480"/>
      <c r="G41" s="471"/>
      <c r="H41" s="478"/>
      <c r="I41" s="495"/>
      <c r="J41" s="481"/>
      <c r="K41" s="521">
        <v>1</v>
      </c>
      <c r="L41" s="480"/>
      <c r="M41" s="496">
        <f t="shared" si="2"/>
        <v>0</v>
      </c>
      <c r="N41" s="521">
        <v>1</v>
      </c>
      <c r="O41" s="480"/>
      <c r="P41" s="496" t="e">
        <f>IF(O37&lt;&gt;0,ROUND((O37/$F37)*#REF!,5),ROUND((N$10/$F$83)*#REF!*N41,5))</f>
        <v>#REF!</v>
      </c>
      <c r="Q41" s="521">
        <v>1</v>
      </c>
      <c r="R41" s="478"/>
      <c r="S41" s="485" t="e">
        <f>IF(R37&lt;&gt;0,ROUND((R37/$F37)*#REF!,5),ROUND((Q$10/$F$83)*#REF!*Q41,5))</f>
        <v>#REF!</v>
      </c>
      <c r="T41" s="521">
        <v>1</v>
      </c>
      <c r="U41" s="480"/>
      <c r="V41" s="485" t="e">
        <f>IF(U37&lt;&gt;0,ROUND((U37/$F37)*#REF!,5),ROUND((T$10/$F$83)*#REF!*T41,5))</f>
        <v>#REF!</v>
      </c>
      <c r="W41" s="521">
        <v>1</v>
      </c>
      <c r="X41" s="480"/>
      <c r="Y41" s="485" t="e">
        <f>IF(X37&lt;&gt;0,ROUND((X37/$F37)*#REF!,5),ROUND((W$10/$F$83)*#REF!*W41,5))</f>
        <v>#REF!</v>
      </c>
      <c r="AC41" s="487">
        <f t="shared" si="14"/>
        <v>1.3279330721731625E-5</v>
      </c>
      <c r="AD41" s="488">
        <f t="shared" si="14"/>
        <v>3.2934279644968465E-6</v>
      </c>
      <c r="AF41" s="474">
        <f t="shared" si="9"/>
        <v>0</v>
      </c>
      <c r="AG41" s="475">
        <f t="shared" si="10"/>
        <v>0</v>
      </c>
      <c r="AH41" s="520"/>
    </row>
    <row r="42" spans="1:34" x14ac:dyDescent="0.35">
      <c r="A42" s="424">
        <f t="shared" si="0"/>
        <v>36</v>
      </c>
      <c r="B42" s="476"/>
      <c r="C42" s="486" t="s">
        <v>93</v>
      </c>
      <c r="D42" s="462">
        <f>+'[13]Washington volumes'!J42</f>
        <v>0</v>
      </c>
      <c r="E42" s="463">
        <f>+'[13]Rates in detail'!D42</f>
        <v>0.57454999999999989</v>
      </c>
      <c r="F42" s="464"/>
      <c r="G42" s="465"/>
      <c r="H42" s="462"/>
      <c r="I42" s="466"/>
      <c r="J42" s="467"/>
      <c r="K42" s="519">
        <v>1</v>
      </c>
      <c r="L42" s="464"/>
      <c r="M42" s="469">
        <f t="shared" si="2"/>
        <v>0</v>
      </c>
      <c r="N42" s="519">
        <v>1</v>
      </c>
      <c r="O42" s="464"/>
      <c r="P42" s="469" t="e">
        <f>IF(O37&lt;&gt;0,ROUND((O37/$F37)*#REF!,5),ROUND((N$10/$F$83)*#REF!*N42,5))</f>
        <v>#REF!</v>
      </c>
      <c r="Q42" s="519">
        <v>1</v>
      </c>
      <c r="R42" s="462"/>
      <c r="S42" s="470" t="e">
        <f>IF(R37&lt;&gt;0,ROUND((R37/$F37)*#REF!,5),ROUND((Q$10/$F$83)*#REF!*Q42,5))</f>
        <v>#REF!</v>
      </c>
      <c r="T42" s="519">
        <v>1</v>
      </c>
      <c r="U42" s="464"/>
      <c r="V42" s="470" t="e">
        <f>IF(U37&lt;&gt;0,ROUND((U37/$F37)*#REF!,5),ROUND((T$10/$F$83)*#REF!*T42,5))</f>
        <v>#REF!</v>
      </c>
      <c r="W42" s="519">
        <v>1</v>
      </c>
      <c r="X42" s="464"/>
      <c r="Y42" s="470" t="e">
        <f>IF(X37&lt;&gt;0,ROUND((X37/$F37)*#REF!,5),ROUND((W$10/$F$83)*#REF!*W42,5))</f>
        <v>#REF!</v>
      </c>
      <c r="AC42" s="487">
        <f t="shared" si="14"/>
        <v>1.3279330721731625E-5</v>
      </c>
      <c r="AD42" s="488">
        <f t="shared" si="14"/>
        <v>3.2934279644968465E-6</v>
      </c>
      <c r="AF42" s="474">
        <f t="shared" si="9"/>
        <v>0</v>
      </c>
      <c r="AG42" s="475">
        <f t="shared" si="10"/>
        <v>0</v>
      </c>
      <c r="AH42" s="520"/>
    </row>
    <row r="43" spans="1:34" x14ac:dyDescent="0.35">
      <c r="A43" s="424">
        <f t="shared" si="0"/>
        <v>37</v>
      </c>
      <c r="B43" s="424" t="s">
        <v>95</v>
      </c>
      <c r="C43" s="477" t="s">
        <v>82</v>
      </c>
      <c r="D43" s="478">
        <f>+'[13]Washington volumes'!J43</f>
        <v>122543.87639893022</v>
      </c>
      <c r="E43" s="479">
        <f>+'[13]Rates in detail'!D43</f>
        <v>0.40332000000000001</v>
      </c>
      <c r="F43" s="480">
        <f>ROUND((E43*D43)+(D44*E44)+(D45*E45)+(D46*E46)+(D47*E47)+(D48*E48),0)</f>
        <v>363888</v>
      </c>
      <c r="G43" s="471">
        <f>+'[13]Avg Bill by RS'!I51</f>
        <v>-3592.2693365131181</v>
      </c>
      <c r="H43" s="478">
        <f>+'[13]Washington volumes'!L43</f>
        <v>1</v>
      </c>
      <c r="I43" s="491">
        <v>1117636</v>
      </c>
      <c r="J43" s="481"/>
      <c r="K43" s="521">
        <v>1</v>
      </c>
      <c r="L43" s="492">
        <f>ROUND(+$K$10*(($I43*K43)/K$83),0)</f>
        <v>16</v>
      </c>
      <c r="M43" s="493">
        <f t="shared" si="2"/>
        <v>2.0000000000000002E-5</v>
      </c>
      <c r="N43" s="521">
        <v>1</v>
      </c>
      <c r="O43" s="492">
        <f>ROUND(+$N$10*(($I43*N43)/N$83),0)</f>
        <v>0</v>
      </c>
      <c r="P43" s="493" t="e">
        <f>IF(O43&lt;&gt;0,ROUND((O43/$F43)*#REF!,5),ROUND((N$10/$F$83)*#REF!*N43,5))</f>
        <v>#REF!</v>
      </c>
      <c r="Q43" s="521">
        <v>1</v>
      </c>
      <c r="R43" s="494">
        <f>ROUND(+$Q$10*(($I43*Q43)/Q$83),0)</f>
        <v>0</v>
      </c>
      <c r="S43" s="485" t="e">
        <f>IF(R43&lt;&gt;0,ROUND((R43/$F43)*#REF!,5),ROUND((Q$10/$F$83)*#REF!*Q43,5))</f>
        <v>#REF!</v>
      </c>
      <c r="T43" s="521">
        <v>1</v>
      </c>
      <c r="U43" s="492">
        <f>ROUND(+$T$10*(($I43*T43)/T$83),0)</f>
        <v>0</v>
      </c>
      <c r="V43" s="485" t="e">
        <f>IF(U43&lt;&gt;0,ROUND((U43/$F43)*#REF!,5),ROUND((T$10/$F$83)*#REF!*T43,5))</f>
        <v>#REF!</v>
      </c>
      <c r="W43" s="521">
        <v>1</v>
      </c>
      <c r="X43" s="492">
        <f>ROUND(+$W$10*(($I43*W43)/W$83),0)</f>
        <v>0</v>
      </c>
      <c r="Y43" s="485" t="e">
        <f>IF(X43&lt;&gt;0,ROUND((X43/$F43)*#REF!,5),ROUND((W$10/$F$83)*#REF!*W43,5))</f>
        <v>#REF!</v>
      </c>
      <c r="AC43" s="472">
        <f>IFERROR(L43/I43,0)</f>
        <v>1.4315931126055353E-5</v>
      </c>
      <c r="AD43" s="473">
        <f>IFERROR(L43/F43,0)</f>
        <v>4.3969573055445631E-5</v>
      </c>
      <c r="AF43" s="474">
        <f t="shared" si="9"/>
        <v>2.4508775279786046</v>
      </c>
      <c r="AG43" s="475">
        <f t="shared" si="10"/>
        <v>2.4508775279786046</v>
      </c>
      <c r="AH43" s="520"/>
    </row>
    <row r="44" spans="1:34" x14ac:dyDescent="0.35">
      <c r="A44" s="424">
        <f t="shared" si="0"/>
        <v>38</v>
      </c>
      <c r="B44" s="424"/>
      <c r="C44" s="477" t="s">
        <v>83</v>
      </c>
      <c r="D44" s="478">
        <f>+'[13]Washington volumes'!J44</f>
        <v>245087.75279786045</v>
      </c>
      <c r="E44" s="479">
        <f>+'[13]Rates in detail'!D44</f>
        <v>0.38640000000000002</v>
      </c>
      <c r="F44" s="480"/>
      <c r="G44" s="471"/>
      <c r="H44" s="478"/>
      <c r="I44" s="495"/>
      <c r="J44" s="481"/>
      <c r="K44" s="521">
        <v>1</v>
      </c>
      <c r="L44" s="480"/>
      <c r="M44" s="496">
        <f t="shared" si="2"/>
        <v>2.0000000000000002E-5</v>
      </c>
      <c r="N44" s="521">
        <v>1</v>
      </c>
      <c r="O44" s="480"/>
      <c r="P44" s="496" t="e">
        <f>IF(O43&lt;&gt;0,ROUND((O43/$F43)*#REF!,5),ROUND((N$10/$F$83)*#REF!*N44,5))</f>
        <v>#REF!</v>
      </c>
      <c r="Q44" s="521">
        <v>1</v>
      </c>
      <c r="R44" s="478"/>
      <c r="S44" s="485" t="e">
        <f>IF(R43&lt;&gt;0,ROUND((R43/$F43)*#REF!,5),ROUND((Q$10/$F$83)*#REF!*Q44,5))</f>
        <v>#REF!</v>
      </c>
      <c r="T44" s="521">
        <v>1</v>
      </c>
      <c r="U44" s="480"/>
      <c r="V44" s="485" t="e">
        <f>IF(U43&lt;&gt;0,ROUND((U43/$F43)*#REF!,5),ROUND((T$10/$F$83)*#REF!*T44,5))</f>
        <v>#REF!</v>
      </c>
      <c r="W44" s="521">
        <v>1</v>
      </c>
      <c r="X44" s="480"/>
      <c r="Y44" s="485" t="e">
        <f>IF(X43&lt;&gt;0,ROUND((X43/$F43)*#REF!,5),ROUND((W$10/$F$83)*#REF!*W44,5))</f>
        <v>#REF!</v>
      </c>
      <c r="AC44" s="487">
        <f>AC43</f>
        <v>1.4315931126055353E-5</v>
      </c>
      <c r="AD44" s="488">
        <f>AD43</f>
        <v>4.3969573055445631E-5</v>
      </c>
      <c r="AF44" s="474">
        <f t="shared" si="9"/>
        <v>4.9017550559572092</v>
      </c>
      <c r="AG44" s="475">
        <f t="shared" si="10"/>
        <v>4.9017550559572092</v>
      </c>
      <c r="AH44" s="520"/>
    </row>
    <row r="45" spans="1:34" x14ac:dyDescent="0.35">
      <c r="A45" s="424">
        <f t="shared" si="0"/>
        <v>39</v>
      </c>
      <c r="B45" s="424"/>
      <c r="C45" s="477" t="s">
        <v>90</v>
      </c>
      <c r="D45" s="478">
        <f>+'[13]Washington volumes'!J45</f>
        <v>245087.75279786045</v>
      </c>
      <c r="E45" s="479">
        <f>+'[13]Rates in detail'!D45</f>
        <v>0.35268999999999995</v>
      </c>
      <c r="F45" s="480"/>
      <c r="G45" s="471"/>
      <c r="H45" s="478"/>
      <c r="I45" s="495"/>
      <c r="J45" s="481"/>
      <c r="K45" s="521">
        <v>1</v>
      </c>
      <c r="L45" s="480"/>
      <c r="M45" s="496">
        <f t="shared" si="2"/>
        <v>2.0000000000000002E-5</v>
      </c>
      <c r="N45" s="521">
        <v>1</v>
      </c>
      <c r="O45" s="480"/>
      <c r="P45" s="496" t="e">
        <f>IF(O43&lt;&gt;0,ROUND((O43/$F43)*#REF!,5),ROUND((N$10/$F$83)*#REF!*N45,5))</f>
        <v>#REF!</v>
      </c>
      <c r="Q45" s="521">
        <v>1</v>
      </c>
      <c r="R45" s="478"/>
      <c r="S45" s="485" t="e">
        <f>IF(R43&lt;&gt;0,ROUND((R43/$F43)*#REF!,5),ROUND((Q$10/$F$83)*#REF!*Q45,5))</f>
        <v>#REF!</v>
      </c>
      <c r="T45" s="521">
        <v>1</v>
      </c>
      <c r="U45" s="480"/>
      <c r="V45" s="485" t="e">
        <f>IF(U43&lt;&gt;0,ROUND((U43/$F43)*#REF!,5),ROUND((T$10/$F$83)*#REF!*T45,5))</f>
        <v>#REF!</v>
      </c>
      <c r="W45" s="521">
        <v>1</v>
      </c>
      <c r="X45" s="480"/>
      <c r="Y45" s="485" t="e">
        <f>IF(X43&lt;&gt;0,ROUND((X43/$F43)*#REF!,5),ROUND((W$10/$F$83)*#REF!*W45,5))</f>
        <v>#REF!</v>
      </c>
      <c r="AC45" s="487">
        <f t="shared" ref="AC45:AD48" si="15">AC44</f>
        <v>1.4315931126055353E-5</v>
      </c>
      <c r="AD45" s="488">
        <f t="shared" si="15"/>
        <v>4.3969573055445631E-5</v>
      </c>
      <c r="AF45" s="474">
        <f t="shared" si="9"/>
        <v>4.9017550559572092</v>
      </c>
      <c r="AG45" s="475">
        <f t="shared" ref="AG45:AG76" si="16">SUM(AF45:AF45)</f>
        <v>4.9017550559572092</v>
      </c>
      <c r="AH45" s="520"/>
    </row>
    <row r="46" spans="1:34" x14ac:dyDescent="0.35">
      <c r="A46" s="424">
        <f t="shared" si="0"/>
        <v>40</v>
      </c>
      <c r="B46" s="424"/>
      <c r="C46" s="477" t="s">
        <v>91</v>
      </c>
      <c r="D46" s="478">
        <f>+'[13]Washington volumes'!J46</f>
        <v>403343.97837634891</v>
      </c>
      <c r="E46" s="479">
        <f>+'[13]Rates in detail'!D46</f>
        <v>0.33054000000000006</v>
      </c>
      <c r="F46" s="480"/>
      <c r="G46" s="471"/>
      <c r="H46" s="478"/>
      <c r="I46" s="495"/>
      <c r="J46" s="481"/>
      <c r="K46" s="521">
        <v>1</v>
      </c>
      <c r="L46" s="480"/>
      <c r="M46" s="496">
        <f t="shared" si="2"/>
        <v>1.0000000000000001E-5</v>
      </c>
      <c r="N46" s="521">
        <v>1</v>
      </c>
      <c r="O46" s="480"/>
      <c r="P46" s="496" t="e">
        <f>IF(O43&lt;&gt;0,ROUND((O43/$F43)*#REF!,5),ROUND((N$10/$F$83)*#REF!*N46,5))</f>
        <v>#REF!</v>
      </c>
      <c r="Q46" s="521">
        <v>1</v>
      </c>
      <c r="R46" s="478"/>
      <c r="S46" s="485" t="e">
        <f>IF(R43&lt;&gt;0,ROUND((R43/$F43)*#REF!,5),ROUND((Q$10/$F$83)*#REF!*Q46,5))</f>
        <v>#REF!</v>
      </c>
      <c r="T46" s="521">
        <v>1</v>
      </c>
      <c r="U46" s="480"/>
      <c r="V46" s="485" t="e">
        <f>IF(U43&lt;&gt;0,ROUND((U43/$F43)*#REF!,5),ROUND((T$10/$F$83)*#REF!*T46,5))</f>
        <v>#REF!</v>
      </c>
      <c r="W46" s="521">
        <v>1</v>
      </c>
      <c r="X46" s="480"/>
      <c r="Y46" s="485" t="e">
        <f>IF(X43&lt;&gt;0,ROUND((X43/$F43)*#REF!,5),ROUND((W$10/$F$83)*#REF!*W46,5))</f>
        <v>#REF!</v>
      </c>
      <c r="AC46" s="487">
        <f t="shared" si="15"/>
        <v>1.4315931126055353E-5</v>
      </c>
      <c r="AD46" s="488">
        <f t="shared" si="15"/>
        <v>4.3969573055445631E-5</v>
      </c>
      <c r="AF46" s="474">
        <f t="shared" si="9"/>
        <v>4.0334397837634892</v>
      </c>
      <c r="AG46" s="475">
        <f t="shared" si="16"/>
        <v>4.0334397837634892</v>
      </c>
      <c r="AH46" s="520"/>
    </row>
    <row r="47" spans="1:34" x14ac:dyDescent="0.35">
      <c r="A47" s="424">
        <f t="shared" si="0"/>
        <v>41</v>
      </c>
      <c r="B47" s="424"/>
      <c r="C47" s="477" t="s">
        <v>92</v>
      </c>
      <c r="D47" s="478">
        <f>+'[13]Washington volumes'!J47</f>
        <v>0</v>
      </c>
      <c r="E47" s="479">
        <f>+'[13]Rates in detail'!D47</f>
        <v>0.30097000000000007</v>
      </c>
      <c r="F47" s="480"/>
      <c r="G47" s="471"/>
      <c r="H47" s="478"/>
      <c r="I47" s="495"/>
      <c r="J47" s="481"/>
      <c r="K47" s="521">
        <v>1</v>
      </c>
      <c r="L47" s="480"/>
      <c r="M47" s="496">
        <f t="shared" si="2"/>
        <v>1.0000000000000001E-5</v>
      </c>
      <c r="N47" s="521">
        <v>1</v>
      </c>
      <c r="O47" s="480"/>
      <c r="P47" s="496" t="e">
        <f>IF(O43&lt;&gt;0,ROUND((O43/$F43)*#REF!,5),ROUND((N$10/$F$83)*#REF!*N47,5))</f>
        <v>#REF!</v>
      </c>
      <c r="Q47" s="521">
        <v>1</v>
      </c>
      <c r="R47" s="478"/>
      <c r="S47" s="485" t="e">
        <f>IF(R43&lt;&gt;0,ROUND((R43/$F43)*#REF!,5),ROUND((Q$10/$F$83)*#REF!*Q47,5))</f>
        <v>#REF!</v>
      </c>
      <c r="T47" s="521">
        <v>1</v>
      </c>
      <c r="U47" s="480"/>
      <c r="V47" s="485" t="e">
        <f>IF(U43&lt;&gt;0,ROUND((U43/$F43)*#REF!,5),ROUND((T$10/$F$83)*#REF!*T47,5))</f>
        <v>#REF!</v>
      </c>
      <c r="W47" s="521">
        <v>1</v>
      </c>
      <c r="X47" s="480"/>
      <c r="Y47" s="485" t="e">
        <f>IF(X43&lt;&gt;0,ROUND((X43/$F43)*#REF!,5),ROUND((W$10/$F$83)*#REF!*W47,5))</f>
        <v>#REF!</v>
      </c>
      <c r="AC47" s="487">
        <f>AC46</f>
        <v>1.4315931126055353E-5</v>
      </c>
      <c r="AD47" s="488">
        <f t="shared" si="15"/>
        <v>4.3969573055445631E-5</v>
      </c>
      <c r="AF47" s="474">
        <f t="shared" si="9"/>
        <v>0</v>
      </c>
      <c r="AG47" s="475">
        <f t="shared" si="16"/>
        <v>0</v>
      </c>
      <c r="AH47" s="520"/>
    </row>
    <row r="48" spans="1:34" x14ac:dyDescent="0.35">
      <c r="A48" s="424">
        <f t="shared" si="0"/>
        <v>42</v>
      </c>
      <c r="B48" s="476"/>
      <c r="C48" s="486" t="s">
        <v>93</v>
      </c>
      <c r="D48" s="462">
        <f>+'[13]Washington volumes'!J48</f>
        <v>0</v>
      </c>
      <c r="E48" s="463">
        <f>+'[13]Rates in detail'!D48</f>
        <v>0.26403000000000004</v>
      </c>
      <c r="F48" s="464"/>
      <c r="G48" s="465"/>
      <c r="H48" s="462"/>
      <c r="I48" s="466"/>
      <c r="J48" s="467"/>
      <c r="K48" s="519">
        <v>1</v>
      </c>
      <c r="L48" s="464"/>
      <c r="M48" s="469">
        <f t="shared" si="2"/>
        <v>1.0000000000000001E-5</v>
      </c>
      <c r="N48" s="519">
        <v>1</v>
      </c>
      <c r="O48" s="464"/>
      <c r="P48" s="469" t="e">
        <f>IF(O43&lt;&gt;0,ROUND((O43/$F43)*#REF!,5),ROUND((N$10/$F$83)*#REF!*N48,5))</f>
        <v>#REF!</v>
      </c>
      <c r="Q48" s="519">
        <v>1</v>
      </c>
      <c r="R48" s="462"/>
      <c r="S48" s="470" t="e">
        <f>IF(R43&lt;&gt;0,ROUND((R43/$F43)*#REF!,5),ROUND((Q$10/$F$83)*#REF!*Q48,5))</f>
        <v>#REF!</v>
      </c>
      <c r="T48" s="519">
        <v>1</v>
      </c>
      <c r="U48" s="464"/>
      <c r="V48" s="470" t="e">
        <f>IF(U43&lt;&gt;0,ROUND((U43/$F43)*#REF!,5),ROUND((T$10/$F$83)*#REF!*T48,5))</f>
        <v>#REF!</v>
      </c>
      <c r="W48" s="519">
        <v>1</v>
      </c>
      <c r="X48" s="464"/>
      <c r="Y48" s="470" t="e">
        <f>IF(X43&lt;&gt;0,ROUND((X43/$F43)*#REF!,5),ROUND((W$10/$F$83)*#REF!*W48,5))</f>
        <v>#REF!</v>
      </c>
      <c r="AC48" s="487">
        <f t="shared" si="15"/>
        <v>1.4315931126055353E-5</v>
      </c>
      <c r="AD48" s="488">
        <f t="shared" si="15"/>
        <v>4.3969573055445631E-5</v>
      </c>
      <c r="AF48" s="474">
        <f t="shared" si="9"/>
        <v>0</v>
      </c>
      <c r="AG48" s="475">
        <f t="shared" si="16"/>
        <v>0</v>
      </c>
      <c r="AH48" s="520"/>
    </row>
    <row r="49" spans="1:34" x14ac:dyDescent="0.35">
      <c r="A49" s="424">
        <f t="shared" si="0"/>
        <v>43</v>
      </c>
      <c r="B49" s="424" t="s">
        <v>96</v>
      </c>
      <c r="C49" s="477" t="s">
        <v>82</v>
      </c>
      <c r="D49" s="489">
        <f>+'[13]Washington volumes'!J49</f>
        <v>933451.95163091726</v>
      </c>
      <c r="E49" s="479">
        <f>+'[13]Rates in detail'!D49</f>
        <v>0.40095999999999998</v>
      </c>
      <c r="F49" s="480">
        <f>ROUND((E49*D49)+(D50*E50)+(D51*E51)+(D52*E52)+(D53*E53)+(D54*E54),0)</f>
        <v>2522409</v>
      </c>
      <c r="G49" s="471">
        <f>+'[13]Avg Bill by RS'!I58</f>
        <v>-2395.7691048183847</v>
      </c>
      <c r="H49" s="478">
        <f>+'[13]Washington volumes'!L49</f>
        <v>10</v>
      </c>
      <c r="I49" s="491">
        <v>3831186</v>
      </c>
      <c r="J49" s="481"/>
      <c r="K49" s="521">
        <v>1</v>
      </c>
      <c r="L49" s="492">
        <f>ROUND(+$K$10*(($I49*K49)/K$83),0)</f>
        <v>55</v>
      </c>
      <c r="M49" s="493">
        <f t="shared" si="2"/>
        <v>1.0000000000000001E-5</v>
      </c>
      <c r="N49" s="521">
        <v>1</v>
      </c>
      <c r="O49" s="492">
        <f>ROUND(+$N$10*(($I49*N49)/N$83),0)</f>
        <v>0</v>
      </c>
      <c r="P49" s="493" t="e">
        <f>IF(O49&lt;&gt;0,ROUND((O49/$F49)*#REF!,5),ROUND((N$10/$F$83)*#REF!*N49,5))</f>
        <v>#REF!</v>
      </c>
      <c r="Q49" s="521">
        <v>1</v>
      </c>
      <c r="R49" s="494">
        <f>ROUND(+$Q$10*(($I49*Q49)/Q$83),0)</f>
        <v>0</v>
      </c>
      <c r="S49" s="485" t="e">
        <f>IF(R49&lt;&gt;0,ROUND((R49/$F49)*#REF!,5),ROUND((Q$10/$F$83)*#REF!*Q49,5))</f>
        <v>#REF!</v>
      </c>
      <c r="T49" s="521">
        <v>1</v>
      </c>
      <c r="U49" s="492">
        <f>ROUND(+$T$10*(($I49*T49)/T$83),0)</f>
        <v>0</v>
      </c>
      <c r="V49" s="485" t="e">
        <f>IF(U49&lt;&gt;0,ROUND((U49/$F49)*#REF!,5),ROUND((T$10/$F$83)*#REF!*T49,5))</f>
        <v>#REF!</v>
      </c>
      <c r="W49" s="521">
        <v>1</v>
      </c>
      <c r="X49" s="492">
        <f>ROUND(+$W$10*(($I49*W49)/W$83),0)</f>
        <v>0</v>
      </c>
      <c r="Y49" s="485" t="e">
        <f>IF(X49&lt;&gt;0,ROUND((X49/$F49)*#REF!,5),ROUND((W$10/$F$83)*#REF!*W49,5))</f>
        <v>#REF!</v>
      </c>
      <c r="AC49" s="472">
        <f>IFERROR(L49/I49,0)</f>
        <v>1.4355867869636191E-5</v>
      </c>
      <c r="AD49" s="473">
        <f>IFERROR(L49/F49,0)</f>
        <v>2.1804552711316839E-5</v>
      </c>
      <c r="AF49" s="474">
        <f t="shared" si="9"/>
        <v>9.3345195163091734</v>
      </c>
      <c r="AG49" s="475">
        <f t="shared" si="16"/>
        <v>9.3345195163091734</v>
      </c>
      <c r="AH49" s="520"/>
    </row>
    <row r="50" spans="1:34" x14ac:dyDescent="0.35">
      <c r="A50" s="424">
        <f t="shared" si="0"/>
        <v>44</v>
      </c>
      <c r="B50" s="424"/>
      <c r="C50" s="477" t="s">
        <v>83</v>
      </c>
      <c r="D50" s="478">
        <f>+'[13]Washington volumes'!J50</f>
        <v>1354331.8549391942</v>
      </c>
      <c r="E50" s="479">
        <f>+'[13]Rates in detail'!D50</f>
        <v>0.38426999999999989</v>
      </c>
      <c r="F50" s="480"/>
      <c r="G50" s="471"/>
      <c r="H50" s="478"/>
      <c r="I50" s="495"/>
      <c r="J50" s="481"/>
      <c r="K50" s="521">
        <v>1</v>
      </c>
      <c r="L50" s="480"/>
      <c r="M50" s="496">
        <f t="shared" si="2"/>
        <v>1.0000000000000001E-5</v>
      </c>
      <c r="N50" s="521">
        <v>1</v>
      </c>
      <c r="O50" s="480"/>
      <c r="P50" s="496" t="e">
        <f>IF(O49&lt;&gt;0,ROUND((O49/$F49)*#REF!,5),ROUND((N$10/$F$83)*#REF!*N50,5))</f>
        <v>#REF!</v>
      </c>
      <c r="Q50" s="521">
        <v>1</v>
      </c>
      <c r="R50" s="478"/>
      <c r="S50" s="485" t="e">
        <f>IF(R49&lt;&gt;0,ROUND((R49/$F49)*#REF!,5),ROUND((Q$10/$F$83)*#REF!*Q50,5))</f>
        <v>#REF!</v>
      </c>
      <c r="T50" s="521">
        <v>1</v>
      </c>
      <c r="U50" s="480"/>
      <c r="V50" s="485" t="e">
        <f>IF(U49&lt;&gt;0,ROUND((U49/$F49)*#REF!,5),ROUND((T$10/$F$83)*#REF!*T50,5))</f>
        <v>#REF!</v>
      </c>
      <c r="W50" s="521">
        <v>1</v>
      </c>
      <c r="X50" s="480"/>
      <c r="Y50" s="485" t="e">
        <f>IF(X49&lt;&gt;0,ROUND((X49/$F49)*#REF!,5),ROUND((W$10/$F$83)*#REF!*W50,5))</f>
        <v>#REF!</v>
      </c>
      <c r="AC50" s="487">
        <f>AC49</f>
        <v>1.4355867869636191E-5</v>
      </c>
      <c r="AD50" s="488">
        <f>AD49</f>
        <v>2.1804552711316839E-5</v>
      </c>
      <c r="AF50" s="474">
        <f t="shared" si="9"/>
        <v>13.543318549391943</v>
      </c>
      <c r="AG50" s="475">
        <f t="shared" si="16"/>
        <v>13.543318549391943</v>
      </c>
      <c r="AH50" s="520"/>
    </row>
    <row r="51" spans="1:34" x14ac:dyDescent="0.35">
      <c r="A51" s="424">
        <f t="shared" si="0"/>
        <v>45</v>
      </c>
      <c r="B51" s="424"/>
      <c r="C51" s="477" t="s">
        <v>90</v>
      </c>
      <c r="D51" s="478">
        <f>+'[13]Washington volumes'!J51</f>
        <v>1182764.9803330612</v>
      </c>
      <c r="E51" s="479">
        <f>+'[13]Rates in detail'!D51</f>
        <v>0.35105000000000003</v>
      </c>
      <c r="F51" s="480"/>
      <c r="G51" s="471"/>
      <c r="H51" s="478"/>
      <c r="I51" s="495"/>
      <c r="J51" s="481"/>
      <c r="K51" s="521">
        <v>1</v>
      </c>
      <c r="L51" s="480"/>
      <c r="M51" s="496">
        <f t="shared" si="2"/>
        <v>1.0000000000000001E-5</v>
      </c>
      <c r="N51" s="521">
        <v>1</v>
      </c>
      <c r="O51" s="480"/>
      <c r="P51" s="496" t="e">
        <f>IF(O49&lt;&gt;0,ROUND((O49/$F49)*#REF!,5),ROUND((N$10/$F$83)*#REF!*N51,5))</f>
        <v>#REF!</v>
      </c>
      <c r="Q51" s="521">
        <v>1</v>
      </c>
      <c r="R51" s="478"/>
      <c r="S51" s="485" t="e">
        <f>IF(R49&lt;&gt;0,ROUND((R49/$F49)*#REF!,5),ROUND((Q$10/$F$83)*#REF!*Q51,5))</f>
        <v>#REF!</v>
      </c>
      <c r="T51" s="521">
        <v>1</v>
      </c>
      <c r="U51" s="480"/>
      <c r="V51" s="485" t="e">
        <f>IF(U49&lt;&gt;0,ROUND((U49/$F49)*#REF!,5),ROUND((T$10/$F$83)*#REF!*T51,5))</f>
        <v>#REF!</v>
      </c>
      <c r="W51" s="521">
        <v>1</v>
      </c>
      <c r="X51" s="480"/>
      <c r="Y51" s="485" t="e">
        <f>IF(X49&lt;&gt;0,ROUND((X49/$F49)*#REF!,5),ROUND((W$10/$F$83)*#REF!*W51,5))</f>
        <v>#REF!</v>
      </c>
      <c r="AC51" s="487">
        <f t="shared" ref="AC51:AD54" si="17">AC50</f>
        <v>1.4355867869636191E-5</v>
      </c>
      <c r="AD51" s="488">
        <f t="shared" si="17"/>
        <v>2.1804552711316839E-5</v>
      </c>
      <c r="AF51" s="474">
        <f t="shared" si="9"/>
        <v>11.827649803330614</v>
      </c>
      <c r="AG51" s="475">
        <f t="shared" si="16"/>
        <v>11.827649803330614</v>
      </c>
      <c r="AH51" s="520"/>
    </row>
    <row r="52" spans="1:34" x14ac:dyDescent="0.35">
      <c r="A52" s="424">
        <f t="shared" si="0"/>
        <v>46</v>
      </c>
      <c r="B52" s="424"/>
      <c r="C52" s="477" t="s">
        <v>91</v>
      </c>
      <c r="D52" s="478">
        <f>+'[13]Washington volumes'!J52</f>
        <v>2743941.1371104051</v>
      </c>
      <c r="E52" s="479">
        <f>+'[13]Rates in detail'!D52</f>
        <v>0.32922000000000012</v>
      </c>
      <c r="F52" s="480"/>
      <c r="G52" s="471"/>
      <c r="H52" s="478"/>
      <c r="I52" s="495"/>
      <c r="J52" s="481"/>
      <c r="K52" s="521">
        <v>1</v>
      </c>
      <c r="L52" s="480"/>
      <c r="M52" s="496">
        <f t="shared" si="2"/>
        <v>1.0000000000000001E-5</v>
      </c>
      <c r="N52" s="521">
        <v>1</v>
      </c>
      <c r="O52" s="480"/>
      <c r="P52" s="496" t="e">
        <f>IF(O49&lt;&gt;0,ROUND((O49/$F49)*#REF!,5),ROUND((N$10/$F$83)*#REF!*N52,5))</f>
        <v>#REF!</v>
      </c>
      <c r="Q52" s="521">
        <v>1</v>
      </c>
      <c r="R52" s="478"/>
      <c r="S52" s="485" t="e">
        <f>IF(R49&lt;&gt;0,ROUND((R49/$F49)*#REF!,5),ROUND((Q$10/$F$83)*#REF!*Q52,5))</f>
        <v>#REF!</v>
      </c>
      <c r="T52" s="521">
        <v>1</v>
      </c>
      <c r="U52" s="480"/>
      <c r="V52" s="485" t="e">
        <f>IF(U49&lt;&gt;0,ROUND((U49/$F49)*#REF!,5),ROUND((T$10/$F$83)*#REF!*T52,5))</f>
        <v>#REF!</v>
      </c>
      <c r="W52" s="521">
        <v>1</v>
      </c>
      <c r="X52" s="480"/>
      <c r="Y52" s="485" t="e">
        <f>IF(X49&lt;&gt;0,ROUND((X49/$F49)*#REF!,5),ROUND((W$10/$F$83)*#REF!*W52,5))</f>
        <v>#REF!</v>
      </c>
      <c r="AC52" s="487">
        <f t="shared" si="17"/>
        <v>1.4355867869636191E-5</v>
      </c>
      <c r="AD52" s="488">
        <f t="shared" si="17"/>
        <v>2.1804552711316839E-5</v>
      </c>
      <c r="AF52" s="474">
        <f t="shared" si="9"/>
        <v>27.439411371104054</v>
      </c>
      <c r="AG52" s="475">
        <f t="shared" si="16"/>
        <v>27.439411371104054</v>
      </c>
      <c r="AH52" s="520"/>
    </row>
    <row r="53" spans="1:34" x14ac:dyDescent="0.35">
      <c r="A53" s="424">
        <f t="shared" si="0"/>
        <v>47</v>
      </c>
      <c r="B53" s="424"/>
      <c r="C53" s="477" t="s">
        <v>92</v>
      </c>
      <c r="D53" s="478">
        <f>+'[13]Washington volumes'!J53</f>
        <v>1030133.9063092957</v>
      </c>
      <c r="E53" s="479">
        <f>+'[13]Rates in detail'!D53</f>
        <v>0.30008999999999997</v>
      </c>
      <c r="F53" s="480"/>
      <c r="G53" s="471"/>
      <c r="H53" s="478"/>
      <c r="I53" s="495"/>
      <c r="J53" s="481"/>
      <c r="K53" s="521">
        <v>1</v>
      </c>
      <c r="L53" s="480"/>
      <c r="M53" s="496">
        <f t="shared" si="2"/>
        <v>1.0000000000000001E-5</v>
      </c>
      <c r="N53" s="521">
        <v>1</v>
      </c>
      <c r="O53" s="480"/>
      <c r="P53" s="496" t="e">
        <f>IF(O49&lt;&gt;0,ROUND((O49/$F49)*#REF!,5),ROUND((N$10/$F$83)*#REF!*N53,5))</f>
        <v>#REF!</v>
      </c>
      <c r="Q53" s="521">
        <v>1</v>
      </c>
      <c r="R53" s="478"/>
      <c r="S53" s="485" t="e">
        <f>IF(R49&lt;&gt;0,ROUND((R49/$F49)*#REF!,5),ROUND((Q$10/$F$83)*#REF!*Q53,5))</f>
        <v>#REF!</v>
      </c>
      <c r="T53" s="521">
        <v>1</v>
      </c>
      <c r="U53" s="480"/>
      <c r="V53" s="485" t="e">
        <f>IF(U49&lt;&gt;0,ROUND((U49/$F49)*#REF!,5),ROUND((T$10/$F$83)*#REF!*T53,5))</f>
        <v>#REF!</v>
      </c>
      <c r="W53" s="521">
        <v>1</v>
      </c>
      <c r="X53" s="480"/>
      <c r="Y53" s="485" t="e">
        <f>IF(X49&lt;&gt;0,ROUND((X49/$F49)*#REF!,5),ROUND((W$10/$F$83)*#REF!*W53,5))</f>
        <v>#REF!</v>
      </c>
      <c r="AC53" s="487">
        <f>AC52</f>
        <v>1.4355867869636191E-5</v>
      </c>
      <c r="AD53" s="488">
        <f t="shared" si="17"/>
        <v>2.1804552711316839E-5</v>
      </c>
      <c r="AF53" s="474">
        <f t="shared" si="9"/>
        <v>10.301339063092957</v>
      </c>
      <c r="AG53" s="475">
        <f t="shared" si="16"/>
        <v>10.301339063092957</v>
      </c>
      <c r="AH53" s="520"/>
    </row>
    <row r="54" spans="1:34" x14ac:dyDescent="0.35">
      <c r="A54" s="424">
        <f t="shared" si="0"/>
        <v>48</v>
      </c>
      <c r="B54" s="476"/>
      <c r="C54" s="486" t="s">
        <v>93</v>
      </c>
      <c r="D54" s="462">
        <f>+'[13]Washington volumes'!J54</f>
        <v>0</v>
      </c>
      <c r="E54" s="463">
        <f>+'[13]Rates in detail'!D54</f>
        <v>0.26369000000000009</v>
      </c>
      <c r="F54" s="464"/>
      <c r="G54" s="465"/>
      <c r="H54" s="462"/>
      <c r="I54" s="466"/>
      <c r="J54" s="467"/>
      <c r="K54" s="519">
        <v>1</v>
      </c>
      <c r="L54" s="464"/>
      <c r="M54" s="469">
        <f t="shared" si="2"/>
        <v>1.0000000000000001E-5</v>
      </c>
      <c r="N54" s="519">
        <v>1</v>
      </c>
      <c r="O54" s="464"/>
      <c r="P54" s="469" t="e">
        <f>IF(O49&lt;&gt;0,ROUND((O49/$F49)*#REF!,5),ROUND((N$10/$F$83)*#REF!*N54,5))</f>
        <v>#REF!</v>
      </c>
      <c r="Q54" s="519">
        <v>1</v>
      </c>
      <c r="R54" s="462"/>
      <c r="S54" s="470" t="e">
        <f>IF(R49&lt;&gt;0,ROUND((R49/$F49)*#REF!,5),ROUND((Q$10/$F$83)*#REF!*Q54,5))</f>
        <v>#REF!</v>
      </c>
      <c r="T54" s="519">
        <v>1</v>
      </c>
      <c r="U54" s="464"/>
      <c r="V54" s="470" t="e">
        <f>IF(U49&lt;&gt;0,ROUND((U49/$F49)*#REF!,5),ROUND((T$10/$F$83)*#REF!*T54,5))</f>
        <v>#REF!</v>
      </c>
      <c r="W54" s="519">
        <v>1</v>
      </c>
      <c r="X54" s="464"/>
      <c r="Y54" s="470" t="e">
        <f>IF(X49&lt;&gt;0,ROUND((X49/$F49)*#REF!,5),ROUND((W$10/$F$83)*#REF!*W54,5))</f>
        <v>#REF!</v>
      </c>
      <c r="AC54" s="487">
        <f t="shared" ref="AC54" si="18">AC53</f>
        <v>1.4355867869636191E-5</v>
      </c>
      <c r="AD54" s="488">
        <f t="shared" si="17"/>
        <v>2.1804552711316839E-5</v>
      </c>
      <c r="AF54" s="474">
        <f t="shared" si="9"/>
        <v>0</v>
      </c>
      <c r="AG54" s="475">
        <f t="shared" si="16"/>
        <v>0</v>
      </c>
      <c r="AH54" s="520"/>
    </row>
    <row r="55" spans="1:34" x14ac:dyDescent="0.35">
      <c r="A55" s="424">
        <f t="shared" si="0"/>
        <v>49</v>
      </c>
      <c r="B55" s="424" t="s">
        <v>97</v>
      </c>
      <c r="C55" s="477" t="s">
        <v>82</v>
      </c>
      <c r="D55" s="478">
        <f>+'[13]Washington volumes'!J55</f>
        <v>237823.79371068976</v>
      </c>
      <c r="E55" s="479">
        <f>+'[13]Rates in detail'!D55</f>
        <v>0.71133000000000013</v>
      </c>
      <c r="F55" s="480">
        <f>ROUND((E55*D55)+(D56*E56)+(D57*E57)+(D58*E58)+(D59*E59)+(D60*E60),0)</f>
        <v>647809</v>
      </c>
      <c r="G55" s="471">
        <f>+'[13]Avg Bill by RS'!I65</f>
        <v>-3842.2693365131181</v>
      </c>
      <c r="H55" s="478">
        <f>+'[13]Washington volumes'!L55</f>
        <v>2</v>
      </c>
      <c r="I55" s="491">
        <v>883483</v>
      </c>
      <c r="J55" s="481"/>
      <c r="K55" s="521">
        <v>1</v>
      </c>
      <c r="L55" s="492">
        <f>ROUND(+$K$10*(($I55*K55)/K$83),0)</f>
        <v>13</v>
      </c>
      <c r="M55" s="493">
        <f t="shared" si="2"/>
        <v>1.0000000000000001E-5</v>
      </c>
      <c r="N55" s="521">
        <v>1</v>
      </c>
      <c r="O55" s="492">
        <f>ROUND(+$N$10*(($I55*N55)/N$83),0)</f>
        <v>0</v>
      </c>
      <c r="P55" s="493" t="e">
        <f>IF(O55&lt;&gt;0,ROUND((O55/$F55)*#REF!,5),ROUND((N$10/$F$83)*#REF!*N55,5))</f>
        <v>#REF!</v>
      </c>
      <c r="Q55" s="521">
        <v>1</v>
      </c>
      <c r="R55" s="494">
        <f>ROUND(+$Q$10*(($I55*Q55)/Q$83),0)</f>
        <v>0</v>
      </c>
      <c r="S55" s="485" t="e">
        <f>IF(R55&lt;&gt;0,ROUND((R55/$F55)*#REF!,5),ROUND((Q$10/$F$83)*#REF!*Q55,5))</f>
        <v>#REF!</v>
      </c>
      <c r="T55" s="521">
        <v>1</v>
      </c>
      <c r="U55" s="492">
        <f>ROUND(+$T$10*(($I55*T55)/T$83),0)</f>
        <v>0</v>
      </c>
      <c r="V55" s="485" t="e">
        <f>IF(U55&lt;&gt;0,ROUND((U55/$F55)*#REF!,5),ROUND((T$10/$F$83)*#REF!*T55,5))</f>
        <v>#REF!</v>
      </c>
      <c r="W55" s="521">
        <v>1</v>
      </c>
      <c r="X55" s="492">
        <f>ROUND(+$W$10*(($I55*W55)/W$83),0)</f>
        <v>0</v>
      </c>
      <c r="Y55" s="485" t="e">
        <f>IF(X55&lt;&gt;0,ROUND((X55/$F55)*#REF!,5),ROUND((W$10/$F$83)*#REF!*W55,5))</f>
        <v>#REF!</v>
      </c>
      <c r="AC55" s="472">
        <f>IFERROR(L55/I55,0)</f>
        <v>1.471448799807127E-5</v>
      </c>
      <c r="AD55" s="473">
        <f>IFERROR(L55/F55,0)</f>
        <v>2.0067643394889543E-5</v>
      </c>
      <c r="AF55" s="474">
        <f t="shared" si="9"/>
        <v>2.3782379371068978</v>
      </c>
      <c r="AG55" s="475">
        <f t="shared" si="16"/>
        <v>2.3782379371068978</v>
      </c>
      <c r="AH55" s="520"/>
    </row>
    <row r="56" spans="1:34" x14ac:dyDescent="0.35">
      <c r="A56" s="424">
        <f t="shared" si="0"/>
        <v>50</v>
      </c>
      <c r="B56" s="424"/>
      <c r="C56" s="477" t="s">
        <v>83</v>
      </c>
      <c r="D56" s="478">
        <f>+'[13]Washington volumes'!J56</f>
        <v>449890.27963003801</v>
      </c>
      <c r="E56" s="479">
        <f>+'[13]Rates in detail'!D56</f>
        <v>0.69042999999999966</v>
      </c>
      <c r="F56" s="480"/>
      <c r="G56" s="471"/>
      <c r="H56" s="478"/>
      <c r="I56" s="495"/>
      <c r="J56" s="481"/>
      <c r="K56" s="521">
        <v>1</v>
      </c>
      <c r="L56" s="480"/>
      <c r="M56" s="496">
        <f t="shared" si="2"/>
        <v>1.0000000000000001E-5</v>
      </c>
      <c r="N56" s="521">
        <v>1</v>
      </c>
      <c r="O56" s="480"/>
      <c r="P56" s="496" t="e">
        <f>IF(O55&lt;&gt;0,ROUND((O55/$F55)*#REF!,5),ROUND((N$10/$F$83)*#REF!*N56,5))</f>
        <v>#REF!</v>
      </c>
      <c r="Q56" s="521">
        <v>1</v>
      </c>
      <c r="R56" s="478"/>
      <c r="S56" s="485" t="e">
        <f>IF(R55&lt;&gt;0,ROUND((R55/$F55)*#REF!,5),ROUND((Q$10/$F$83)*#REF!*Q56,5))</f>
        <v>#REF!</v>
      </c>
      <c r="T56" s="521">
        <v>1</v>
      </c>
      <c r="U56" s="480"/>
      <c r="V56" s="485" t="e">
        <f>IF(U55&lt;&gt;0,ROUND((U55/$F55)*#REF!,5),ROUND((T$10/$F$83)*#REF!*T56,5))</f>
        <v>#REF!</v>
      </c>
      <c r="W56" s="521">
        <v>1</v>
      </c>
      <c r="X56" s="480"/>
      <c r="Y56" s="485" t="e">
        <f>IF(X55&lt;&gt;0,ROUND((X55/$F55)*#REF!,5),ROUND((W$10/$F$83)*#REF!*W56,5))</f>
        <v>#REF!</v>
      </c>
      <c r="AC56" s="487">
        <f>AC55</f>
        <v>1.471448799807127E-5</v>
      </c>
      <c r="AD56" s="488">
        <f>AD55</f>
        <v>2.0067643394889543E-5</v>
      </c>
      <c r="AF56" s="474">
        <f t="shared" si="9"/>
        <v>4.4989027963003805</v>
      </c>
      <c r="AG56" s="475">
        <f t="shared" si="16"/>
        <v>4.4989027963003805</v>
      </c>
      <c r="AH56" s="520"/>
    </row>
    <row r="57" spans="1:34" x14ac:dyDescent="0.35">
      <c r="A57" s="424">
        <f t="shared" si="0"/>
        <v>51</v>
      </c>
      <c r="B57" s="424"/>
      <c r="C57" s="477" t="s">
        <v>90</v>
      </c>
      <c r="D57" s="478">
        <f>+'[13]Washington volumes'!J57</f>
        <v>201896.54594079489</v>
      </c>
      <c r="E57" s="479">
        <f>+'[13]Rates in detail'!D57</f>
        <v>0.64878000000000013</v>
      </c>
      <c r="F57" s="480"/>
      <c r="G57" s="471"/>
      <c r="H57" s="478"/>
      <c r="I57" s="495"/>
      <c r="J57" s="481"/>
      <c r="K57" s="521">
        <v>1</v>
      </c>
      <c r="L57" s="480"/>
      <c r="M57" s="496">
        <f t="shared" si="2"/>
        <v>1.0000000000000001E-5</v>
      </c>
      <c r="N57" s="521">
        <v>1</v>
      </c>
      <c r="O57" s="480"/>
      <c r="P57" s="496" t="e">
        <f>IF(O55&lt;&gt;0,ROUND((O55/$F55)*#REF!,5),ROUND((N$10/$F$83)*#REF!*N57,5))</f>
        <v>#REF!</v>
      </c>
      <c r="Q57" s="521">
        <v>1</v>
      </c>
      <c r="R57" s="478"/>
      <c r="S57" s="485" t="e">
        <f>IF(R55&lt;&gt;0,ROUND((R55/$F55)*#REF!,5),ROUND((Q$10/$F$83)*#REF!*Q57,5))</f>
        <v>#REF!</v>
      </c>
      <c r="T57" s="521">
        <v>1</v>
      </c>
      <c r="U57" s="480"/>
      <c r="V57" s="485" t="e">
        <f>IF(U55&lt;&gt;0,ROUND((U55/$F55)*#REF!,5),ROUND((T$10/$F$83)*#REF!*T57,5))</f>
        <v>#REF!</v>
      </c>
      <c r="W57" s="521">
        <v>1</v>
      </c>
      <c r="X57" s="480"/>
      <c r="Y57" s="485" t="e">
        <f>IF(X55&lt;&gt;0,ROUND((X55/$F55)*#REF!,5),ROUND((W$10/$F$83)*#REF!*W57,5))</f>
        <v>#REF!</v>
      </c>
      <c r="AC57" s="487">
        <f t="shared" ref="AC57:AD60" si="19">AC56</f>
        <v>1.471448799807127E-5</v>
      </c>
      <c r="AD57" s="488">
        <f t="shared" si="19"/>
        <v>2.0067643394889543E-5</v>
      </c>
      <c r="AF57" s="474">
        <f t="shared" si="9"/>
        <v>2.0189654594079491</v>
      </c>
      <c r="AG57" s="475">
        <f t="shared" si="16"/>
        <v>2.0189654594079491</v>
      </c>
      <c r="AH57" s="520"/>
    </row>
    <row r="58" spans="1:34" x14ac:dyDescent="0.35">
      <c r="A58" s="424">
        <f t="shared" si="0"/>
        <v>52</v>
      </c>
      <c r="B58" s="424"/>
      <c r="C58" s="477" t="s">
        <v>91</v>
      </c>
      <c r="D58" s="478">
        <f>+'[13]Washington volumes'!J58</f>
        <v>59595.669906477466</v>
      </c>
      <c r="E58" s="479">
        <f>+'[13]Rates in detail'!D58</f>
        <v>0.62140999999999991</v>
      </c>
      <c r="F58" s="480"/>
      <c r="G58" s="471"/>
      <c r="H58" s="478"/>
      <c r="I58" s="495"/>
      <c r="J58" s="481"/>
      <c r="K58" s="521">
        <v>1</v>
      </c>
      <c r="L58" s="480"/>
      <c r="M58" s="496">
        <f t="shared" si="2"/>
        <v>1.0000000000000001E-5</v>
      </c>
      <c r="N58" s="521">
        <v>1</v>
      </c>
      <c r="O58" s="480"/>
      <c r="P58" s="496" t="e">
        <f>IF(O55&lt;&gt;0,ROUND((O55/$F55)*#REF!,5),ROUND((N$10/$F$83)*#REF!*N58,5))</f>
        <v>#REF!</v>
      </c>
      <c r="Q58" s="521">
        <v>1</v>
      </c>
      <c r="R58" s="478"/>
      <c r="S58" s="485" t="e">
        <f>IF(R55&lt;&gt;0,ROUND((R55/$F55)*#REF!,5),ROUND((Q$10/$F$83)*#REF!*Q58,5))</f>
        <v>#REF!</v>
      </c>
      <c r="T58" s="521">
        <v>1</v>
      </c>
      <c r="U58" s="480"/>
      <c r="V58" s="485" t="e">
        <f>IF(U55&lt;&gt;0,ROUND((U55/$F55)*#REF!,5),ROUND((T$10/$F$83)*#REF!*T58,5))</f>
        <v>#REF!</v>
      </c>
      <c r="W58" s="521">
        <v>1</v>
      </c>
      <c r="X58" s="480"/>
      <c r="Y58" s="485" t="e">
        <f>IF(X55&lt;&gt;0,ROUND((X55/$F55)*#REF!,5),ROUND((W$10/$F$83)*#REF!*W58,5))</f>
        <v>#REF!</v>
      </c>
      <c r="AC58" s="487">
        <f t="shared" si="19"/>
        <v>1.471448799807127E-5</v>
      </c>
      <c r="AD58" s="488">
        <f t="shared" si="19"/>
        <v>2.0067643394889543E-5</v>
      </c>
      <c r="AF58" s="474">
        <f t="shared" si="9"/>
        <v>0.59595669906477466</v>
      </c>
      <c r="AG58" s="475">
        <f t="shared" si="16"/>
        <v>0.59595669906477466</v>
      </c>
      <c r="AH58" s="520"/>
    </row>
    <row r="59" spans="1:34" x14ac:dyDescent="0.35">
      <c r="A59" s="424">
        <f t="shared" si="0"/>
        <v>53</v>
      </c>
      <c r="B59" s="424"/>
      <c r="C59" s="477" t="s">
        <v>92</v>
      </c>
      <c r="D59" s="478">
        <f>+'[13]Washington volumes'!J59</f>
        <v>0</v>
      </c>
      <c r="E59" s="479">
        <f>+'[13]Rates in detail'!D59</f>
        <v>0.58492999999999984</v>
      </c>
      <c r="F59" s="480"/>
      <c r="G59" s="471"/>
      <c r="H59" s="478"/>
      <c r="I59" s="495"/>
      <c r="J59" s="481"/>
      <c r="K59" s="521">
        <v>1</v>
      </c>
      <c r="L59" s="480"/>
      <c r="M59" s="496">
        <f t="shared" si="2"/>
        <v>1.0000000000000001E-5</v>
      </c>
      <c r="N59" s="521">
        <v>1</v>
      </c>
      <c r="O59" s="480"/>
      <c r="P59" s="496" t="e">
        <f>IF(O55&lt;&gt;0,ROUND((O55/$F55)*#REF!,5),ROUND((N$10/$F$83)*#REF!*N59,5))</f>
        <v>#REF!</v>
      </c>
      <c r="Q59" s="521">
        <v>1</v>
      </c>
      <c r="R59" s="478"/>
      <c r="S59" s="485" t="e">
        <f>IF(R55&lt;&gt;0,ROUND((R55/$F55)*#REF!,5),ROUND((Q$10/$F$83)*#REF!*Q59,5))</f>
        <v>#REF!</v>
      </c>
      <c r="T59" s="521">
        <v>1</v>
      </c>
      <c r="U59" s="480"/>
      <c r="V59" s="485" t="e">
        <f>IF(U55&lt;&gt;0,ROUND((U55/$F55)*#REF!,5),ROUND((T$10/$F$83)*#REF!*T59,5))</f>
        <v>#REF!</v>
      </c>
      <c r="W59" s="521">
        <v>1</v>
      </c>
      <c r="X59" s="480"/>
      <c r="Y59" s="485" t="e">
        <f>IF(X55&lt;&gt;0,ROUND((X55/$F55)*#REF!,5),ROUND((W$10/$F$83)*#REF!*W59,5))</f>
        <v>#REF!</v>
      </c>
      <c r="AC59" s="487">
        <f>AC58</f>
        <v>1.471448799807127E-5</v>
      </c>
      <c r="AD59" s="488">
        <f t="shared" si="19"/>
        <v>2.0067643394889543E-5</v>
      </c>
      <c r="AF59" s="474">
        <f t="shared" si="9"/>
        <v>0</v>
      </c>
      <c r="AG59" s="475">
        <f t="shared" si="16"/>
        <v>0</v>
      </c>
      <c r="AH59" s="520"/>
    </row>
    <row r="60" spans="1:34" x14ac:dyDescent="0.35">
      <c r="A60" s="424">
        <f t="shared" si="0"/>
        <v>54</v>
      </c>
      <c r="B60" s="476"/>
      <c r="C60" s="486" t="s">
        <v>93</v>
      </c>
      <c r="D60" s="462">
        <f>+'[13]Washington volumes'!J60</f>
        <v>0</v>
      </c>
      <c r="E60" s="463">
        <f>+'[13]Rates in detail'!D60</f>
        <v>0.53925000000000001</v>
      </c>
      <c r="F60" s="464"/>
      <c r="G60" s="465"/>
      <c r="H60" s="462"/>
      <c r="I60" s="466"/>
      <c r="J60" s="467"/>
      <c r="K60" s="519">
        <v>1</v>
      </c>
      <c r="L60" s="464"/>
      <c r="M60" s="469">
        <f t="shared" si="2"/>
        <v>1.0000000000000001E-5</v>
      </c>
      <c r="N60" s="519">
        <v>1</v>
      </c>
      <c r="O60" s="464"/>
      <c r="P60" s="469" t="e">
        <f>IF(O55&lt;&gt;0,ROUND((O55/$F55)*#REF!,5),ROUND((N$10/$F$83)*#REF!*N60,5))</f>
        <v>#REF!</v>
      </c>
      <c r="Q60" s="519">
        <v>1</v>
      </c>
      <c r="R60" s="462"/>
      <c r="S60" s="470" t="e">
        <f>IF(R55&lt;&gt;0,ROUND((R55/$F55)*#REF!,5),ROUND((Q$10/$F$83)*#REF!*Q60,5))</f>
        <v>#REF!</v>
      </c>
      <c r="T60" s="519">
        <v>1</v>
      </c>
      <c r="U60" s="464"/>
      <c r="V60" s="470" t="e">
        <f>IF(U55&lt;&gt;0,ROUND((U55/$F55)*#REF!,5),ROUND((T$10/$F$83)*#REF!*T60,5))</f>
        <v>#REF!</v>
      </c>
      <c r="W60" s="519">
        <v>1</v>
      </c>
      <c r="X60" s="464"/>
      <c r="Y60" s="470" t="e">
        <f>IF(X55&lt;&gt;0,ROUND((X55/$F55)*#REF!,5),ROUND((W$10/$F$83)*#REF!*W60,5))</f>
        <v>#REF!</v>
      </c>
      <c r="AC60" s="487">
        <f t="shared" ref="AC60" si="20">AC59</f>
        <v>1.471448799807127E-5</v>
      </c>
      <c r="AD60" s="488">
        <f t="shared" si="19"/>
        <v>2.0067643394889543E-5</v>
      </c>
      <c r="AF60" s="474">
        <f t="shared" si="9"/>
        <v>0</v>
      </c>
      <c r="AG60" s="475">
        <f t="shared" si="16"/>
        <v>0</v>
      </c>
      <c r="AH60" s="520"/>
    </row>
    <row r="61" spans="1:34" x14ac:dyDescent="0.35">
      <c r="A61" s="424">
        <f t="shared" si="0"/>
        <v>55</v>
      </c>
      <c r="B61" s="424" t="s">
        <v>98</v>
      </c>
      <c r="C61" s="477" t="s">
        <v>82</v>
      </c>
      <c r="D61" s="478">
        <f>+'[13]Washington volumes'!J61</f>
        <v>171532.62817612645</v>
      </c>
      <c r="E61" s="479">
        <f>+'[13]Rates in detail'!D61</f>
        <v>0.69063999999999992</v>
      </c>
      <c r="F61" s="480">
        <f>ROUND((E61*D61)+(D62*E62)+(D63*E63)+(D64*E64)+(D65*E65)+(D66*E66),0)</f>
        <v>136635</v>
      </c>
      <c r="G61" s="471">
        <f>+'[13]Avg Bill by RS'!I72</f>
        <v>-2645.7691048183847</v>
      </c>
      <c r="H61" s="478">
        <f>+'[13]Washington volumes'!L61</f>
        <v>1</v>
      </c>
      <c r="I61" s="491">
        <v>72768</v>
      </c>
      <c r="J61" s="481"/>
      <c r="K61" s="521">
        <v>1</v>
      </c>
      <c r="L61" s="492">
        <f>ROUND(+$K$10*(($I61*K61)/K$83),0)</f>
        <v>1</v>
      </c>
      <c r="M61" s="493">
        <f t="shared" si="2"/>
        <v>1.0000000000000001E-5</v>
      </c>
      <c r="N61" s="521">
        <v>1</v>
      </c>
      <c r="O61" s="492">
        <f>ROUND(+$N$10*(($I61*N61)/N$83),0)</f>
        <v>0</v>
      </c>
      <c r="P61" s="493" t="e">
        <f>IF(O61&lt;&gt;0,ROUND((O61/$F61)*#REF!,5),ROUND((N$10/$F$83)*#REF!*N61,5))</f>
        <v>#REF!</v>
      </c>
      <c r="Q61" s="521">
        <v>1</v>
      </c>
      <c r="R61" s="494">
        <f>ROUND(+$Q$10*(($I61*Q61)/Q$83),0)</f>
        <v>0</v>
      </c>
      <c r="S61" s="485" t="e">
        <f>IF(R61&lt;&gt;0,ROUND((R61/$F61)*#REF!,5),ROUND((Q$10/$F$83)*#REF!*Q61,5))</f>
        <v>#REF!</v>
      </c>
      <c r="T61" s="521">
        <v>1</v>
      </c>
      <c r="U61" s="492">
        <f>ROUND(+$T$10*(($I61*T61)/T$83),0)</f>
        <v>0</v>
      </c>
      <c r="V61" s="485" t="e">
        <f>IF(U61&lt;&gt;0,ROUND((U61/$F61)*#REF!,5),ROUND((T$10/$F$83)*#REF!*T61,5))</f>
        <v>#REF!</v>
      </c>
      <c r="W61" s="521">
        <v>1</v>
      </c>
      <c r="X61" s="492">
        <f>ROUND(+$W$10*(($I61*W61)/W$83),0)</f>
        <v>0</v>
      </c>
      <c r="Y61" s="485" t="e">
        <f>IF(X61&lt;&gt;0,ROUND((X61/$F61)*#REF!,5),ROUND((W$10/$F$83)*#REF!*W61,5))</f>
        <v>#REF!</v>
      </c>
      <c r="AC61" s="472">
        <f>IFERROR(L61/I61,0)</f>
        <v>1.3742304309586632E-5</v>
      </c>
      <c r="AD61" s="473">
        <f>IFERROR(L61/F61,0)</f>
        <v>7.3187689830570502E-6</v>
      </c>
      <c r="AF61" s="474">
        <f t="shared" si="9"/>
        <v>1.7153262817612647</v>
      </c>
      <c r="AG61" s="475">
        <f t="shared" si="16"/>
        <v>1.7153262817612647</v>
      </c>
      <c r="AH61" s="520"/>
    </row>
    <row r="62" spans="1:34" x14ac:dyDescent="0.35">
      <c r="A62" s="424">
        <f t="shared" si="0"/>
        <v>56</v>
      </c>
      <c r="B62" s="424"/>
      <c r="C62" s="477" t="s">
        <v>83</v>
      </c>
      <c r="D62" s="478">
        <f>+'[13]Washington volumes'!J62</f>
        <v>27036.058789873507</v>
      </c>
      <c r="E62" s="479">
        <f>+'[13]Rates in detail'!D62</f>
        <v>0.67198999999999998</v>
      </c>
      <c r="F62" s="480"/>
      <c r="G62" s="471"/>
      <c r="H62" s="478"/>
      <c r="I62" s="495"/>
      <c r="J62" s="481"/>
      <c r="K62" s="521">
        <v>1</v>
      </c>
      <c r="L62" s="480"/>
      <c r="M62" s="496">
        <f t="shared" si="2"/>
        <v>0</v>
      </c>
      <c r="N62" s="521">
        <v>1</v>
      </c>
      <c r="O62" s="480"/>
      <c r="P62" s="496" t="e">
        <f>IF(O61&lt;&gt;0,ROUND((O61/$F61)*#REF!,5),ROUND((N$10/$F$83)*#REF!*N62,5))</f>
        <v>#REF!</v>
      </c>
      <c r="Q62" s="521">
        <v>1</v>
      </c>
      <c r="R62" s="478"/>
      <c r="S62" s="485" t="e">
        <f>IF(R61&lt;&gt;0,ROUND((R61/$F61)*#REF!,5),ROUND((Q$10/$F$83)*#REF!*Q62,5))</f>
        <v>#REF!</v>
      </c>
      <c r="T62" s="521">
        <v>1</v>
      </c>
      <c r="U62" s="480"/>
      <c r="V62" s="485" t="e">
        <f>IF(U61&lt;&gt;0,ROUND((U61/$F61)*#REF!,5),ROUND((T$10/$F$83)*#REF!*T62,5))</f>
        <v>#REF!</v>
      </c>
      <c r="W62" s="521">
        <v>1</v>
      </c>
      <c r="X62" s="480"/>
      <c r="Y62" s="485" t="e">
        <f>IF(X61&lt;&gt;0,ROUND((X61/$F61)*#REF!,5),ROUND((W$10/$F$83)*#REF!*W62,5))</f>
        <v>#REF!</v>
      </c>
      <c r="AC62" s="487">
        <f>AC61</f>
        <v>1.3742304309586632E-5</v>
      </c>
      <c r="AD62" s="488">
        <f>AD61</f>
        <v>7.3187689830570502E-6</v>
      </c>
      <c r="AF62" s="474">
        <f t="shared" si="9"/>
        <v>0</v>
      </c>
      <c r="AG62" s="475">
        <f t="shared" si="16"/>
        <v>0</v>
      </c>
      <c r="AH62" s="520"/>
    </row>
    <row r="63" spans="1:34" x14ac:dyDescent="0.35">
      <c r="A63" s="424">
        <f t="shared" si="0"/>
        <v>57</v>
      </c>
      <c r="B63" s="424"/>
      <c r="C63" s="477" t="s">
        <v>90</v>
      </c>
      <c r="D63" s="478">
        <f>+'[13]Washington volumes'!J63</f>
        <v>0</v>
      </c>
      <c r="E63" s="479">
        <f>+'[13]Rates in detail'!D63</f>
        <v>0.63488999999999995</v>
      </c>
      <c r="F63" s="480"/>
      <c r="G63" s="471"/>
      <c r="H63" s="478"/>
      <c r="I63" s="495"/>
      <c r="J63" s="481"/>
      <c r="K63" s="521">
        <v>1</v>
      </c>
      <c r="L63" s="480"/>
      <c r="M63" s="496">
        <f t="shared" si="2"/>
        <v>0</v>
      </c>
      <c r="N63" s="521">
        <v>1</v>
      </c>
      <c r="O63" s="480"/>
      <c r="P63" s="496" t="e">
        <f>IF(O61&lt;&gt;0,ROUND((O61/$F61)*#REF!,5),ROUND((N$10/$F$83)*#REF!*N63,5))</f>
        <v>#REF!</v>
      </c>
      <c r="Q63" s="521">
        <v>1</v>
      </c>
      <c r="R63" s="478"/>
      <c r="S63" s="485" t="e">
        <f>IF(R61&lt;&gt;0,ROUND((R61/$F61)*#REF!,5),ROUND((Q$10/$F$83)*#REF!*Q63,5))</f>
        <v>#REF!</v>
      </c>
      <c r="T63" s="521">
        <v>1</v>
      </c>
      <c r="U63" s="480"/>
      <c r="V63" s="485" t="e">
        <f>IF(U61&lt;&gt;0,ROUND((U61/$F61)*#REF!,5),ROUND((T$10/$F$83)*#REF!*T63,5))</f>
        <v>#REF!</v>
      </c>
      <c r="W63" s="521">
        <v>1</v>
      </c>
      <c r="X63" s="480"/>
      <c r="Y63" s="485" t="e">
        <f>IF(X61&lt;&gt;0,ROUND((X61/$F61)*#REF!,5),ROUND((W$10/$F$83)*#REF!*W63,5))</f>
        <v>#REF!</v>
      </c>
      <c r="AC63" s="487">
        <f t="shared" ref="AC63:AD66" si="21">AC62</f>
        <v>1.3742304309586632E-5</v>
      </c>
      <c r="AD63" s="488">
        <f t="shared" si="21"/>
        <v>7.3187689830570502E-6</v>
      </c>
      <c r="AF63" s="474">
        <f t="shared" si="9"/>
        <v>0</v>
      </c>
      <c r="AG63" s="475">
        <f t="shared" si="16"/>
        <v>0</v>
      </c>
      <c r="AH63" s="520"/>
    </row>
    <row r="64" spans="1:34" x14ac:dyDescent="0.35">
      <c r="A64" s="424">
        <f t="shared" si="0"/>
        <v>58</v>
      </c>
      <c r="B64" s="424"/>
      <c r="C64" s="477" t="s">
        <v>91</v>
      </c>
      <c r="D64" s="478">
        <f>+'[13]Washington volumes'!J64</f>
        <v>0</v>
      </c>
      <c r="E64" s="479">
        <f>+'[13]Rates in detail'!D64</f>
        <v>0.61047999999999969</v>
      </c>
      <c r="F64" s="480"/>
      <c r="G64" s="471"/>
      <c r="H64" s="478"/>
      <c r="I64" s="495"/>
      <c r="J64" s="481"/>
      <c r="K64" s="521">
        <v>1</v>
      </c>
      <c r="L64" s="480"/>
      <c r="M64" s="496">
        <f t="shared" si="2"/>
        <v>0</v>
      </c>
      <c r="N64" s="521">
        <v>1</v>
      </c>
      <c r="O64" s="480"/>
      <c r="P64" s="496" t="e">
        <f>IF(O61&lt;&gt;0,ROUND((O61/$F61)*#REF!,5),ROUND((N$10/$F$83)*#REF!*N64,5))</f>
        <v>#REF!</v>
      </c>
      <c r="Q64" s="521">
        <v>1</v>
      </c>
      <c r="R64" s="478"/>
      <c r="S64" s="485" t="e">
        <f>IF(R61&lt;&gt;0,ROUND((R61/$F61)*#REF!,5),ROUND((Q$10/$F$83)*#REF!*Q64,5))</f>
        <v>#REF!</v>
      </c>
      <c r="T64" s="521">
        <v>1</v>
      </c>
      <c r="U64" s="480"/>
      <c r="V64" s="485" t="e">
        <f>IF(U61&lt;&gt;0,ROUND((U61/$F61)*#REF!,5),ROUND((T$10/$F$83)*#REF!*T64,5))</f>
        <v>#REF!</v>
      </c>
      <c r="W64" s="521">
        <v>1</v>
      </c>
      <c r="X64" s="480"/>
      <c r="Y64" s="485" t="e">
        <f>IF(X61&lt;&gt;0,ROUND((X61/$F61)*#REF!,5),ROUND((W$10/$F$83)*#REF!*W64,5))</f>
        <v>#REF!</v>
      </c>
      <c r="AC64" s="487">
        <f t="shared" si="21"/>
        <v>1.3742304309586632E-5</v>
      </c>
      <c r="AD64" s="488">
        <f t="shared" si="21"/>
        <v>7.3187689830570502E-6</v>
      </c>
      <c r="AF64" s="474">
        <f t="shared" si="9"/>
        <v>0</v>
      </c>
      <c r="AG64" s="475">
        <f t="shared" si="16"/>
        <v>0</v>
      </c>
      <c r="AH64" s="520"/>
    </row>
    <row r="65" spans="1:34" x14ac:dyDescent="0.35">
      <c r="A65" s="424">
        <f t="shared" si="0"/>
        <v>59</v>
      </c>
      <c r="B65" s="424"/>
      <c r="C65" s="477" t="s">
        <v>92</v>
      </c>
      <c r="D65" s="478">
        <f>+'[13]Washington volumes'!J65</f>
        <v>0</v>
      </c>
      <c r="E65" s="479">
        <f>+'[13]Rates in detail'!D65</f>
        <v>0.57791000000000003</v>
      </c>
      <c r="F65" s="480"/>
      <c r="G65" s="471"/>
      <c r="H65" s="478"/>
      <c r="I65" s="495"/>
      <c r="J65" s="481"/>
      <c r="K65" s="521">
        <v>1</v>
      </c>
      <c r="L65" s="480"/>
      <c r="M65" s="496">
        <f t="shared" si="2"/>
        <v>0</v>
      </c>
      <c r="N65" s="521">
        <v>1</v>
      </c>
      <c r="O65" s="480"/>
      <c r="P65" s="496" t="e">
        <f>IF(O61&lt;&gt;0,ROUND((O61/$F61)*#REF!,5),ROUND((N$10/$F$83)*#REF!*N65,5))</f>
        <v>#REF!</v>
      </c>
      <c r="Q65" s="521">
        <v>1</v>
      </c>
      <c r="R65" s="478"/>
      <c r="S65" s="485" t="e">
        <f>IF(R61&lt;&gt;0,ROUND((R61/$F61)*#REF!,5),ROUND((Q$10/$F$83)*#REF!*Q65,5))</f>
        <v>#REF!</v>
      </c>
      <c r="T65" s="521">
        <v>1</v>
      </c>
      <c r="U65" s="480"/>
      <c r="V65" s="485" t="e">
        <f>IF(U61&lt;&gt;0,ROUND((U61/$F61)*#REF!,5),ROUND((T$10/$F$83)*#REF!*T65,5))</f>
        <v>#REF!</v>
      </c>
      <c r="W65" s="521">
        <v>1</v>
      </c>
      <c r="X65" s="480"/>
      <c r="Y65" s="485" t="e">
        <f>IF(X61&lt;&gt;0,ROUND((X61/$F61)*#REF!,5),ROUND((W$10/$F$83)*#REF!*W65,5))</f>
        <v>#REF!</v>
      </c>
      <c r="AC65" s="487">
        <f>AC64</f>
        <v>1.3742304309586632E-5</v>
      </c>
      <c r="AD65" s="488">
        <f t="shared" si="21"/>
        <v>7.3187689830570502E-6</v>
      </c>
      <c r="AF65" s="474">
        <f t="shared" si="9"/>
        <v>0</v>
      </c>
      <c r="AG65" s="475">
        <f t="shared" si="16"/>
        <v>0</v>
      </c>
      <c r="AH65" s="520"/>
    </row>
    <row r="66" spans="1:34" x14ac:dyDescent="0.35">
      <c r="A66" s="424">
        <f t="shared" si="0"/>
        <v>60</v>
      </c>
      <c r="B66" s="476"/>
      <c r="C66" s="486" t="s">
        <v>93</v>
      </c>
      <c r="D66" s="462">
        <f>+'[13]Washington volumes'!J66</f>
        <v>0</v>
      </c>
      <c r="E66" s="463">
        <f>+'[13]Rates in detail'!D66</f>
        <v>0.53723999999999983</v>
      </c>
      <c r="F66" s="464"/>
      <c r="G66" s="465"/>
      <c r="H66" s="462"/>
      <c r="I66" s="466"/>
      <c r="J66" s="467"/>
      <c r="K66" s="519">
        <v>1</v>
      </c>
      <c r="L66" s="464"/>
      <c r="M66" s="469">
        <f t="shared" si="2"/>
        <v>0</v>
      </c>
      <c r="N66" s="519">
        <v>1</v>
      </c>
      <c r="O66" s="464"/>
      <c r="P66" s="469" t="e">
        <f>IF(O61&lt;&gt;0,ROUND((O61/$F61)*#REF!,5),ROUND((N$10/$F$83)*#REF!*N66,5))</f>
        <v>#REF!</v>
      </c>
      <c r="Q66" s="519">
        <v>1</v>
      </c>
      <c r="R66" s="462"/>
      <c r="S66" s="470" t="e">
        <f>IF(R61&lt;&gt;0,ROUND((R61/$F61)*#REF!,5),ROUND((Q$10/$F$83)*#REF!*Q66,5))</f>
        <v>#REF!</v>
      </c>
      <c r="T66" s="519">
        <v>1</v>
      </c>
      <c r="U66" s="464"/>
      <c r="V66" s="470" t="e">
        <f>IF(U61&lt;&gt;0,ROUND((U61/$F61)*#REF!,5),ROUND((T$10/$F$83)*#REF!*T66,5))</f>
        <v>#REF!</v>
      </c>
      <c r="W66" s="519">
        <v>1</v>
      </c>
      <c r="X66" s="464"/>
      <c r="Y66" s="470" t="e">
        <f>IF(X61&lt;&gt;0,ROUND((X61/$F61)*#REF!,5),ROUND((W$10/$F$83)*#REF!*W66,5))</f>
        <v>#REF!</v>
      </c>
      <c r="AC66" s="487">
        <f t="shared" ref="AC66" si="22">AC65</f>
        <v>1.3742304309586632E-5</v>
      </c>
      <c r="AD66" s="488">
        <f t="shared" si="21"/>
        <v>7.3187689830570502E-6</v>
      </c>
      <c r="AF66" s="474">
        <f t="shared" si="9"/>
        <v>0</v>
      </c>
      <c r="AG66" s="475">
        <f t="shared" si="16"/>
        <v>0</v>
      </c>
      <c r="AH66" s="520"/>
    </row>
    <row r="67" spans="1:34" x14ac:dyDescent="0.35">
      <c r="A67" s="424">
        <f t="shared" si="0"/>
        <v>61</v>
      </c>
      <c r="B67" s="424" t="s">
        <v>99</v>
      </c>
      <c r="C67" s="477" t="s">
        <v>82</v>
      </c>
      <c r="D67" s="478">
        <f>+'[13]Washington volumes'!J67</f>
        <v>0</v>
      </c>
      <c r="E67" s="479">
        <f>+'[13]Rates in detail'!D67</f>
        <v>0.39076</v>
      </c>
      <c r="F67" s="480">
        <f>ROUND((E67*D67)+(D68*E68)+(D69*E69)+(D70*E70)+(D71*E71)+(D72*E72),0)</f>
        <v>0</v>
      </c>
      <c r="G67" s="471">
        <f>+'[13]Avg Bill by RS'!I79</f>
        <v>1550</v>
      </c>
      <c r="H67" s="478">
        <f>+'[13]Washington volumes'!L67</f>
        <v>0</v>
      </c>
      <c r="I67" s="491">
        <v>0</v>
      </c>
      <c r="J67" s="481"/>
      <c r="K67" s="521">
        <v>1</v>
      </c>
      <c r="L67" s="492">
        <f>ROUND(+$K$10*(($I67*K67)/K$83),0)</f>
        <v>0</v>
      </c>
      <c r="M67" s="493">
        <f t="shared" si="2"/>
        <v>0</v>
      </c>
      <c r="N67" s="521">
        <v>1</v>
      </c>
      <c r="O67" s="492">
        <f>ROUND(+$N$10*(($I67*N67)/N$83),0)</f>
        <v>0</v>
      </c>
      <c r="P67" s="493" t="e">
        <f>IF(O67&lt;&gt;0,ROUND((O67/$F67)*#REF!,5),ROUND((N$10/$F$83)*#REF!*N67,5))</f>
        <v>#REF!</v>
      </c>
      <c r="Q67" s="521">
        <v>1</v>
      </c>
      <c r="R67" s="494">
        <f>ROUND(+$Q$10*(($I67*Q67)/Q$83),0)</f>
        <v>0</v>
      </c>
      <c r="S67" s="485" t="e">
        <f>IF(R67&lt;&gt;0,ROUND((R67/$F67)*#REF!,5),ROUND((Q$10/$F$83)*#REF!*Q67,5))</f>
        <v>#REF!</v>
      </c>
      <c r="T67" s="521">
        <v>1</v>
      </c>
      <c r="U67" s="492">
        <f>ROUND(+$T$10*(($I67*T67)/T$83),0)</f>
        <v>0</v>
      </c>
      <c r="V67" s="485" t="e">
        <f>IF(U67&lt;&gt;0,ROUND((U67/$F67)*#REF!,5),ROUND((T$10/$F$83)*#REF!*T67,5))</f>
        <v>#REF!</v>
      </c>
      <c r="W67" s="521">
        <v>1</v>
      </c>
      <c r="X67" s="492">
        <f>ROUND(+$W$10*(($I67*W67)/W$83),0)</f>
        <v>0</v>
      </c>
      <c r="Y67" s="485" t="e">
        <f>IF(X67&lt;&gt;0,ROUND((X67/$F67)*#REF!,5),ROUND((W$10/$F$83)*#REF!*W67,5))</f>
        <v>#REF!</v>
      </c>
      <c r="AC67" s="472">
        <f>IFERROR(L67/I67,0)</f>
        <v>0</v>
      </c>
      <c r="AD67" s="473">
        <f>IFERROR(L67/F67,0)</f>
        <v>0</v>
      </c>
      <c r="AF67" s="474">
        <f t="shared" si="9"/>
        <v>0</v>
      </c>
      <c r="AG67" s="475">
        <f t="shared" si="16"/>
        <v>0</v>
      </c>
      <c r="AH67" s="520"/>
    </row>
    <row r="68" spans="1:34" x14ac:dyDescent="0.35">
      <c r="A68" s="424">
        <f t="shared" si="0"/>
        <v>62</v>
      </c>
      <c r="B68" s="424"/>
      <c r="C68" s="477" t="s">
        <v>83</v>
      </c>
      <c r="D68" s="478">
        <f>+'[13]Washington volumes'!J68</f>
        <v>0</v>
      </c>
      <c r="E68" s="479">
        <f>+'[13]Rates in detail'!D68</f>
        <v>0.37516000000000005</v>
      </c>
      <c r="F68" s="480"/>
      <c r="G68" s="471"/>
      <c r="H68" s="478"/>
      <c r="I68" s="495"/>
      <c r="J68" s="481"/>
      <c r="K68" s="521">
        <v>1</v>
      </c>
      <c r="L68" s="480"/>
      <c r="M68" s="496">
        <f t="shared" si="2"/>
        <v>0</v>
      </c>
      <c r="N68" s="521">
        <v>1</v>
      </c>
      <c r="O68" s="480"/>
      <c r="P68" s="496" t="e">
        <f>IF(O67&lt;&gt;0,ROUND((O67/$F67)*#REF!,5),ROUND((N$10/$F$83)*#REF!*N68,5))</f>
        <v>#REF!</v>
      </c>
      <c r="Q68" s="521">
        <v>1</v>
      </c>
      <c r="R68" s="478"/>
      <c r="S68" s="485" t="e">
        <f>IF(R67&lt;&gt;0,ROUND((R67/$F67)*#REF!,5),ROUND((Q$10/$F$83)*#REF!*Q68,5))</f>
        <v>#REF!</v>
      </c>
      <c r="T68" s="521">
        <v>1</v>
      </c>
      <c r="U68" s="480"/>
      <c r="V68" s="485" t="e">
        <f>IF(U67&lt;&gt;0,ROUND((U67/$F67)*#REF!,5),ROUND((T$10/$F$83)*#REF!*T68,5))</f>
        <v>#REF!</v>
      </c>
      <c r="W68" s="521">
        <v>1</v>
      </c>
      <c r="X68" s="480"/>
      <c r="Y68" s="485" t="e">
        <f>IF(X67&lt;&gt;0,ROUND((X67/$F67)*#REF!,5),ROUND((W$10/$F$83)*#REF!*W68,5))</f>
        <v>#REF!</v>
      </c>
      <c r="AC68" s="487">
        <f>AC67</f>
        <v>0</v>
      </c>
      <c r="AD68" s="488">
        <f>AD67</f>
        <v>0</v>
      </c>
      <c r="AF68" s="474">
        <f t="shared" si="9"/>
        <v>0</v>
      </c>
      <c r="AG68" s="475">
        <f t="shared" si="16"/>
        <v>0</v>
      </c>
      <c r="AH68" s="520"/>
    </row>
    <row r="69" spans="1:34" x14ac:dyDescent="0.35">
      <c r="A69" s="424">
        <f t="shared" si="0"/>
        <v>63</v>
      </c>
      <c r="B69" s="424"/>
      <c r="C69" s="477" t="s">
        <v>90</v>
      </c>
      <c r="D69" s="478">
        <f>+'[13]Washington volumes'!J69</f>
        <v>0</v>
      </c>
      <c r="E69" s="479">
        <f>+'[13]Rates in detail'!D69</f>
        <v>0.34404999999999997</v>
      </c>
      <c r="F69" s="480"/>
      <c r="G69" s="471"/>
      <c r="H69" s="478"/>
      <c r="I69" s="495"/>
      <c r="J69" s="481"/>
      <c r="K69" s="521">
        <v>1</v>
      </c>
      <c r="L69" s="480"/>
      <c r="M69" s="496">
        <f t="shared" si="2"/>
        <v>0</v>
      </c>
      <c r="N69" s="521">
        <v>1</v>
      </c>
      <c r="O69" s="480"/>
      <c r="P69" s="496" t="e">
        <f>IF(O67&lt;&gt;0,ROUND((O67/$F67)*#REF!,5),ROUND((N$10/$F$83)*#REF!*N69,5))</f>
        <v>#REF!</v>
      </c>
      <c r="Q69" s="521">
        <v>1</v>
      </c>
      <c r="R69" s="478"/>
      <c r="S69" s="485" t="e">
        <f>IF(R67&lt;&gt;0,ROUND((R67/$F67)*#REF!,5),ROUND((Q$10/$F$83)*#REF!*Q69,5))</f>
        <v>#REF!</v>
      </c>
      <c r="T69" s="521">
        <v>1</v>
      </c>
      <c r="U69" s="480"/>
      <c r="V69" s="485" t="e">
        <f>IF(U67&lt;&gt;0,ROUND((U67/$F67)*#REF!,5),ROUND((T$10/$F$83)*#REF!*T69,5))</f>
        <v>#REF!</v>
      </c>
      <c r="W69" s="521">
        <v>1</v>
      </c>
      <c r="X69" s="480"/>
      <c r="Y69" s="485" t="e">
        <f>IF(X67&lt;&gt;0,ROUND((X67/$F67)*#REF!,5),ROUND((W$10/$F$83)*#REF!*W69,5))</f>
        <v>#REF!</v>
      </c>
      <c r="AC69" s="487">
        <f t="shared" ref="AC69:AD72" si="23">AC68</f>
        <v>0</v>
      </c>
      <c r="AD69" s="488">
        <f t="shared" si="23"/>
        <v>0</v>
      </c>
      <c r="AF69" s="474">
        <f t="shared" si="9"/>
        <v>0</v>
      </c>
      <c r="AG69" s="475">
        <f t="shared" si="16"/>
        <v>0</v>
      </c>
      <c r="AH69" s="520"/>
    </row>
    <row r="70" spans="1:34" x14ac:dyDescent="0.35">
      <c r="A70" s="424">
        <f t="shared" si="0"/>
        <v>64</v>
      </c>
      <c r="B70" s="424"/>
      <c r="C70" s="477" t="s">
        <v>91</v>
      </c>
      <c r="D70" s="478">
        <f>+'[13]Washington volumes'!J70</f>
        <v>0</v>
      </c>
      <c r="E70" s="479">
        <f>+'[13]Rates in detail'!D70</f>
        <v>0.3236</v>
      </c>
      <c r="F70" s="480"/>
      <c r="G70" s="471"/>
      <c r="H70" s="478"/>
      <c r="I70" s="495"/>
      <c r="J70" s="481"/>
      <c r="K70" s="521">
        <v>1</v>
      </c>
      <c r="L70" s="480"/>
      <c r="M70" s="496">
        <f t="shared" si="2"/>
        <v>0</v>
      </c>
      <c r="N70" s="521">
        <v>1</v>
      </c>
      <c r="O70" s="480"/>
      <c r="P70" s="496" t="e">
        <f>IF(O67&lt;&gt;0,ROUND((O67/$F67)*#REF!,5),ROUND((N$10/$F$83)*#REF!*N70,5))</f>
        <v>#REF!</v>
      </c>
      <c r="Q70" s="521">
        <v>1</v>
      </c>
      <c r="R70" s="478"/>
      <c r="S70" s="485" t="e">
        <f>IF(R67&lt;&gt;0,ROUND((R67/$F67)*#REF!,5),ROUND((Q$10/$F$83)*#REF!*Q70,5))</f>
        <v>#REF!</v>
      </c>
      <c r="T70" s="521">
        <v>1</v>
      </c>
      <c r="U70" s="480"/>
      <c r="V70" s="485" t="e">
        <f>IF(U67&lt;&gt;0,ROUND((U67/$F67)*#REF!,5),ROUND((T$10/$F$83)*#REF!*T70,5))</f>
        <v>#REF!</v>
      </c>
      <c r="W70" s="521">
        <v>1</v>
      </c>
      <c r="X70" s="480"/>
      <c r="Y70" s="485" t="e">
        <f>IF(X67&lt;&gt;0,ROUND((X67/$F67)*#REF!,5),ROUND((W$10/$F$83)*#REF!*W70,5))</f>
        <v>#REF!</v>
      </c>
      <c r="AC70" s="487">
        <f t="shared" si="23"/>
        <v>0</v>
      </c>
      <c r="AD70" s="488">
        <f t="shared" si="23"/>
        <v>0</v>
      </c>
      <c r="AF70" s="474">
        <f t="shared" si="9"/>
        <v>0</v>
      </c>
      <c r="AG70" s="475">
        <f t="shared" si="16"/>
        <v>0</v>
      </c>
      <c r="AH70" s="520"/>
    </row>
    <row r="71" spans="1:34" x14ac:dyDescent="0.35">
      <c r="A71" s="424">
        <f t="shared" si="0"/>
        <v>65</v>
      </c>
      <c r="B71" s="424"/>
      <c r="C71" s="477" t="s">
        <v>92</v>
      </c>
      <c r="D71" s="478">
        <f>+'[13]Washington volumes'!J71</f>
        <v>0</v>
      </c>
      <c r="E71" s="479">
        <f>+'[13]Rates in detail'!D71</f>
        <v>0.29632999999999998</v>
      </c>
      <c r="F71" s="480"/>
      <c r="G71" s="471"/>
      <c r="H71" s="478"/>
      <c r="I71" s="495"/>
      <c r="J71" s="481"/>
      <c r="K71" s="521">
        <v>1</v>
      </c>
      <c r="L71" s="480"/>
      <c r="M71" s="496">
        <f t="shared" si="2"/>
        <v>0</v>
      </c>
      <c r="N71" s="521">
        <v>1</v>
      </c>
      <c r="O71" s="480"/>
      <c r="P71" s="496" t="e">
        <f>IF(O67&lt;&gt;0,ROUND((O67/$F67)*#REF!,5),ROUND((N$10/$F$83)*#REF!*N71,5))</f>
        <v>#REF!</v>
      </c>
      <c r="Q71" s="521">
        <v>1</v>
      </c>
      <c r="R71" s="478"/>
      <c r="S71" s="485" t="e">
        <f>IF(R67&lt;&gt;0,ROUND((R67/$F67)*#REF!,5),ROUND((Q$10/$F$83)*#REF!*Q71,5))</f>
        <v>#REF!</v>
      </c>
      <c r="T71" s="521">
        <v>1</v>
      </c>
      <c r="U71" s="480"/>
      <c r="V71" s="485" t="e">
        <f>IF(U67&lt;&gt;0,ROUND((U67/$F67)*#REF!,5),ROUND((T$10/$F$83)*#REF!*T71,5))</f>
        <v>#REF!</v>
      </c>
      <c r="W71" s="521">
        <v>1</v>
      </c>
      <c r="X71" s="480"/>
      <c r="Y71" s="485" t="e">
        <f>IF(X67&lt;&gt;0,ROUND((X67/$F67)*#REF!,5),ROUND((W$10/$F$83)*#REF!*W71,5))</f>
        <v>#REF!</v>
      </c>
      <c r="AC71" s="487">
        <f>AC70</f>
        <v>0</v>
      </c>
      <c r="AD71" s="488">
        <f t="shared" si="23"/>
        <v>0</v>
      </c>
      <c r="AF71" s="474">
        <f t="shared" si="9"/>
        <v>0</v>
      </c>
      <c r="AG71" s="475">
        <f t="shared" si="16"/>
        <v>0</v>
      </c>
      <c r="AH71" s="520"/>
    </row>
    <row r="72" spans="1:34" x14ac:dyDescent="0.35">
      <c r="A72" s="424">
        <f t="shared" ref="A72:A90" si="24">+A71+1</f>
        <v>66</v>
      </c>
      <c r="B72" s="476"/>
      <c r="C72" s="486" t="s">
        <v>93</v>
      </c>
      <c r="D72" s="462">
        <f>+'[13]Washington volumes'!J72</f>
        <v>0</v>
      </c>
      <c r="E72" s="463">
        <f>+'[13]Rates in detail'!D72</f>
        <v>0.26221000000000005</v>
      </c>
      <c r="F72" s="464"/>
      <c r="G72" s="465"/>
      <c r="H72" s="462"/>
      <c r="I72" s="466"/>
      <c r="J72" s="467"/>
      <c r="K72" s="519">
        <v>1</v>
      </c>
      <c r="L72" s="464"/>
      <c r="M72" s="469">
        <f t="shared" si="2"/>
        <v>0</v>
      </c>
      <c r="N72" s="519">
        <v>1</v>
      </c>
      <c r="O72" s="464"/>
      <c r="P72" s="469" t="e">
        <f>IF(O67&lt;&gt;0,ROUND((O67/$F67)*#REF!,5),ROUND((N$10/$F$83)*#REF!*N72,5))</f>
        <v>#REF!</v>
      </c>
      <c r="Q72" s="519">
        <v>1</v>
      </c>
      <c r="R72" s="462"/>
      <c r="S72" s="470" t="e">
        <f>IF(R67&lt;&gt;0,ROUND((R67/$F67)*#REF!,5),ROUND((Q$10/$F$83)*#REF!*Q72,5))</f>
        <v>#REF!</v>
      </c>
      <c r="T72" s="519">
        <v>1</v>
      </c>
      <c r="U72" s="464"/>
      <c r="V72" s="470" t="e">
        <f>IF(U67&lt;&gt;0,ROUND((U67/$F67)*#REF!,5),ROUND((T$10/$F$83)*#REF!*T72,5))</f>
        <v>#REF!</v>
      </c>
      <c r="W72" s="519">
        <v>1</v>
      </c>
      <c r="X72" s="464"/>
      <c r="Y72" s="470" t="e">
        <f>IF(X67&lt;&gt;0,ROUND((X67/$F67)*#REF!,5),ROUND((W$10/$F$83)*#REF!*W72,5))</f>
        <v>#REF!</v>
      </c>
      <c r="AC72" s="487">
        <f t="shared" ref="AC72" si="25">AC71</f>
        <v>0</v>
      </c>
      <c r="AD72" s="488">
        <f t="shared" si="23"/>
        <v>0</v>
      </c>
      <c r="AF72" s="474">
        <f t="shared" si="9"/>
        <v>0</v>
      </c>
      <c r="AG72" s="475">
        <f t="shared" si="16"/>
        <v>0</v>
      </c>
      <c r="AH72" s="520"/>
    </row>
    <row r="73" spans="1:34" x14ac:dyDescent="0.35">
      <c r="A73" s="424">
        <f t="shared" si="24"/>
        <v>67</v>
      </c>
      <c r="B73" s="424" t="s">
        <v>100</v>
      </c>
      <c r="C73" s="477" t="s">
        <v>82</v>
      </c>
      <c r="D73" s="478">
        <f>+'[13]Washington volumes'!J73</f>
        <v>952237.06746634038</v>
      </c>
      <c r="E73" s="479">
        <f>+'[13]Rates in detail'!D73</f>
        <v>0.39346999999999999</v>
      </c>
      <c r="F73" s="480">
        <f>ROUND((E73*D73)+(D74*E74)+(D75*E75)+(D76*E76)+(D77*E77)+(D78*E78),0)</f>
        <v>3419512</v>
      </c>
      <c r="G73" s="471">
        <f>+'[13]Avg Bill by RS'!I86</f>
        <v>-2395.7691048183847</v>
      </c>
      <c r="H73" s="478">
        <f>+'[13]Washington volumes'!L73</f>
        <v>10</v>
      </c>
      <c r="I73" s="491">
        <v>4322256</v>
      </c>
      <c r="J73" s="481"/>
      <c r="K73" s="521">
        <v>1</v>
      </c>
      <c r="L73" s="492">
        <f>ROUND(+$K$10*(($I73*K73)/K$83),0)</f>
        <v>62</v>
      </c>
      <c r="M73" s="493">
        <f t="shared" si="2"/>
        <v>1.0000000000000001E-5</v>
      </c>
      <c r="N73" s="521">
        <v>1</v>
      </c>
      <c r="O73" s="492">
        <f>ROUND(+$N$10*(($I73*N73)/N$83),0)</f>
        <v>0</v>
      </c>
      <c r="P73" s="493" t="e">
        <f>IF(O73&lt;&gt;0,ROUND((O73/$F73)*#REF!,5),ROUND((N$10/$F$83)*#REF!*N73,5))</f>
        <v>#REF!</v>
      </c>
      <c r="Q73" s="521">
        <v>1</v>
      </c>
      <c r="R73" s="494">
        <f>ROUND(+$Q$10*(($I73*Q73)/Q$83),0)</f>
        <v>0</v>
      </c>
      <c r="S73" s="485" t="e">
        <f>IF(R73&lt;&gt;0,ROUND((R73/$F73)*#REF!,5),ROUND((Q$10/$F$83)*#REF!*Q73,5))</f>
        <v>#REF!</v>
      </c>
      <c r="T73" s="521">
        <v>1</v>
      </c>
      <c r="U73" s="492">
        <f>ROUND(+$T$10*(($I73*T73)/T$83),0)</f>
        <v>0</v>
      </c>
      <c r="V73" s="485" t="e">
        <f>IF(U73&lt;&gt;0,ROUND((U73/$F73)*#REF!,5),ROUND((T$10/$F$83)*#REF!*T73,5))</f>
        <v>#REF!</v>
      </c>
      <c r="W73" s="521">
        <v>1</v>
      </c>
      <c r="X73" s="492">
        <f>ROUND(+$W$10*(($I73*W73)/W$83),0)</f>
        <v>0</v>
      </c>
      <c r="Y73" s="485" t="e">
        <f>IF(X73&lt;&gt;0,ROUND((X73/$F73)*#REF!,5),ROUND((W$10/$F$83)*#REF!*W73,5))</f>
        <v>#REF!</v>
      </c>
      <c r="AC73" s="472">
        <f>IFERROR(L73/I73,0)</f>
        <v>1.4344360907822211E-5</v>
      </c>
      <c r="AD73" s="473">
        <f>IFERROR(L73/F73,0)</f>
        <v>1.8131242118758466E-5</v>
      </c>
      <c r="AF73" s="474">
        <f t="shared" si="9"/>
        <v>9.5223706746634047</v>
      </c>
      <c r="AG73" s="475">
        <f t="shared" si="16"/>
        <v>9.5223706746634047</v>
      </c>
      <c r="AH73" s="520"/>
    </row>
    <row r="74" spans="1:34" x14ac:dyDescent="0.35">
      <c r="A74" s="424">
        <f t="shared" si="24"/>
        <v>68</v>
      </c>
      <c r="B74" s="424"/>
      <c r="C74" s="477" t="s">
        <v>83</v>
      </c>
      <c r="D74" s="478">
        <f>+'[13]Washington volumes'!J74</f>
        <v>1827774.6796347289</v>
      </c>
      <c r="E74" s="479">
        <f>+'[13]Rates in detail'!D74</f>
        <v>0.37758000000000003</v>
      </c>
      <c r="F74" s="480"/>
      <c r="G74" s="471"/>
      <c r="H74" s="478"/>
      <c r="I74" s="495"/>
      <c r="J74" s="481"/>
      <c r="K74" s="521">
        <v>1</v>
      </c>
      <c r="L74" s="480"/>
      <c r="M74" s="496">
        <f t="shared" si="2"/>
        <v>1.0000000000000001E-5</v>
      </c>
      <c r="N74" s="521">
        <v>1</v>
      </c>
      <c r="O74" s="480"/>
      <c r="P74" s="496" t="e">
        <f>IF(O73&lt;&gt;0,ROUND((O73/$F73)*#REF!,5),ROUND((N$10/$F$83)*#REF!*N74,5))</f>
        <v>#REF!</v>
      </c>
      <c r="Q74" s="521">
        <v>1</v>
      </c>
      <c r="R74" s="478"/>
      <c r="S74" s="485" t="e">
        <f>IF(R73&lt;&gt;0,ROUND((R73/$F73)*#REF!,5),ROUND((Q$10/$F$83)*#REF!*Q74,5))</f>
        <v>#REF!</v>
      </c>
      <c r="T74" s="521">
        <v>1</v>
      </c>
      <c r="U74" s="480"/>
      <c r="V74" s="485" t="e">
        <f>IF(U73&lt;&gt;0,ROUND((U73/$F73)*#REF!,5),ROUND((T$10/$F$83)*#REF!*T74,5))</f>
        <v>#REF!</v>
      </c>
      <c r="W74" s="521">
        <v>1</v>
      </c>
      <c r="X74" s="480"/>
      <c r="Y74" s="485" t="e">
        <f>IF(X73&lt;&gt;0,ROUND((X73/$F73)*#REF!,5),ROUND((W$10/$F$83)*#REF!*W74,5))</f>
        <v>#REF!</v>
      </c>
      <c r="AC74" s="487">
        <f>AC73</f>
        <v>1.4344360907822211E-5</v>
      </c>
      <c r="AD74" s="488">
        <f>AD73</f>
        <v>1.8131242118758466E-5</v>
      </c>
      <c r="AF74" s="474">
        <f t="shared" si="9"/>
        <v>18.277746796347291</v>
      </c>
      <c r="AG74" s="475">
        <f t="shared" si="16"/>
        <v>18.277746796347291</v>
      </c>
      <c r="AH74" s="520"/>
    </row>
    <row r="75" spans="1:34" x14ac:dyDescent="0.35">
      <c r="A75" s="424">
        <f t="shared" si="24"/>
        <v>69</v>
      </c>
      <c r="B75" s="424"/>
      <c r="C75" s="477" t="s">
        <v>90</v>
      </c>
      <c r="D75" s="478">
        <f>+'[13]Washington volumes'!J75</f>
        <v>1364375.8495009863</v>
      </c>
      <c r="E75" s="479">
        <f>+'[13]Rates in detail'!D75</f>
        <v>0.34592000000000001</v>
      </c>
      <c r="F75" s="480"/>
      <c r="G75" s="471"/>
      <c r="H75" s="478"/>
      <c r="I75" s="495"/>
      <c r="J75" s="481"/>
      <c r="K75" s="521">
        <v>1</v>
      </c>
      <c r="L75" s="480"/>
      <c r="M75" s="496">
        <f t="shared" si="2"/>
        <v>1.0000000000000001E-5</v>
      </c>
      <c r="N75" s="521">
        <v>1</v>
      </c>
      <c r="O75" s="480"/>
      <c r="P75" s="496" t="e">
        <f>IF(O73&lt;&gt;0,ROUND((O73/$F73)*#REF!,5),ROUND((N$10/$F$83)*#REF!*N75,5))</f>
        <v>#REF!</v>
      </c>
      <c r="Q75" s="521">
        <v>1</v>
      </c>
      <c r="R75" s="478"/>
      <c r="S75" s="485" t="e">
        <f>IF(R73&lt;&gt;0,ROUND((R73/$F73)*#REF!,5),ROUND((Q$10/$F$83)*#REF!*Q75,5))</f>
        <v>#REF!</v>
      </c>
      <c r="T75" s="521">
        <v>1</v>
      </c>
      <c r="U75" s="480"/>
      <c r="V75" s="485" t="e">
        <f>IF(U73&lt;&gt;0,ROUND((U73/$F73)*#REF!,5),ROUND((T$10/$F$83)*#REF!*T75,5))</f>
        <v>#REF!</v>
      </c>
      <c r="W75" s="521">
        <v>1</v>
      </c>
      <c r="X75" s="480"/>
      <c r="Y75" s="485" t="e">
        <f>IF(X73&lt;&gt;0,ROUND((X73/$F73)*#REF!,5),ROUND((W$10/$F$83)*#REF!*W75,5))</f>
        <v>#REF!</v>
      </c>
      <c r="AC75" s="487">
        <f t="shared" ref="AC75:AD78" si="26">AC74</f>
        <v>1.4344360907822211E-5</v>
      </c>
      <c r="AD75" s="488">
        <f t="shared" si="26"/>
        <v>1.8131242118758466E-5</v>
      </c>
      <c r="AF75" s="474">
        <f t="shared" si="9"/>
        <v>13.643758495009864</v>
      </c>
      <c r="AG75" s="475">
        <f t="shared" si="16"/>
        <v>13.643758495009864</v>
      </c>
      <c r="AH75" s="520"/>
    </row>
    <row r="76" spans="1:34" x14ac:dyDescent="0.35">
      <c r="A76" s="424">
        <f t="shared" si="24"/>
        <v>70</v>
      </c>
      <c r="B76" s="424"/>
      <c r="C76" s="477" t="s">
        <v>91</v>
      </c>
      <c r="D76" s="478">
        <f>+'[13]Washington volumes'!J76</f>
        <v>4116253.0789308902</v>
      </c>
      <c r="E76" s="479">
        <f>+'[13]Rates in detail'!D76</f>
        <v>0.32511000000000001</v>
      </c>
      <c r="F76" s="480"/>
      <c r="G76" s="471"/>
      <c r="H76" s="478"/>
      <c r="I76" s="495"/>
      <c r="J76" s="481"/>
      <c r="K76" s="521">
        <v>1</v>
      </c>
      <c r="L76" s="480"/>
      <c r="M76" s="496">
        <f t="shared" si="2"/>
        <v>1.0000000000000001E-5</v>
      </c>
      <c r="N76" s="521">
        <v>1</v>
      </c>
      <c r="O76" s="480"/>
      <c r="P76" s="496" t="e">
        <f>IF(O73&lt;&gt;0,ROUND((O73/$F73)*#REF!,5),ROUND((N$10/$F$83)*#REF!*N76,5))</f>
        <v>#REF!</v>
      </c>
      <c r="Q76" s="521">
        <v>1</v>
      </c>
      <c r="R76" s="478"/>
      <c r="S76" s="485" t="e">
        <f>IF(R73&lt;&gt;0,ROUND((R73/$F73)*#REF!,5),ROUND((Q$10/$F$83)*#REF!*Q76,5))</f>
        <v>#REF!</v>
      </c>
      <c r="T76" s="521">
        <v>1</v>
      </c>
      <c r="U76" s="480"/>
      <c r="V76" s="485" t="e">
        <f>IF(U73&lt;&gt;0,ROUND((U73/$F73)*#REF!,5),ROUND((T$10/$F$83)*#REF!*T76,5))</f>
        <v>#REF!</v>
      </c>
      <c r="W76" s="521">
        <v>1</v>
      </c>
      <c r="X76" s="480"/>
      <c r="Y76" s="485" t="e">
        <f>IF(X73&lt;&gt;0,ROUND((X73/$F73)*#REF!,5),ROUND((W$10/$F$83)*#REF!*W76,5))</f>
        <v>#REF!</v>
      </c>
      <c r="AC76" s="487">
        <f t="shared" si="26"/>
        <v>1.4344360907822211E-5</v>
      </c>
      <c r="AD76" s="488">
        <f t="shared" si="26"/>
        <v>1.8131242118758466E-5</v>
      </c>
      <c r="AF76" s="474">
        <f t="shared" si="9"/>
        <v>41.162530789308903</v>
      </c>
      <c r="AG76" s="475">
        <f t="shared" si="16"/>
        <v>41.162530789308903</v>
      </c>
      <c r="AH76" s="520"/>
    </row>
    <row r="77" spans="1:34" x14ac:dyDescent="0.35">
      <c r="A77" s="424">
        <f t="shared" si="24"/>
        <v>71</v>
      </c>
      <c r="B77" s="424"/>
      <c r="C77" s="477" t="s">
        <v>92</v>
      </c>
      <c r="D77" s="478">
        <f>+'[13]Washington volumes'!J77</f>
        <v>1831129.0067156893</v>
      </c>
      <c r="E77" s="479">
        <f>+'[13]Rates in detail'!D77</f>
        <v>0.29735999999999996</v>
      </c>
      <c r="F77" s="480"/>
      <c r="G77" s="471"/>
      <c r="H77" s="478"/>
      <c r="I77" s="495"/>
      <c r="J77" s="481"/>
      <c r="K77" s="521">
        <v>1</v>
      </c>
      <c r="L77" s="480"/>
      <c r="M77" s="496">
        <f t="shared" ref="M77:M80" si="27">ROUND(E77*AD77,5)</f>
        <v>1.0000000000000001E-5</v>
      </c>
      <c r="N77" s="521">
        <v>1</v>
      </c>
      <c r="O77" s="480"/>
      <c r="P77" s="496" t="e">
        <f>IF(O73&lt;&gt;0,ROUND((O73/$F73)*#REF!,5),ROUND((N$10/$F$83)*#REF!*N77,5))</f>
        <v>#REF!</v>
      </c>
      <c r="Q77" s="521">
        <v>1</v>
      </c>
      <c r="R77" s="478"/>
      <c r="S77" s="485" t="e">
        <f>IF(R73&lt;&gt;0,ROUND((R73/$F73)*#REF!,5),ROUND((Q$10/$F$83)*#REF!*Q77,5))</f>
        <v>#REF!</v>
      </c>
      <c r="T77" s="521">
        <v>1</v>
      </c>
      <c r="U77" s="480"/>
      <c r="V77" s="485" t="e">
        <f>IF(U73&lt;&gt;0,ROUND((U73/$F73)*#REF!,5),ROUND((T$10/$F$83)*#REF!*T77,5))</f>
        <v>#REF!</v>
      </c>
      <c r="W77" s="521">
        <v>1</v>
      </c>
      <c r="X77" s="480"/>
      <c r="Y77" s="485" t="e">
        <f>IF(X73&lt;&gt;0,ROUND((X73/$F73)*#REF!,5),ROUND((W$10/$F$83)*#REF!*W77,5))</f>
        <v>#REF!</v>
      </c>
      <c r="AC77" s="487">
        <f>AC76</f>
        <v>1.4344360907822211E-5</v>
      </c>
      <c r="AD77" s="488">
        <f t="shared" si="26"/>
        <v>1.8131242118758466E-5</v>
      </c>
      <c r="AF77" s="474">
        <f t="shared" ref="AF77:AF81" si="28">M77*$D77</f>
        <v>18.311290067156893</v>
      </c>
      <c r="AG77" s="475">
        <f t="shared" ref="AG77:AG81" si="29">SUM(AF77:AF77)</f>
        <v>18.311290067156893</v>
      </c>
      <c r="AH77" s="520"/>
    </row>
    <row r="78" spans="1:34" x14ac:dyDescent="0.35">
      <c r="A78" s="424">
        <f t="shared" si="24"/>
        <v>72</v>
      </c>
      <c r="B78" s="476"/>
      <c r="C78" s="486" t="s">
        <v>93</v>
      </c>
      <c r="D78" s="462">
        <f>+'[13]Washington volumes'!J78</f>
        <v>0</v>
      </c>
      <c r="E78" s="463">
        <f>+'[13]Rates in detail'!D78</f>
        <v>0.26266000000000006</v>
      </c>
      <c r="F78" s="464"/>
      <c r="G78" s="465"/>
      <c r="H78" s="462"/>
      <c r="I78" s="466"/>
      <c r="J78" s="467"/>
      <c r="K78" s="519">
        <v>1</v>
      </c>
      <c r="L78" s="464"/>
      <c r="M78" s="469">
        <f t="shared" si="27"/>
        <v>0</v>
      </c>
      <c r="N78" s="519">
        <v>1</v>
      </c>
      <c r="O78" s="464"/>
      <c r="P78" s="469" t="e">
        <f>IF(O73&lt;&gt;0,ROUND((O73/$F73)*#REF!,5),ROUND((N$10/$F$83)*#REF!*N78,5))</f>
        <v>#REF!</v>
      </c>
      <c r="Q78" s="519">
        <v>1</v>
      </c>
      <c r="R78" s="462"/>
      <c r="S78" s="470" t="e">
        <f>IF(R73&lt;&gt;0,ROUND((R73/$F73)*#REF!,5),ROUND((Q$10/$F$83)*#REF!*Q78,5))</f>
        <v>#REF!</v>
      </c>
      <c r="T78" s="519">
        <v>1</v>
      </c>
      <c r="U78" s="464"/>
      <c r="V78" s="470" t="e">
        <f>IF(U73&lt;&gt;0,ROUND((U73/$F73)*#REF!,5),ROUND((T$10/$F$83)*#REF!*T78,5))</f>
        <v>#REF!</v>
      </c>
      <c r="W78" s="519">
        <v>1</v>
      </c>
      <c r="X78" s="464"/>
      <c r="Y78" s="470" t="e">
        <f>IF(X73&lt;&gt;0,ROUND((X73/$F73)*#REF!,5),ROUND((W$10/$F$83)*#REF!*W78,5))</f>
        <v>#REF!</v>
      </c>
      <c r="AC78" s="487">
        <f t="shared" ref="AC78" si="30">AC77</f>
        <v>1.4344360907822211E-5</v>
      </c>
      <c r="AD78" s="488">
        <f t="shared" si="26"/>
        <v>1.8131242118758466E-5</v>
      </c>
      <c r="AF78" s="474">
        <f t="shared" si="28"/>
        <v>0</v>
      </c>
      <c r="AG78" s="475">
        <f t="shared" si="29"/>
        <v>0</v>
      </c>
      <c r="AH78" s="520"/>
    </row>
    <row r="79" spans="1:34" x14ac:dyDescent="0.35">
      <c r="A79" s="424">
        <f t="shared" si="24"/>
        <v>73</v>
      </c>
      <c r="B79" s="476" t="s">
        <v>101</v>
      </c>
      <c r="C79" s="476"/>
      <c r="D79" s="462">
        <f>+'[13]Washington volumes'!J79</f>
        <v>0</v>
      </c>
      <c r="E79" s="497">
        <f>+'[13]Rates in detail'!D79</f>
        <v>0.24684999999999996</v>
      </c>
      <c r="F79" s="498">
        <f>ROUND(E79*D79,0)</f>
        <v>0</v>
      </c>
      <c r="G79" s="499">
        <f>+'[13]Avg Bill by RS'!I93</f>
        <v>38000</v>
      </c>
      <c r="H79" s="462">
        <f>+'[13]Washington volumes'!L79</f>
        <v>0</v>
      </c>
      <c r="I79" s="466">
        <v>0</v>
      </c>
      <c r="J79" s="500"/>
      <c r="K79" s="519">
        <v>1</v>
      </c>
      <c r="L79" s="464">
        <f>ROUND(+$K$10*(($I79*K79)/K$83),0)</f>
        <v>0</v>
      </c>
      <c r="M79" s="501">
        <f t="shared" si="27"/>
        <v>0</v>
      </c>
      <c r="N79" s="524">
        <v>1</v>
      </c>
      <c r="O79" s="464">
        <f>ROUND(+$N$10*(($I79*N79)/N$83),0)</f>
        <v>0</v>
      </c>
      <c r="P79" s="501" t="e">
        <f>IF(O79&lt;&gt;0,ROUND((O79/$F79)*#REF!,5),ROUND((N$10/$F$83)*#REF!*N79,5))</f>
        <v>#REF!</v>
      </c>
      <c r="Q79" s="519">
        <v>1</v>
      </c>
      <c r="R79" s="462">
        <f>ROUND(+$Q$10*(($I79*Q79)/Q$83),0)</f>
        <v>0</v>
      </c>
      <c r="S79" s="502" t="e">
        <f>IF(R79&lt;&gt;0,ROUND((R79/$F79)*#REF!,5),ROUND((Q$10/$F$83)*#REF!*Q79,5))</f>
        <v>#REF!</v>
      </c>
      <c r="T79" s="519">
        <v>1</v>
      </c>
      <c r="U79" s="464">
        <f>ROUND(+$T$10*(($I79*T79)/T$83),0)</f>
        <v>0</v>
      </c>
      <c r="V79" s="502" t="e">
        <f>IF(U79&lt;&gt;0,ROUND((U79/$F79)*#REF!,5),ROUND((T$10/$F$83)*#REF!*T79,5))</f>
        <v>#REF!</v>
      </c>
      <c r="W79" s="519">
        <v>1</v>
      </c>
      <c r="X79" s="464">
        <f>ROUND(+$W$10*(($I79*W79)/W$83),0)</f>
        <v>0</v>
      </c>
      <c r="Y79" s="502" t="e">
        <f>IF(X79&lt;&gt;0,ROUND((X79/$F79)*#REF!,5),ROUND((W$10/$F$83)*#REF!*W79,5))</f>
        <v>#REF!</v>
      </c>
      <c r="AC79" s="472">
        <f>IFERROR(L79/I79,0)</f>
        <v>0</v>
      </c>
      <c r="AD79" s="473">
        <f>IFERROR(L79/F79,0)</f>
        <v>0</v>
      </c>
      <c r="AF79" s="474">
        <f t="shared" si="28"/>
        <v>0</v>
      </c>
      <c r="AG79" s="475">
        <f t="shared" si="29"/>
        <v>0</v>
      </c>
      <c r="AH79" s="520"/>
    </row>
    <row r="80" spans="1:34" x14ac:dyDescent="0.35">
      <c r="A80" s="424">
        <f t="shared" si="24"/>
        <v>74</v>
      </c>
      <c r="B80" s="461" t="s">
        <v>102</v>
      </c>
      <c r="C80" s="461"/>
      <c r="D80" s="462">
        <f>+'[13]Washington volumes'!J80</f>
        <v>0</v>
      </c>
      <c r="E80" s="463">
        <f>+'[13]Rates in detail'!D80</f>
        <v>0.24684999999999996</v>
      </c>
      <c r="F80" s="498">
        <f>ROUND(E80*D80,0)</f>
        <v>0</v>
      </c>
      <c r="G80" s="465">
        <f>+'[13]Avg Bill by RS'!I94</f>
        <v>38000</v>
      </c>
      <c r="H80" s="462">
        <f>+'[13]Washington volumes'!L80</f>
        <v>0</v>
      </c>
      <c r="I80" s="466">
        <v>0</v>
      </c>
      <c r="J80" s="467"/>
      <c r="K80" s="519">
        <v>1</v>
      </c>
      <c r="L80" s="464">
        <f>ROUND(+$K$10*(($I80*K80)/K$83),0)</f>
        <v>0</v>
      </c>
      <c r="M80" s="469">
        <f t="shared" si="27"/>
        <v>0</v>
      </c>
      <c r="N80" s="519">
        <v>1</v>
      </c>
      <c r="O80" s="464">
        <f>ROUND(+$N$10*(($I80*N80)/N$83),0)</f>
        <v>0</v>
      </c>
      <c r="P80" s="469" t="e">
        <f>IF(O80&lt;&gt;0,ROUND((O80/$F80)*#REF!,5),ROUND((N$10/$F$83)*#REF!*N80,5))</f>
        <v>#REF!</v>
      </c>
      <c r="Q80" s="519">
        <v>1</v>
      </c>
      <c r="R80" s="462">
        <f>ROUND(+$Q$10*(($I80*Q80)/Q$83),0)</f>
        <v>0</v>
      </c>
      <c r="S80" s="502" t="e">
        <f>IF(R80&lt;&gt;0,ROUND((R80/$F80)*#REF!,5),ROUND((Q$10/$F$83)*#REF!*Q80,5))</f>
        <v>#REF!</v>
      </c>
      <c r="T80" s="519">
        <v>1</v>
      </c>
      <c r="U80" s="464">
        <f>ROUND(+$T$10*(($I80*T80)/T$83),0)</f>
        <v>0</v>
      </c>
      <c r="V80" s="502" t="e">
        <f>IF(U80&lt;&gt;0,ROUND((U80/$F80)*#REF!,5),ROUND((T$10/$F$83)*#REF!*T80,5))</f>
        <v>#REF!</v>
      </c>
      <c r="W80" s="519">
        <v>1</v>
      </c>
      <c r="X80" s="464">
        <f>ROUND(+$W$10*(($I80*W80)/W$83),0)</f>
        <v>0</v>
      </c>
      <c r="Y80" s="502" t="e">
        <f>IF(X80&lt;&gt;0,ROUND((X80/$F80)*#REF!,5),ROUND((W$10/$F$83)*#REF!*W80,5))</f>
        <v>#REF!</v>
      </c>
      <c r="AC80" s="503">
        <f>IFERROR(L80/I80,0)</f>
        <v>0</v>
      </c>
      <c r="AD80" s="504">
        <f>IFERROR(L80/F80,0)</f>
        <v>0</v>
      </c>
      <c r="AF80" s="474">
        <f t="shared" si="28"/>
        <v>0</v>
      </c>
      <c r="AG80" s="475">
        <f t="shared" si="29"/>
        <v>0</v>
      </c>
      <c r="AH80" s="520"/>
    </row>
    <row r="81" spans="1:34" x14ac:dyDescent="0.35">
      <c r="A81" s="424">
        <f t="shared" si="24"/>
        <v>75</v>
      </c>
      <c r="B81" s="461" t="s">
        <v>103</v>
      </c>
      <c r="C81" s="461"/>
      <c r="D81" s="462"/>
      <c r="E81" s="463"/>
      <c r="F81" s="464"/>
      <c r="G81" s="465"/>
      <c r="H81" s="462"/>
      <c r="I81" s="505"/>
      <c r="J81" s="467"/>
      <c r="K81" s="519"/>
      <c r="L81" s="462"/>
      <c r="M81" s="506"/>
      <c r="N81" s="519"/>
      <c r="O81" s="462"/>
      <c r="P81" s="469"/>
      <c r="Q81" s="519"/>
      <c r="R81" s="462"/>
      <c r="S81" s="470"/>
      <c r="T81" s="519"/>
      <c r="U81" s="462"/>
      <c r="V81" s="470"/>
      <c r="W81" s="519"/>
      <c r="X81" s="462"/>
      <c r="Y81" s="470"/>
      <c r="AC81" s="507"/>
      <c r="AD81" s="507"/>
      <c r="AF81" s="474">
        <f t="shared" si="28"/>
        <v>0</v>
      </c>
      <c r="AG81" s="508">
        <f t="shared" si="29"/>
        <v>0</v>
      </c>
      <c r="AH81" s="520"/>
    </row>
    <row r="82" spans="1:34" x14ac:dyDescent="0.35">
      <c r="A82" s="424">
        <f t="shared" si="24"/>
        <v>76</v>
      </c>
      <c r="E82" s="479"/>
      <c r="F82" s="518"/>
      <c r="I82" s="518"/>
      <c r="K82" s="522"/>
      <c r="N82" s="522"/>
      <c r="Q82" s="522"/>
      <c r="S82" s="496"/>
      <c r="T82" s="522"/>
      <c r="V82" s="496"/>
      <c r="W82" s="522"/>
      <c r="Y82" s="496"/>
      <c r="AC82" s="507"/>
      <c r="AD82" s="507"/>
    </row>
    <row r="83" spans="1:34" x14ac:dyDescent="0.35">
      <c r="A83" s="424">
        <f t="shared" si="24"/>
        <v>77</v>
      </c>
      <c r="B83" s="420" t="s">
        <v>104</v>
      </c>
      <c r="D83" s="478">
        <f>SUM(D13:D82)</f>
        <v>110817104.48625472</v>
      </c>
      <c r="E83" s="479"/>
      <c r="F83" s="495">
        <f>SUM(F13:F81)</f>
        <v>122256292.71345299</v>
      </c>
      <c r="G83" s="478"/>
      <c r="H83" s="478"/>
      <c r="I83" s="495">
        <f>SUM(I13:I81)</f>
        <v>119043068.47303638</v>
      </c>
      <c r="K83" s="509">
        <f>ROUND(($I13*K13)+($I14*K14)+($I15*K15)+($I16*K16)+($I17*K17)+($I18*K18)+($I19*K19)+($I$23*K23)+($I27*K27)+($I29*K29)+($I$21*K21)+($I25*K25)+($I31*K31)+($I37*K37)+($I43*K43)+($I$55*K55)+($I61*K61)+($I67*K67)+($I73*K73)+($I79*K79)+($I80*K80)+($I81*K81)+(I49*K49),0)</f>
        <v>119043068</v>
      </c>
      <c r="L83" s="480">
        <f>SUM(L13:L81)</f>
        <v>1695</v>
      </c>
      <c r="N83" s="509">
        <f>ROUND(($I13*N13)+($I14*N14)+($I15*N15)+($I16*N16)+($I17*N17)+($I18*N18)+($I19*N19)+($I$23*N23)+($I27*N27)+($I$21*N21)+($I25*N25)+($I31*N31)+($I37*N37)+($I43*N43)+($I$55*N55)+($I61*N61)+($I67*N67)+($I79*N79)+($I80*N80)+($I81*N81)+(I49*N49),0)</f>
        <v>114720812</v>
      </c>
      <c r="O83" s="478">
        <f>SUM(O13:O82)</f>
        <v>0</v>
      </c>
      <c r="Q83" s="509">
        <f>ROUND(($I13*Q13)+($I14*Q14)+($I15*Q15)+($I16*Q16)+($I17*Q17)+($I18*Q18)+($I19*Q19)+($I$23*Q23)+($I27*Q27)+($I$21*Q21)+($I25*Q25)+($I31*Q31)+($I37*Q37)+($I43*Q43)+($I$55*Q55)+($I61*Q61)+($I67*Q67)+($I79*Q79)+($I80*Q80)+($I81*Q81)+($I49*Q49),0)</f>
        <v>114720812</v>
      </c>
      <c r="R83" s="480">
        <f>SUM(R13:R80)</f>
        <v>0</v>
      </c>
      <c r="S83" s="496"/>
      <c r="T83" s="509">
        <f>ROUND(($I13*T13)+($I14*T14)+($I15*T15)+($I16*T16)+($I17*T17)+($I18*T18)+($I19*T19)+($I$23*T23)+($I27*T27)+($I$21*T21)+($I25*T25)+($I31*T31)+($I37*T37)+($I43*T43)+($I$55*T55)+($I61*T61)+($I67*T67)+($I79*T79)+($I80*T80)+($I81*T81)+($I49*T49),0)</f>
        <v>114720812</v>
      </c>
      <c r="U83" s="480">
        <f>SUM(U13:U80)</f>
        <v>0</v>
      </c>
      <c r="V83" s="496"/>
      <c r="W83" s="509">
        <f>ROUND(($I13*W13)+($I14*W14)+($I15*W15)+($I16*W16)+($I17*W17)+($I18*W18)+($I19*W19)+($I$23*W23)+($I27*W27)+($I$21*W21)+($I25*W25)+($I31*W31)+($I37*W37)+($I43*W43)+($I$55*W55)+($I61*W61)+($I67*W67)+($I79*W79)+($I80*W80)+($I81*W81)+($I49*W49),0)</f>
        <v>114720812</v>
      </c>
      <c r="X83" s="480">
        <f>SUM(X13:X80)</f>
        <v>0</v>
      </c>
      <c r="Y83" s="496"/>
      <c r="AC83" s="507"/>
      <c r="AD83" s="507"/>
      <c r="AF83" s="510">
        <f>SUM(AF13:AF82)</f>
        <v>1916.6754983258747</v>
      </c>
      <c r="AG83" s="510">
        <f>SUM(AF83:AF83)</f>
        <v>1916.6754983258747</v>
      </c>
    </row>
    <row r="84" spans="1:34" x14ac:dyDescent="0.35">
      <c r="A84" s="424">
        <f t="shared" si="24"/>
        <v>78</v>
      </c>
      <c r="J84" s="478"/>
      <c r="K84" s="525"/>
      <c r="N84" s="526"/>
      <c r="Q84" s="527"/>
      <c r="S84" s="496"/>
      <c r="T84" s="526"/>
      <c r="V84" s="496"/>
      <c r="W84" s="526"/>
      <c r="Y84" s="496"/>
      <c r="AE84" s="528"/>
      <c r="AF84" s="475">
        <f>K10-AF83</f>
        <v>-222.67549832587474</v>
      </c>
      <c r="AG84" s="510">
        <f>SUM(AF84:AF84)</f>
        <v>-222.67549832587474</v>
      </c>
    </row>
    <row r="85" spans="1:34" ht="15" thickBot="1" x14ac:dyDescent="0.4">
      <c r="A85" s="424">
        <f t="shared" si="24"/>
        <v>79</v>
      </c>
      <c r="B85" s="511" t="s">
        <v>106</v>
      </c>
      <c r="K85" s="420"/>
      <c r="N85" s="420"/>
      <c r="P85" s="420"/>
      <c r="Q85" s="420"/>
      <c r="S85" s="496"/>
      <c r="T85" s="420"/>
      <c r="V85" s="496"/>
      <c r="W85" s="420"/>
      <c r="Y85" s="496"/>
    </row>
    <row r="86" spans="1:34" ht="15" thickBot="1" x14ac:dyDescent="0.4">
      <c r="A86" s="424">
        <f t="shared" si="24"/>
        <v>80</v>
      </c>
      <c r="B86" s="512" t="s">
        <v>107</v>
      </c>
      <c r="C86" s="513"/>
      <c r="D86" s="513"/>
      <c r="E86" s="513"/>
      <c r="F86" s="513"/>
      <c r="G86" s="513"/>
      <c r="H86" s="514" t="s">
        <v>108</v>
      </c>
      <c r="I86" s="513"/>
      <c r="J86" s="513"/>
      <c r="K86" s="514" t="s">
        <v>109</v>
      </c>
      <c r="L86" s="513"/>
      <c r="M86" s="515"/>
      <c r="N86" s="514" t="s">
        <v>115</v>
      </c>
      <c r="O86" s="513"/>
      <c r="P86" s="516"/>
      <c r="Q86" s="514" t="s">
        <v>115</v>
      </c>
      <c r="R86" s="432"/>
      <c r="S86" s="433"/>
      <c r="T86" s="514"/>
      <c r="U86" s="513"/>
      <c r="V86" s="516"/>
      <c r="W86" s="514"/>
      <c r="X86" s="513"/>
      <c r="Y86" s="516"/>
    </row>
    <row r="87" spans="1:34" ht="15" thickBot="1" x14ac:dyDescent="0.4">
      <c r="A87" s="424">
        <f t="shared" si="24"/>
        <v>81</v>
      </c>
      <c r="B87" s="511" t="s">
        <v>116</v>
      </c>
      <c r="K87" s="420"/>
      <c r="N87" s="420"/>
      <c r="P87" s="496"/>
      <c r="Q87" s="420"/>
      <c r="S87" s="496"/>
      <c r="T87" s="420"/>
      <c r="V87" s="496"/>
      <c r="W87" s="420"/>
      <c r="Y87" s="496"/>
    </row>
    <row r="88" spans="1:34" ht="15" thickBot="1" x14ac:dyDescent="0.4">
      <c r="A88" s="424">
        <f t="shared" si="24"/>
        <v>82</v>
      </c>
      <c r="B88" s="512" t="s">
        <v>117</v>
      </c>
      <c r="C88" s="513"/>
      <c r="D88" s="513"/>
      <c r="E88" s="513"/>
      <c r="F88" s="513"/>
      <c r="G88" s="513"/>
      <c r="H88" s="513"/>
      <c r="I88" s="513"/>
      <c r="J88" s="513"/>
      <c r="K88" s="529" t="s">
        <v>118</v>
      </c>
      <c r="L88" s="513"/>
      <c r="M88" s="515"/>
      <c r="N88" s="514" t="s">
        <v>122</v>
      </c>
      <c r="O88" s="513"/>
      <c r="P88" s="516"/>
      <c r="Q88" s="514"/>
      <c r="R88" s="432"/>
      <c r="S88" s="433"/>
      <c r="T88" s="514"/>
      <c r="U88" s="513"/>
      <c r="V88" s="516"/>
      <c r="W88" s="514"/>
      <c r="X88" s="513"/>
      <c r="Y88" s="516"/>
    </row>
    <row r="89" spans="1:34" x14ac:dyDescent="0.35">
      <c r="A89" s="424">
        <f t="shared" si="24"/>
        <v>83</v>
      </c>
      <c r="K89" s="522"/>
      <c r="N89" s="522"/>
      <c r="Q89" s="522"/>
      <c r="T89" s="522"/>
      <c r="W89" s="522"/>
    </row>
    <row r="90" spans="1:34" x14ac:dyDescent="0.35">
      <c r="A90" s="424">
        <f t="shared" si="24"/>
        <v>84</v>
      </c>
      <c r="B90" s="420" t="s">
        <v>124</v>
      </c>
      <c r="K90" s="522"/>
      <c r="N90" s="522"/>
      <c r="Q90" s="522"/>
      <c r="T90" s="522"/>
      <c r="W90" s="522"/>
    </row>
    <row r="94" spans="1:34" x14ac:dyDescent="0.35">
      <c r="K94" s="424" t="s">
        <v>68</v>
      </c>
      <c r="L94" s="517">
        <f>+L13+L15</f>
        <v>1089</v>
      </c>
      <c r="N94" s="424" t="s">
        <v>68</v>
      </c>
      <c r="O94" s="517">
        <f>+O13+O15</f>
        <v>0</v>
      </c>
      <c r="Q94" s="424" t="s">
        <v>68</v>
      </c>
      <c r="R94" s="517">
        <f>+R13+R15</f>
        <v>0</v>
      </c>
      <c r="T94" s="424" t="s">
        <v>68</v>
      </c>
      <c r="U94" s="517">
        <f>+U13+U15</f>
        <v>0</v>
      </c>
      <c r="W94" s="424" t="s">
        <v>68</v>
      </c>
      <c r="X94" s="517">
        <f>+X13+X15</f>
        <v>0</v>
      </c>
    </row>
    <row r="95" spans="1:34" x14ac:dyDescent="0.35">
      <c r="K95" s="424" t="s">
        <v>54</v>
      </c>
      <c r="L95" s="517">
        <f>+L14+L16+SUM(L31:L36)+SUM(L19:L20)+SUM(L55:L60)+SUM(L23:L24)</f>
        <v>449</v>
      </c>
      <c r="N95" s="424" t="s">
        <v>54</v>
      </c>
      <c r="O95" s="517">
        <f>+O14+O16+SUM(O31:O36)+SUM(O19:O20)+SUM(O55:O60)+SUM(O23:O24)+SUM(O43:O48)</f>
        <v>0</v>
      </c>
      <c r="P95" s="420"/>
      <c r="Q95" s="424" t="s">
        <v>54</v>
      </c>
      <c r="R95" s="517">
        <f>+R14+R16+SUM(R31:R36)+SUM(R19:R20)+SUM(R55:R60)+SUM(R23:R24)+SUM(R43:R48)</f>
        <v>0</v>
      </c>
      <c r="S95" s="420"/>
      <c r="T95" s="424" t="s">
        <v>54</v>
      </c>
      <c r="U95" s="517">
        <f>+U14+U16+SUM(U31:U36)+SUM(U19:U20)+SUM(U55:U60)+SUM(U23:U24)+SUM(U43:U48)</f>
        <v>0</v>
      </c>
      <c r="V95" s="420"/>
      <c r="W95" s="424" t="s">
        <v>54</v>
      </c>
      <c r="X95" s="517">
        <f>+X14+X16+SUM(X31:X36)+SUM(X19:X20)+SUM(X55:X60)+SUM(X23:X24)+SUM(X43:X48)</f>
        <v>0</v>
      </c>
      <c r="Y95" s="420"/>
    </row>
    <row r="96" spans="1:34" x14ac:dyDescent="0.35">
      <c r="K96" s="424" t="s">
        <v>125</v>
      </c>
      <c r="L96" s="517">
        <f>+L17++SUM(L25:L26)+SUM(L37:L42)+SUM(L61:L66)+SUM(L67:L72)+SUM(L43:L48)+L27+SUM(L21:L22)</f>
        <v>39</v>
      </c>
      <c r="N96" s="424" t="s">
        <v>125</v>
      </c>
      <c r="O96" s="517">
        <f>+O17++SUM(O25:O26)+SUM(O37:O42)+SUM(O61:O66)+SUM(O67:O72)+O27+SUM(O21:O22)+SUM(O49:O54)</f>
        <v>0</v>
      </c>
      <c r="P96" s="420"/>
      <c r="Q96" s="424" t="s">
        <v>125</v>
      </c>
      <c r="R96" s="517">
        <f>+R17++SUM(R25:R26)+SUM(R37:R42)+SUM(R61:R66)+SUM(R67:R72)+R27+SUM(R21:R22)+SUM(R49:R54)</f>
        <v>0</v>
      </c>
      <c r="S96" s="420"/>
      <c r="T96" s="424" t="s">
        <v>125</v>
      </c>
      <c r="U96" s="517">
        <f>+U17++SUM(U25:U26)+SUM(U37:U42)+SUM(U61:U66)+SUM(U67:U72)+U27+SUM(U21:U22)+SUM(U49:U54)</f>
        <v>0</v>
      </c>
      <c r="V96" s="420"/>
      <c r="W96" s="424" t="s">
        <v>125</v>
      </c>
      <c r="X96" s="517">
        <f>+X17++SUM(X25:X26)+SUM(X37:X42)+SUM(X61:X66)+SUM(X67:X72)+X27+SUM(X21:X22)+SUM(X49:X54)</f>
        <v>0</v>
      </c>
      <c r="Y96" s="420"/>
    </row>
    <row r="97" spans="11:25" x14ac:dyDescent="0.35">
      <c r="K97" s="424">
        <v>27</v>
      </c>
      <c r="L97" s="517">
        <f>+L18</f>
        <v>1</v>
      </c>
      <c r="N97" s="424">
        <v>27</v>
      </c>
      <c r="O97" s="517">
        <f>+O18</f>
        <v>0</v>
      </c>
      <c r="P97" s="420"/>
      <c r="Q97" s="424">
        <v>27</v>
      </c>
      <c r="R97" s="517">
        <f>+R18</f>
        <v>0</v>
      </c>
      <c r="S97" s="420"/>
      <c r="T97" s="424">
        <v>27</v>
      </c>
      <c r="U97" s="517">
        <f>+U18</f>
        <v>0</v>
      </c>
      <c r="V97" s="420"/>
      <c r="W97" s="424">
        <v>27</v>
      </c>
      <c r="X97" s="517">
        <f>+X18</f>
        <v>0</v>
      </c>
      <c r="Y97" s="420"/>
    </row>
    <row r="98" spans="11:25" x14ac:dyDescent="0.35">
      <c r="L98" s="517">
        <f>SUM(L94:L97)</f>
        <v>1578</v>
      </c>
      <c r="O98" s="517">
        <f>SUM(O94:O97)</f>
        <v>0</v>
      </c>
      <c r="P98" s="420"/>
      <c r="R98" s="517">
        <f>SUM(R94:R97)</f>
        <v>0</v>
      </c>
      <c r="S98" s="420"/>
      <c r="U98" s="517">
        <f>SUM(U94:U97)</f>
        <v>0</v>
      </c>
      <c r="V98" s="420"/>
      <c r="X98" s="517">
        <f>SUM(X94:X97)</f>
        <v>0</v>
      </c>
      <c r="Y98" s="420"/>
    </row>
    <row r="99" spans="11:25" x14ac:dyDescent="0.35">
      <c r="L99" s="478">
        <f>+L98-L83</f>
        <v>-117</v>
      </c>
      <c r="O99" s="478">
        <f>+O98-O83</f>
        <v>0</v>
      </c>
      <c r="P99" s="420"/>
      <c r="R99" s="478">
        <f>+R98-R83</f>
        <v>0</v>
      </c>
      <c r="S99" s="420"/>
      <c r="U99" s="478">
        <f>+U98-U83</f>
        <v>0</v>
      </c>
      <c r="V99" s="420"/>
      <c r="X99" s="478">
        <f>+X98-X83</f>
        <v>0</v>
      </c>
      <c r="Y99" s="420"/>
    </row>
  </sheetData>
  <mergeCells count="8">
    <mergeCell ref="AC10:AD10"/>
    <mergeCell ref="I11:I12"/>
    <mergeCell ref="N6:P6"/>
    <mergeCell ref="K7:M7"/>
    <mergeCell ref="N7:P7"/>
    <mergeCell ref="Q7:S7"/>
    <mergeCell ref="T7:V7"/>
    <mergeCell ref="W7:Y7"/>
  </mergeCells>
  <conditionalFormatting sqref="M76">
    <cfRule type="expression" dxfId="2" priority="1">
      <formula>"GOOD"</formula>
    </cfRule>
  </conditionalFormatting>
  <pageMargins left="0.5" right="0.5" top="0.5" bottom="0.25" header="0.25" footer="0.25"/>
  <pageSetup scale="38" orientation="landscape" r:id="rId1"/>
  <headerFooter alignWithMargins="0">
    <oddHeader xml:space="preserve">&amp;RUG-250711 - NWN WUTC Advice No. 25-06A
Exhibit A - Supporting Materials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745A-DE34-4E06-9A4A-3BE199D771E0}">
  <sheetPr>
    <tabColor theme="0" tint="-0.14999847407452621"/>
  </sheetPr>
  <dimension ref="A1:BE108"/>
  <sheetViews>
    <sheetView tabSelected="1" topLeftCell="A54" zoomScale="99" zoomScaleNormal="99" workbookViewId="0">
      <selection activeCell="V102" sqref="V102"/>
    </sheetView>
  </sheetViews>
  <sheetFormatPr defaultColWidth="8.453125" defaultRowHeight="14.5" x14ac:dyDescent="0.35"/>
  <cols>
    <col min="1" max="1" width="6.1796875" style="5" customWidth="1"/>
    <col min="2" max="2" width="16.1796875" style="5" customWidth="1"/>
    <col min="3" max="3" width="8.453125" style="5"/>
    <col min="4" max="4" width="14.81640625" style="5" hidden="1" customWidth="1"/>
    <col min="5" max="5" width="12.08984375" style="5" customWidth="1"/>
    <col min="6" max="8" width="12.453125" style="5" customWidth="1"/>
    <col min="9" max="9" width="13" style="5" bestFit="1" customWidth="1"/>
    <col min="10" max="11" width="12.08984375" style="5" customWidth="1"/>
    <col min="12" max="12" width="10.7265625" style="5" customWidth="1"/>
    <col min="13" max="13" width="15.90625" style="5" customWidth="1"/>
    <col min="14" max="15" width="14.54296875" style="5" hidden="1" customWidth="1"/>
    <col min="16" max="16" width="16.08984375" style="5" hidden="1" customWidth="1"/>
    <col min="17" max="18" width="13.453125" style="5" hidden="1" customWidth="1"/>
    <col min="19" max="19" width="13.90625" style="5" hidden="1" customWidth="1"/>
    <col min="20" max="20" width="13.90625" style="681" customWidth="1"/>
    <col min="21" max="21" width="27" style="681" customWidth="1"/>
    <col min="22" max="22" width="13.90625" style="681" customWidth="1"/>
    <col min="23" max="24" width="13.90625" style="5" hidden="1" customWidth="1"/>
    <col min="25" max="25" width="16.08984375" style="5" hidden="1" customWidth="1"/>
    <col min="26" max="27" width="13.90625" style="5" hidden="1" customWidth="1"/>
    <col min="28" max="28" width="16.08984375" style="5" hidden="1" customWidth="1"/>
    <col min="29" max="29" width="13.90625" style="536" hidden="1" customWidth="1"/>
    <col min="30" max="30" width="22.453125" style="536" hidden="1" customWidth="1"/>
    <col min="31" max="31" width="16.08984375" style="536" hidden="1" customWidth="1"/>
    <col min="32" max="34" width="16.08984375" style="5" hidden="1" customWidth="1"/>
    <col min="35" max="35" width="11.1796875" style="5" hidden="1" customWidth="1" collapsed="1"/>
    <col min="36" max="36" width="13" style="5" hidden="1" customWidth="1"/>
    <col min="37" max="37" width="15.1796875" style="5" hidden="1" customWidth="1"/>
    <col min="38" max="38" width="10.7265625" style="5" hidden="1" customWidth="1"/>
    <col min="39" max="39" width="13.453125" style="5" hidden="1" customWidth="1"/>
    <col min="40" max="40" width="14.36328125" style="5" hidden="1" customWidth="1"/>
    <col min="41" max="41" width="20.7265625" style="5" hidden="1" customWidth="1"/>
    <col min="42" max="42" width="20.7265625" style="5" customWidth="1"/>
    <col min="43" max="46" width="20.7265625" style="5" hidden="1" customWidth="1"/>
    <col min="47" max="49" width="14.81640625" style="5" hidden="1" customWidth="1"/>
    <col min="50" max="52" width="10.6328125" style="5" hidden="1" customWidth="1"/>
    <col min="53" max="53" width="17.453125" style="537" hidden="1" customWidth="1"/>
    <col min="54" max="54" width="13.90625" style="538" hidden="1" customWidth="1"/>
    <col min="55" max="55" width="14.26953125" style="539" hidden="1" customWidth="1"/>
    <col min="56" max="56" width="14.81640625" style="539" hidden="1" customWidth="1"/>
    <col min="57" max="57" width="10.90625" style="539" hidden="1" customWidth="1"/>
    <col min="58" max="16384" width="8.453125" style="5"/>
  </cols>
  <sheetData>
    <row r="1" spans="1:57" x14ac:dyDescent="0.35">
      <c r="A1" s="162" t="str">
        <f>+'[12]Washington volumes'!A1</f>
        <v>NW Natural</v>
      </c>
      <c r="O1" s="92"/>
      <c r="R1" s="92"/>
      <c r="T1" s="2"/>
      <c r="U1" s="112"/>
      <c r="V1" s="2"/>
      <c r="AJ1" s="92"/>
      <c r="AM1" s="92"/>
    </row>
    <row r="2" spans="1:57" x14ac:dyDescent="0.35">
      <c r="A2" s="162" t="str">
        <f>+'[12]Washington volumes'!A2</f>
        <v>Rates &amp; Regulatory Affairs</v>
      </c>
      <c r="G2" s="540" t="s">
        <v>210</v>
      </c>
      <c r="O2" s="92"/>
      <c r="R2" s="92"/>
      <c r="T2" s="2"/>
      <c r="U2" s="112"/>
      <c r="V2" s="2"/>
      <c r="AJ2" s="92"/>
      <c r="AK2" s="542"/>
      <c r="AM2" s="92"/>
      <c r="AN2" s="162" t="s">
        <v>211</v>
      </c>
    </row>
    <row r="3" spans="1:57" x14ac:dyDescent="0.35">
      <c r="A3" s="162" t="str">
        <f>'[12]Washington volumes'!A3</f>
        <v>2025-2026 PGA Filing - Washington: September Filing</v>
      </c>
      <c r="G3" s="543" t="s">
        <v>212</v>
      </c>
      <c r="H3" s="541">
        <f>'[12]Allocation equal ¢ per therm'!W13</f>
        <v>0.24073</v>
      </c>
      <c r="M3" s="542"/>
      <c r="N3" s="542"/>
      <c r="O3" s="92"/>
      <c r="P3" s="544"/>
      <c r="Q3" s="545"/>
      <c r="R3" s="92"/>
      <c r="S3" s="92"/>
      <c r="T3" s="112"/>
      <c r="U3" s="112"/>
      <c r="V3" s="112"/>
      <c r="W3" s="92"/>
      <c r="X3" s="92"/>
      <c r="Y3" s="92"/>
      <c r="Z3" s="92"/>
      <c r="AA3" s="92"/>
      <c r="AB3" s="92"/>
      <c r="AC3" s="546"/>
      <c r="AD3" s="546"/>
      <c r="AE3" s="546"/>
      <c r="AF3" s="92"/>
      <c r="AG3" s="92"/>
      <c r="AH3" s="92"/>
      <c r="AI3" s="190"/>
      <c r="AJ3" s="92"/>
      <c r="AK3" s="92"/>
      <c r="AL3" s="92"/>
      <c r="AM3" s="92"/>
      <c r="AN3" s="544">
        <f>AN15-AK15-AB15-Y15-V15--S15-P15-AE15-AH15</f>
        <v>-7.0177984862275446E-4</v>
      </c>
    </row>
    <row r="4" spans="1:57" x14ac:dyDescent="0.35">
      <c r="A4" s="162" t="s">
        <v>213</v>
      </c>
      <c r="G4" s="543" t="s">
        <v>214</v>
      </c>
      <c r="H4" s="541">
        <f>'[12]Allocation equal ¢ per therm'!W13</f>
        <v>0.24073</v>
      </c>
      <c r="N4" s="542"/>
      <c r="O4" s="92"/>
      <c r="P4" s="544"/>
      <c r="R4" s="92"/>
      <c r="T4" s="320"/>
      <c r="U4" s="112"/>
      <c r="V4" s="2"/>
      <c r="AJ4" s="92"/>
      <c r="AM4" s="92"/>
      <c r="AN4" s="92"/>
    </row>
    <row r="5" spans="1:57" ht="23.5" x14ac:dyDescent="0.55000000000000004">
      <c r="A5" s="547" t="s">
        <v>215</v>
      </c>
      <c r="J5" s="548"/>
      <c r="K5" s="548"/>
      <c r="L5" s="548"/>
      <c r="M5" s="548"/>
      <c r="N5" s="549"/>
      <c r="O5" s="92"/>
      <c r="P5" s="550"/>
      <c r="Q5" s="550"/>
      <c r="R5" s="550"/>
      <c r="S5" s="550"/>
      <c r="T5" s="320"/>
      <c r="U5" s="673"/>
      <c r="V5" s="321"/>
      <c r="W5" s="550"/>
      <c r="X5" s="550"/>
      <c r="Y5" s="550"/>
      <c r="Z5" s="550"/>
      <c r="AA5" s="550"/>
      <c r="AB5" s="550"/>
      <c r="AC5" s="551"/>
      <c r="AD5" s="551"/>
      <c r="AE5" s="551"/>
      <c r="AF5" s="550"/>
      <c r="AG5" s="550"/>
      <c r="AH5" s="550"/>
      <c r="AI5" s="550"/>
      <c r="AJ5" s="552"/>
      <c r="AK5" s="550"/>
      <c r="AL5" s="550"/>
      <c r="AM5" s="92"/>
      <c r="AN5" s="549"/>
      <c r="AU5" s="674" t="s">
        <v>216</v>
      </c>
      <c r="AV5" s="674"/>
      <c r="AW5" s="674"/>
    </row>
    <row r="6" spans="1:57" ht="15" thickBot="1" x14ac:dyDescent="0.4">
      <c r="I6" s="15" t="s">
        <v>212</v>
      </c>
      <c r="K6" s="15" t="s">
        <v>214</v>
      </c>
      <c r="O6" s="550"/>
      <c r="P6" s="550"/>
      <c r="Q6" s="550"/>
      <c r="R6" s="550"/>
      <c r="S6" s="550"/>
      <c r="T6" s="320"/>
      <c r="U6" s="321"/>
      <c r="V6" s="321"/>
      <c r="W6" s="550"/>
      <c r="X6" s="550"/>
      <c r="Y6" s="550"/>
      <c r="Z6" s="550"/>
      <c r="AA6" s="550"/>
      <c r="AB6" s="550"/>
      <c r="AC6" s="551"/>
      <c r="AD6" s="551"/>
      <c r="AE6" s="551"/>
      <c r="AF6" s="550"/>
      <c r="AG6" s="550"/>
      <c r="AH6" s="550"/>
      <c r="AI6" s="550"/>
      <c r="AJ6" s="552"/>
      <c r="AK6" s="550"/>
      <c r="AL6" s="550"/>
      <c r="AM6" s="550"/>
    </row>
    <row r="7" spans="1:57" x14ac:dyDescent="0.35">
      <c r="A7" s="15">
        <v>1</v>
      </c>
      <c r="D7" s="15" t="s">
        <v>129</v>
      </c>
      <c r="F7" s="553" t="s">
        <v>217</v>
      </c>
      <c r="H7" s="553" t="s">
        <v>212</v>
      </c>
      <c r="I7" s="15" t="s">
        <v>218</v>
      </c>
      <c r="J7" s="553" t="s">
        <v>214</v>
      </c>
      <c r="K7" s="15" t="s">
        <v>218</v>
      </c>
      <c r="L7" s="15" t="s">
        <v>212</v>
      </c>
      <c r="M7" s="553"/>
      <c r="N7" s="553" t="s">
        <v>214</v>
      </c>
      <c r="O7" s="553" t="s">
        <v>214</v>
      </c>
      <c r="P7" s="554" t="s">
        <v>214</v>
      </c>
      <c r="Q7" s="553" t="s">
        <v>214</v>
      </c>
      <c r="R7" s="553" t="s">
        <v>214</v>
      </c>
      <c r="S7" s="554" t="s">
        <v>214</v>
      </c>
      <c r="T7" s="322" t="s">
        <v>214</v>
      </c>
      <c r="U7" s="322" t="s">
        <v>214</v>
      </c>
      <c r="V7" s="323" t="s">
        <v>214</v>
      </c>
      <c r="W7" s="553" t="s">
        <v>214</v>
      </c>
      <c r="X7" s="553" t="s">
        <v>214</v>
      </c>
      <c r="Y7" s="554" t="s">
        <v>214</v>
      </c>
      <c r="Z7" s="553" t="s">
        <v>214</v>
      </c>
      <c r="AA7" s="553" t="s">
        <v>214</v>
      </c>
      <c r="AB7" s="554" t="s">
        <v>214</v>
      </c>
      <c r="AC7" s="555" t="s">
        <v>214</v>
      </c>
      <c r="AD7" s="555" t="s">
        <v>214</v>
      </c>
      <c r="AE7" s="556" t="s">
        <v>214</v>
      </c>
      <c r="AF7" s="553" t="s">
        <v>214</v>
      </c>
      <c r="AG7" s="553" t="s">
        <v>214</v>
      </c>
      <c r="AH7" s="554" t="s">
        <v>214</v>
      </c>
      <c r="AI7" s="553" t="s">
        <v>214</v>
      </c>
      <c r="AJ7" s="553" t="s">
        <v>214</v>
      </c>
      <c r="AK7" s="554" t="s">
        <v>214</v>
      </c>
      <c r="AL7" s="15" t="s">
        <v>214</v>
      </c>
      <c r="AM7" s="15" t="s">
        <v>214</v>
      </c>
      <c r="AN7" s="557" t="s">
        <v>214</v>
      </c>
      <c r="AO7" s="558"/>
      <c r="AP7" s="558"/>
      <c r="AQ7" s="558"/>
      <c r="AR7" s="558"/>
      <c r="AS7" s="558"/>
      <c r="AT7" s="558"/>
      <c r="AU7" s="15" t="s">
        <v>214</v>
      </c>
      <c r="AV7" s="15" t="s">
        <v>214</v>
      </c>
      <c r="AW7" s="559" t="s">
        <v>214</v>
      </c>
    </row>
    <row r="8" spans="1:57" x14ac:dyDescent="0.35">
      <c r="A8" s="15">
        <f t="shared" ref="A8:A71" si="0">+A7+1</f>
        <v>2</v>
      </c>
      <c r="D8" s="15" t="s">
        <v>219</v>
      </c>
      <c r="E8" s="553"/>
      <c r="F8" s="553" t="s">
        <v>220</v>
      </c>
      <c r="G8" s="15" t="s">
        <v>221</v>
      </c>
      <c r="H8" s="553" t="s">
        <v>145</v>
      </c>
      <c r="I8" s="15" t="s">
        <v>221</v>
      </c>
      <c r="J8" s="553" t="s">
        <v>145</v>
      </c>
      <c r="K8" s="15" t="s">
        <v>221</v>
      </c>
      <c r="L8" s="553">
        <v>45658</v>
      </c>
      <c r="M8" s="553">
        <f t="shared" ref="M8:AK8" si="1">$AL$8</f>
        <v>46327</v>
      </c>
      <c r="N8" s="553">
        <f t="shared" si="1"/>
        <v>46327</v>
      </c>
      <c r="O8" s="553">
        <f t="shared" si="1"/>
        <v>46327</v>
      </c>
      <c r="P8" s="560">
        <f t="shared" si="1"/>
        <v>46327</v>
      </c>
      <c r="Q8" s="553">
        <f t="shared" si="1"/>
        <v>46327</v>
      </c>
      <c r="R8" s="553">
        <f t="shared" si="1"/>
        <v>46327</v>
      </c>
      <c r="S8" s="560">
        <f t="shared" si="1"/>
        <v>46327</v>
      </c>
      <c r="T8" s="322">
        <f t="shared" si="1"/>
        <v>46327</v>
      </c>
      <c r="U8" s="322">
        <f t="shared" si="1"/>
        <v>46327</v>
      </c>
      <c r="V8" s="324">
        <f t="shared" si="1"/>
        <v>46327</v>
      </c>
      <c r="W8" s="553">
        <f t="shared" si="1"/>
        <v>46327</v>
      </c>
      <c r="X8" s="553">
        <f t="shared" si="1"/>
        <v>46327</v>
      </c>
      <c r="Y8" s="560">
        <f t="shared" si="1"/>
        <v>46327</v>
      </c>
      <c r="Z8" s="553">
        <f t="shared" si="1"/>
        <v>46327</v>
      </c>
      <c r="AA8" s="553">
        <f t="shared" si="1"/>
        <v>46327</v>
      </c>
      <c r="AB8" s="560">
        <f t="shared" si="1"/>
        <v>46327</v>
      </c>
      <c r="AC8" s="555">
        <f t="shared" si="1"/>
        <v>46327</v>
      </c>
      <c r="AD8" s="555">
        <f t="shared" si="1"/>
        <v>46327</v>
      </c>
      <c r="AE8" s="561">
        <f t="shared" si="1"/>
        <v>46327</v>
      </c>
      <c r="AF8" s="553">
        <f t="shared" si="1"/>
        <v>46327</v>
      </c>
      <c r="AG8" s="553">
        <f t="shared" si="1"/>
        <v>46327</v>
      </c>
      <c r="AH8" s="560">
        <f t="shared" si="1"/>
        <v>46327</v>
      </c>
      <c r="AI8" s="553">
        <f t="shared" si="1"/>
        <v>46327</v>
      </c>
      <c r="AJ8" s="553">
        <f t="shared" si="1"/>
        <v>46327</v>
      </c>
      <c r="AK8" s="560">
        <f t="shared" si="1"/>
        <v>46327</v>
      </c>
      <c r="AL8" s="553">
        <v>46327</v>
      </c>
      <c r="AM8" s="553">
        <f>+AL8</f>
        <v>46327</v>
      </c>
      <c r="AN8" s="560">
        <f>+AM8</f>
        <v>46327</v>
      </c>
      <c r="AU8" s="553">
        <f>+AN8</f>
        <v>46327</v>
      </c>
      <c r="AV8" s="553">
        <f>+AU8</f>
        <v>46327</v>
      </c>
      <c r="AW8" s="562">
        <f>+AV8</f>
        <v>46327</v>
      </c>
    </row>
    <row r="9" spans="1:57" ht="58" x14ac:dyDescent="0.35">
      <c r="A9" s="15">
        <f t="shared" si="0"/>
        <v>3</v>
      </c>
      <c r="D9" s="15" t="s">
        <v>17</v>
      </c>
      <c r="E9" s="15" t="s">
        <v>222</v>
      </c>
      <c r="F9" s="15" t="s">
        <v>223</v>
      </c>
      <c r="G9" s="15" t="s">
        <v>223</v>
      </c>
      <c r="H9" s="15" t="s">
        <v>224</v>
      </c>
      <c r="I9" s="15" t="s">
        <v>223</v>
      </c>
      <c r="J9" s="15" t="s">
        <v>224</v>
      </c>
      <c r="K9" s="15" t="s">
        <v>223</v>
      </c>
      <c r="L9" s="15" t="s">
        <v>6</v>
      </c>
      <c r="M9" s="15" t="s">
        <v>212</v>
      </c>
      <c r="N9" s="15"/>
      <c r="O9" s="15" t="s">
        <v>225</v>
      </c>
      <c r="P9" s="563"/>
      <c r="Q9" s="15"/>
      <c r="R9" s="15" t="s">
        <v>226</v>
      </c>
      <c r="S9" s="563"/>
      <c r="T9" s="13"/>
      <c r="U9" s="10" t="s">
        <v>353</v>
      </c>
      <c r="V9" s="325"/>
      <c r="W9" s="15"/>
      <c r="X9" s="15" t="s">
        <v>9</v>
      </c>
      <c r="Y9" s="563"/>
      <c r="Z9" s="127"/>
      <c r="AA9" s="127" t="s">
        <v>48</v>
      </c>
      <c r="AB9" s="564"/>
      <c r="AC9" s="565"/>
      <c r="AD9" s="566" t="str">
        <f>'[12]Allocation = % of margin'!AJ7</f>
        <v xml:space="preserve">Residental Bill Discount Program </v>
      </c>
      <c r="AE9" s="567"/>
      <c r="AF9" s="127"/>
      <c r="AG9" s="568" t="s">
        <v>227</v>
      </c>
      <c r="AH9" s="564"/>
      <c r="AI9" s="15" t="s">
        <v>228</v>
      </c>
      <c r="AJ9" s="15" t="s">
        <v>228</v>
      </c>
      <c r="AK9" s="563" t="s">
        <v>228</v>
      </c>
      <c r="AL9" s="69" t="s">
        <v>23</v>
      </c>
      <c r="AM9" s="69" t="s">
        <v>23</v>
      </c>
      <c r="AN9" s="563" t="s">
        <v>23</v>
      </c>
      <c r="AU9" s="15" t="s">
        <v>229</v>
      </c>
      <c r="AV9" s="15" t="str">
        <f>+AU9</f>
        <v>R&amp;C EE Total</v>
      </c>
      <c r="AW9" s="569" t="str">
        <f>+AV9</f>
        <v>R&amp;C EE Total</v>
      </c>
    </row>
    <row r="10" spans="1:57" s="58" customFormat="1" ht="15" thickBot="1" x14ac:dyDescent="0.4">
      <c r="A10" s="15">
        <f t="shared" si="0"/>
        <v>4</v>
      </c>
      <c r="B10" s="5"/>
      <c r="C10" s="5"/>
      <c r="D10" s="173" t="s">
        <v>27</v>
      </c>
      <c r="E10" s="173" t="s">
        <v>51</v>
      </c>
      <c r="F10" s="173" t="s">
        <v>230</v>
      </c>
      <c r="G10" s="173" t="s">
        <v>32</v>
      </c>
      <c r="H10" s="173" t="s">
        <v>231</v>
      </c>
      <c r="I10" s="173" t="s">
        <v>32</v>
      </c>
      <c r="J10" s="173" t="s">
        <v>231</v>
      </c>
      <c r="K10" s="173" t="s">
        <v>32</v>
      </c>
      <c r="L10" s="173" t="s">
        <v>232</v>
      </c>
      <c r="M10" s="173" t="s">
        <v>233</v>
      </c>
      <c r="N10" s="173" t="s">
        <v>234</v>
      </c>
      <c r="O10" s="173" t="s">
        <v>235</v>
      </c>
      <c r="P10" s="570" t="s">
        <v>236</v>
      </c>
      <c r="Q10" s="571" t="s">
        <v>232</v>
      </c>
      <c r="R10" s="173" t="s">
        <v>235</v>
      </c>
      <c r="S10" s="570" t="s">
        <v>236</v>
      </c>
      <c r="T10" s="49" t="s">
        <v>232</v>
      </c>
      <c r="U10" s="48" t="s">
        <v>235</v>
      </c>
      <c r="V10" s="326" t="s">
        <v>236</v>
      </c>
      <c r="W10" s="571" t="s">
        <v>232</v>
      </c>
      <c r="X10" s="173" t="s">
        <v>235</v>
      </c>
      <c r="Y10" s="570" t="s">
        <v>236</v>
      </c>
      <c r="Z10" s="571" t="s">
        <v>232</v>
      </c>
      <c r="AA10" s="173" t="s">
        <v>235</v>
      </c>
      <c r="AB10" s="570" t="s">
        <v>236</v>
      </c>
      <c r="AC10" s="572" t="s">
        <v>232</v>
      </c>
      <c r="AD10" s="573" t="s">
        <v>235</v>
      </c>
      <c r="AE10" s="574" t="s">
        <v>236</v>
      </c>
      <c r="AF10" s="571" t="s">
        <v>232</v>
      </c>
      <c r="AG10" s="173" t="s">
        <v>235</v>
      </c>
      <c r="AH10" s="570" t="s">
        <v>236</v>
      </c>
      <c r="AI10" s="571" t="s">
        <v>232</v>
      </c>
      <c r="AJ10" s="173" t="s">
        <v>235</v>
      </c>
      <c r="AK10" s="570" t="s">
        <v>236</v>
      </c>
      <c r="AL10" s="571" t="s">
        <v>232</v>
      </c>
      <c r="AM10" s="173" t="s">
        <v>235</v>
      </c>
      <c r="AN10" s="570" t="s">
        <v>236</v>
      </c>
      <c r="AU10" s="571" t="s">
        <v>237</v>
      </c>
      <c r="AV10" s="173" t="s">
        <v>238</v>
      </c>
      <c r="AW10" s="575" t="s">
        <v>236</v>
      </c>
      <c r="BA10" s="576"/>
      <c r="BB10" s="577"/>
      <c r="BC10" s="578"/>
      <c r="BD10" s="578"/>
      <c r="BE10" s="578"/>
    </row>
    <row r="11" spans="1:57" s="58" customFormat="1" x14ac:dyDescent="0.35">
      <c r="A11" s="15">
        <f t="shared" si="0"/>
        <v>5</v>
      </c>
      <c r="B11" s="5"/>
      <c r="C11" s="5"/>
      <c r="M11" s="69" t="s">
        <v>239</v>
      </c>
      <c r="O11" s="69" t="s">
        <v>240</v>
      </c>
      <c r="P11" s="563"/>
      <c r="Q11" s="69"/>
      <c r="R11" s="69" t="s">
        <v>241</v>
      </c>
      <c r="S11" s="579"/>
      <c r="T11" s="16"/>
      <c r="U11" s="16" t="s">
        <v>242</v>
      </c>
      <c r="V11" s="327"/>
      <c r="W11" s="69"/>
      <c r="X11" s="69" t="s">
        <v>243</v>
      </c>
      <c r="Y11" s="580"/>
      <c r="Z11" s="69"/>
      <c r="AA11" s="69" t="s">
        <v>243</v>
      </c>
      <c r="AB11" s="580"/>
      <c r="AC11" s="581"/>
      <c r="AD11" s="581" t="s">
        <v>243</v>
      </c>
      <c r="AE11" s="582"/>
      <c r="AF11" s="69"/>
      <c r="AG11" s="69" t="s">
        <v>243</v>
      </c>
      <c r="AH11" s="580"/>
      <c r="AI11" s="69"/>
      <c r="AJ11" s="583" t="s">
        <v>244</v>
      </c>
      <c r="AK11" s="584"/>
      <c r="AL11" s="69"/>
      <c r="AM11" s="69" t="s">
        <v>245</v>
      </c>
      <c r="AN11" s="563" t="s">
        <v>246</v>
      </c>
      <c r="AQ11" s="69" t="s">
        <v>47</v>
      </c>
      <c r="AR11" s="69" t="s">
        <v>145</v>
      </c>
      <c r="AS11" s="69" t="s">
        <v>247</v>
      </c>
      <c r="AU11" s="69"/>
      <c r="AV11" s="69" t="s">
        <v>248</v>
      </c>
      <c r="AW11" s="569" t="s">
        <v>249</v>
      </c>
      <c r="BA11" s="585"/>
      <c r="BB11" s="586" t="s">
        <v>212</v>
      </c>
      <c r="BC11" s="587" t="s">
        <v>214</v>
      </c>
      <c r="BD11" s="588" t="s">
        <v>250</v>
      </c>
      <c r="BE11" s="588" t="s">
        <v>251</v>
      </c>
    </row>
    <row r="12" spans="1:57" s="58" customFormat="1" x14ac:dyDescent="0.35">
      <c r="A12" s="15">
        <f t="shared" si="0"/>
        <v>6</v>
      </c>
      <c r="B12" s="183" t="s">
        <v>50</v>
      </c>
      <c r="C12" s="183" t="s">
        <v>51</v>
      </c>
      <c r="D12" s="76" t="s">
        <v>52</v>
      </c>
      <c r="E12" s="76" t="s">
        <v>53</v>
      </c>
      <c r="F12" s="76" t="s">
        <v>54</v>
      </c>
      <c r="G12" s="76"/>
      <c r="H12" s="76"/>
      <c r="I12" s="76" t="s">
        <v>55</v>
      </c>
      <c r="J12" s="76"/>
      <c r="K12" s="76"/>
      <c r="L12" s="76" t="s">
        <v>56</v>
      </c>
      <c r="M12" s="76" t="s">
        <v>147</v>
      </c>
      <c r="N12" s="76" t="s">
        <v>58</v>
      </c>
      <c r="O12" s="76" t="s">
        <v>59</v>
      </c>
      <c r="P12" s="589" t="s">
        <v>125</v>
      </c>
      <c r="Q12" s="76" t="s">
        <v>60</v>
      </c>
      <c r="R12" s="76" t="s">
        <v>61</v>
      </c>
      <c r="S12" s="589" t="s">
        <v>62</v>
      </c>
      <c r="T12" s="70" t="s">
        <v>66</v>
      </c>
      <c r="U12" s="70" t="s">
        <v>67</v>
      </c>
      <c r="V12" s="328" t="s">
        <v>68</v>
      </c>
      <c r="W12" s="76" t="s">
        <v>69</v>
      </c>
      <c r="X12" s="76" t="s">
        <v>70</v>
      </c>
      <c r="Y12" s="589" t="s">
        <v>71</v>
      </c>
      <c r="Z12" s="76" t="s">
        <v>69</v>
      </c>
      <c r="AA12" s="76" t="s">
        <v>70</v>
      </c>
      <c r="AB12" s="589" t="s">
        <v>71</v>
      </c>
      <c r="AC12" s="590" t="s">
        <v>69</v>
      </c>
      <c r="AD12" s="590" t="s">
        <v>70</v>
      </c>
      <c r="AE12" s="591" t="s">
        <v>71</v>
      </c>
      <c r="AF12" s="76" t="s">
        <v>69</v>
      </c>
      <c r="AG12" s="76" t="s">
        <v>70</v>
      </c>
      <c r="AH12" s="589" t="s">
        <v>71</v>
      </c>
      <c r="AI12" s="76" t="s">
        <v>252</v>
      </c>
      <c r="AJ12" s="76" t="s">
        <v>253</v>
      </c>
      <c r="AK12" s="589" t="s">
        <v>254</v>
      </c>
      <c r="AL12" s="76" t="s">
        <v>255</v>
      </c>
      <c r="AM12" s="76" t="s">
        <v>256</v>
      </c>
      <c r="AN12" s="589" t="s">
        <v>257</v>
      </c>
      <c r="AU12" s="76" t="s">
        <v>60</v>
      </c>
      <c r="AV12" s="76" t="s">
        <v>61</v>
      </c>
      <c r="AW12" s="592" t="s">
        <v>62</v>
      </c>
      <c r="BA12" s="585" t="s">
        <v>258</v>
      </c>
      <c r="BB12" s="586" t="s">
        <v>259</v>
      </c>
      <c r="BC12" s="588" t="s">
        <v>260</v>
      </c>
      <c r="BD12" s="588" t="s">
        <v>261</v>
      </c>
      <c r="BE12" s="588" t="s">
        <v>262</v>
      </c>
    </row>
    <row r="13" spans="1:57" x14ac:dyDescent="0.35">
      <c r="A13" s="15">
        <f t="shared" si="0"/>
        <v>7</v>
      </c>
      <c r="B13" s="186" t="s">
        <v>76</v>
      </c>
      <c r="C13" s="186"/>
      <c r="D13" s="89">
        <f>+'[12]Washington volumes'!J13</f>
        <v>179824.1</v>
      </c>
      <c r="E13" s="593" t="s">
        <v>263</v>
      </c>
      <c r="F13" s="655">
        <v>20</v>
      </c>
      <c r="G13" s="682">
        <v>5.5</v>
      </c>
      <c r="H13" s="682">
        <f>'[52]Aver Bill by RS'!$J13</f>
        <v>1.816614207786148</v>
      </c>
      <c r="I13" s="682">
        <f>G13-(IF(H13&gt;($F13*$H$3),($F13*$H$3),H13))</f>
        <v>3.6833857922138522</v>
      </c>
      <c r="J13" s="682">
        <f>'[52]Aver Bill by RS'!$J13</f>
        <v>1.816614207786148</v>
      </c>
      <c r="K13" s="594">
        <f t="shared" ref="K13:K19" si="2">G13-(IF(J13&gt;($F13*$H$4),($F13*$H$4),J13))</f>
        <v>3.6833857922138522</v>
      </c>
      <c r="L13" s="595">
        <f>+'[12]Rates in summary'!D13</f>
        <v>1.6683000000000003</v>
      </c>
      <c r="M13" s="594">
        <f t="shared" ref="M13:M18" si="3">ROUND(+$I13+(L13*$F13),2)</f>
        <v>37.049999999999997</v>
      </c>
      <c r="N13" s="595">
        <f>'[12]Rates in summary'!D13+[12]Temporaries!K13+[12]Temporaries!L13+[12]Temporaries!M13-[12]Temporaries!AX13</f>
        <v>1.6999500000000005</v>
      </c>
      <c r="O13" s="594">
        <f t="shared" ref="O13:O18" si="4">ROUND(I13+(F13*N13), 2)</f>
        <v>37.68</v>
      </c>
      <c r="P13" s="596">
        <f>ROUND((O13-M13)/M13,3)</f>
        <v>1.7000000000000001E-2</v>
      </c>
      <c r="Q13" s="595">
        <f>'[12]Rates in summary'!D13+[12]Temporaries!N13+[12]Temporaries!O13-[12]Temporaries!AY13</f>
        <v>1.6715100000000003</v>
      </c>
      <c r="R13" s="594">
        <f t="shared" ref="R13:R18" si="5">ROUND(I13+(F13*Q13),2)</f>
        <v>37.11</v>
      </c>
      <c r="S13" s="596">
        <f>ROUND((R13-M13)/M13,3)</f>
        <v>2E-3</v>
      </c>
      <c r="T13" s="86">
        <f>'[12]Rates in detail'!D13+[12]Temporaries!T13-[12]Temporaries!BD13+[12]Temporaries!S13-[12]Temporaries!BC13+[12]Temporaries!P13-[12]Temporaries!BB13++[12]Temporaries!Q13-[12]Temporaries!AW13</f>
        <v>1.6687900000000002</v>
      </c>
      <c r="U13" s="81">
        <f t="shared" ref="U13:U18" si="6">ROUND(I13+(F13*T13),2)</f>
        <v>37.06</v>
      </c>
      <c r="V13" s="530">
        <f t="shared" ref="V13:V18" si="7">ROUND((U13-M13)/M13,3)</f>
        <v>0</v>
      </c>
      <c r="W13" s="595">
        <f>'[12]Rates in summary'!D13+[12]Temporaries!R13-[12]Temporaries!AZ13</f>
        <v>1.6729200000000004</v>
      </c>
      <c r="X13" s="594">
        <f t="shared" ref="X13:X18" si="8">I13+(F13*W13)</f>
        <v>37.141785792213867</v>
      </c>
      <c r="Y13" s="596">
        <f t="shared" ref="Y13:Y18" si="9">(X13-M13)/M13</f>
        <v>2.4773493175133444E-3</v>
      </c>
      <c r="Z13" s="595">
        <f>'[12]Rates in summary'!D13+[12]Permanents!F13</f>
        <v>1.6685400000000004</v>
      </c>
      <c r="AA13" s="594">
        <f t="shared" ref="AA13:AA18" si="10">I13+(F13*Z13)</f>
        <v>37.054185792213865</v>
      </c>
      <c r="AB13" s="596">
        <f t="shared" ref="AB13:AB18" si="11">(AA13-M13)/M13</f>
        <v>1.1297684787766535E-4</v>
      </c>
      <c r="AC13" s="597">
        <f>'[12]Rates in summary'!D13+[12]Temporaries!U13-[12]Temporaries!BE13</f>
        <v>1.6683000000000003</v>
      </c>
      <c r="AD13" s="598">
        <f t="shared" ref="AD13:AD18" si="12">I13+(F13*AC13)</f>
        <v>37.049385792213862</v>
      </c>
      <c r="AE13" s="599">
        <f t="shared" ref="AE13:AE18" si="13">(AD13-M13)/M13</f>
        <v>-1.6577807992861627E-5</v>
      </c>
      <c r="AF13" s="595">
        <f>'[12]Rates in summary'!D13+[12]Temporaries!V13-[12]Temporaries!BF13</f>
        <v>1.6683000000000003</v>
      </c>
      <c r="AG13" s="594">
        <f t="shared" ref="AG13:AG18" si="14">K13+(F13*AF13)</f>
        <v>37.049385792213862</v>
      </c>
      <c r="AH13" s="596">
        <f t="shared" ref="AH13:AH18" si="15">(AG13-M13)/M13</f>
        <v>-1.6577807992861627E-5</v>
      </c>
      <c r="AI13" s="595">
        <f>'[12]Rates in summary'!G13+[12]Temporaries!J13</f>
        <v>1.5938900000000005</v>
      </c>
      <c r="AJ13" s="594">
        <f t="shared" ref="AJ13:AJ18" si="16">ROUND(I13+(F13*AI13),2)</f>
        <v>35.56</v>
      </c>
      <c r="AK13" s="600">
        <f t="shared" ref="AK13:AK18" si="17">ROUND((AJ13-M13)/M13,3)</f>
        <v>-0.04</v>
      </c>
      <c r="AL13" s="595">
        <f>+'[12]Rates in summary'!Q13</f>
        <v>1.6341000000000003</v>
      </c>
      <c r="AM13" s="594">
        <f>ROUND(+$K13+(AL13*$F13),2)</f>
        <v>36.369999999999997</v>
      </c>
      <c r="AN13" s="600">
        <f t="shared" ref="AN13:AN18" si="18">ROUND((AM13-M13)/M13,3)</f>
        <v>-1.7999999999999999E-2</v>
      </c>
      <c r="AO13" s="538"/>
      <c r="AP13" s="601"/>
      <c r="AQ13" s="537">
        <f t="shared" ref="AQ13:AQ76" si="19">AC13-L13</f>
        <v>0</v>
      </c>
      <c r="AR13" s="537">
        <f t="shared" ref="AR13:AR76" si="20">AF13-L13</f>
        <v>0</v>
      </c>
      <c r="AS13" s="537">
        <f t="shared" ref="AS13:AS76" si="21">AL13-L13</f>
        <v>-3.4200000000000008E-2</v>
      </c>
      <c r="AT13" s="537">
        <f>AS13-(AQ13+AR13)</f>
        <v>-3.4200000000000008E-2</v>
      </c>
      <c r="AU13" s="602">
        <f>+'[12]Rates in summary'!D13+[12]Temporaries!K13+[12]Temporaries!M13+[12]Temporaries!L13-[12]Temporaries!AX13</f>
        <v>1.6999500000000005</v>
      </c>
      <c r="AV13" s="603">
        <f t="shared" ref="AV13:AV18" si="22">ROUND(+$I13+(AU13*$F13),2)</f>
        <v>37.68</v>
      </c>
      <c r="AW13" s="604">
        <f t="shared" ref="AW13:AW18" si="23">ROUND((AV13-M13)/M13,3)</f>
        <v>1.7000000000000001E-2</v>
      </c>
      <c r="AX13" s="190"/>
      <c r="AY13" s="190"/>
      <c r="AZ13" s="190"/>
      <c r="BA13" s="605" t="s">
        <v>76</v>
      </c>
      <c r="BB13" s="606">
        <f t="shared" ref="BB13:BB18" si="24">M13</f>
        <v>37.049999999999997</v>
      </c>
      <c r="BC13" s="607">
        <f t="shared" ref="BC13:BC18" si="25">U13</f>
        <v>37.06</v>
      </c>
      <c r="BD13" s="606">
        <f t="shared" ref="BD13:BD34" si="26">BC13-BB13</f>
        <v>1.0000000000005116E-2</v>
      </c>
      <c r="BE13" s="675">
        <f t="shared" ref="BE13:BE34" si="27">ROUND((BC13-BB13)/BB13,3)</f>
        <v>0</v>
      </c>
    </row>
    <row r="14" spans="1:57" x14ac:dyDescent="0.35">
      <c r="A14" s="15">
        <f t="shared" si="0"/>
        <v>8</v>
      </c>
      <c r="B14" s="186" t="s">
        <v>77</v>
      </c>
      <c r="C14" s="186"/>
      <c r="D14" s="89">
        <f>+'[12]Washington volumes'!J14</f>
        <v>18807.400000000001</v>
      </c>
      <c r="E14" s="593" t="s">
        <v>263</v>
      </c>
      <c r="F14" s="655">
        <v>114</v>
      </c>
      <c r="G14" s="682">
        <v>7</v>
      </c>
      <c r="H14" s="682">
        <f>'[52]Aver Bill by RS'!$J14</f>
        <v>5.3425825423278139</v>
      </c>
      <c r="I14" s="682">
        <f t="shared" ref="I14:I17" si="28">G14-(IF(H14&gt;(F14*$H$3),(F14*$H$3),H14))</f>
        <v>1.6574174576721861</v>
      </c>
      <c r="J14" s="682">
        <f>'[52]Aver Bill by RS'!$J14</f>
        <v>5.3425825423278139</v>
      </c>
      <c r="K14" s="594">
        <f t="shared" si="2"/>
        <v>1.6574174576721861</v>
      </c>
      <c r="L14" s="595">
        <f>+'[12]Rates in summary'!D14</f>
        <v>1.672639999999999</v>
      </c>
      <c r="M14" s="594">
        <f t="shared" si="3"/>
        <v>192.34</v>
      </c>
      <c r="N14" s="595">
        <f>'[12]Rates in summary'!D14+[12]Temporaries!K14+[12]Temporaries!L14+[12]Temporaries!M14-[12]Temporaries!AX14</f>
        <v>1.6721499999999991</v>
      </c>
      <c r="O14" s="594">
        <f t="shared" si="4"/>
        <v>192.28</v>
      </c>
      <c r="P14" s="596">
        <f t="shared" ref="P14:P18" si="29">ROUND((O14-M14)/M14,3)</f>
        <v>0</v>
      </c>
      <c r="Q14" s="595">
        <f>'[12]Rates in summary'!D14+[12]Temporaries!N14+[12]Temporaries!O14-[12]Temporaries!AY14</f>
        <v>1.670869999999999</v>
      </c>
      <c r="R14" s="594">
        <f t="shared" si="5"/>
        <v>192.14</v>
      </c>
      <c r="S14" s="596">
        <f t="shared" ref="S14:S18" si="30">ROUND((R14-M14)/M14,3)</f>
        <v>-1E-3</v>
      </c>
      <c r="T14" s="86">
        <f>'[12]Rates in detail'!D14+[12]Temporaries!T14-[12]Temporaries!BD14+[12]Temporaries!S14-[12]Temporaries!BC14+[12]Temporaries!P14-[12]Temporaries!BB14++[12]Temporaries!Q14-[12]Temporaries!AW14</f>
        <v>1.6730599999999991</v>
      </c>
      <c r="U14" s="81">
        <f t="shared" si="6"/>
        <v>192.39</v>
      </c>
      <c r="V14" s="530">
        <f t="shared" si="7"/>
        <v>0</v>
      </c>
      <c r="W14" s="595">
        <f>'[12]Rates in summary'!D14+[12]Temporaries!R14-[12]Temporaries!AZ14</f>
        <v>1.672969999999999</v>
      </c>
      <c r="X14" s="594">
        <f t="shared" si="8"/>
        <v>192.37599745767207</v>
      </c>
      <c r="Y14" s="596">
        <f t="shared" si="9"/>
        <v>1.8715533779800047E-4</v>
      </c>
      <c r="Z14" s="595">
        <f>'[12]Rates in summary'!D14+[12]Permanents!F14</f>
        <v>1.672799999999999</v>
      </c>
      <c r="AA14" s="594">
        <f t="shared" si="10"/>
        <v>192.35661745767206</v>
      </c>
      <c r="AB14" s="596">
        <f t="shared" si="11"/>
        <v>8.6396265322112009E-5</v>
      </c>
      <c r="AC14" s="597">
        <f>'[12]Rates in summary'!D14+[12]Temporaries!U14-[12]Temporaries!BE14</f>
        <v>1.672639999999999</v>
      </c>
      <c r="AD14" s="598">
        <f t="shared" si="12"/>
        <v>192.33837745767207</v>
      </c>
      <c r="AE14" s="599">
        <f t="shared" si="13"/>
        <v>-8.4358028903845867E-6</v>
      </c>
      <c r="AF14" s="595">
        <f>'[12]Rates in summary'!D14+[12]Temporaries!V14-[12]Temporaries!BF14</f>
        <v>1.672639999999999</v>
      </c>
      <c r="AG14" s="594">
        <f t="shared" si="14"/>
        <v>192.33837745767207</v>
      </c>
      <c r="AH14" s="596">
        <f t="shared" si="15"/>
        <v>-8.4358028903845867E-6</v>
      </c>
      <c r="AI14" s="595">
        <f>'[12]Rates in summary'!G14+[12]Temporaries!J14</f>
        <v>1.5982299999999992</v>
      </c>
      <c r="AJ14" s="594">
        <f t="shared" si="16"/>
        <v>183.86</v>
      </c>
      <c r="AK14" s="600">
        <f t="shared" si="17"/>
        <v>-4.3999999999999997E-2</v>
      </c>
      <c r="AL14" s="595">
        <f>+'[12]Rates in summary'!Q14</f>
        <v>1.5968799999999992</v>
      </c>
      <c r="AM14" s="594">
        <f t="shared" ref="AM14:AM18" si="31">ROUND(+$K14+(AL14*$F14),2)</f>
        <v>183.7</v>
      </c>
      <c r="AN14" s="600">
        <f t="shared" si="18"/>
        <v>-4.4999999999999998E-2</v>
      </c>
      <c r="AO14" s="538"/>
      <c r="AP14" s="601"/>
      <c r="AQ14" s="537">
        <f t="shared" si="19"/>
        <v>0</v>
      </c>
      <c r="AR14" s="537">
        <f t="shared" si="20"/>
        <v>0</v>
      </c>
      <c r="AS14" s="537">
        <f t="shared" si="21"/>
        <v>-7.5759999999999827E-2</v>
      </c>
      <c r="AT14" s="537">
        <f t="shared" ref="AT14:AT77" si="32">AS14-(AQ14+AR14)</f>
        <v>-7.5759999999999827E-2</v>
      </c>
      <c r="AU14" s="602">
        <f>+'[12]Rates in summary'!D14+[12]Temporaries!K14+[12]Temporaries!M14+[12]Temporaries!L14-[12]Temporaries!AZ14</f>
        <v>1.7558699999999992</v>
      </c>
      <c r="AV14" s="603">
        <f t="shared" si="22"/>
        <v>201.83</v>
      </c>
      <c r="AW14" s="604">
        <f t="shared" si="23"/>
        <v>4.9000000000000002E-2</v>
      </c>
      <c r="AX14" s="190"/>
      <c r="AY14" s="190"/>
      <c r="AZ14" s="190"/>
      <c r="BA14" s="605" t="s">
        <v>77</v>
      </c>
      <c r="BB14" s="606">
        <f t="shared" si="24"/>
        <v>192.34</v>
      </c>
      <c r="BC14" s="607">
        <f t="shared" si="25"/>
        <v>192.39</v>
      </c>
      <c r="BD14" s="606">
        <f t="shared" si="26"/>
        <v>4.9999999999982947E-2</v>
      </c>
      <c r="BE14" s="675">
        <f t="shared" si="27"/>
        <v>0</v>
      </c>
    </row>
    <row r="15" spans="1:57" x14ac:dyDescent="0.35">
      <c r="A15" s="15">
        <f t="shared" si="0"/>
        <v>9</v>
      </c>
      <c r="B15" s="186" t="s">
        <v>78</v>
      </c>
      <c r="C15" s="186"/>
      <c r="D15" s="89">
        <f>+'[12]Washington volumes'!J15</f>
        <v>59991191.600000001</v>
      </c>
      <c r="E15" s="593" t="s">
        <v>263</v>
      </c>
      <c r="F15" s="655">
        <v>56</v>
      </c>
      <c r="G15" s="682">
        <v>8</v>
      </c>
      <c r="H15" s="682">
        <f>'[52]Aver Bill by RS'!$J15</f>
        <v>10.540904108741115</v>
      </c>
      <c r="I15" s="682">
        <f t="shared" si="28"/>
        <v>-2.5409041087411151</v>
      </c>
      <c r="J15" s="682">
        <f>'[52]Aver Bill by RS'!$J15</f>
        <v>10.540904108741115</v>
      </c>
      <c r="K15" s="594">
        <f t="shared" si="2"/>
        <v>-2.5409041087411151</v>
      </c>
      <c r="L15" s="595">
        <f>+'[12]Rates in summary'!D15</f>
        <v>1.3152700000000002</v>
      </c>
      <c r="M15" s="594">
        <f t="shared" si="3"/>
        <v>71.11</v>
      </c>
      <c r="N15" s="595">
        <f>'[12]Rates in summary'!D15+[12]Temporaries!K15+[12]Temporaries!L15+[12]Temporaries!M15-[12]Temporaries!AX15</f>
        <v>1.3168600000000001</v>
      </c>
      <c r="O15" s="594">
        <f t="shared" si="4"/>
        <v>71.2</v>
      </c>
      <c r="P15" s="596">
        <f t="shared" si="29"/>
        <v>1E-3</v>
      </c>
      <c r="Q15" s="595">
        <f>'[12]Rates in summary'!D15+[12]Temporaries!N15+[12]Temporaries!O15-[12]Temporaries!AY15</f>
        <v>1.3143899999999999</v>
      </c>
      <c r="R15" s="594">
        <f t="shared" si="5"/>
        <v>71.06</v>
      </c>
      <c r="S15" s="596">
        <f t="shared" si="30"/>
        <v>-1E-3</v>
      </c>
      <c r="T15" s="86">
        <f>'[12]Rates in detail'!D15+[12]Temporaries!T15-[12]Temporaries!BD15+[12]Temporaries!S15-[12]Temporaries!BC15+[12]Temporaries!P15-[12]Temporaries!BB15++[12]Temporaries!Q15-[12]Temporaries!AW15</f>
        <v>1.3154700000000001</v>
      </c>
      <c r="U15" s="81">
        <f t="shared" si="6"/>
        <v>71.13</v>
      </c>
      <c r="V15" s="530">
        <f t="shared" si="7"/>
        <v>0</v>
      </c>
      <c r="W15" s="595">
        <f>'[12]Rates in summary'!D15+[12]Temporaries!R15-[12]Temporaries!AZ15</f>
        <v>1.3157500000000002</v>
      </c>
      <c r="X15" s="594">
        <f t="shared" si="8"/>
        <v>71.1410958912589</v>
      </c>
      <c r="Y15" s="596">
        <f t="shared" si="9"/>
        <v>4.3729280352833793E-4</v>
      </c>
      <c r="Z15" s="595">
        <f>'[12]Rates in summary'!D15+[12]Permanents!F15</f>
        <v>1.3153800000000002</v>
      </c>
      <c r="AA15" s="594">
        <f t="shared" si="10"/>
        <v>71.120375891258888</v>
      </c>
      <c r="AB15" s="596">
        <f t="shared" si="11"/>
        <v>1.4591325072266508E-4</v>
      </c>
      <c r="AC15" s="597">
        <f>'[12]Rates in summary'!D15+[12]Temporaries!U15-[12]Temporaries!BE15</f>
        <v>1.3152700000000002</v>
      </c>
      <c r="AD15" s="598">
        <f t="shared" si="12"/>
        <v>71.114215891258894</v>
      </c>
      <c r="AE15" s="599">
        <f t="shared" si="13"/>
        <v>5.9286897185973058E-5</v>
      </c>
      <c r="AF15" s="595">
        <f>'[12]Rates in summary'!D15+[12]Temporaries!V15-[12]Temporaries!BF15</f>
        <v>1.3152699999999999</v>
      </c>
      <c r="AG15" s="594">
        <f t="shared" si="14"/>
        <v>71.11421589125888</v>
      </c>
      <c r="AH15" s="596">
        <f t="shared" si="15"/>
        <v>5.9286897185773212E-5</v>
      </c>
      <c r="AI15" s="595">
        <f>'[12]Rates in summary'!G15+[12]Temporaries!J15</f>
        <v>1.2408600000000003</v>
      </c>
      <c r="AJ15" s="594">
        <f t="shared" si="16"/>
        <v>66.95</v>
      </c>
      <c r="AK15" s="596">
        <f t="shared" si="17"/>
        <v>-5.8999999999999997E-2</v>
      </c>
      <c r="AL15" s="595">
        <f>+'[12]Rates in summary'!Q15</f>
        <v>1.2423600000000001</v>
      </c>
      <c r="AM15" s="594">
        <f>ROUND(+$K15+(AL15*$F15),2)</f>
        <v>67.03</v>
      </c>
      <c r="AN15" s="596">
        <f t="shared" si="18"/>
        <v>-5.7000000000000002E-2</v>
      </c>
      <c r="AP15" s="601"/>
      <c r="AQ15" s="537">
        <f t="shared" si="19"/>
        <v>0</v>
      </c>
      <c r="AR15" s="537">
        <f t="shared" si="20"/>
        <v>0</v>
      </c>
      <c r="AS15" s="537">
        <f t="shared" si="21"/>
        <v>-7.291000000000003E-2</v>
      </c>
      <c r="AT15" s="537">
        <f t="shared" si="32"/>
        <v>-7.291000000000003E-2</v>
      </c>
      <c r="AU15" s="602">
        <f>+'[12]Rates in summary'!D15+[12]Temporaries!K15+[12]Temporaries!M15+[12]Temporaries!L15-[12]Temporaries!AZ15</f>
        <v>1.3724900000000002</v>
      </c>
      <c r="AV15" s="603">
        <f t="shared" si="22"/>
        <v>74.319999999999993</v>
      </c>
      <c r="AW15" s="608">
        <f t="shared" si="23"/>
        <v>4.4999999999999998E-2</v>
      </c>
      <c r="AX15" s="190"/>
      <c r="AY15" s="190"/>
      <c r="AZ15" s="190"/>
      <c r="BA15" s="605" t="s">
        <v>78</v>
      </c>
      <c r="BB15" s="609">
        <f t="shared" si="24"/>
        <v>71.11</v>
      </c>
      <c r="BC15" s="609">
        <f t="shared" si="25"/>
        <v>71.13</v>
      </c>
      <c r="BD15" s="610">
        <f t="shared" si="26"/>
        <v>1.9999999999996021E-2</v>
      </c>
      <c r="BE15" s="676">
        <f t="shared" si="27"/>
        <v>0</v>
      </c>
    </row>
    <row r="16" spans="1:57" x14ac:dyDescent="0.35">
      <c r="A16" s="15">
        <f t="shared" si="0"/>
        <v>10</v>
      </c>
      <c r="B16" s="186" t="s">
        <v>79</v>
      </c>
      <c r="C16" s="186"/>
      <c r="D16" s="89">
        <f>+'[12]Washington volumes'!J16</f>
        <v>21359578.800000001</v>
      </c>
      <c r="E16" s="593" t="s">
        <v>263</v>
      </c>
      <c r="F16" s="655">
        <v>236</v>
      </c>
      <c r="G16" s="682">
        <v>22</v>
      </c>
      <c r="H16" s="682">
        <f>'[52]Aver Bill by RS'!$J16</f>
        <v>48.320758584764796</v>
      </c>
      <c r="I16" s="682">
        <f t="shared" si="28"/>
        <v>-26.320758584764796</v>
      </c>
      <c r="J16" s="682">
        <f>'[52]Aver Bill by RS'!$J16</f>
        <v>48.320758584764796</v>
      </c>
      <c r="K16" s="594">
        <f t="shared" si="2"/>
        <v>-26.320758584764796</v>
      </c>
      <c r="L16" s="595">
        <f>+'[12]Rates in summary'!D16</f>
        <v>1.2785399999999996</v>
      </c>
      <c r="M16" s="594">
        <f t="shared" si="3"/>
        <v>275.41000000000003</v>
      </c>
      <c r="N16" s="595">
        <f>'[12]Rates in summary'!D16+[12]Temporaries!K16+[12]Temporaries!L16+[12]Temporaries!M16-[12]Temporaries!AX16</f>
        <v>1.2794799999999995</v>
      </c>
      <c r="O16" s="594">
        <f t="shared" si="4"/>
        <v>275.64</v>
      </c>
      <c r="P16" s="596">
        <f t="shared" si="29"/>
        <v>1E-3</v>
      </c>
      <c r="Q16" s="595">
        <f>'[12]Rates in summary'!D16+[12]Temporaries!N16+[12]Temporaries!O16-[12]Temporaries!AY16</f>
        <v>1.2776899999999993</v>
      </c>
      <c r="R16" s="594">
        <f t="shared" si="5"/>
        <v>275.20999999999998</v>
      </c>
      <c r="S16" s="596">
        <f t="shared" si="30"/>
        <v>-1E-3</v>
      </c>
      <c r="T16" s="86">
        <f>'[12]Rates in detail'!D16+[12]Temporaries!T16-[12]Temporaries!BD16+[12]Temporaries!S16-[12]Temporaries!BC16+[12]Temporaries!P16-[12]Temporaries!BB16++[12]Temporaries!Q16-[12]Temporaries!AW16</f>
        <v>1.2787399999999995</v>
      </c>
      <c r="U16" s="81">
        <f t="shared" si="6"/>
        <v>275.45999999999998</v>
      </c>
      <c r="V16" s="530">
        <f t="shared" si="7"/>
        <v>0</v>
      </c>
      <c r="W16" s="595">
        <f>'[12]Rates in summary'!D16+[12]Temporaries!R16-[12]Temporaries!AZ16</f>
        <v>1.2789099999999995</v>
      </c>
      <c r="X16" s="594">
        <f t="shared" si="8"/>
        <v>275.5020014152351</v>
      </c>
      <c r="Y16" s="596">
        <f t="shared" si="9"/>
        <v>3.3405255885797373E-4</v>
      </c>
      <c r="Z16" s="595">
        <f>'[12]Rates in summary'!D16+[12]Permanents!F16</f>
        <v>1.2786399999999996</v>
      </c>
      <c r="AA16" s="594">
        <f t="shared" si="10"/>
        <v>275.43828141523511</v>
      </c>
      <c r="AB16" s="596">
        <f t="shared" si="11"/>
        <v>1.0268841086048148E-4</v>
      </c>
      <c r="AC16" s="597">
        <f>'[12]Rates in summary'!D16+[12]Temporaries!U16-[12]Temporaries!BE16</f>
        <v>1.2785399999999996</v>
      </c>
      <c r="AD16" s="598">
        <f t="shared" si="12"/>
        <v>275.41468141523512</v>
      </c>
      <c r="AE16" s="599">
        <f t="shared" si="13"/>
        <v>1.699798567625567E-5</v>
      </c>
      <c r="AF16" s="595">
        <f>'[12]Rates in summary'!D16+[12]Temporaries!V16-[12]Temporaries!BF16</f>
        <v>1.2785399999999996</v>
      </c>
      <c r="AG16" s="594">
        <f t="shared" si="14"/>
        <v>275.41468141523512</v>
      </c>
      <c r="AH16" s="596">
        <f t="shared" si="15"/>
        <v>1.699798567625567E-5</v>
      </c>
      <c r="AI16" s="595">
        <f>'[12]Rates in summary'!G16+[12]Temporaries!J16</f>
        <v>1.2041299999999997</v>
      </c>
      <c r="AJ16" s="594">
        <f t="shared" si="16"/>
        <v>257.85000000000002</v>
      </c>
      <c r="AK16" s="600">
        <f t="shared" si="17"/>
        <v>-6.4000000000000001E-2</v>
      </c>
      <c r="AL16" s="595">
        <f>+'[12]Rates in summary'!Q16</f>
        <v>1.2048899999999996</v>
      </c>
      <c r="AM16" s="594">
        <f t="shared" si="31"/>
        <v>258.02999999999997</v>
      </c>
      <c r="AN16" s="600">
        <f t="shared" si="18"/>
        <v>-6.3E-2</v>
      </c>
      <c r="AO16" s="538"/>
      <c r="AP16" s="601"/>
      <c r="AQ16" s="537">
        <f t="shared" si="19"/>
        <v>0</v>
      </c>
      <c r="AR16" s="537">
        <f t="shared" si="20"/>
        <v>0</v>
      </c>
      <c r="AS16" s="537">
        <f t="shared" si="21"/>
        <v>-7.3649999999999993E-2</v>
      </c>
      <c r="AT16" s="537">
        <f t="shared" si="32"/>
        <v>-7.3649999999999993E-2</v>
      </c>
      <c r="AU16" s="602">
        <f>+'[12]Rates in summary'!D16+[12]Temporaries!K16+[12]Temporaries!M16+[12]Temporaries!L16-[12]Temporaries!AZ16</f>
        <v>1.3289199999999994</v>
      </c>
      <c r="AV16" s="603">
        <f t="shared" si="22"/>
        <v>287.3</v>
      </c>
      <c r="AW16" s="604">
        <f t="shared" si="23"/>
        <v>4.2999999999999997E-2</v>
      </c>
      <c r="AX16" s="190"/>
      <c r="AY16" s="190"/>
      <c r="AZ16" s="190"/>
      <c r="BA16" s="605" t="s">
        <v>79</v>
      </c>
      <c r="BB16" s="607">
        <f t="shared" si="24"/>
        <v>275.41000000000003</v>
      </c>
      <c r="BC16" s="607">
        <f t="shared" si="25"/>
        <v>275.45999999999998</v>
      </c>
      <c r="BD16" s="606">
        <f t="shared" si="26"/>
        <v>4.9999999999954525E-2</v>
      </c>
      <c r="BE16" s="675">
        <f t="shared" si="27"/>
        <v>0</v>
      </c>
    </row>
    <row r="17" spans="1:57" x14ac:dyDescent="0.35">
      <c r="A17" s="15">
        <f t="shared" si="0"/>
        <v>11</v>
      </c>
      <c r="B17" s="186" t="s">
        <v>80</v>
      </c>
      <c r="C17" s="186"/>
      <c r="D17" s="89">
        <f>+'[12]Washington volumes'!J17</f>
        <v>192102.2</v>
      </c>
      <c r="E17" s="593" t="s">
        <v>263</v>
      </c>
      <c r="F17" s="655">
        <v>975</v>
      </c>
      <c r="G17" s="682">
        <v>22</v>
      </c>
      <c r="H17" s="682">
        <f>'[52]Aver Bill by RS'!$J17</f>
        <v>129.16257090345997</v>
      </c>
      <c r="I17" s="682">
        <f t="shared" si="28"/>
        <v>-107.16257090345997</v>
      </c>
      <c r="J17" s="682">
        <f>'[52]Aver Bill by RS'!$J17</f>
        <v>129.16257090345997</v>
      </c>
      <c r="K17" s="594">
        <f t="shared" si="2"/>
        <v>-107.16257090345997</v>
      </c>
      <c r="L17" s="595">
        <f>+'[12]Rates in summary'!D17</f>
        <v>1.2303099999999996</v>
      </c>
      <c r="M17" s="594">
        <f t="shared" si="3"/>
        <v>1092.3900000000001</v>
      </c>
      <c r="N17" s="595">
        <f>'[12]Rates in summary'!D17+[12]Temporaries!K17+[12]Temporaries!L17+[12]Temporaries!M17-[12]Temporaries!AX17</f>
        <v>1.2303099999999996</v>
      </c>
      <c r="O17" s="594">
        <f t="shared" si="4"/>
        <v>1092.3900000000001</v>
      </c>
      <c r="P17" s="596">
        <f t="shared" si="29"/>
        <v>0</v>
      </c>
      <c r="Q17" s="595">
        <f>'[12]Rates in summary'!D17+[12]Temporaries!N17+[12]Temporaries!O17-[12]Temporaries!AY17</f>
        <v>1.2295899999999995</v>
      </c>
      <c r="R17" s="594">
        <f t="shared" si="5"/>
        <v>1091.69</v>
      </c>
      <c r="S17" s="596">
        <f t="shared" si="30"/>
        <v>-1E-3</v>
      </c>
      <c r="T17" s="86">
        <f>'[12]Rates in detail'!D17+[12]Temporaries!T17-[12]Temporaries!BD17+[12]Temporaries!S17-[12]Temporaries!BC17+[12]Temporaries!P17-[12]Temporaries!BB17++[12]Temporaries!Q17-[12]Temporaries!AW17</f>
        <v>1.2298399999999996</v>
      </c>
      <c r="U17" s="81">
        <f t="shared" si="6"/>
        <v>1091.93</v>
      </c>
      <c r="V17" s="530">
        <f t="shared" si="7"/>
        <v>0</v>
      </c>
      <c r="W17" s="595">
        <f>'[12]Rates in summary'!D17+[12]Temporaries!R17-[12]Temporaries!AZ17</f>
        <v>1.2306999999999997</v>
      </c>
      <c r="X17" s="594">
        <f t="shared" si="8"/>
        <v>1092.7699290965397</v>
      </c>
      <c r="Y17" s="596">
        <f t="shared" si="9"/>
        <v>3.4779620514617185E-4</v>
      </c>
      <c r="Z17" s="595">
        <f>'[12]Rates in summary'!D17+[12]Permanents!F17</f>
        <v>1.2303999999999995</v>
      </c>
      <c r="AA17" s="594">
        <f t="shared" si="10"/>
        <v>1092.4774290965395</v>
      </c>
      <c r="AB17" s="596">
        <f t="shared" si="11"/>
        <v>8.0034691400856042E-5</v>
      </c>
      <c r="AC17" s="597">
        <f>'[12]Rates in summary'!D17+[12]Temporaries!U17-[12]Temporaries!BE17</f>
        <v>1.2303099999999996</v>
      </c>
      <c r="AD17" s="598">
        <f t="shared" si="12"/>
        <v>1092.3896790965396</v>
      </c>
      <c r="AE17" s="599">
        <f t="shared" si="13"/>
        <v>-2.9376272259300494E-7</v>
      </c>
      <c r="AF17" s="595">
        <f>'[12]Rates in summary'!D17+[12]Temporaries!V17-[12]Temporaries!BF17</f>
        <v>1.2303099999999993</v>
      </c>
      <c r="AG17" s="594">
        <f t="shared" si="14"/>
        <v>1092.3896790965393</v>
      </c>
      <c r="AH17" s="596">
        <f t="shared" si="15"/>
        <v>-2.9376272280114825E-7</v>
      </c>
      <c r="AI17" s="595">
        <f>'[12]Rates in summary'!G17+[12]Temporaries!J17</f>
        <v>1.1558999999999997</v>
      </c>
      <c r="AJ17" s="594">
        <f t="shared" si="16"/>
        <v>1019.84</v>
      </c>
      <c r="AK17" s="600">
        <f t="shared" si="17"/>
        <v>-6.6000000000000003E-2</v>
      </c>
      <c r="AL17" s="595">
        <f>+'[12]Rates in summary'!Q17</f>
        <v>1.1551899999999997</v>
      </c>
      <c r="AM17" s="594">
        <f t="shared" si="31"/>
        <v>1019.15</v>
      </c>
      <c r="AN17" s="600">
        <f t="shared" si="18"/>
        <v>-6.7000000000000004E-2</v>
      </c>
      <c r="AO17" s="538"/>
      <c r="AP17" s="601"/>
      <c r="AQ17" s="537">
        <f t="shared" si="19"/>
        <v>0</v>
      </c>
      <c r="AR17" s="537">
        <f t="shared" si="20"/>
        <v>0</v>
      </c>
      <c r="AS17" s="537">
        <f t="shared" si="21"/>
        <v>-7.5119999999999854E-2</v>
      </c>
      <c r="AT17" s="537">
        <f t="shared" si="32"/>
        <v>-7.5119999999999854E-2</v>
      </c>
      <c r="AU17" s="602">
        <f>+'[12]Rates in summary'!D17+[12]Temporaries!K17+[12]Temporaries!M17+[12]Temporaries!L17-[12]Temporaries!AZ17</f>
        <v>1.2237499999999997</v>
      </c>
      <c r="AV17" s="603">
        <f t="shared" si="22"/>
        <v>1085.99</v>
      </c>
      <c r="AW17" s="604">
        <f t="shared" si="23"/>
        <v>-6.0000000000000001E-3</v>
      </c>
      <c r="AX17" s="190"/>
      <c r="AY17" s="190"/>
      <c r="AZ17" s="190"/>
      <c r="BA17" s="605" t="s">
        <v>80</v>
      </c>
      <c r="BB17" s="607">
        <f t="shared" si="24"/>
        <v>1092.3900000000001</v>
      </c>
      <c r="BC17" s="607">
        <f t="shared" si="25"/>
        <v>1091.93</v>
      </c>
      <c r="BD17" s="606">
        <f t="shared" si="26"/>
        <v>-0.46000000000003638</v>
      </c>
      <c r="BE17" s="675">
        <f t="shared" si="27"/>
        <v>0</v>
      </c>
    </row>
    <row r="18" spans="1:57" x14ac:dyDescent="0.35">
      <c r="A18" s="15">
        <f t="shared" si="0"/>
        <v>12</v>
      </c>
      <c r="B18" s="192">
        <v>27</v>
      </c>
      <c r="C18" s="192"/>
      <c r="D18" s="89">
        <f>+'[12]Washington volumes'!J18</f>
        <v>34823.1</v>
      </c>
      <c r="E18" s="593" t="s">
        <v>263</v>
      </c>
      <c r="F18" s="655">
        <v>50</v>
      </c>
      <c r="G18" s="682">
        <v>9</v>
      </c>
      <c r="H18" s="682">
        <f>'[52]Aver Bill by RS'!$J18</f>
        <v>0</v>
      </c>
      <c r="I18" s="682">
        <f>G18-(IF(H18&gt;(F18*$H$3),(F18*$H$3),H18))</f>
        <v>9</v>
      </c>
      <c r="J18" s="682">
        <f>'[52]Aver Bill by RS'!$J18</f>
        <v>0</v>
      </c>
      <c r="K18" s="594">
        <f t="shared" si="2"/>
        <v>9</v>
      </c>
      <c r="L18" s="595">
        <f>+'[12]Rates in summary'!D18</f>
        <v>1.11591</v>
      </c>
      <c r="M18" s="594">
        <f t="shared" si="3"/>
        <v>64.8</v>
      </c>
      <c r="N18" s="595">
        <f>'[12]Rates in summary'!D18+[12]Temporaries!K18+[12]Temporaries!L18+[12]Temporaries!M18-[12]Temporaries!AX18</f>
        <v>1.1693099999999998</v>
      </c>
      <c r="O18" s="594">
        <f t="shared" si="4"/>
        <v>67.47</v>
      </c>
      <c r="P18" s="596">
        <f t="shared" si="29"/>
        <v>4.1000000000000002E-2</v>
      </c>
      <c r="Q18" s="595">
        <f>'[12]Rates in summary'!D18+[12]Temporaries!N18+[12]Temporaries!O18-[12]Temporaries!AY18</f>
        <v>1.1230199999999999</v>
      </c>
      <c r="R18" s="594">
        <f t="shared" si="5"/>
        <v>65.150000000000006</v>
      </c>
      <c r="S18" s="596">
        <f t="shared" si="30"/>
        <v>5.0000000000000001E-3</v>
      </c>
      <c r="T18" s="86">
        <f>'[12]Rates in detail'!D18+[12]Temporaries!T18-[12]Temporaries!BD18+[12]Temporaries!S18-[12]Temporaries!BC18+[12]Temporaries!P18-[12]Temporaries!BB18++[12]Temporaries!Q18-[12]Temporaries!AW18</f>
        <v>1.1162100000000001</v>
      </c>
      <c r="U18" s="81">
        <f t="shared" si="6"/>
        <v>64.81</v>
      </c>
      <c r="V18" s="530">
        <f t="shared" si="7"/>
        <v>0</v>
      </c>
      <c r="W18" s="595">
        <f>'[12]Rates in summary'!D18+[12]Temporaries!R18-[12]Temporaries!AZ18</f>
        <v>1.1232899999999999</v>
      </c>
      <c r="X18" s="594">
        <f t="shared" si="8"/>
        <v>65.164500000000004</v>
      </c>
      <c r="Y18" s="596">
        <f t="shared" si="9"/>
        <v>5.6250000000001039E-3</v>
      </c>
      <c r="Z18" s="595">
        <f>'[12]Rates in summary'!D18+[12]Permanents!F18</f>
        <v>1.1161699999999999</v>
      </c>
      <c r="AA18" s="594">
        <f t="shared" si="10"/>
        <v>64.808499999999995</v>
      </c>
      <c r="AB18" s="596">
        <f t="shared" si="11"/>
        <v>1.3117283950614126E-4</v>
      </c>
      <c r="AC18" s="597">
        <f>'[12]Rates in summary'!D18+[12]Temporaries!U18-[12]Temporaries!BE18</f>
        <v>1.11591</v>
      </c>
      <c r="AD18" s="598">
        <f t="shared" si="12"/>
        <v>64.795500000000004</v>
      </c>
      <c r="AE18" s="599">
        <f t="shared" si="13"/>
        <v>-6.9444444444337434E-5</v>
      </c>
      <c r="AF18" s="595">
        <f>'[12]Rates in summary'!D18+[12]Temporaries!V18-[12]Temporaries!BF18</f>
        <v>1.11591</v>
      </c>
      <c r="AG18" s="594">
        <f t="shared" si="14"/>
        <v>64.795500000000004</v>
      </c>
      <c r="AH18" s="596">
        <f t="shared" si="15"/>
        <v>-6.9444444444337434E-5</v>
      </c>
      <c r="AI18" s="595">
        <f>'[12]Rates in summary'!G18+[12]Temporaries!J18</f>
        <v>1.0415000000000001</v>
      </c>
      <c r="AJ18" s="594">
        <f t="shared" si="16"/>
        <v>61.08</v>
      </c>
      <c r="AK18" s="600">
        <f t="shared" si="17"/>
        <v>-5.7000000000000002E-2</v>
      </c>
      <c r="AL18" s="595">
        <f>+'[12]Rates in summary'!Q18</f>
        <v>1.10995</v>
      </c>
      <c r="AM18" s="594">
        <f t="shared" si="31"/>
        <v>64.5</v>
      </c>
      <c r="AN18" s="600">
        <f t="shared" si="18"/>
        <v>-5.0000000000000001E-3</v>
      </c>
      <c r="AO18" s="538"/>
      <c r="AP18" s="601"/>
      <c r="AQ18" s="537">
        <f t="shared" si="19"/>
        <v>0</v>
      </c>
      <c r="AR18" s="537">
        <f t="shared" si="20"/>
        <v>0</v>
      </c>
      <c r="AS18" s="537">
        <f t="shared" si="21"/>
        <v>-5.9599999999999653E-3</v>
      </c>
      <c r="AT18" s="537">
        <f t="shared" si="32"/>
        <v>-5.9599999999999653E-3</v>
      </c>
      <c r="AU18" s="602">
        <f>+'[12]Rates in summary'!D18+[12]Temporaries!K18+[12]Temporaries!M18+[12]Temporaries!L18-[12]Temporaries!AZ18</f>
        <v>1.2497299999999998</v>
      </c>
      <c r="AV18" s="603">
        <f t="shared" si="22"/>
        <v>71.489999999999995</v>
      </c>
      <c r="AW18" s="604">
        <f t="shared" si="23"/>
        <v>0.10299999999999999</v>
      </c>
      <c r="AX18" s="190"/>
      <c r="AY18" s="190"/>
      <c r="AZ18" s="190"/>
      <c r="BA18" s="605" t="s">
        <v>264</v>
      </c>
      <c r="BB18" s="607">
        <f t="shared" si="24"/>
        <v>64.8</v>
      </c>
      <c r="BC18" s="607">
        <f t="shared" si="25"/>
        <v>64.81</v>
      </c>
      <c r="BD18" s="606">
        <f t="shared" si="26"/>
        <v>1.0000000000005116E-2</v>
      </c>
      <c r="BE18" s="675">
        <f t="shared" si="27"/>
        <v>0</v>
      </c>
    </row>
    <row r="19" spans="1:57" x14ac:dyDescent="0.35">
      <c r="A19" s="15">
        <f t="shared" si="0"/>
        <v>13</v>
      </c>
      <c r="B19" s="15" t="s">
        <v>81</v>
      </c>
      <c r="C19" s="193" t="s">
        <v>82</v>
      </c>
      <c r="D19" s="127">
        <f>+'[12]Washington volumes'!J19</f>
        <v>1665389.3</v>
      </c>
      <c r="E19" s="568">
        <v>2000</v>
      </c>
      <c r="F19" s="161">
        <v>3436</v>
      </c>
      <c r="G19" s="683">
        <v>250</v>
      </c>
      <c r="H19" s="683">
        <f>'[52]Aver Bill by RS'!$J19</f>
        <v>515.08785319123695</v>
      </c>
      <c r="I19" s="683">
        <f>G19-(IF(H19&gt;(F19*$H$3),(F19*$H$3),H19))</f>
        <v>-265.08785319123695</v>
      </c>
      <c r="J19" s="683">
        <f>'[52]Aver Bill by RS'!$J19</f>
        <v>515.08785319123695</v>
      </c>
      <c r="K19" s="92">
        <f t="shared" si="2"/>
        <v>-265.08785319123695</v>
      </c>
      <c r="L19" s="190">
        <f>+'[12]Rates in summary'!D19</f>
        <v>1.0394899999999998</v>
      </c>
      <c r="M19" s="92"/>
      <c r="N19" s="190">
        <f>'[12]Rates in summary'!D19+[12]Temporaries!K19+[12]Temporaries!L19+[12]Temporaries!M19-[12]Temporaries!AX19</f>
        <v>1.0397099999999997</v>
      </c>
      <c r="O19" s="92"/>
      <c r="P19" s="611"/>
      <c r="Q19" s="190">
        <f>'[12]Rates in summary'!D19+[12]Temporaries!N19+[12]Temporaries!O19-[12]Temporaries!AY19</f>
        <v>1.0387099999999998</v>
      </c>
      <c r="R19" s="92"/>
      <c r="S19" s="611"/>
      <c r="T19" s="125">
        <f>'[12]Rates in detail'!D19+[12]Temporaries!T19-[12]Temporaries!BD19+[12]Temporaries!S19-[12]Temporaries!BC19+[12]Temporaries!P19-[12]Temporaries!BB19++[12]Temporaries!Q19-[12]Temporaries!AW19</f>
        <v>1.0396499999999997</v>
      </c>
      <c r="U19" s="112"/>
      <c r="V19" s="531"/>
      <c r="W19" s="190">
        <f>'[12]Rates in summary'!D19+[12]Temporaries!R19-[12]Temporaries!AZ19</f>
        <v>1.03972</v>
      </c>
      <c r="X19" s="92"/>
      <c r="Y19" s="611"/>
      <c r="Z19" s="190">
        <f>'[12]Rates in summary'!D19+[12]Permanents!F19</f>
        <v>1.0395699999999999</v>
      </c>
      <c r="AA19" s="92"/>
      <c r="AB19" s="611"/>
      <c r="AC19" s="612">
        <f>'[12]Rates in summary'!D19+[12]Temporaries!U19-[12]Temporaries!BE19</f>
        <v>1.0394899999999998</v>
      </c>
      <c r="AD19" s="546"/>
      <c r="AE19" s="613"/>
      <c r="AF19" s="190">
        <f>'[12]Rates in summary'!D19+[12]Temporaries!V19-[12]Temporaries!BF19</f>
        <v>1.0394899999999998</v>
      </c>
      <c r="AG19" s="92"/>
      <c r="AH19" s="611"/>
      <c r="AI19" s="595">
        <f>'[12]Rates in summary'!G19+[12]Temporaries!J19</f>
        <v>0.96812999999999982</v>
      </c>
      <c r="AJ19" s="92"/>
      <c r="AK19" s="614"/>
      <c r="AL19" s="190">
        <f>+'[12]Rates in summary'!Q19</f>
        <v>0.96803999999999979</v>
      </c>
      <c r="AM19" s="92"/>
      <c r="AN19" s="615"/>
      <c r="AO19" s="538"/>
      <c r="AP19" s="601"/>
      <c r="AQ19" s="537">
        <f t="shared" si="19"/>
        <v>0</v>
      </c>
      <c r="AR19" s="537">
        <f t="shared" si="20"/>
        <v>0</v>
      </c>
      <c r="AS19" s="537">
        <f t="shared" si="21"/>
        <v>-7.1450000000000014E-2</v>
      </c>
      <c r="AT19" s="537">
        <f>AS19-(AQ19+AR19)</f>
        <v>-7.1450000000000014E-2</v>
      </c>
      <c r="AU19" s="6">
        <f>+'[12]Rates in summary'!D19+[12]Temporaries!K19+[12]Temporaries!M19+[12]Temporaries!L19-[12]Temporaries!AZ19</f>
        <v>1.0794599999999999</v>
      </c>
      <c r="AV19" s="542"/>
      <c r="AW19" s="616"/>
      <c r="AX19" s="190"/>
      <c r="AY19" s="190"/>
      <c r="AZ19" s="190"/>
      <c r="BA19" s="605" t="s">
        <v>81</v>
      </c>
      <c r="BB19" s="607">
        <f>M21</f>
        <v>3222.8421468087627</v>
      </c>
      <c r="BC19" s="609">
        <f>U21</f>
        <v>3223.3321468087634</v>
      </c>
      <c r="BD19" s="606">
        <f t="shared" si="26"/>
        <v>0.49000000000069122</v>
      </c>
      <c r="BE19" s="675">
        <f t="shared" si="27"/>
        <v>0</v>
      </c>
    </row>
    <row r="20" spans="1:57" x14ac:dyDescent="0.35">
      <c r="A20" s="15">
        <f t="shared" si="0"/>
        <v>14</v>
      </c>
      <c r="B20" s="15"/>
      <c r="C20" s="193" t="s">
        <v>83</v>
      </c>
      <c r="D20" s="127">
        <f>+'[12]Washington volumes'!J20</f>
        <v>2698480.8</v>
      </c>
      <c r="E20" s="568" t="s">
        <v>265</v>
      </c>
      <c r="F20" s="161"/>
      <c r="G20" s="683"/>
      <c r="H20" s="684"/>
      <c r="I20" s="683"/>
      <c r="J20" s="684"/>
      <c r="K20" s="92"/>
      <c r="L20" s="190">
        <f>+'[12]Rates in summary'!D20</f>
        <v>0.98116000000000014</v>
      </c>
      <c r="M20" s="92"/>
      <c r="N20" s="190">
        <f>'[12]Rates in summary'!D20+[12]Temporaries!K20+[12]Temporaries!L20+[12]Temporaries!M20-[12]Temporaries!AX20</f>
        <v>0.98135000000000017</v>
      </c>
      <c r="O20" s="92"/>
      <c r="P20" s="611"/>
      <c r="Q20" s="190">
        <f>'[12]Rates in summary'!D20+[12]Temporaries!N20+[12]Temporaries!O20-[12]Temporaries!AY20</f>
        <v>0.98047000000000017</v>
      </c>
      <c r="R20" s="92"/>
      <c r="S20" s="611"/>
      <c r="T20" s="125">
        <f>'[12]Rates in detail'!D20+[12]Temporaries!T20-[12]Temporaries!BD20+[12]Temporaries!S20-[12]Temporaries!BC20+[12]Temporaries!P20-[12]Temporaries!BB20++[12]Temporaries!Q20-[12]Temporaries!AW20</f>
        <v>0.98128000000000004</v>
      </c>
      <c r="U20" s="112"/>
      <c r="V20" s="531"/>
      <c r="W20" s="190">
        <f>'[12]Rates in summary'!D20+[12]Temporaries!R20-[12]Temporaries!AZ20</f>
        <v>0.98136000000000012</v>
      </c>
      <c r="X20" s="92"/>
      <c r="Y20" s="611"/>
      <c r="Z20" s="190">
        <f>'[12]Rates in summary'!D20+[12]Permanents!F20</f>
        <v>0.98123000000000016</v>
      </c>
      <c r="AA20" s="92"/>
      <c r="AB20" s="611"/>
      <c r="AC20" s="612">
        <f>'[12]Rates in summary'!D20+[12]Temporaries!U20-[12]Temporaries!BE20</f>
        <v>0.98116000000000014</v>
      </c>
      <c r="AD20" s="546"/>
      <c r="AE20" s="613"/>
      <c r="AF20" s="190">
        <f>'[12]Rates in summary'!D20+[12]Temporaries!V20-[12]Temporaries!BF20</f>
        <v>0.98116000000000014</v>
      </c>
      <c r="AG20" s="92"/>
      <c r="AH20" s="611"/>
      <c r="AI20" s="595">
        <f>'[12]Rates in summary'!G20+[12]Temporaries!J20</f>
        <v>0.90980000000000005</v>
      </c>
      <c r="AJ20" s="92"/>
      <c r="AK20" s="614"/>
      <c r="AL20" s="190">
        <f>+'[12]Rates in summary'!Q20</f>
        <v>0.90969000000000011</v>
      </c>
      <c r="AM20" s="92"/>
      <c r="AN20" s="615"/>
      <c r="AO20" s="538"/>
      <c r="AP20" s="601"/>
      <c r="AQ20" s="537">
        <f t="shared" si="19"/>
        <v>0</v>
      </c>
      <c r="AR20" s="537">
        <f t="shared" si="20"/>
        <v>0</v>
      </c>
      <c r="AS20" s="537">
        <f t="shared" si="21"/>
        <v>-7.1470000000000034E-2</v>
      </c>
      <c r="AT20" s="537">
        <f t="shared" si="32"/>
        <v>-7.1470000000000034E-2</v>
      </c>
      <c r="AU20" s="6">
        <f>+'[12]Rates in summary'!D20+[12]Temporaries!K20+[12]Temporaries!M20+[12]Temporaries!L20-[12]Temporaries!AZ20</f>
        <v>1.0163700000000002</v>
      </c>
      <c r="AV20" s="542"/>
      <c r="AW20" s="616"/>
      <c r="AX20" s="190"/>
      <c r="AY20" s="190"/>
      <c r="AZ20" s="190"/>
      <c r="BA20" s="605" t="s">
        <v>85</v>
      </c>
      <c r="BB20" s="607">
        <f>M27</f>
        <v>250</v>
      </c>
      <c r="BC20" s="609">
        <f>U27</f>
        <v>250</v>
      </c>
      <c r="BD20" s="606">
        <f t="shared" si="26"/>
        <v>0</v>
      </c>
      <c r="BE20" s="675">
        <f t="shared" si="27"/>
        <v>0</v>
      </c>
    </row>
    <row r="21" spans="1:57" x14ac:dyDescent="0.35">
      <c r="A21" s="15">
        <f t="shared" si="0"/>
        <v>15</v>
      </c>
      <c r="B21" s="192"/>
      <c r="C21" s="617" t="s">
        <v>49</v>
      </c>
      <c r="D21" s="618"/>
      <c r="E21" s="619"/>
      <c r="F21" s="620"/>
      <c r="G21" s="685"/>
      <c r="H21" s="686"/>
      <c r="I21" s="685"/>
      <c r="J21" s="686"/>
      <c r="K21" s="621"/>
      <c r="L21" s="622"/>
      <c r="M21" s="621">
        <f>$I19+ROUND(IF($F19&lt;$E19,($F19*L19),IF($F19&gt;SUM($E19:$E20),(($E19*L19)+(($F19-$E19)*L20)),0)),2)</f>
        <v>3222.8421468087627</v>
      </c>
      <c r="N21" s="622"/>
      <c r="O21" s="621">
        <f>$I19+ROUND(IF($F19&lt;$E19,($F19*N19),IF($F19&gt;SUM($E19:$E20),(($E19*N19)+(($F19-$E19)*N20)),0)),2)</f>
        <v>3223.5521468087627</v>
      </c>
      <c r="P21" s="623">
        <f>ROUND((O21-M21)/M21,3)</f>
        <v>0</v>
      </c>
      <c r="Q21" s="622"/>
      <c r="R21" s="621">
        <f>$I19+ROUND(IF($F19&lt;$E19,($F19*Q19),IF($F19&gt;SUM($E19:$E20),(($E19*Q19)+(($F19-$E19)*Q20)),0)),2)</f>
        <v>3220.2821468087632</v>
      </c>
      <c r="S21" s="623">
        <f>ROUND((R21-M21)/M21,3)</f>
        <v>-1E-3</v>
      </c>
      <c r="T21" s="330"/>
      <c r="U21" s="329">
        <f>$I19+ROUND(IF($F19&lt;$E19,($F19*T19),IF($F19&gt;SUM($E19:$E20),(($E19*T19)+(($F19-$E19)*T20)),0)),2)</f>
        <v>3223.3321468087634</v>
      </c>
      <c r="V21" s="532">
        <f>ROUND((U21-M21)/M21,3)</f>
        <v>0</v>
      </c>
      <c r="W21" s="622"/>
      <c r="X21" s="621">
        <f>$I19+ROUND(IF($F19&lt;$E19,($F19*W19),IF($F19&gt;SUM($E19:$E20),(($E19*W19)+(($F19-$E19)*W20)),0)),2)</f>
        <v>3223.5821468087634</v>
      </c>
      <c r="Y21" s="623">
        <f>(X21-M21)/M21</f>
        <v>2.2961099746490358E-4</v>
      </c>
      <c r="Z21" s="622"/>
      <c r="AA21" s="621">
        <f>$I19+ROUND(IF($F19&lt;$E19,($F19*Z19),IF($F19&gt;SUM($E19:$E20),(($E19*Z19)+(($F19-$E19)*Z20)),0)),2)</f>
        <v>3223.1021468087629</v>
      </c>
      <c r="AB21" s="623">
        <f>(AA21-M21)/M21</f>
        <v>8.0674134244417957E-5</v>
      </c>
      <c r="AC21" s="624"/>
      <c r="AD21" s="625">
        <f>$I19+ROUND(IF($F19&lt;$E19,($F19*AC19),IF($F19&gt;SUM($E19:$E20),(($E19*AC19)+(($F19-$E19)*AC20)),0)),2)</f>
        <v>3222.8421468087627</v>
      </c>
      <c r="AE21" s="626">
        <f>(AD21-M21)/M21</f>
        <v>0</v>
      </c>
      <c r="AF21" s="622"/>
      <c r="AG21" s="621">
        <f>$K19+ROUND(IF($F19&lt;$E19,($F19*AF19),IF($F19&gt;SUM($E19:$E20),(($E19*AF19)+(($F19-$E19)*AF20)),0)),2)</f>
        <v>3222.8421468087627</v>
      </c>
      <c r="AH21" s="623">
        <f>(AG21-M21)/M21</f>
        <v>0</v>
      </c>
      <c r="AI21" s="622"/>
      <c r="AJ21" s="621">
        <f>$I19+ROUND(IF($F19&lt;$E19,($F19*AI19),IF($F19&gt;SUM($E19:$E20),(($E19*AI19)+(($F19-$E19)*AI20)),0)),2)</f>
        <v>2977.6421468087628</v>
      </c>
      <c r="AK21" s="623">
        <f>ROUND((AJ21-M21)/M21,3)</f>
        <v>-7.5999999999999998E-2</v>
      </c>
      <c r="AL21" s="622"/>
      <c r="AM21" s="621">
        <f>$K19+ROUND(IF($F19&lt;$E19,($F19*AL19),IF($F19&gt;SUM($E19:$E20),(($E19*AL19)+(($F19-$E19)*AL20)),0)),2)</f>
        <v>2977.3021468087627</v>
      </c>
      <c r="AN21" s="623">
        <f>ROUND((AM21-M21)/M21,3)</f>
        <v>-7.5999999999999998E-2</v>
      </c>
      <c r="AO21" s="538"/>
      <c r="AP21" s="601"/>
      <c r="AQ21" s="537">
        <f t="shared" si="19"/>
        <v>0</v>
      </c>
      <c r="AR21" s="537">
        <f t="shared" si="20"/>
        <v>0</v>
      </c>
      <c r="AS21" s="537">
        <f t="shared" si="21"/>
        <v>0</v>
      </c>
      <c r="AT21" s="537">
        <f t="shared" si="32"/>
        <v>0</v>
      </c>
      <c r="AU21" s="627"/>
      <c r="AV21" s="628">
        <f>$I19+ROUND(IF($F19&lt;$E19,($F19*AU19),IF($F19&gt;SUM($E19:$E20),(($E19*AU19)+(($F19-$E19)*AU20)),0)),2)</f>
        <v>3353.3421468087627</v>
      </c>
      <c r="AW21" s="629">
        <f>ROUND((AV21-M21)/M21,3)</f>
        <v>0.04</v>
      </c>
      <c r="AX21" s="190"/>
      <c r="AY21" s="190"/>
      <c r="AZ21" s="190"/>
      <c r="BA21" s="605" t="s">
        <v>87</v>
      </c>
      <c r="BB21" s="607">
        <f>M33</f>
        <v>2836.1121468087631</v>
      </c>
      <c r="BC21" s="609">
        <f>U33</f>
        <v>2833.942146808763</v>
      </c>
      <c r="BD21" s="606">
        <f t="shared" si="26"/>
        <v>-2.1700000000000728</v>
      </c>
      <c r="BE21" s="675">
        <f t="shared" si="27"/>
        <v>-1E-3</v>
      </c>
    </row>
    <row r="22" spans="1:57" x14ac:dyDescent="0.35">
      <c r="A22" s="15">
        <f t="shared" si="0"/>
        <v>16</v>
      </c>
      <c r="B22" s="15" t="s">
        <v>84</v>
      </c>
      <c r="C22" s="193" t="s">
        <v>82</v>
      </c>
      <c r="D22" s="127">
        <f>+'[12]Washington volumes'!J21</f>
        <v>331379.44452066539</v>
      </c>
      <c r="E22" s="568">
        <v>2000</v>
      </c>
      <c r="F22" s="161">
        <v>4741</v>
      </c>
      <c r="G22" s="683">
        <v>250</v>
      </c>
      <c r="H22" s="683">
        <f>'[52]Aver Bill by RS'!$J22</f>
        <v>622.72278920943302</v>
      </c>
      <c r="I22" s="683">
        <f>G22-(IF(H22&gt;(F22*$H$3),(F22*$H$3),H22))</f>
        <v>-372.72278920943302</v>
      </c>
      <c r="J22" s="683">
        <f>'[52]Aver Bill by RS'!$J22</f>
        <v>622.72278920943302</v>
      </c>
      <c r="K22" s="92">
        <f>G22-(IF(J22&gt;($F22*$H$4),($F22*$H$4),J22))</f>
        <v>-372.72278920943302</v>
      </c>
      <c r="L22" s="190">
        <f>+'[12]Rates in summary'!D21</f>
        <v>0.94622000000000028</v>
      </c>
      <c r="M22" s="92"/>
      <c r="N22" s="190">
        <f>'[12]Rates in summary'!D21+[12]Temporaries!K21+[12]Temporaries!L21+[12]Temporaries!M21-[12]Temporaries!AX21</f>
        <v>0.94622000000000028</v>
      </c>
      <c r="O22" s="92"/>
      <c r="P22" s="611"/>
      <c r="Q22" s="190">
        <f>'[12]Rates in summary'!D21+[12]Temporaries!N21+[12]Temporaries!O21-[12]Temporaries!AY21</f>
        <v>0.94593000000000038</v>
      </c>
      <c r="R22" s="92"/>
      <c r="S22" s="611"/>
      <c r="T22" s="533">
        <f>'[12]Rates in detail'!D21+[12]Temporaries!T21-[12]Temporaries!BD21+[12]Temporaries!S21-[12]Temporaries!BC21+[12]Temporaries!P21-[12]Temporaries!BB21++[12]Temporaries!Q21-[12]Temporaries!AW21</f>
        <v>0.94566000000000017</v>
      </c>
      <c r="U22" s="112"/>
      <c r="V22" s="531"/>
      <c r="W22" s="190">
        <f>'[12]Rates in summary'!D21+[12]Temporaries!R21-[12]Temporaries!AZ21</f>
        <v>0.94671000000000027</v>
      </c>
      <c r="X22" s="92"/>
      <c r="Y22" s="611"/>
      <c r="Z22" s="190">
        <f>'[12]Rates in summary'!D21+[12]Permanents!F21</f>
        <v>0.9462900000000003</v>
      </c>
      <c r="AA22" s="92"/>
      <c r="AB22" s="611"/>
      <c r="AC22" s="612">
        <f>'[12]Rates in summary'!D21+[12]Temporaries!U21-[12]Temporaries!BE21</f>
        <v>0.94622000000000028</v>
      </c>
      <c r="AD22" s="546"/>
      <c r="AE22" s="613"/>
      <c r="AF22" s="190">
        <f>'[12]Rates in summary'!D21+[12]Temporaries!V21-[12]Temporaries!BF21</f>
        <v>0.94622000000000039</v>
      </c>
      <c r="AG22" s="92"/>
      <c r="AH22" s="611"/>
      <c r="AI22" s="190">
        <f>'[12]Rates in summary'!G21+[12]Temporaries!J21</f>
        <v>0.8748600000000003</v>
      </c>
      <c r="AJ22" s="92"/>
      <c r="AK22" s="614"/>
      <c r="AL22" s="190">
        <f>+'[12]Rates in summary'!Q21</f>
        <v>0.87457000000000029</v>
      </c>
      <c r="AM22" s="92"/>
      <c r="AN22" s="630"/>
      <c r="AO22" s="538"/>
      <c r="AP22" s="601"/>
      <c r="AQ22" s="537">
        <f t="shared" si="19"/>
        <v>0</v>
      </c>
      <c r="AR22" s="537">
        <f t="shared" si="20"/>
        <v>0</v>
      </c>
      <c r="AS22" s="537">
        <f t="shared" si="21"/>
        <v>-7.1649999999999991E-2</v>
      </c>
      <c r="AT22" s="537">
        <f t="shared" si="32"/>
        <v>-7.1649999999999991E-2</v>
      </c>
      <c r="AU22" s="6">
        <f>+'[12]Rates in summary'!D21+[12]Temporaries!K21+[12]Temporaries!M21+[12]Temporaries!L21-[12]Temporaries!AZ21</f>
        <v>0.94129000000000029</v>
      </c>
      <c r="AV22" s="542"/>
      <c r="AW22" s="631"/>
      <c r="AX22" s="190"/>
      <c r="AY22" s="190"/>
      <c r="AZ22" s="190"/>
      <c r="BA22" s="605" t="s">
        <v>96</v>
      </c>
      <c r="BB22" s="607">
        <f>M64</f>
        <v>20723.220895181617</v>
      </c>
      <c r="BC22" s="609">
        <f>U64</f>
        <v>20681.190895181615</v>
      </c>
      <c r="BD22" s="606">
        <f t="shared" si="26"/>
        <v>-42.030000000002474</v>
      </c>
      <c r="BE22" s="675">
        <f t="shared" si="27"/>
        <v>-2E-3</v>
      </c>
    </row>
    <row r="23" spans="1:57" x14ac:dyDescent="0.35">
      <c r="A23" s="15">
        <f t="shared" si="0"/>
        <v>17</v>
      </c>
      <c r="B23" s="15"/>
      <c r="C23" s="193" t="s">
        <v>83</v>
      </c>
      <c r="D23" s="127">
        <f>+'[12]Washington volumes'!J22</f>
        <v>593486.75547933462</v>
      </c>
      <c r="E23" s="568" t="s">
        <v>265</v>
      </c>
      <c r="F23" s="632"/>
      <c r="G23" s="687"/>
      <c r="H23" s="688"/>
      <c r="I23" s="687"/>
      <c r="J23" s="688"/>
      <c r="K23" s="633"/>
      <c r="L23" s="190">
        <f>+'[12]Rates in summary'!D22</f>
        <v>0.89908999999999961</v>
      </c>
      <c r="M23" s="92"/>
      <c r="N23" s="190">
        <f>'[12]Rates in summary'!D22+[12]Temporaries!K22+[12]Temporaries!L22+[12]Temporaries!M22-[12]Temporaries!AX22</f>
        <v>0.89908999999999961</v>
      </c>
      <c r="O23" s="92"/>
      <c r="P23" s="611"/>
      <c r="Q23" s="190">
        <f>'[12]Rates in summary'!D22+[12]Temporaries!N22+[12]Temporaries!O22-[12]Temporaries!AY22</f>
        <v>0.89882999999999957</v>
      </c>
      <c r="R23" s="92"/>
      <c r="S23" s="611"/>
      <c r="T23" s="534">
        <f>'[12]Rates in detail'!D22+[12]Temporaries!T22-[12]Temporaries!BD22+[12]Temporaries!S22-[12]Temporaries!BC22+[12]Temporaries!P22-[12]Temporaries!BB22++[12]Temporaries!Q22-[12]Temporaries!AW22</f>
        <v>0.89848999999999957</v>
      </c>
      <c r="U23" s="112"/>
      <c r="V23" s="531"/>
      <c r="W23" s="190">
        <f>'[12]Rates in summary'!D22+[12]Temporaries!R22-[12]Temporaries!AZ22</f>
        <v>0.89952999999999961</v>
      </c>
      <c r="X23" s="92"/>
      <c r="Y23" s="611"/>
      <c r="Z23" s="190">
        <f>'[12]Rates in summary'!D22+[12]Permanents!F22</f>
        <v>0.89914999999999956</v>
      </c>
      <c r="AA23" s="92"/>
      <c r="AB23" s="611"/>
      <c r="AC23" s="612">
        <f>'[12]Rates in summary'!D22+[12]Temporaries!U22-[12]Temporaries!BE22</f>
        <v>0.89908999999999961</v>
      </c>
      <c r="AD23" s="546"/>
      <c r="AE23" s="613"/>
      <c r="AF23" s="190">
        <f>'[12]Rates in summary'!D22+[12]Temporaries!V22-[12]Temporaries!BF22</f>
        <v>0.89908999999999961</v>
      </c>
      <c r="AG23" s="92"/>
      <c r="AH23" s="611"/>
      <c r="AI23" s="190">
        <f>'[12]Rates in summary'!G22+[12]Temporaries!J22</f>
        <v>0.82772999999999952</v>
      </c>
      <c r="AJ23" s="92"/>
      <c r="AK23" s="614"/>
      <c r="AL23" s="190">
        <f>+'[12]Rates in summary'!Q22</f>
        <v>0.82736999999999949</v>
      </c>
      <c r="AM23" s="92"/>
      <c r="AN23" s="630"/>
      <c r="AO23" s="538"/>
      <c r="AP23" s="601"/>
      <c r="AQ23" s="537">
        <f t="shared" si="19"/>
        <v>0</v>
      </c>
      <c r="AR23" s="537">
        <f t="shared" si="20"/>
        <v>0</v>
      </c>
      <c r="AS23" s="537">
        <f t="shared" si="21"/>
        <v>-7.1720000000000117E-2</v>
      </c>
      <c r="AT23" s="537">
        <f t="shared" si="32"/>
        <v>-7.1720000000000117E-2</v>
      </c>
      <c r="AU23" s="6">
        <f>+'[12]Rates in summary'!D22+[12]Temporaries!K22+[12]Temporaries!M22+[12]Temporaries!L22-[12]Temporaries!AZ22</f>
        <v>0.8947499999999996</v>
      </c>
      <c r="AV23" s="542"/>
      <c r="AW23" s="631"/>
      <c r="AX23" s="190"/>
      <c r="AY23" s="190"/>
      <c r="AZ23" s="190"/>
      <c r="BA23" s="634" t="s">
        <v>97</v>
      </c>
      <c r="BB23" s="635">
        <f>M71</f>
        <v>23127.560663486882</v>
      </c>
      <c r="BC23" s="636">
        <f>U71</f>
        <v>23126.390663486884</v>
      </c>
      <c r="BD23" s="637">
        <f t="shared" si="26"/>
        <v>-1.1699999999982538</v>
      </c>
      <c r="BE23" s="677">
        <f t="shared" si="27"/>
        <v>0</v>
      </c>
    </row>
    <row r="24" spans="1:57" x14ac:dyDescent="0.35">
      <c r="A24" s="15">
        <f t="shared" si="0"/>
        <v>18</v>
      </c>
      <c r="B24" s="192"/>
      <c r="C24" s="617" t="s">
        <v>49</v>
      </c>
      <c r="D24" s="618"/>
      <c r="E24" s="619"/>
      <c r="F24" s="620"/>
      <c r="G24" s="685"/>
      <c r="H24" s="686"/>
      <c r="I24" s="685"/>
      <c r="J24" s="686"/>
      <c r="K24" s="621"/>
      <c r="L24" s="622"/>
      <c r="M24" s="621">
        <f>$I22+ROUND(IF($F22&lt;$E22,($F22*L22),IF($F22&gt;SUM($E22:$E23),(($E22*L22)+(($F22-$E22)*L23)),0)),2)</f>
        <v>3984.1272107905675</v>
      </c>
      <c r="N24" s="622"/>
      <c r="O24" s="621">
        <f>$I22+ROUND(IF($F22&lt;$E22,($F22*N22),IF($F22&gt;SUM($E22:$E23),(($E22*N22)+(($F22-$E22)*N23)),0)),2)</f>
        <v>3984.1272107905675</v>
      </c>
      <c r="P24" s="623">
        <f>ROUND((O24-M24)/M24,3)</f>
        <v>0</v>
      </c>
      <c r="Q24" s="622"/>
      <c r="R24" s="621">
        <f>$I22+ROUND(IF($F22&lt;$E22,($F22*Q22),IF($F22&gt;SUM($E22:$E23),(($E22*Q22)+(($F22-$E22)*Q23)),0)),2)</f>
        <v>3982.8272107905673</v>
      </c>
      <c r="S24" s="623">
        <f>ROUND((R24-M24)/M24,3)</f>
        <v>0</v>
      </c>
      <c r="T24" s="330"/>
      <c r="U24" s="329">
        <f>$I22+ROUND(IF($F22&lt;$E22,($F22*T22),IF($F22&gt;SUM($E22:$E23),(($E22*T22)+(($F22-$E22)*T23)),0)),2)</f>
        <v>3981.357210790567</v>
      </c>
      <c r="V24" s="532">
        <f>ROUND((U24-M24)/M24,3)</f>
        <v>-1E-3</v>
      </c>
      <c r="W24" s="622"/>
      <c r="X24" s="621">
        <f>$I22+ROUND(IF($F22&lt;$E22,($F22*W22),IF($F22&gt;SUM($E22:$E23),(($E22*W22)+(($F22-$E22)*W23)),0)),2)</f>
        <v>3986.3072107905668</v>
      </c>
      <c r="Y24" s="623">
        <f>(X24-M24)/M24</f>
        <v>5.4717128361139993E-4</v>
      </c>
      <c r="Z24" s="622"/>
      <c r="AA24" s="621">
        <f>$I22+ROUND(IF($F22&lt;$E22,($F22*Z22),IF($F22&gt;SUM($E22:$E23),(($E22*Z22)+(($F22-$E22)*Z23)),0)),2)</f>
        <v>3984.4272107905667</v>
      </c>
      <c r="AB24" s="623">
        <f>(AA24-M24)/M24</f>
        <v>7.5298800496820383E-5</v>
      </c>
      <c r="AC24" s="624"/>
      <c r="AD24" s="625">
        <f>$I22+ROUND(IF($F22&lt;$E22,($F22*AC22),IF($F22&gt;SUM($E22:$E23),(($E22*AC22)+(($F22-$E22)*AC23)),0)),2)</f>
        <v>3984.1272107905675</v>
      </c>
      <c r="AE24" s="626">
        <f>(AD24-M24)/M24</f>
        <v>0</v>
      </c>
      <c r="AF24" s="622"/>
      <c r="AG24" s="621">
        <f>$K22+ROUND(IF($F22&lt;$E22,($F22*AF22),IF($F22&gt;SUM($E22:$E23),(($E22*AF22)+(($F22-$E22)*AF23)),0)),2)</f>
        <v>3984.1272107905675</v>
      </c>
      <c r="AH24" s="623">
        <f>(AG24-M24)/M24</f>
        <v>0</v>
      </c>
      <c r="AI24" s="622"/>
      <c r="AJ24" s="621">
        <f>$I22+ROUND(IF($F22&lt;$E22,($F22*AI22),IF($F22&gt;SUM($E22:$E23),(($E22*AI22)+(($F22-$E22)*AI23)),0)),2)</f>
        <v>3645.8072107905673</v>
      </c>
      <c r="AK24" s="638">
        <f>ROUND((AJ24-M24)/M24,3)</f>
        <v>-8.5000000000000006E-2</v>
      </c>
      <c r="AL24" s="622"/>
      <c r="AM24" s="621">
        <f>$K22+ROUND(IF($F22&lt;$E22,($F22*AL22),IF($F22&gt;SUM($E22:$E23),(($E22*AL22)+(($F22-$E22)*AL23)),0)),2)</f>
        <v>3644.2372107905671</v>
      </c>
      <c r="AN24" s="638">
        <f>ROUND((AM24-M24)/M24,3)</f>
        <v>-8.5000000000000006E-2</v>
      </c>
      <c r="AO24" s="538"/>
      <c r="AP24" s="601"/>
      <c r="AQ24" s="537">
        <f t="shared" si="19"/>
        <v>0</v>
      </c>
      <c r="AR24" s="537">
        <f t="shared" si="20"/>
        <v>0</v>
      </c>
      <c r="AS24" s="537">
        <f t="shared" si="21"/>
        <v>0</v>
      </c>
      <c r="AT24" s="537">
        <f t="shared" si="32"/>
        <v>0</v>
      </c>
      <c r="AU24" s="627"/>
      <c r="AV24" s="628">
        <f>$I22+ROUND(IF($F22&lt;$E22,($F22*AU22),IF($F22&gt;SUM($E22:$E23),(($E22*AU22)+(($F22-$E22)*AU23)),0)),2)</f>
        <v>3962.3672107905672</v>
      </c>
      <c r="AW24" s="629">
        <f>ROUND((AV24-M24)/M24,3)</f>
        <v>-5.0000000000000001E-3</v>
      </c>
      <c r="AX24" s="190"/>
      <c r="AY24" s="190"/>
      <c r="AZ24" s="190"/>
      <c r="BA24" s="605" t="s">
        <v>98</v>
      </c>
      <c r="BB24" s="607">
        <f>M78</f>
        <v>7419.7766599999995</v>
      </c>
      <c r="BC24" s="609">
        <f>U78</f>
        <v>7411.9966599999989</v>
      </c>
      <c r="BD24" s="606">
        <f t="shared" si="26"/>
        <v>-7.7800000000006548</v>
      </c>
      <c r="BE24" s="675">
        <f t="shared" si="27"/>
        <v>-1E-3</v>
      </c>
    </row>
    <row r="25" spans="1:57" x14ac:dyDescent="0.35">
      <c r="A25" s="15">
        <f t="shared" si="0"/>
        <v>19</v>
      </c>
      <c r="B25" s="15" t="s">
        <v>85</v>
      </c>
      <c r="C25" s="193" t="s">
        <v>82</v>
      </c>
      <c r="D25" s="127">
        <f>+'[12]Washington volumes'!J23</f>
        <v>0</v>
      </c>
      <c r="E25" s="568">
        <v>2000</v>
      </c>
      <c r="F25" s="161">
        <v>0</v>
      </c>
      <c r="G25" s="683">
        <v>250</v>
      </c>
      <c r="H25" s="683">
        <f>'[52]Aver Bill by RS'!$J25</f>
        <v>515.08785319123695</v>
      </c>
      <c r="I25" s="683">
        <f>G25-(IF(H25&gt;(F25*$H$3),(F25*$H$3),H25))</f>
        <v>250</v>
      </c>
      <c r="J25" s="683">
        <f>'[52]Aver Bill by RS'!$J25</f>
        <v>515.08785319123695</v>
      </c>
      <c r="K25" s="92">
        <f>G25-(IF(J25&gt;($F25*$H$4),($F25*$H$4),J25))</f>
        <v>250</v>
      </c>
      <c r="L25" s="190">
        <f>+'[12]Rates in summary'!D23</f>
        <v>0.96427000000000007</v>
      </c>
      <c r="M25" s="92"/>
      <c r="N25" s="190">
        <f>'[12]Rates in summary'!D23+[12]Temporaries!K23+[12]Temporaries!L23+[12]Temporaries!M23-[12]Temporaries!AX23</f>
        <v>0.9654600000000001</v>
      </c>
      <c r="O25" s="92"/>
      <c r="P25" s="611"/>
      <c r="Q25" s="190">
        <f>'[12]Rates in summary'!D23+[12]Temporaries!N23+[12]Temporaries!O23-[12]Temporaries!AY23</f>
        <v>0.96372000000000013</v>
      </c>
      <c r="R25" s="92"/>
      <c r="S25" s="611"/>
      <c r="T25" s="533">
        <f>'[12]Rates in detail'!D23+[12]Temporaries!T23-[12]Temporaries!BD23+[12]Temporaries!S23-[12]Temporaries!BC23+[12]Temporaries!P23-[12]Temporaries!BB23++[12]Temporaries!Q23-[12]Temporaries!AW23</f>
        <v>0.9646300000000001</v>
      </c>
      <c r="U25" s="112"/>
      <c r="V25" s="531"/>
      <c r="W25" s="190">
        <f>'[12]Rates in summary'!D23+[12]Temporaries!R23-[12]Temporaries!AZ23</f>
        <v>0.96459000000000006</v>
      </c>
      <c r="X25" s="92"/>
      <c r="Y25" s="611"/>
      <c r="Z25" s="190">
        <f>'[12]Rates in summary'!D23+[12]Permanents!F23</f>
        <v>0.96434000000000009</v>
      </c>
      <c r="AA25" s="92"/>
      <c r="AB25" s="611"/>
      <c r="AC25" s="612">
        <f>'[12]Rates in summary'!D23+[12]Temporaries!U23-[12]Temporaries!BE23</f>
        <v>0.96427000000000007</v>
      </c>
      <c r="AD25" s="546"/>
      <c r="AE25" s="613"/>
      <c r="AF25" s="190">
        <f>'[12]Rates in summary'!D23+[12]Temporaries!V23-[12]Temporaries!BF23</f>
        <v>0.96427000000000007</v>
      </c>
      <c r="AG25" s="92"/>
      <c r="AH25" s="611"/>
      <c r="AI25" s="190">
        <f>'[12]Rates in summary'!G23+[12]Temporaries!J23</f>
        <v>0.92520999999999998</v>
      </c>
      <c r="AJ25" s="92"/>
      <c r="AK25" s="614"/>
      <c r="AL25" s="190">
        <f>+'[12]Rates in summary'!Q23</f>
        <v>0.92659999999999998</v>
      </c>
      <c r="AM25" s="92"/>
      <c r="AN25" s="630"/>
      <c r="AO25" s="538"/>
      <c r="AP25" s="601"/>
      <c r="AQ25" s="537">
        <f t="shared" si="19"/>
        <v>0</v>
      </c>
      <c r="AR25" s="537">
        <f t="shared" si="20"/>
        <v>0</v>
      </c>
      <c r="AS25" s="537">
        <f t="shared" si="21"/>
        <v>-3.7670000000000092E-2</v>
      </c>
      <c r="AT25" s="537">
        <f t="shared" si="32"/>
        <v>-3.7670000000000092E-2</v>
      </c>
      <c r="AU25" s="6">
        <f>+'[12]Rates in summary'!D23+[12]Temporaries!K23+[12]Temporaries!M23+[12]Temporaries!L23-[12]Temporaries!AZ23</f>
        <v>1.0006200000000001</v>
      </c>
      <c r="AV25" s="542"/>
      <c r="AW25" s="631"/>
      <c r="AX25" s="190"/>
      <c r="AY25" s="190"/>
      <c r="AZ25" s="190"/>
      <c r="BA25" s="605" t="s">
        <v>88</v>
      </c>
      <c r="BB25" s="607">
        <f>M36</f>
        <v>500</v>
      </c>
      <c r="BC25" s="609">
        <f>U36</f>
        <v>500</v>
      </c>
      <c r="BD25" s="606">
        <f t="shared" si="26"/>
        <v>0</v>
      </c>
      <c r="BE25" s="675">
        <f t="shared" si="27"/>
        <v>0</v>
      </c>
    </row>
    <row r="26" spans="1:57" x14ac:dyDescent="0.35">
      <c r="A26" s="15">
        <f t="shared" si="0"/>
        <v>20</v>
      </c>
      <c r="B26" s="15"/>
      <c r="C26" s="193" t="s">
        <v>83</v>
      </c>
      <c r="D26" s="127">
        <f>+'[12]Washington volumes'!J24</f>
        <v>0</v>
      </c>
      <c r="E26" s="568" t="s">
        <v>265</v>
      </c>
      <c r="F26" s="632"/>
      <c r="G26" s="687"/>
      <c r="H26" s="688"/>
      <c r="I26" s="687"/>
      <c r="J26" s="688"/>
      <c r="K26" s="633"/>
      <c r="L26" s="190">
        <f>+'[12]Rates in summary'!D24</f>
        <v>0.91047000000000022</v>
      </c>
      <c r="M26" s="92"/>
      <c r="N26" s="190">
        <f>'[12]Rates in summary'!D24+[12]Temporaries!K24+[12]Temporaries!L24+[12]Temporaries!M24-[12]Temporaries!AX24</f>
        <v>0.9115000000000002</v>
      </c>
      <c r="O26" s="92"/>
      <c r="P26" s="611"/>
      <c r="Q26" s="190">
        <f>'[12]Rates in summary'!D24+[12]Temporaries!N24+[12]Temporaries!O24-[12]Temporaries!AY24</f>
        <v>0.90997000000000017</v>
      </c>
      <c r="R26" s="92"/>
      <c r="S26" s="611"/>
      <c r="T26" s="534">
        <f>'[12]Rates in detail'!D24+[12]Temporaries!T24-[12]Temporaries!BD24+[12]Temporaries!S24-[12]Temporaries!BC24+[12]Temporaries!P24-[12]Temporaries!BB24++[12]Temporaries!Q24-[12]Temporaries!AW24</f>
        <v>0.91079000000000032</v>
      </c>
      <c r="U26" s="112"/>
      <c r="V26" s="531"/>
      <c r="W26" s="190">
        <f>'[12]Rates in summary'!D24+[12]Temporaries!R24-[12]Temporaries!AZ24</f>
        <v>0.91075000000000028</v>
      </c>
      <c r="X26" s="92"/>
      <c r="Y26" s="611"/>
      <c r="Z26" s="190">
        <f>'[12]Rates in summary'!D24+[12]Permanents!F24</f>
        <v>0.91053000000000017</v>
      </c>
      <c r="AA26" s="92"/>
      <c r="AB26" s="611"/>
      <c r="AC26" s="612">
        <f>'[12]Rates in summary'!D24+[12]Temporaries!U24-[12]Temporaries!BE24</f>
        <v>0.91047000000000022</v>
      </c>
      <c r="AD26" s="546"/>
      <c r="AE26" s="613"/>
      <c r="AF26" s="190">
        <f>'[12]Rates in summary'!D24+[12]Temporaries!V24-[12]Temporaries!BF24</f>
        <v>0.91047000000000022</v>
      </c>
      <c r="AG26" s="92"/>
      <c r="AH26" s="611"/>
      <c r="AI26" s="190">
        <f>'[12]Rates in summary'!G24+[12]Temporaries!J24</f>
        <v>0.87141000000000013</v>
      </c>
      <c r="AJ26" s="92"/>
      <c r="AK26" s="614"/>
      <c r="AL26" s="190">
        <f>+'[12]Rates in summary'!Q24</f>
        <v>0.87260000000000026</v>
      </c>
      <c r="AM26" s="92"/>
      <c r="AN26" s="630"/>
      <c r="AO26" s="538"/>
      <c r="AP26" s="601"/>
      <c r="AQ26" s="537">
        <f t="shared" si="19"/>
        <v>0</v>
      </c>
      <c r="AR26" s="537">
        <f t="shared" si="20"/>
        <v>0</v>
      </c>
      <c r="AS26" s="537">
        <f t="shared" si="21"/>
        <v>-3.7869999999999959E-2</v>
      </c>
      <c r="AT26" s="537">
        <f t="shared" si="32"/>
        <v>-3.7869999999999959E-2</v>
      </c>
      <c r="AU26" s="6">
        <f>+'[12]Rates in summary'!D24+[12]Temporaries!K24+[12]Temporaries!M24+[12]Temporaries!L24-[12]Temporaries!AZ24</f>
        <v>0.94249000000000027</v>
      </c>
      <c r="AV26" s="542"/>
      <c r="AW26" s="631"/>
      <c r="AX26" s="190"/>
      <c r="AY26" s="190"/>
      <c r="AZ26" s="190"/>
      <c r="BA26" s="605" t="s">
        <v>84</v>
      </c>
      <c r="BB26" s="607">
        <f>M24</f>
        <v>3984.1272107905675</v>
      </c>
      <c r="BC26" s="609">
        <f>U24</f>
        <v>3981.357210790567</v>
      </c>
      <c r="BD26" s="606">
        <f t="shared" si="26"/>
        <v>-2.7700000000004366</v>
      </c>
      <c r="BE26" s="675">
        <f t="shared" si="27"/>
        <v>-1E-3</v>
      </c>
    </row>
    <row r="27" spans="1:57" x14ac:dyDescent="0.35">
      <c r="A27" s="15">
        <f t="shared" si="0"/>
        <v>21</v>
      </c>
      <c r="B27" s="192"/>
      <c r="C27" s="617" t="s">
        <v>49</v>
      </c>
      <c r="D27" s="618"/>
      <c r="E27" s="619"/>
      <c r="F27" s="620"/>
      <c r="G27" s="685"/>
      <c r="H27" s="686"/>
      <c r="I27" s="685"/>
      <c r="J27" s="686"/>
      <c r="K27" s="621"/>
      <c r="L27" s="622"/>
      <c r="M27" s="621">
        <f>$I25+ROUND(IF($F25&lt;$E25,($F25*L25),IF($F25&gt;SUM($E25:$E25),(($E25*L25)+(($F25-$E25)*L25)),0)),2)</f>
        <v>250</v>
      </c>
      <c r="N27" s="622"/>
      <c r="O27" s="621">
        <f>$I25+ROUND(IF($F25&lt;$E25,($F25*N25),IF($F25&gt;SUM($E25:$E26),(($E25*N25)+(($F25-$E25)*N26)),0)),2)</f>
        <v>250</v>
      </c>
      <c r="P27" s="623">
        <f>ROUND((O27-M27)/M27,3)</f>
        <v>0</v>
      </c>
      <c r="Q27" s="622"/>
      <c r="R27" s="621">
        <f>$I25+ROUND(IF($F25&lt;$E25,($F25*Q25),IF($F25&gt;SUM($E25:$E26),(($E25*Q25)+(($F25-$E25)*Q26)),0)),2)</f>
        <v>250</v>
      </c>
      <c r="S27" s="623">
        <f>ROUND((R27-M27)/M27,3)</f>
        <v>0</v>
      </c>
      <c r="T27" s="330"/>
      <c r="U27" s="329">
        <f>$I25+ROUND(IF($F25&lt;$E25,($F25*T25),IF($F25&gt;SUM($E25:$E26),(($E25*T25)+(($F25-$E25)*T26)),0)),2)</f>
        <v>250</v>
      </c>
      <c r="V27" s="532">
        <f>ROUND((U27-M27)/M27,3)</f>
        <v>0</v>
      </c>
      <c r="W27" s="622"/>
      <c r="X27" s="621">
        <f>$I25+ROUND(IF($F25&lt;$E25,($F25*W25),IF($F25&gt;SUM($E25:$E26),(($E25*W25)+(($F25-$E25)*W26)),0)),2)</f>
        <v>250</v>
      </c>
      <c r="Y27" s="623">
        <f>(X27-M27)/M27</f>
        <v>0</v>
      </c>
      <c r="Z27" s="622"/>
      <c r="AA27" s="621">
        <f>$I25+ROUND(IF($F25&lt;$E25,($F25*Z25),IF($F25&gt;SUM($E25:$E26),(($E25*Z25)+(($F25-$E25)*Z26)),0)),2)</f>
        <v>250</v>
      </c>
      <c r="AB27" s="623">
        <f>(AA27-M27)/M27</f>
        <v>0</v>
      </c>
      <c r="AC27" s="624"/>
      <c r="AD27" s="625">
        <f>$I25+ROUND(IF($F25&lt;$E25,($F25*AC25),IF($F25&gt;SUM($E25:$E26),(($E25*AC25)+(($F25-$E25)*AC26)),0)),2)</f>
        <v>250</v>
      </c>
      <c r="AE27" s="626">
        <f>(AD27-M27)/M27</f>
        <v>0</v>
      </c>
      <c r="AF27" s="622"/>
      <c r="AG27" s="621">
        <f>$K25+ROUND(IF($F25&lt;$E25,($F25*AF25),IF($F25&gt;SUM($E25:$E26),(($E25*AF25)+(($F25-$E25)*AF26)),0)),2)</f>
        <v>250</v>
      </c>
      <c r="AH27" s="623">
        <f>(AG27-M27)/M27</f>
        <v>0</v>
      </c>
      <c r="AI27" s="622"/>
      <c r="AJ27" s="621">
        <f>$I25+ROUND(IF($F25&lt;$E25,($F25*AI25),IF($F25&gt;SUM($E25:$E25),(($E25*AI25)+(($F25-$E25)*AI25)),0)),2)</f>
        <v>250</v>
      </c>
      <c r="AK27" s="638">
        <f>ROUND((AJ27-M27)/M27,3)</f>
        <v>0</v>
      </c>
      <c r="AL27" s="622"/>
      <c r="AM27" s="621">
        <f>$K25+ROUND(IF($F25&lt;$E25,($F25*AL25),IF($F25&gt;SUM($E25:$E25),(($E25*AL25)+(($F25-$E25)*AL25)),0)),2)</f>
        <v>250</v>
      </c>
      <c r="AN27" s="638">
        <f>ROUND((AM27-M27)/M27,3)</f>
        <v>0</v>
      </c>
      <c r="AO27" s="538"/>
      <c r="AP27" s="601"/>
      <c r="AQ27" s="537">
        <f t="shared" si="19"/>
        <v>0</v>
      </c>
      <c r="AR27" s="537">
        <f t="shared" si="20"/>
        <v>0</v>
      </c>
      <c r="AS27" s="537">
        <f t="shared" si="21"/>
        <v>0</v>
      </c>
      <c r="AT27" s="537">
        <f t="shared" si="32"/>
        <v>0</v>
      </c>
      <c r="AU27" s="627"/>
      <c r="AV27" s="628">
        <f>$I25+ROUND(IF($F25&lt;$E25,($F25*AU25),IF($F25&gt;SUM($E25:$E25),(($E25*AU25)+(($F25-$E25)*AU25)),0)),2)</f>
        <v>250</v>
      </c>
      <c r="AW27" s="629">
        <f>ROUND((AV27-M27)/M27,3)</f>
        <v>0</v>
      </c>
      <c r="AX27" s="190"/>
      <c r="AY27" s="190"/>
      <c r="AZ27" s="190"/>
      <c r="BA27" s="605" t="s">
        <v>86</v>
      </c>
      <c r="BB27" s="607">
        <f>M30</f>
        <v>250</v>
      </c>
      <c r="BC27" s="609">
        <f>U30</f>
        <v>250</v>
      </c>
      <c r="BD27" s="606">
        <f t="shared" si="26"/>
        <v>0</v>
      </c>
      <c r="BE27" s="675">
        <f t="shared" si="27"/>
        <v>0</v>
      </c>
    </row>
    <row r="28" spans="1:57" x14ac:dyDescent="0.35">
      <c r="A28" s="15">
        <f t="shared" si="0"/>
        <v>22</v>
      </c>
      <c r="B28" s="15" t="s">
        <v>86</v>
      </c>
      <c r="C28" s="193" t="s">
        <v>82</v>
      </c>
      <c r="D28" s="127">
        <f>+'[12]Washington volumes'!J25</f>
        <v>0</v>
      </c>
      <c r="E28" s="568">
        <v>2000</v>
      </c>
      <c r="F28" s="161">
        <v>0</v>
      </c>
      <c r="G28" s="683">
        <v>250</v>
      </c>
      <c r="H28" s="683">
        <f>'[52]Aver Bill by RS'!$J28</f>
        <v>622.72278920943302</v>
      </c>
      <c r="I28" s="683">
        <f>G28-(IF(H28&gt;(F28*$H$3),(F28*$H$3),H28))</f>
        <v>250</v>
      </c>
      <c r="J28" s="683">
        <f>'[52]Aver Bill by RS'!$J28</f>
        <v>622.72278920943302</v>
      </c>
      <c r="K28" s="92">
        <f>G28-(IF(J28&gt;($F28*$H$4),($F28*$H$4),J28))</f>
        <v>250</v>
      </c>
      <c r="L28" s="190">
        <f>+'[12]Rates in summary'!D25</f>
        <v>0.90245000000000009</v>
      </c>
      <c r="M28" s="92"/>
      <c r="N28" s="190">
        <f>'[12]Rates in summary'!D25+[12]Temporaries!K25+[12]Temporaries!L25+[12]Temporaries!M25-[12]Temporaries!AX25</f>
        <v>0.90245000000000009</v>
      </c>
      <c r="O28" s="92"/>
      <c r="P28" s="611"/>
      <c r="Q28" s="190">
        <f>'[12]Rates in summary'!D25+[12]Temporaries!N25+[12]Temporaries!O25-[12]Temporaries!AY25</f>
        <v>0.90190999999999999</v>
      </c>
      <c r="R28" s="92"/>
      <c r="S28" s="611"/>
      <c r="T28" s="533">
        <f>'[12]Rates in detail'!D25+[12]Temporaries!T25-[12]Temporaries!BD25+[12]Temporaries!S25-[12]Temporaries!BC25+[12]Temporaries!P25-[12]Temporaries!BB25++[12]Temporaries!Q25-[12]Temporaries!AW25</f>
        <v>0.90211000000000008</v>
      </c>
      <c r="U28" s="112"/>
      <c r="V28" s="531"/>
      <c r="W28" s="190">
        <f>'[12]Rates in summary'!D25+[12]Temporaries!R25-[12]Temporaries!AZ25</f>
        <v>0.90276000000000001</v>
      </c>
      <c r="X28" s="92"/>
      <c r="Y28" s="611"/>
      <c r="Z28" s="190">
        <f>'[12]Rates in summary'!D25+[12]Permanents!F25</f>
        <v>0.9025200000000001</v>
      </c>
      <c r="AA28" s="92"/>
      <c r="AB28" s="611"/>
      <c r="AC28" s="612">
        <f>'[12]Rates in summary'!D25+[12]Temporaries!U25-[12]Temporaries!BE25</f>
        <v>0.90245000000000009</v>
      </c>
      <c r="AD28" s="546"/>
      <c r="AE28" s="613"/>
      <c r="AF28" s="190">
        <f>'[12]Rates in summary'!D25+[12]Temporaries!V25-[12]Temporaries!BF25</f>
        <v>0.90245000000000009</v>
      </c>
      <c r="AG28" s="92"/>
      <c r="AH28" s="611"/>
      <c r="AI28" s="190">
        <f>'[12]Rates in summary'!G25+[12]Temporaries!J25</f>
        <v>0.86338999999999999</v>
      </c>
      <c r="AJ28" s="92"/>
      <c r="AK28" s="614"/>
      <c r="AL28" s="190">
        <f>+'[12]Rates in summary'!Q25</f>
        <v>0.86289000000000005</v>
      </c>
      <c r="AM28" s="92"/>
      <c r="AN28" s="615"/>
      <c r="AO28" s="538"/>
      <c r="AP28" s="601"/>
      <c r="AQ28" s="537">
        <f t="shared" si="19"/>
        <v>0</v>
      </c>
      <c r="AR28" s="537">
        <f t="shared" si="20"/>
        <v>0</v>
      </c>
      <c r="AS28" s="537">
        <f t="shared" si="21"/>
        <v>-3.956000000000004E-2</v>
      </c>
      <c r="AT28" s="537">
        <f t="shared" si="32"/>
        <v>-3.956000000000004E-2</v>
      </c>
      <c r="AU28" s="6">
        <f>+'[12]Rates in summary'!D25+[12]Temporaries!K25+[12]Temporaries!M25+[12]Temporaries!L25-[12]Temporaries!AZ25</f>
        <v>0.89729000000000003</v>
      </c>
      <c r="AV28" s="542"/>
      <c r="AW28" s="616"/>
      <c r="AX28" s="190"/>
      <c r="AY28" s="190"/>
      <c r="AZ28" s="190"/>
      <c r="BA28" s="605" t="s">
        <v>266</v>
      </c>
      <c r="BB28" s="607">
        <f>M85</f>
        <v>1550</v>
      </c>
      <c r="BC28" s="609">
        <f>U85</f>
        <v>1550</v>
      </c>
      <c r="BD28" s="606">
        <f t="shared" si="26"/>
        <v>0</v>
      </c>
      <c r="BE28" s="675">
        <f t="shared" si="27"/>
        <v>0</v>
      </c>
    </row>
    <row r="29" spans="1:57" x14ac:dyDescent="0.35">
      <c r="A29" s="15">
        <f t="shared" si="0"/>
        <v>23</v>
      </c>
      <c r="B29" s="15"/>
      <c r="C29" s="193" t="s">
        <v>83</v>
      </c>
      <c r="D29" s="127">
        <f>+'[12]Washington volumes'!J26</f>
        <v>0</v>
      </c>
      <c r="E29" s="568" t="s">
        <v>265</v>
      </c>
      <c r="F29" s="161"/>
      <c r="G29" s="683"/>
      <c r="H29" s="684"/>
      <c r="I29" s="683"/>
      <c r="J29" s="684"/>
      <c r="K29" s="92"/>
      <c r="L29" s="190">
        <f>+'[12]Rates in summary'!D26</f>
        <v>0.8560899999999998</v>
      </c>
      <c r="M29" s="92"/>
      <c r="N29" s="190">
        <f>'[12]Rates in summary'!D26+[12]Temporaries!K26+[12]Temporaries!L26+[12]Temporaries!M26-[12]Temporaries!AX26</f>
        <v>0.8560899999999998</v>
      </c>
      <c r="O29" s="92"/>
      <c r="P29" s="611"/>
      <c r="Q29" s="190">
        <f>'[12]Rates in summary'!D26+[12]Temporaries!N26+[12]Temporaries!O26-[12]Temporaries!AY26</f>
        <v>0.85562999999999978</v>
      </c>
      <c r="R29" s="92"/>
      <c r="S29" s="611"/>
      <c r="T29" s="534">
        <f>'[12]Rates in detail'!D26+[12]Temporaries!T26-[12]Temporaries!BD26+[12]Temporaries!S26-[12]Temporaries!BC26+[12]Temporaries!P26-[12]Temporaries!BB26++[12]Temporaries!Q26-[12]Temporaries!AW26</f>
        <v>0.85570999999999986</v>
      </c>
      <c r="U29" s="112"/>
      <c r="V29" s="531"/>
      <c r="W29" s="190">
        <f>'[12]Rates in summary'!D26+[12]Temporaries!R26-[12]Temporaries!AZ26</f>
        <v>0.85635999999999979</v>
      </c>
      <c r="X29" s="92"/>
      <c r="Y29" s="611"/>
      <c r="Z29" s="190">
        <f>'[12]Rates in summary'!D26+[12]Permanents!F26</f>
        <v>0.85614999999999974</v>
      </c>
      <c r="AA29" s="92"/>
      <c r="AB29" s="611"/>
      <c r="AC29" s="612">
        <f>'[12]Rates in summary'!D26+[12]Temporaries!U26-[12]Temporaries!BE26</f>
        <v>0.8560899999999998</v>
      </c>
      <c r="AD29" s="546"/>
      <c r="AE29" s="613"/>
      <c r="AF29" s="190">
        <f>'[12]Rates in summary'!D26+[12]Temporaries!V26-[12]Temporaries!BF26</f>
        <v>0.85608999999999968</v>
      </c>
      <c r="AG29" s="92"/>
      <c r="AH29" s="611"/>
      <c r="AI29" s="190">
        <f>'[12]Rates in summary'!G26+[12]Temporaries!J26</f>
        <v>0.81702999999999981</v>
      </c>
      <c r="AJ29" s="92"/>
      <c r="AK29" s="614"/>
      <c r="AL29" s="190">
        <f>+'[12]Rates in summary'!Q26</f>
        <v>0.81651999999999991</v>
      </c>
      <c r="AM29" s="92"/>
      <c r="AN29" s="615"/>
      <c r="AO29" s="538"/>
      <c r="AP29" s="601"/>
      <c r="AQ29" s="537">
        <f t="shared" si="19"/>
        <v>0</v>
      </c>
      <c r="AR29" s="537">
        <f t="shared" si="20"/>
        <v>0</v>
      </c>
      <c r="AS29" s="537">
        <f t="shared" si="21"/>
        <v>-3.9569999999999883E-2</v>
      </c>
      <c r="AT29" s="537">
        <f t="shared" si="32"/>
        <v>-3.9569999999999883E-2</v>
      </c>
      <c r="AU29" s="6">
        <f>+'[12]Rates in summary'!D26+[12]Temporaries!K26+[12]Temporaries!M26+[12]Temporaries!L26-[12]Temporaries!AZ26</f>
        <v>0.85153999999999974</v>
      </c>
      <c r="AV29" s="542"/>
      <c r="AW29" s="616"/>
      <c r="AX29" s="190"/>
      <c r="AY29" s="190"/>
      <c r="AZ29" s="190"/>
      <c r="BA29" s="605" t="s">
        <v>267</v>
      </c>
      <c r="BB29" s="607">
        <f>M92</f>
        <v>30845.000895181613</v>
      </c>
      <c r="BC29" s="609">
        <f>U92</f>
        <v>30781.170895181618</v>
      </c>
      <c r="BD29" s="606">
        <f t="shared" si="26"/>
        <v>-63.82999999999447</v>
      </c>
      <c r="BE29" s="675">
        <f t="shared" si="27"/>
        <v>-2E-3</v>
      </c>
    </row>
    <row r="30" spans="1:57" x14ac:dyDescent="0.35">
      <c r="A30" s="15">
        <f t="shared" si="0"/>
        <v>24</v>
      </c>
      <c r="B30" s="192"/>
      <c r="C30" s="617" t="s">
        <v>49</v>
      </c>
      <c r="D30" s="618"/>
      <c r="E30" s="619"/>
      <c r="F30" s="620"/>
      <c r="G30" s="685"/>
      <c r="H30" s="686"/>
      <c r="I30" s="685"/>
      <c r="J30" s="686"/>
      <c r="K30" s="621"/>
      <c r="L30" s="622"/>
      <c r="M30" s="621">
        <f>$I28+ROUND(IF($F28&lt;$E28,($F28*L28),IF($F28&gt;SUM($E28:$E29),(($E28*L28)+(($F28-$E28)*L29)),0)),2)</f>
        <v>250</v>
      </c>
      <c r="N30" s="622"/>
      <c r="O30" s="621">
        <f>$I28+ROUND(IF($F28&lt;$E28,($F28*N28),IF($F28&gt;SUM($E28:$E29),(($E28*N28)+(($F28-$E28)*N29)),0)),2)</f>
        <v>250</v>
      </c>
      <c r="P30" s="623">
        <f>ROUND((O30-M30)/M30,3)</f>
        <v>0</v>
      </c>
      <c r="Q30" s="622"/>
      <c r="R30" s="621">
        <f>$I28+ROUND(IF($F28&lt;$E28,($F28*Q28),IF($F28&gt;SUM($E28:$E29),(($E28*Q28)+(($F28-$E28)*Q29)),0)),2)</f>
        <v>250</v>
      </c>
      <c r="S30" s="623">
        <f>ROUND((R30-M30)/M30,3)</f>
        <v>0</v>
      </c>
      <c r="T30" s="330"/>
      <c r="U30" s="329">
        <f>$I28+ROUND(IF($F28&lt;$E28,($F28*T28),IF($F28&gt;SUM($E28:$E29),(($E28*T28)+(($F28-$E28)*T29)),0)),2)</f>
        <v>250</v>
      </c>
      <c r="V30" s="532">
        <f>ROUND((U30-M30)/M30,3)</f>
        <v>0</v>
      </c>
      <c r="W30" s="622"/>
      <c r="X30" s="621">
        <f>$I28+ROUND(IF($F28&lt;$E28,($F28*W28),IF($F28&gt;SUM($E28:$E29),(($E28*W28)+(($F28-$E28)*W29)),0)),2)</f>
        <v>250</v>
      </c>
      <c r="Y30" s="623">
        <f>(X30-M30)/M30</f>
        <v>0</v>
      </c>
      <c r="Z30" s="622"/>
      <c r="AA30" s="621">
        <f>$I28+ROUND(IF($F28&lt;$E28,($F28*Z28),IF($F28&gt;SUM($E28:$E29),(($E28*Z28)+(($F28-$E28)*Z29)),0)),2)</f>
        <v>250</v>
      </c>
      <c r="AB30" s="623">
        <f>(AA30-M30)/M30</f>
        <v>0</v>
      </c>
      <c r="AC30" s="624"/>
      <c r="AD30" s="625">
        <f>$I28+ROUND(IF($F28&lt;$E28,($F28*AC28),IF($F28&gt;SUM($E28:$E29),(($E28*AC28)+(($F28-$E28)*AC29)),0)),2)</f>
        <v>250</v>
      </c>
      <c r="AE30" s="626">
        <f>(AD30-M30)/M30</f>
        <v>0</v>
      </c>
      <c r="AF30" s="622"/>
      <c r="AG30" s="621">
        <f>$K28+ROUND(IF($F28&lt;$E28,($F28*AF28),IF($F28&gt;SUM($E28:$E29),(($E28*AF28)+(($F28-$E28)*AF29)),0)),2)</f>
        <v>250</v>
      </c>
      <c r="AH30" s="623">
        <f>(AG30-M30)/M30</f>
        <v>0</v>
      </c>
      <c r="AI30" s="622"/>
      <c r="AJ30" s="621">
        <f>$I28+ROUND(IF($F28&lt;$E28,($F28*AI28),IF($F28&gt;SUM($E28:$E29),(($E28*AI28)+(($F28-$E28)*AI29)),0)),2)</f>
        <v>250</v>
      </c>
      <c r="AK30" s="638">
        <f>ROUND((AJ30-M30)/M30,3)</f>
        <v>0</v>
      </c>
      <c r="AL30" s="622"/>
      <c r="AM30" s="621">
        <f>$K28+ROUND(IF($F28&lt;$E28,($F28*AL28),IF($F28&gt;SUM($E28:$E29),(($E28*AL28)+(($F28-$E28)*AL29)),0)),2)</f>
        <v>250</v>
      </c>
      <c r="AN30" s="638">
        <f>ROUND((AM30-M30)/M30,3)</f>
        <v>0</v>
      </c>
      <c r="AO30" s="538"/>
      <c r="AP30" s="601"/>
      <c r="AQ30" s="537">
        <f t="shared" si="19"/>
        <v>0</v>
      </c>
      <c r="AR30" s="537">
        <f t="shared" si="20"/>
        <v>0</v>
      </c>
      <c r="AS30" s="537">
        <f t="shared" si="21"/>
        <v>0</v>
      </c>
      <c r="AT30" s="537">
        <f t="shared" si="32"/>
        <v>0</v>
      </c>
      <c r="AU30" s="627"/>
      <c r="AV30" s="628">
        <f>$I28+ROUND(IF($F28&lt;$E28,($F28*AU28),IF($F28&gt;SUM($E28:$E29),(($E28*AU28)+(($F28-$E28)*AU29)),0)),2)</f>
        <v>250</v>
      </c>
      <c r="AW30" s="629">
        <f>ROUND((AV30-M30)/M30,3)</f>
        <v>0</v>
      </c>
      <c r="AX30" s="190"/>
      <c r="AY30" s="190"/>
      <c r="AZ30" s="190"/>
      <c r="BA30" s="605" t="s">
        <v>101</v>
      </c>
      <c r="BB30" s="607">
        <f>M93</f>
        <v>38000</v>
      </c>
      <c r="BC30" s="609">
        <f>U93</f>
        <v>38000</v>
      </c>
      <c r="BD30" s="606">
        <f t="shared" si="26"/>
        <v>0</v>
      </c>
      <c r="BE30" s="675">
        <f t="shared" si="27"/>
        <v>0</v>
      </c>
    </row>
    <row r="31" spans="1:57" x14ac:dyDescent="0.35">
      <c r="A31" s="15">
        <f t="shared" si="0"/>
        <v>25</v>
      </c>
      <c r="B31" s="15" t="s">
        <v>87</v>
      </c>
      <c r="C31" s="193" t="s">
        <v>82</v>
      </c>
      <c r="D31" s="127">
        <f>+'[12]Washington volumes'!J27</f>
        <v>123242.73967014518</v>
      </c>
      <c r="E31" s="568">
        <v>2000</v>
      </c>
      <c r="F31" s="161">
        <v>4648</v>
      </c>
      <c r="G31" s="683">
        <f>250+250</f>
        <v>500</v>
      </c>
      <c r="H31" s="683">
        <f>'[52]Aver Bill by RS'!$J31</f>
        <v>515.08785319123695</v>
      </c>
      <c r="I31" s="683">
        <f>G31-(IF(H31&gt;(F31*$H$3),(F31*$H$3),H31))</f>
        <v>-15.087853191236945</v>
      </c>
      <c r="J31" s="683">
        <f>'[52]Aver Bill by RS'!$J31</f>
        <v>515.08785319123695</v>
      </c>
      <c r="K31" s="92">
        <f>G31-(IF(J31&gt;($F31*$H$4),($F31*$H$4),J31))</f>
        <v>-15.087853191236945</v>
      </c>
      <c r="L31" s="190">
        <f>+'[12]Rates in summary'!D27</f>
        <v>0.64044000000000001</v>
      </c>
      <c r="M31" s="92"/>
      <c r="N31" s="190">
        <f>'[12]Rates in summary'!D27+[12]Temporaries!K27+[12]Temporaries!L27+[12]Temporaries!M27-[12]Temporaries!AX27</f>
        <v>0.64044000000000001</v>
      </c>
      <c r="O31" s="92"/>
      <c r="P31" s="611"/>
      <c r="Q31" s="190">
        <f>'[12]Rates in summary'!D27+[12]Temporaries!N27+[12]Temporaries!O27-[12]Temporaries!AY27</f>
        <v>0.64044000000000001</v>
      </c>
      <c r="R31" s="92"/>
      <c r="S31" s="611"/>
      <c r="T31" s="534">
        <f>'[12]Rates in detail'!D27+[12]Temporaries!T27-[12]Temporaries!BD27+[12]Temporaries!S27-[12]Temporaries!BC27+[12]Temporaries!P27-[12]Temporaries!BB27++[12]Temporaries!Q27-[12]Temporaries!AW27</f>
        <v>0.63998999999999995</v>
      </c>
      <c r="U31" s="112"/>
      <c r="V31" s="531"/>
      <c r="W31" s="190">
        <f>'[12]Rates in summary'!D27+[12]Temporaries!R27-[12]Temporaries!AZ27</f>
        <v>0.64091000000000009</v>
      </c>
      <c r="X31" s="92"/>
      <c r="Y31" s="611"/>
      <c r="Z31" s="190">
        <f>'[12]Rates in summary'!D27+[12]Permanents!F27</f>
        <v>0.64044000000000001</v>
      </c>
      <c r="AA31" s="92"/>
      <c r="AB31" s="611"/>
      <c r="AC31" s="612">
        <f>'[12]Rates in summary'!D27+[12]Temporaries!U27-[12]Temporaries!BE27</f>
        <v>0.64044000000000001</v>
      </c>
      <c r="AD31" s="546"/>
      <c r="AE31" s="613"/>
      <c r="AF31" s="190">
        <f>'[12]Rates in summary'!D27+[12]Temporaries!V27-[12]Temporaries!BF27</f>
        <v>0.64044000000000001</v>
      </c>
      <c r="AG31" s="92"/>
      <c r="AH31" s="611"/>
      <c r="AI31" s="190">
        <f>'[12]Rates in summary'!G27+[12]Temporaries!J27</f>
        <v>0.64044000000000001</v>
      </c>
      <c r="AJ31" s="92"/>
      <c r="AK31" s="614"/>
      <c r="AL31" s="190">
        <f>+'[12]Rates in summary'!Q27</f>
        <v>0.64046000000000003</v>
      </c>
      <c r="AM31" s="92"/>
      <c r="AN31" s="615"/>
      <c r="AO31" s="538"/>
      <c r="AP31" s="601"/>
      <c r="AQ31" s="537">
        <f t="shared" si="19"/>
        <v>0</v>
      </c>
      <c r="AR31" s="537">
        <f t="shared" si="20"/>
        <v>0</v>
      </c>
      <c r="AS31" s="537">
        <f t="shared" si="21"/>
        <v>2.0000000000020002E-5</v>
      </c>
      <c r="AT31" s="537">
        <f t="shared" si="32"/>
        <v>2.0000000000020002E-5</v>
      </c>
      <c r="AU31" s="6">
        <f>+'[12]Rates in summary'!D27+[12]Temporaries!K27+[12]Temporaries!M27+[12]Temporaries!L27-[12]Temporaries!AZ27</f>
        <v>0.63475000000000004</v>
      </c>
      <c r="AV31" s="542"/>
      <c r="AW31" s="616"/>
      <c r="AX31" s="190"/>
      <c r="AY31" s="190"/>
      <c r="AZ31" s="190"/>
      <c r="BA31" s="605" t="s">
        <v>89</v>
      </c>
      <c r="BB31" s="607">
        <f>M43</f>
        <v>7887.3772300000001</v>
      </c>
      <c r="BC31" s="609">
        <f>U43</f>
        <v>7888.1872299999995</v>
      </c>
      <c r="BD31" s="606">
        <f t="shared" si="26"/>
        <v>0.80999999999949068</v>
      </c>
      <c r="BE31" s="675">
        <f t="shared" si="27"/>
        <v>0</v>
      </c>
    </row>
    <row r="32" spans="1:57" x14ac:dyDescent="0.35">
      <c r="A32" s="15">
        <f t="shared" si="0"/>
        <v>26</v>
      </c>
      <c r="B32" s="15"/>
      <c r="C32" s="193" t="s">
        <v>83</v>
      </c>
      <c r="D32" s="127">
        <f>+'[12]Washington volumes'!J28</f>
        <v>284875.42061605473</v>
      </c>
      <c r="E32" s="568" t="s">
        <v>265</v>
      </c>
      <c r="F32" s="161"/>
      <c r="G32" s="683"/>
      <c r="H32" s="684"/>
      <c r="I32" s="683"/>
      <c r="J32" s="684"/>
      <c r="K32" s="92"/>
      <c r="L32" s="190">
        <f>+'[12]Rates in summary'!D28</f>
        <v>0.5930200000000001</v>
      </c>
      <c r="M32" s="92"/>
      <c r="N32" s="190">
        <f>'[12]Rates in summary'!D28+[12]Temporaries!K28+[12]Temporaries!L28+[12]Temporaries!M28-[12]Temporaries!AX28</f>
        <v>0.5930200000000001</v>
      </c>
      <c r="O32" s="92"/>
      <c r="P32" s="611"/>
      <c r="Q32" s="190">
        <f>'[12]Rates in summary'!D28+[12]Temporaries!N28+[12]Temporaries!O28-[12]Temporaries!AY28</f>
        <v>0.5930200000000001</v>
      </c>
      <c r="R32" s="92"/>
      <c r="S32" s="611"/>
      <c r="T32" s="534">
        <f>'[12]Rates in detail'!D28+[12]Temporaries!T28-[12]Temporaries!BD28+[12]Temporaries!S28-[12]Temporaries!BC28+[12]Temporaries!P28-[12]Temporaries!BB28++[12]Temporaries!Q28-[12]Temporaries!AW28</f>
        <v>0.59253999999999996</v>
      </c>
      <c r="U32" s="112"/>
      <c r="V32" s="531"/>
      <c r="W32" s="190">
        <f>'[12]Rates in summary'!D28+[12]Temporaries!R28-[12]Temporaries!AZ28</f>
        <v>0.59344000000000019</v>
      </c>
      <c r="X32" s="92"/>
      <c r="Y32" s="611"/>
      <c r="Z32" s="190">
        <f>'[12]Rates in summary'!D28+[12]Permanents!F28</f>
        <v>0.5930200000000001</v>
      </c>
      <c r="AA32" s="92"/>
      <c r="AB32" s="611"/>
      <c r="AC32" s="612">
        <f>'[12]Rates in summary'!D28+[12]Temporaries!U28-[12]Temporaries!BE28</f>
        <v>0.5930200000000001</v>
      </c>
      <c r="AD32" s="546"/>
      <c r="AE32" s="613"/>
      <c r="AF32" s="190">
        <f>'[12]Rates in summary'!D28+[12]Temporaries!V28-[12]Temporaries!BF28</f>
        <v>0.5930200000000001</v>
      </c>
      <c r="AG32" s="92"/>
      <c r="AH32" s="611"/>
      <c r="AI32" s="190">
        <f>'[12]Rates in summary'!G28+[12]Temporaries!J28</f>
        <v>0.5930200000000001</v>
      </c>
      <c r="AJ32" s="92"/>
      <c r="AK32" s="614"/>
      <c r="AL32" s="190">
        <f>+'[12]Rates in summary'!Q28</f>
        <v>0.59296000000000015</v>
      </c>
      <c r="AM32" s="92"/>
      <c r="AN32" s="615"/>
      <c r="AO32" s="538"/>
      <c r="AP32" s="601"/>
      <c r="AQ32" s="537">
        <f t="shared" si="19"/>
        <v>0</v>
      </c>
      <c r="AR32" s="537">
        <f t="shared" si="20"/>
        <v>0</v>
      </c>
      <c r="AS32" s="537">
        <f t="shared" si="21"/>
        <v>-5.9999999999948983E-5</v>
      </c>
      <c r="AT32" s="537">
        <f t="shared" si="32"/>
        <v>-5.9999999999948983E-5</v>
      </c>
      <c r="AU32" s="6">
        <f>+'[12]Rates in summary'!D28+[12]Temporaries!K28+[12]Temporaries!M28+[12]Temporaries!L28-[12]Temporaries!AZ28</f>
        <v>0.58801000000000014</v>
      </c>
      <c r="AV32" s="542"/>
      <c r="AW32" s="616"/>
      <c r="AX32" s="190"/>
      <c r="AY32" s="190"/>
      <c r="AZ32" s="190"/>
      <c r="BA32" s="605" t="s">
        <v>94</v>
      </c>
      <c r="BB32" s="607">
        <f>M50</f>
        <v>7563.3356300000014</v>
      </c>
      <c r="BC32" s="609">
        <f>U50</f>
        <v>7556.815630000001</v>
      </c>
      <c r="BD32" s="606">
        <f t="shared" si="26"/>
        <v>-6.5200000000004366</v>
      </c>
      <c r="BE32" s="675">
        <f t="shared" si="27"/>
        <v>-1E-3</v>
      </c>
    </row>
    <row r="33" spans="1:57" x14ac:dyDescent="0.35">
      <c r="A33" s="15">
        <f t="shared" si="0"/>
        <v>27</v>
      </c>
      <c r="B33" s="192"/>
      <c r="C33" s="617" t="s">
        <v>49</v>
      </c>
      <c r="D33" s="618"/>
      <c r="E33" s="619"/>
      <c r="F33" s="620"/>
      <c r="G33" s="685"/>
      <c r="H33" s="686"/>
      <c r="I33" s="685"/>
      <c r="J33" s="686"/>
      <c r="K33" s="621"/>
      <c r="L33" s="622"/>
      <c r="M33" s="621">
        <f>$I31+ROUND(IF($F31&lt;$E31,($F31*L31),IF($F31&gt;SUM($E31:$E32),(($E31*L31)+(($F31-$E31)*L32)),0)),2)</f>
        <v>2836.1121468087631</v>
      </c>
      <c r="N33" s="622"/>
      <c r="O33" s="621">
        <f>$I31+ROUND(IF($F31&lt;$E31,($F31*N31),IF($F31&gt;SUM($E31:$E32),(($E31*N31)+(($F31-$E31)*N32)),0)),2)</f>
        <v>2836.1121468087631</v>
      </c>
      <c r="P33" s="623">
        <f>ROUND((O33-M33)/M33,3)</f>
        <v>0</v>
      </c>
      <c r="Q33" s="622"/>
      <c r="R33" s="621">
        <f>$I31+ROUND(IF($F31&lt;$E31,($F31*Q31),IF($F31&gt;SUM($E31:$E32),(($E31*Q31)+(($F31-$E31)*Q32)),0)),2)</f>
        <v>2836.1121468087631</v>
      </c>
      <c r="S33" s="623">
        <f>ROUND((R33-M33)/M33,3)</f>
        <v>0</v>
      </c>
      <c r="T33" s="330"/>
      <c r="U33" s="329">
        <f>$I31+ROUND(IF($F31&lt;$E31,($F31*T31),IF($F31&gt;SUM($E31:$E32),(($E31*T31)+(($F31-$E31)*T32)),0)),2)</f>
        <v>2833.942146808763</v>
      </c>
      <c r="V33" s="532">
        <f>ROUND((U33-M33)/M33,3)</f>
        <v>-1E-3</v>
      </c>
      <c r="W33" s="622"/>
      <c r="X33" s="621">
        <f>$I31+ROUND(IF($F31&lt;$E31,($F31*W31),IF($F31&gt;SUM($E31:$E32),(($E31*W31)+(($F31-$E31)*W32)),0)),2)</f>
        <v>2838.1621468087633</v>
      </c>
      <c r="Y33" s="623">
        <f>(X33-M33)/M33</f>
        <v>7.2282049999569773E-4</v>
      </c>
      <c r="Z33" s="622"/>
      <c r="AA33" s="621">
        <f>$I31+ROUND(IF($F31&lt;$E31,($F31*Z31),IF($F31&gt;SUM($E31:$E32),(($E31*Z31)+(($F31-$E31)*Z32)),0)),2)</f>
        <v>2836.1121468087631</v>
      </c>
      <c r="AB33" s="623">
        <f>(AA33-M33)/M33</f>
        <v>0</v>
      </c>
      <c r="AC33" s="624"/>
      <c r="AD33" s="625">
        <f>$I31+ROUND(IF($F31&lt;$E31,($F31*AC31),IF($F31&gt;SUM($E31:$E32),(($E31*AC31)+(($F31-$E31)*AC32)),0)),2)</f>
        <v>2836.1121468087631</v>
      </c>
      <c r="AE33" s="626">
        <f>(AD33-M33)/M33</f>
        <v>0</v>
      </c>
      <c r="AF33" s="622"/>
      <c r="AG33" s="621">
        <f>$K31+ROUND(IF($F31&lt;$E31,($F31*AF31),IF($F31&gt;SUM($E31:$E32),(($E31*AF31)+(($F31-$E31)*AF32)),0)),2)</f>
        <v>2836.1121468087631</v>
      </c>
      <c r="AH33" s="623">
        <f>(AG33-M33)/M33</f>
        <v>0</v>
      </c>
      <c r="AI33" s="622"/>
      <c r="AJ33" s="621">
        <f>$I31+ROUND(IF($F31&lt;$E31,($F31*AI31),IF($F31&gt;SUM($E31:$E32),(($E31*AI31)+(($F31-$E31)*AI32)),0)),2)</f>
        <v>2836.1121468087631</v>
      </c>
      <c r="AK33" s="638">
        <f>ROUND((AJ33-M33)/M33,3)</f>
        <v>0</v>
      </c>
      <c r="AL33" s="622"/>
      <c r="AM33" s="621">
        <f>$K31+ROUND(IF($F31&lt;$E31,($F31*AL31),IF($F31&gt;SUM($E31:$E32),(($E31*AL31)+(($F31-$E31)*AL32)),0)),2)</f>
        <v>2835.9921468087632</v>
      </c>
      <c r="AN33" s="638">
        <f>ROUND((AM33-M33)/M33,3)</f>
        <v>0</v>
      </c>
      <c r="AO33" s="538"/>
      <c r="AP33" s="601"/>
      <c r="AQ33" s="537">
        <f t="shared" si="19"/>
        <v>0</v>
      </c>
      <c r="AR33" s="537">
        <f t="shared" si="20"/>
        <v>0</v>
      </c>
      <c r="AS33" s="537">
        <f t="shared" si="21"/>
        <v>0</v>
      </c>
      <c r="AT33" s="537">
        <f t="shared" si="32"/>
        <v>0</v>
      </c>
      <c r="AU33" s="627"/>
      <c r="AV33" s="628">
        <f>$I31+ROUND(IF($F31&lt;$E31,($F31*AU31),IF($F31&gt;SUM($E31:$E32),(($E31*AU31)+(($F31-$E31)*AU32)),0)),2)</f>
        <v>2811.4621468087635</v>
      </c>
      <c r="AW33" s="629">
        <f>ROUND((AV33-M33)/M33,3)</f>
        <v>-8.9999999999999993E-3</v>
      </c>
      <c r="AX33" s="190"/>
      <c r="AY33" s="190"/>
      <c r="AZ33" s="190"/>
      <c r="BA33" s="605" t="s">
        <v>95</v>
      </c>
      <c r="BB33" s="607">
        <f>M57</f>
        <v>15708.620663486881</v>
      </c>
      <c r="BC33" s="609">
        <f>U57</f>
        <v>15674.170663486881</v>
      </c>
      <c r="BD33" s="606">
        <f t="shared" si="26"/>
        <v>-34.450000000000728</v>
      </c>
      <c r="BE33" s="675">
        <f t="shared" si="27"/>
        <v>-2E-3</v>
      </c>
    </row>
    <row r="34" spans="1:57" x14ac:dyDescent="0.35">
      <c r="A34" s="15">
        <f t="shared" si="0"/>
        <v>28</v>
      </c>
      <c r="B34" s="15" t="s">
        <v>88</v>
      </c>
      <c r="C34" s="193" t="s">
        <v>82</v>
      </c>
      <c r="D34" s="127">
        <f>+'[12]Washington volumes'!J29</f>
        <v>0</v>
      </c>
      <c r="E34" s="568">
        <v>2000</v>
      </c>
      <c r="F34" s="161">
        <v>0</v>
      </c>
      <c r="G34" s="683">
        <f>250+250</f>
        <v>500</v>
      </c>
      <c r="H34" s="683">
        <f>'[52]Aver Bill by RS'!$J34</f>
        <v>622.72278920943302</v>
      </c>
      <c r="I34" s="683">
        <f>G34-(IF(H34&gt;(F34*$H$3),(F34*$H$3),H34))</f>
        <v>500</v>
      </c>
      <c r="J34" s="683">
        <f>'[52]Aver Bill by RS'!$J34</f>
        <v>622.72278920943302</v>
      </c>
      <c r="K34" s="92">
        <f>G34-(IF(J34&gt;($F34*$H$4),($F34*$H$4),J34))</f>
        <v>500</v>
      </c>
      <c r="L34" s="190">
        <f>+'[12]Rates in summary'!D29</f>
        <v>0.62856000000000001</v>
      </c>
      <c r="M34" s="92"/>
      <c r="N34" s="190">
        <f>'[12]Rates in summary'!D29+[12]Temporaries!K29+[12]Temporaries!L29+[12]Temporaries!M29-[12]Temporaries!AX29</f>
        <v>0.62856000000000001</v>
      </c>
      <c r="O34" s="92"/>
      <c r="P34" s="611"/>
      <c r="Q34" s="190">
        <f>'[12]Rates in summary'!D29+[12]Temporaries!N29+[12]Temporaries!O29-[12]Temporaries!AY29</f>
        <v>0.62856000000000001</v>
      </c>
      <c r="R34" s="92"/>
      <c r="S34" s="611"/>
      <c r="T34" s="534">
        <f>'[12]Rates in detail'!D29+[12]Temporaries!T29-[12]Temporaries!BD29+[12]Temporaries!S29-[12]Temporaries!BC29+[12]Temporaries!P29-[12]Temporaries!BB29++[12]Temporaries!Q29-[12]Temporaries!AW29</f>
        <v>0.62822</v>
      </c>
      <c r="U34" s="112"/>
      <c r="V34" s="531"/>
      <c r="W34" s="190">
        <f>'[12]Rates in summary'!D29+[12]Temporaries!R29-[12]Temporaries!AZ29</f>
        <v>0.62887000000000004</v>
      </c>
      <c r="X34" s="92"/>
      <c r="Y34" s="611"/>
      <c r="Z34" s="190">
        <f>'[12]Rates in summary'!D29+[12]Permanents!F29</f>
        <v>0.62856000000000001</v>
      </c>
      <c r="AA34" s="92"/>
      <c r="AB34" s="611"/>
      <c r="AC34" s="612">
        <f>'[12]Rates in summary'!D29+[12]Temporaries!U29-[12]Temporaries!BE29</f>
        <v>0.62856000000000001</v>
      </c>
      <c r="AD34" s="546"/>
      <c r="AE34" s="613"/>
      <c r="AF34" s="190">
        <f>'[12]Rates in summary'!D29+[12]Temporaries!V29-[12]Temporaries!BF29</f>
        <v>0.62856000000000001</v>
      </c>
      <c r="AG34" s="92"/>
      <c r="AH34" s="611"/>
      <c r="AI34" s="190">
        <f>'[12]Rates in summary'!G29+[12]Temporaries!J2</f>
        <v>0.62856000000000001</v>
      </c>
      <c r="AJ34" s="92"/>
      <c r="AK34" s="614"/>
      <c r="AL34" s="190">
        <f>+'[12]Rates in summary'!Q29</f>
        <v>0.62853000000000003</v>
      </c>
      <c r="AM34" s="92"/>
      <c r="AN34" s="615"/>
      <c r="AO34" s="538"/>
      <c r="AP34" s="601"/>
      <c r="AQ34" s="537">
        <f t="shared" si="19"/>
        <v>0</v>
      </c>
      <c r="AR34" s="537">
        <f t="shared" si="20"/>
        <v>0</v>
      </c>
      <c r="AS34" s="537">
        <f t="shared" si="21"/>
        <v>-2.9999999999974492E-5</v>
      </c>
      <c r="AT34" s="537">
        <f t="shared" si="32"/>
        <v>-2.9999999999974492E-5</v>
      </c>
      <c r="AU34" s="6">
        <f>+'[12]Rates in summary'!D30+[12]Temporaries!K30+[12]Temporaries!M30+[12]Temporaries!L30-[12]Temporaries!AZ30</f>
        <v>0.57796000000000014</v>
      </c>
      <c r="AV34" s="542"/>
      <c r="AW34" s="616"/>
      <c r="AX34" s="190"/>
      <c r="AY34" s="190"/>
      <c r="AZ34" s="190"/>
      <c r="BA34" s="605" t="s">
        <v>102</v>
      </c>
      <c r="BB34" s="607">
        <f>M94</f>
        <v>38000</v>
      </c>
      <c r="BC34" s="609">
        <f>U94</f>
        <v>38000</v>
      </c>
      <c r="BD34" s="606">
        <f t="shared" si="26"/>
        <v>0</v>
      </c>
      <c r="BE34" s="675">
        <f t="shared" si="27"/>
        <v>0</v>
      </c>
    </row>
    <row r="35" spans="1:57" x14ac:dyDescent="0.35">
      <c r="A35" s="15">
        <f t="shared" si="0"/>
        <v>29</v>
      </c>
      <c r="B35" s="15"/>
      <c r="C35" s="193" t="s">
        <v>83</v>
      </c>
      <c r="D35" s="127">
        <f>+'[12]Washington volumes'!J30</f>
        <v>0</v>
      </c>
      <c r="E35" s="568" t="s">
        <v>265</v>
      </c>
      <c r="F35" s="161"/>
      <c r="G35" s="683"/>
      <c r="H35" s="684"/>
      <c r="I35" s="683"/>
      <c r="J35" s="684"/>
      <c r="K35" s="92"/>
      <c r="L35" s="190">
        <f>+'[12]Rates in summary'!D30</f>
        <v>0.58256000000000019</v>
      </c>
      <c r="M35" s="92"/>
      <c r="N35" s="190">
        <f>'[12]Rates in summary'!D30+[12]Temporaries!K30+[12]Temporaries!L30+[12]Temporaries!M30-[12]Temporaries!AX30</f>
        <v>0.58256000000000019</v>
      </c>
      <c r="O35" s="92"/>
      <c r="P35" s="611"/>
      <c r="Q35" s="190">
        <f>'[12]Rates in summary'!D30+[12]Temporaries!N30+[12]Temporaries!O30-[12]Temporaries!AY30</f>
        <v>0.58256000000000019</v>
      </c>
      <c r="R35" s="92"/>
      <c r="S35" s="611"/>
      <c r="T35" s="534">
        <f>'[12]Rates in detail'!D30+[12]Temporaries!T30-[12]Temporaries!BD30+[12]Temporaries!S30-[12]Temporaries!BC30+[12]Temporaries!P30-[12]Temporaries!BB30++[12]Temporaries!Q30-[12]Temporaries!AW30</f>
        <v>0.58218000000000025</v>
      </c>
      <c r="U35" s="112"/>
      <c r="V35" s="531"/>
      <c r="W35" s="190">
        <f>'[12]Rates in summary'!D30+[12]Temporaries!R30-[12]Temporaries!AZ30</f>
        <v>0.58283000000000018</v>
      </c>
      <c r="X35" s="92"/>
      <c r="Y35" s="611"/>
      <c r="Z35" s="190">
        <f>'[12]Rates in summary'!D30+[12]Permanents!F30</f>
        <v>0.58256000000000019</v>
      </c>
      <c r="AA35" s="92"/>
      <c r="AB35" s="611"/>
      <c r="AC35" s="612">
        <f>'[12]Rates in summary'!D30+[12]Temporaries!U30-[12]Temporaries!BE30</f>
        <v>0.58256000000000019</v>
      </c>
      <c r="AD35" s="546"/>
      <c r="AE35" s="613"/>
      <c r="AF35" s="190">
        <f>'[12]Rates in summary'!D30+[12]Temporaries!V30-[12]Temporaries!BF30</f>
        <v>0.58256000000000019</v>
      </c>
      <c r="AG35" s="92"/>
      <c r="AH35" s="611"/>
      <c r="AI35" s="190">
        <f>'[12]Rates in summary'!G30+[12]Temporaries!J3</f>
        <v>0.58256000000000019</v>
      </c>
      <c r="AJ35" s="92"/>
      <c r="AK35" s="614"/>
      <c r="AL35" s="190">
        <f>+'[12]Rates in summary'!Q30</f>
        <v>0.58245000000000013</v>
      </c>
      <c r="AM35" s="92"/>
      <c r="AN35" s="615"/>
      <c r="AO35" s="538"/>
      <c r="AP35" s="601"/>
      <c r="AQ35" s="537">
        <f t="shared" si="19"/>
        <v>0</v>
      </c>
      <c r="AR35" s="537">
        <f t="shared" si="20"/>
        <v>0</v>
      </c>
      <c r="AS35" s="537">
        <f t="shared" si="21"/>
        <v>-1.100000000000545E-4</v>
      </c>
      <c r="AT35" s="537">
        <f t="shared" si="32"/>
        <v>-1.100000000000545E-4</v>
      </c>
      <c r="AU35" s="6">
        <f>+'[12]Rates in summary'!D21+[12]Temporaries!K21+[12]Temporaries!M21+[12]Temporaries!L21-[12]Temporaries!AZ21</f>
        <v>0.94129000000000029</v>
      </c>
      <c r="AV35" s="542"/>
      <c r="AW35" s="616"/>
      <c r="AX35" s="190"/>
      <c r="AY35" s="190"/>
      <c r="AZ35" s="190"/>
      <c r="BA35" s="190"/>
    </row>
    <row r="36" spans="1:57" s="639" customFormat="1" x14ac:dyDescent="0.35">
      <c r="A36" s="15">
        <f t="shared" si="0"/>
        <v>30</v>
      </c>
      <c r="B36" s="192"/>
      <c r="C36" s="617" t="s">
        <v>49</v>
      </c>
      <c r="D36" s="618"/>
      <c r="E36" s="619"/>
      <c r="F36" s="620"/>
      <c r="G36" s="685"/>
      <c r="H36" s="686"/>
      <c r="I36" s="685"/>
      <c r="J36" s="686"/>
      <c r="K36" s="621"/>
      <c r="L36" s="622"/>
      <c r="M36" s="621">
        <f>$I34+ROUND(IF($F34&lt;$E34,($F34*L34),IF($F34&gt;SUM($E34:$E35),(($E34*L34)+(($F34-$E34)*L35)),0)),2)</f>
        <v>500</v>
      </c>
      <c r="N36" s="622"/>
      <c r="O36" s="621">
        <f>$I34+ROUND(IF($F34&lt;$E34,($F34*N34),IF($F34&gt;SUM($E34:$E35),(($E34*N34)+(($F34-$E34)*N35)),0)),2)</f>
        <v>500</v>
      </c>
      <c r="P36" s="623">
        <f>ROUND((O36-M36)/M36,3)</f>
        <v>0</v>
      </c>
      <c r="Q36" s="622"/>
      <c r="R36" s="621">
        <f>$I34+ROUND(IF($F34&lt;$E34,($F34*Q34),IF($F34&gt;SUM($E34:$E35),(($E34*Q34)+(($F34-$E34)*Q35)),0)),2)</f>
        <v>500</v>
      </c>
      <c r="S36" s="623">
        <f>ROUND((R36-M36)/M36,3)</f>
        <v>0</v>
      </c>
      <c r="T36" s="330"/>
      <c r="U36" s="329">
        <f>$I34+ROUND(IF($F34&lt;$E34,($F34*T34),IF($F34&gt;SUM($E34:$E35),(($E34*T34)+(($F34-$E34)*T35)),0)),2)</f>
        <v>500</v>
      </c>
      <c r="V36" s="532">
        <f>ROUND((U36-M36)/M36,3)</f>
        <v>0</v>
      </c>
      <c r="W36" s="622"/>
      <c r="X36" s="621">
        <f>$I34+ROUND(IF($F34&lt;$E34,($F34*W34),IF($F34&gt;SUM($E34:$E35),(($E34*W34)+(($F34-$E34)*W35)),0)),2)</f>
        <v>500</v>
      </c>
      <c r="Y36" s="623">
        <f>(X36-M36)/M36</f>
        <v>0</v>
      </c>
      <c r="Z36" s="622"/>
      <c r="AA36" s="621">
        <f>$I34+ROUND(IF($F34&lt;$E34,($F34*Z34),IF($F34&gt;SUM($E34:$E35),(($E34*Z34)+(($F34-$E34)*Z35)),0)),2)</f>
        <v>500</v>
      </c>
      <c r="AB36" s="623">
        <f>(AA36-M36)/M36</f>
        <v>0</v>
      </c>
      <c r="AC36" s="624"/>
      <c r="AD36" s="625">
        <f>$I34+ROUND(IF($F34&lt;$E34,($F34*AC34),IF($F34&gt;SUM($E34:$E35),(($E34*AC34)+(($F34-$E34)*AC35)),0)),2)</f>
        <v>500</v>
      </c>
      <c r="AE36" s="626">
        <f>(AD36-M36)/M36</f>
        <v>0</v>
      </c>
      <c r="AF36" s="622"/>
      <c r="AG36" s="621">
        <f>$K34+ROUND(IF($F34&lt;$E34,($F34*AF34),IF($F34&gt;SUM($E34:$E35),(($E34*AF34)+(($F34-$E34)*AF35)),0)),2)</f>
        <v>500</v>
      </c>
      <c r="AH36" s="623">
        <f>(AG36-M36)/M36</f>
        <v>0</v>
      </c>
      <c r="AI36" s="622"/>
      <c r="AJ36" s="621">
        <f>$I34+ROUND(IF($F34&lt;$E34,($F34*AI34),IF($F34&gt;SUM($E34:$E35),(($E34*AI34)+(($F34-$E34)*AI35)),0)),2)</f>
        <v>500</v>
      </c>
      <c r="AK36" s="638">
        <f>ROUND((AJ36-M36)/M36,3)</f>
        <v>0</v>
      </c>
      <c r="AL36" s="622"/>
      <c r="AM36" s="621">
        <f>$K34+ROUND(IF($F34&lt;$E34,($F34*AL34),IF($F34&gt;SUM($E34:$E35),(($E34*AL34)+(($F34-$E34)*AL35)),0)),2)</f>
        <v>500</v>
      </c>
      <c r="AN36" s="638">
        <f>ROUND((AM36-M36)/M36,3)</f>
        <v>0</v>
      </c>
      <c r="AO36" s="538"/>
      <c r="AP36" s="601"/>
      <c r="AQ36" s="537">
        <f t="shared" si="19"/>
        <v>0</v>
      </c>
      <c r="AR36" s="537">
        <f t="shared" si="20"/>
        <v>0</v>
      </c>
      <c r="AS36" s="537">
        <f t="shared" si="21"/>
        <v>0</v>
      </c>
      <c r="AT36" s="537">
        <f t="shared" si="32"/>
        <v>0</v>
      </c>
      <c r="AU36" s="627"/>
      <c r="AV36" s="628">
        <f>$I34+ROUND(IF($F34&lt;$E34,($F34*AU34),IF($F34&gt;SUM($E34:$E35),(($E34*AU34)+(($F34-$E34)*AU35)),0)),2)</f>
        <v>500</v>
      </c>
      <c r="AW36" s="629">
        <f>ROUND((AV36-M36)/M36,3)</f>
        <v>0</v>
      </c>
      <c r="AX36" s="190"/>
      <c r="AY36" s="190"/>
      <c r="AZ36" s="190"/>
      <c r="BA36" s="190"/>
      <c r="BB36" s="538"/>
      <c r="BC36" s="539"/>
      <c r="BD36" s="539"/>
      <c r="BE36" s="539"/>
    </row>
    <row r="37" spans="1:57" x14ac:dyDescent="0.35">
      <c r="A37" s="15">
        <f t="shared" si="0"/>
        <v>31</v>
      </c>
      <c r="B37" s="15" t="s">
        <v>89</v>
      </c>
      <c r="C37" s="193" t="s">
        <v>82</v>
      </c>
      <c r="D37" s="127">
        <f>+'[12]Washington volumes'!J31</f>
        <v>820212.7</v>
      </c>
      <c r="E37" s="127">
        <v>10000</v>
      </c>
      <c r="F37" s="161">
        <v>11949</v>
      </c>
      <c r="G37" s="683">
        <v>1300</v>
      </c>
      <c r="H37" s="683">
        <f>'[52]Aver Bill by RS'!$J37</f>
        <v>5142.2693365131181</v>
      </c>
      <c r="I37" s="683">
        <f>G37-(IF(H37&gt;(F37*$H$3),(F37*$H$3),H37))</f>
        <v>-1576.4827700000001</v>
      </c>
      <c r="J37" s="683">
        <f>'[52]Aver Bill by RS'!$J37</f>
        <v>5142.2693365131181</v>
      </c>
      <c r="K37" s="92">
        <f>G37-(IF(J37&gt;($F37*$H$4),($F37*$H$4),J37))</f>
        <v>-1576.4827700000001</v>
      </c>
      <c r="L37" s="190">
        <f>+'[12]Rates in summary'!D31</f>
        <v>0.79625999999999986</v>
      </c>
      <c r="M37" s="92"/>
      <c r="N37" s="190">
        <f>'[12]Rates in summary'!D31+[12]Temporaries!K31+[12]Temporaries!L31+[12]Temporaries!M31-[12]Temporaries!AX31</f>
        <v>0.79621999999999982</v>
      </c>
      <c r="O37" s="92"/>
      <c r="P37" s="611"/>
      <c r="Q37" s="190">
        <f>'[12]Rates in summary'!D31+[12]Temporaries!N31+[12]Temporaries!O31-[12]Temporaries!AY31</f>
        <v>0.79579999999999984</v>
      </c>
      <c r="R37" s="92"/>
      <c r="S37" s="611"/>
      <c r="T37" s="534">
        <f>'[12]Rates in detail'!D31+[12]Temporaries!T31-[12]Temporaries!BD31+[12]Temporaries!S31-[12]Temporaries!BC31+[12]Temporaries!P31-[12]Temporaries!BB31++[12]Temporaries!Q31-[12]Temporaries!AW31</f>
        <v>0.79632999999999976</v>
      </c>
      <c r="U37" s="112"/>
      <c r="V37" s="531"/>
      <c r="W37" s="190">
        <f>'[12]Rates in summary'!D31+[12]Temporaries!R31-[12]Temporaries!AZ31</f>
        <v>0.79645999999999983</v>
      </c>
      <c r="X37" s="92"/>
      <c r="Y37" s="611"/>
      <c r="Z37" s="190">
        <f>'[12]Rates in summary'!D31+[12]Permanents!F31</f>
        <v>0.7962999999999999</v>
      </c>
      <c r="AA37" s="92"/>
      <c r="AB37" s="611"/>
      <c r="AC37" s="612">
        <f>'[12]Rates in summary'!D31+[12]Temporaries!U31-[12]Temporaries!BE31</f>
        <v>0.79625999999999986</v>
      </c>
      <c r="AD37" s="546"/>
      <c r="AE37" s="613"/>
      <c r="AF37" s="190">
        <f>'[12]Rates in summary'!D31+[12]Temporaries!V31-[12]Temporaries!BF31</f>
        <v>0.79625999999999986</v>
      </c>
      <c r="AG37" s="92"/>
      <c r="AH37" s="611"/>
      <c r="AI37" s="190">
        <f>'[12]Rates in summary'!G31+[12]Temporaries!J31</f>
        <v>0.72489999999999977</v>
      </c>
      <c r="AJ37" s="92"/>
      <c r="AK37" s="614"/>
      <c r="AL37" s="190">
        <f>+'[12]Rates in summary'!Q31</f>
        <v>0.72470999999999985</v>
      </c>
      <c r="AM37" s="92"/>
      <c r="AN37" s="615"/>
      <c r="AO37" s="538"/>
      <c r="AP37" s="601"/>
      <c r="AQ37" s="537">
        <f t="shared" si="19"/>
        <v>0</v>
      </c>
      <c r="AR37" s="537">
        <f t="shared" si="20"/>
        <v>0</v>
      </c>
      <c r="AS37" s="537">
        <f t="shared" si="21"/>
        <v>-7.1550000000000002E-2</v>
      </c>
      <c r="AT37" s="537">
        <f t="shared" si="32"/>
        <v>-7.1550000000000002E-2</v>
      </c>
      <c r="AU37" s="6">
        <f>+'[12]Rates in summary'!D31+[12]Temporaries!K31+[12]Temporaries!M31+[12]Temporaries!L31-[12]Temporaries!AZ31</f>
        <v>0.81830999999999987</v>
      </c>
      <c r="AV37" s="542"/>
      <c r="AW37" s="616"/>
      <c r="AX37" s="190"/>
      <c r="AY37" s="190"/>
      <c r="AZ37" s="190"/>
      <c r="BA37" s="190"/>
    </row>
    <row r="38" spans="1:57" x14ac:dyDescent="0.35">
      <c r="A38" s="15">
        <f t="shared" si="0"/>
        <v>32</v>
      </c>
      <c r="B38" s="15"/>
      <c r="C38" s="193" t="s">
        <v>83</v>
      </c>
      <c r="D38" s="127">
        <f>+'[12]Washington volumes'!J32</f>
        <v>926222.5</v>
      </c>
      <c r="E38" s="127">
        <v>20000</v>
      </c>
      <c r="F38" s="161"/>
      <c r="G38" s="683"/>
      <c r="H38" s="684"/>
      <c r="I38" s="683"/>
      <c r="J38" s="684"/>
      <c r="K38" s="92"/>
      <c r="L38" s="190">
        <f>+'[12]Rates in summary'!D32</f>
        <v>0.77026999999999957</v>
      </c>
      <c r="M38" s="92"/>
      <c r="N38" s="190">
        <f>'[12]Rates in summary'!D32+[12]Temporaries!K32+[12]Temporaries!L32+[12]Temporaries!M32-[12]Temporaries!AX32</f>
        <v>0.77022999999999964</v>
      </c>
      <c r="O38" s="92"/>
      <c r="P38" s="611"/>
      <c r="Q38" s="190">
        <f>'[12]Rates in summary'!D32+[12]Temporaries!N32+[12]Temporaries!O32-[12]Temporaries!AY32</f>
        <v>0.76985999999999966</v>
      </c>
      <c r="R38" s="92"/>
      <c r="S38" s="611"/>
      <c r="T38" s="534">
        <f>'[12]Rates in detail'!D32+[12]Temporaries!T32-[12]Temporaries!BD32+[12]Temporaries!S32-[12]Temporaries!BC32+[12]Temporaries!P32-[12]Temporaries!BB32++[12]Temporaries!Q32-[12]Temporaries!AW32</f>
        <v>0.7703299999999994</v>
      </c>
      <c r="U38" s="112"/>
      <c r="V38" s="531"/>
      <c r="W38" s="190">
        <f>'[12]Rates in summary'!D32+[12]Temporaries!R32-[12]Temporaries!AZ32</f>
        <v>0.77044999999999964</v>
      </c>
      <c r="X38" s="92"/>
      <c r="Y38" s="611"/>
      <c r="Z38" s="190">
        <f>'[12]Rates in summary'!D32+[12]Permanents!F32</f>
        <v>0.77030999999999961</v>
      </c>
      <c r="AA38" s="92"/>
      <c r="AB38" s="611"/>
      <c r="AC38" s="612">
        <f>'[12]Rates in summary'!D32+[12]Temporaries!U32-[12]Temporaries!BE32</f>
        <v>0.77026999999999957</v>
      </c>
      <c r="AD38" s="546"/>
      <c r="AE38" s="613"/>
      <c r="AF38" s="190">
        <f>'[12]Rates in summary'!D32+[12]Temporaries!V32-[12]Temporaries!BF32</f>
        <v>0.77026999999999968</v>
      </c>
      <c r="AG38" s="92"/>
      <c r="AH38" s="611"/>
      <c r="AI38" s="190">
        <f>'[12]Rates in summary'!G32+[12]Temporaries!J32</f>
        <v>0.69890999999999959</v>
      </c>
      <c r="AJ38" s="92"/>
      <c r="AK38" s="614"/>
      <c r="AL38" s="190">
        <f>+'[12]Rates in summary'!Q32</f>
        <v>0.69873999999999969</v>
      </c>
      <c r="AM38" s="92"/>
      <c r="AN38" s="615"/>
      <c r="AO38" s="538"/>
      <c r="AP38" s="601"/>
      <c r="AQ38" s="537">
        <f t="shared" si="19"/>
        <v>0</v>
      </c>
      <c r="AR38" s="537">
        <f t="shared" si="20"/>
        <v>0</v>
      </c>
      <c r="AS38" s="537">
        <f t="shared" si="21"/>
        <v>-7.1529999999999871E-2</v>
      </c>
      <c r="AT38" s="537">
        <f t="shared" si="32"/>
        <v>-7.1529999999999871E-2</v>
      </c>
      <c r="AU38" s="6">
        <f>+'[12]Rates in summary'!D32+[12]Temporaries!K32+[12]Temporaries!M32+[12]Temporaries!L32-[12]Temporaries!AZ32</f>
        <v>0.79000999999999966</v>
      </c>
      <c r="AV38" s="542"/>
      <c r="AW38" s="616"/>
      <c r="AX38" s="190"/>
      <c r="AY38" s="190"/>
      <c r="AZ38" s="190"/>
      <c r="BA38" s="190"/>
    </row>
    <row r="39" spans="1:57" x14ac:dyDescent="0.35">
      <c r="A39" s="15">
        <f t="shared" si="0"/>
        <v>33</v>
      </c>
      <c r="B39" s="15"/>
      <c r="C39" s="193" t="s">
        <v>90</v>
      </c>
      <c r="D39" s="127">
        <f>+'[12]Washington volumes'!J33</f>
        <v>323675.40000000002</v>
      </c>
      <c r="E39" s="127">
        <v>20000</v>
      </c>
      <c r="F39" s="161"/>
      <c r="G39" s="683"/>
      <c r="H39" s="684"/>
      <c r="I39" s="683"/>
      <c r="J39" s="684"/>
      <c r="K39" s="92"/>
      <c r="L39" s="190">
        <f>+'[12]Rates in summary'!D33</f>
        <v>0.71862999999999988</v>
      </c>
      <c r="M39" s="92"/>
      <c r="N39" s="190">
        <f>'[12]Rates in summary'!D33+[12]Temporaries!K33+[12]Temporaries!L33+[12]Temporaries!M33-[12]Temporaries!AX33</f>
        <v>0.71859999999999979</v>
      </c>
      <c r="O39" s="92"/>
      <c r="P39" s="611"/>
      <c r="Q39" s="190">
        <f>'[12]Rates in summary'!D33+[12]Temporaries!N33+[12]Temporaries!O33-[12]Temporaries!AY33</f>
        <v>0.71831999999999985</v>
      </c>
      <c r="R39" s="92"/>
      <c r="S39" s="611"/>
      <c r="T39" s="534">
        <f>'[12]Rates in detail'!D33+[12]Temporaries!T33-[12]Temporaries!BD33+[12]Temporaries!S33-[12]Temporaries!BC33+[12]Temporaries!P33-[12]Temporaries!BB33++[12]Temporaries!Q33-[12]Temporaries!AW33</f>
        <v>0.71863999999999983</v>
      </c>
      <c r="U39" s="112"/>
      <c r="V39" s="531"/>
      <c r="W39" s="190">
        <f>'[12]Rates in summary'!D33+[12]Temporaries!R33-[12]Temporaries!AZ33</f>
        <v>0.71876999999999991</v>
      </c>
      <c r="X39" s="92"/>
      <c r="Y39" s="611"/>
      <c r="Z39" s="190">
        <f>'[12]Rates in summary'!D33+[12]Permanents!F33</f>
        <v>0.71865999999999985</v>
      </c>
      <c r="AA39" s="92"/>
      <c r="AB39" s="611"/>
      <c r="AC39" s="612">
        <f>'[12]Rates in summary'!D33+[12]Temporaries!U33-[12]Temporaries!BE33</f>
        <v>0.71862999999999988</v>
      </c>
      <c r="AD39" s="546"/>
      <c r="AE39" s="613"/>
      <c r="AF39" s="190">
        <f>'[12]Rates in summary'!D33+[12]Temporaries!V33-[12]Temporaries!BF33</f>
        <v>0.71862999999999988</v>
      </c>
      <c r="AG39" s="92"/>
      <c r="AH39" s="611"/>
      <c r="AI39" s="190">
        <f>'[12]Rates in summary'!G33+[12]Temporaries!J33</f>
        <v>0.6472699999999999</v>
      </c>
      <c r="AJ39" s="92"/>
      <c r="AK39" s="614"/>
      <c r="AL39" s="190">
        <f>+'[12]Rates in summary'!Q33</f>
        <v>0.64710999999999985</v>
      </c>
      <c r="AM39" s="92"/>
      <c r="AN39" s="615"/>
      <c r="AO39" s="538"/>
      <c r="AP39" s="601"/>
      <c r="AQ39" s="537">
        <f t="shared" si="19"/>
        <v>0</v>
      </c>
      <c r="AR39" s="537">
        <f t="shared" si="20"/>
        <v>0</v>
      </c>
      <c r="AS39" s="537">
        <f t="shared" si="21"/>
        <v>-7.1520000000000028E-2</v>
      </c>
      <c r="AT39" s="537">
        <f t="shared" si="32"/>
        <v>-7.1520000000000028E-2</v>
      </c>
      <c r="AU39" s="6">
        <f>+'[12]Rates in summary'!D33+[12]Temporaries!K33+[12]Temporaries!M33+[12]Temporaries!L33-[12]Temporaries!AZ33</f>
        <v>0.73376999999999981</v>
      </c>
      <c r="AV39" s="542"/>
      <c r="AW39" s="616"/>
      <c r="AX39" s="190"/>
      <c r="AY39" s="190"/>
      <c r="AZ39" s="190"/>
      <c r="BA39" s="190"/>
    </row>
    <row r="40" spans="1:57" x14ac:dyDescent="0.35">
      <c r="A40" s="15">
        <f t="shared" si="0"/>
        <v>34</v>
      </c>
      <c r="B40" s="15"/>
      <c r="C40" s="193" t="s">
        <v>91</v>
      </c>
      <c r="D40" s="127">
        <f>+'[12]Washington volumes'!J34</f>
        <v>84982.8</v>
      </c>
      <c r="E40" s="127">
        <v>100000</v>
      </c>
      <c r="F40" s="161"/>
      <c r="G40" s="683"/>
      <c r="H40" s="684"/>
      <c r="I40" s="683"/>
      <c r="J40" s="684"/>
      <c r="K40" s="92"/>
      <c r="L40" s="190">
        <f>+'[12]Rates in summary'!D34</f>
        <v>0.68461000000000016</v>
      </c>
      <c r="M40" s="92"/>
      <c r="N40" s="190">
        <f>'[12]Rates in summary'!D34+[12]Temporaries!K34+[12]Temporaries!L34+[12]Temporaries!M34-[12]Temporaries!AX34</f>
        <v>0.68459000000000025</v>
      </c>
      <c r="O40" s="92"/>
      <c r="P40" s="611"/>
      <c r="Q40" s="190">
        <f>'[12]Rates in summary'!D34+[12]Temporaries!N34+[12]Temporaries!O34-[12]Temporaries!AY34</f>
        <v>0.68436000000000008</v>
      </c>
      <c r="R40" s="92"/>
      <c r="S40" s="611"/>
      <c r="T40" s="534">
        <f>'[12]Rates in detail'!D34+[12]Temporaries!T34-[12]Temporaries!BD34+[12]Temporaries!S34-[12]Temporaries!BC34+[12]Temporaries!P34-[12]Temporaries!BB34++[12]Temporaries!Q34-[12]Temporaries!AW34</f>
        <v>0.68461000000000016</v>
      </c>
      <c r="U40" s="112"/>
      <c r="V40" s="531"/>
      <c r="W40" s="190">
        <f>'[12]Rates in summary'!D34+[12]Temporaries!R34-[12]Temporaries!AZ34</f>
        <v>0.68472000000000022</v>
      </c>
      <c r="X40" s="92"/>
      <c r="Y40" s="611"/>
      <c r="Z40" s="190">
        <f>'[12]Rates in summary'!D34+[12]Permanents!F34</f>
        <v>0.68463000000000018</v>
      </c>
      <c r="AA40" s="92"/>
      <c r="AB40" s="611"/>
      <c r="AC40" s="612">
        <f>'[12]Rates in summary'!D34+[12]Temporaries!U34-[12]Temporaries!BE34</f>
        <v>0.68461000000000016</v>
      </c>
      <c r="AD40" s="546"/>
      <c r="AE40" s="613"/>
      <c r="AF40" s="190">
        <f>'[12]Rates in summary'!D34+[12]Temporaries!V34-[12]Temporaries!BF34</f>
        <v>0.68461000000000016</v>
      </c>
      <c r="AG40" s="92"/>
      <c r="AH40" s="611"/>
      <c r="AI40" s="190">
        <f>'[12]Rates in summary'!G34+[12]Temporaries!J34</f>
        <v>0.61325000000000018</v>
      </c>
      <c r="AJ40" s="92"/>
      <c r="AK40" s="614"/>
      <c r="AL40" s="190">
        <f>+'[12]Rates in summary'!Q34</f>
        <v>0.61311000000000027</v>
      </c>
      <c r="AM40" s="92"/>
      <c r="AN40" s="615"/>
      <c r="AO40" s="538"/>
      <c r="AP40" s="601"/>
      <c r="AQ40" s="537">
        <f t="shared" si="19"/>
        <v>0</v>
      </c>
      <c r="AR40" s="537">
        <f t="shared" si="20"/>
        <v>0</v>
      </c>
      <c r="AS40" s="537">
        <f t="shared" si="21"/>
        <v>-7.1499999999999897E-2</v>
      </c>
      <c r="AT40" s="537">
        <f t="shared" si="32"/>
        <v>-7.1499999999999897E-2</v>
      </c>
      <c r="AU40" s="6">
        <f>+'[12]Rates in summary'!D34+[12]Temporaries!K34+[12]Temporaries!M34+[12]Temporaries!L34-[12]Temporaries!AZ34</f>
        <v>0.69672000000000023</v>
      </c>
      <c r="AV40" s="542"/>
      <c r="AW40" s="616"/>
      <c r="AX40" s="190"/>
      <c r="AY40" s="190"/>
      <c r="AZ40" s="190"/>
      <c r="BA40" s="190"/>
    </row>
    <row r="41" spans="1:57" x14ac:dyDescent="0.35">
      <c r="A41" s="15">
        <f t="shared" si="0"/>
        <v>35</v>
      </c>
      <c r="B41" s="15"/>
      <c r="C41" s="193" t="s">
        <v>92</v>
      </c>
      <c r="D41" s="127">
        <f>+'[12]Washington volumes'!J35</f>
        <v>0</v>
      </c>
      <c r="E41" s="127">
        <v>600000</v>
      </c>
      <c r="F41" s="161"/>
      <c r="G41" s="683"/>
      <c r="H41" s="684"/>
      <c r="I41" s="683"/>
      <c r="J41" s="684"/>
      <c r="K41" s="92"/>
      <c r="L41" s="190">
        <f>+'[12]Rates in summary'!D35</f>
        <v>0.63927</v>
      </c>
      <c r="M41" s="92"/>
      <c r="N41" s="190">
        <f>'[12]Rates in summary'!D35+[12]Temporaries!K35+[12]Temporaries!L35+[12]Temporaries!M35-[12]Temporaries!AX35</f>
        <v>0.63924999999999998</v>
      </c>
      <c r="O41" s="92"/>
      <c r="P41" s="611"/>
      <c r="Q41" s="190">
        <f>'[12]Rates in summary'!D35+[12]Temporaries!N35+[12]Temporaries!O35-[12]Temporaries!AY35</f>
        <v>0.6391</v>
      </c>
      <c r="R41" s="92"/>
      <c r="S41" s="611"/>
      <c r="T41" s="534">
        <f>'[12]Rates in detail'!D35+[12]Temporaries!T35-[12]Temporaries!BD35+[12]Temporaries!S35-[12]Temporaries!BC35+[12]Temporaries!P35-[12]Temporaries!BB35++[12]Temporaries!Q35-[12]Temporaries!AW35</f>
        <v>0.63922000000000001</v>
      </c>
      <c r="U41" s="112"/>
      <c r="V41" s="531"/>
      <c r="W41" s="190">
        <f>'[12]Rates in summary'!D35+[12]Temporaries!R35-[12]Temporaries!AZ35</f>
        <v>0.63934000000000002</v>
      </c>
      <c r="X41" s="92"/>
      <c r="Y41" s="611"/>
      <c r="Z41" s="190">
        <f>'[12]Rates in summary'!D35+[12]Permanents!F35</f>
        <v>0.63929000000000002</v>
      </c>
      <c r="AA41" s="92"/>
      <c r="AB41" s="611"/>
      <c r="AC41" s="612">
        <f>'[12]Rates in summary'!D35+[12]Temporaries!U35-[12]Temporaries!BE35</f>
        <v>0.63927</v>
      </c>
      <c r="AD41" s="546"/>
      <c r="AE41" s="613"/>
      <c r="AF41" s="190">
        <f>'[12]Rates in summary'!D35+[12]Temporaries!V35-[12]Temporaries!BF35</f>
        <v>0.63927</v>
      </c>
      <c r="AG41" s="92"/>
      <c r="AH41" s="611"/>
      <c r="AI41" s="190">
        <f>'[12]Rates in summary'!G35+[12]Temporaries!J35</f>
        <v>0.56791000000000003</v>
      </c>
      <c r="AJ41" s="92"/>
      <c r="AK41" s="614"/>
      <c r="AL41" s="190">
        <f>+'[12]Rates in summary'!Q35</f>
        <v>0.56776000000000004</v>
      </c>
      <c r="AM41" s="92"/>
      <c r="AN41" s="615"/>
      <c r="AO41" s="538"/>
      <c r="AP41" s="601"/>
      <c r="AQ41" s="537">
        <f t="shared" si="19"/>
        <v>0</v>
      </c>
      <c r="AR41" s="537">
        <f t="shared" si="20"/>
        <v>0</v>
      </c>
      <c r="AS41" s="537">
        <f t="shared" si="21"/>
        <v>-7.1509999999999962E-2</v>
      </c>
      <c r="AT41" s="537">
        <f t="shared" si="32"/>
        <v>-7.1509999999999962E-2</v>
      </c>
      <c r="AU41" s="6">
        <f>+'[12]Rates in summary'!D35+[12]Temporaries!K35+[12]Temporaries!M35+[12]Temporaries!L35-[12]Temporaries!AZ35</f>
        <v>0.64734000000000003</v>
      </c>
      <c r="AV41" s="6"/>
      <c r="AW41" s="616"/>
      <c r="AX41" s="190"/>
      <c r="AY41" s="190"/>
      <c r="AZ41" s="190"/>
      <c r="BA41" s="190"/>
    </row>
    <row r="42" spans="1:57" x14ac:dyDescent="0.35">
      <c r="A42" s="15">
        <f t="shared" si="0"/>
        <v>36</v>
      </c>
      <c r="B42" s="15"/>
      <c r="C42" s="193" t="s">
        <v>93</v>
      </c>
      <c r="D42" s="127">
        <f>+'[12]Washington volumes'!J36</f>
        <v>0</v>
      </c>
      <c r="E42" s="568" t="s">
        <v>265</v>
      </c>
      <c r="F42" s="161"/>
      <c r="G42" s="683"/>
      <c r="H42" s="684"/>
      <c r="I42" s="683"/>
      <c r="J42" s="684"/>
      <c r="K42" s="92"/>
      <c r="L42" s="190">
        <f>+'[12]Rates in summary'!D36</f>
        <v>0.58259000000000005</v>
      </c>
      <c r="M42" s="92"/>
      <c r="N42" s="190">
        <f>'[12]Rates in summary'!D36+[12]Temporaries!K36+[12]Temporaries!L36+[12]Temporaries!M36-[12]Temporaries!AX36</f>
        <v>0.58259000000000005</v>
      </c>
      <c r="O42" s="92"/>
      <c r="P42" s="611"/>
      <c r="Q42" s="190">
        <f>'[12]Rates in summary'!D36+[12]Temporaries!N36+[12]Temporaries!O36-[12]Temporaries!AY36</f>
        <v>0.58252999999999999</v>
      </c>
      <c r="R42" s="92"/>
      <c r="S42" s="611"/>
      <c r="T42" s="534">
        <f>'[12]Rates in detail'!D36+[12]Temporaries!T36-[12]Temporaries!BD36+[12]Temporaries!S36-[12]Temporaries!BC36+[12]Temporaries!P36-[12]Temporaries!BB36++[12]Temporaries!Q36-[12]Temporaries!AW36</f>
        <v>0.58250000000000002</v>
      </c>
      <c r="U42" s="112"/>
      <c r="V42" s="531"/>
      <c r="W42" s="190">
        <f>'[12]Rates in summary'!D36+[12]Temporaries!R36-[12]Temporaries!AZ36</f>
        <v>0.58262000000000003</v>
      </c>
      <c r="X42" s="92"/>
      <c r="Y42" s="611"/>
      <c r="Z42" s="190">
        <f>'[12]Rates in summary'!D36+[12]Permanents!F36</f>
        <v>0.58260000000000001</v>
      </c>
      <c r="AA42" s="92"/>
      <c r="AB42" s="611"/>
      <c r="AC42" s="612">
        <f>'[12]Rates in summary'!D36+[12]Temporaries!U36-[12]Temporaries!BE36</f>
        <v>0.58259000000000005</v>
      </c>
      <c r="AD42" s="546"/>
      <c r="AE42" s="613"/>
      <c r="AF42" s="190">
        <f>'[12]Rates in summary'!D36+[12]Temporaries!V36-[12]Temporaries!BF36</f>
        <v>0.58259000000000005</v>
      </c>
      <c r="AG42" s="92"/>
      <c r="AH42" s="611"/>
      <c r="AI42" s="190">
        <f>'[12]Rates in summary'!G36+[12]Temporaries!J36</f>
        <v>0.51122999999999996</v>
      </c>
      <c r="AJ42" s="92"/>
      <c r="AK42" s="614"/>
      <c r="AL42" s="190">
        <f>+'[12]Rates in summary'!Q36</f>
        <v>0.51111999999999991</v>
      </c>
      <c r="AM42" s="92"/>
      <c r="AN42" s="615"/>
      <c r="AO42" s="538"/>
      <c r="AP42" s="601"/>
      <c r="AQ42" s="537">
        <f t="shared" si="19"/>
        <v>0</v>
      </c>
      <c r="AR42" s="537">
        <f t="shared" si="20"/>
        <v>0</v>
      </c>
      <c r="AS42" s="537">
        <f t="shared" si="21"/>
        <v>-7.1470000000000145E-2</v>
      </c>
      <c r="AT42" s="537">
        <f t="shared" si="32"/>
        <v>-7.1470000000000145E-2</v>
      </c>
      <c r="AU42" s="6">
        <f>+'[12]Rates in summary'!D36+[12]Temporaries!K36+[12]Temporaries!M36+[12]Temporaries!L36-[12]Temporaries!AZ36</f>
        <v>0.58562000000000003</v>
      </c>
      <c r="AV42" s="6"/>
      <c r="AW42" s="616"/>
      <c r="AX42" s="190"/>
      <c r="AY42" s="190"/>
      <c r="AZ42" s="190"/>
      <c r="BA42" s="190"/>
    </row>
    <row r="43" spans="1:57" x14ac:dyDescent="0.35">
      <c r="A43" s="15">
        <f t="shared" si="0"/>
        <v>37</v>
      </c>
      <c r="B43" s="192"/>
      <c r="C43" s="617" t="s">
        <v>49</v>
      </c>
      <c r="D43" s="618"/>
      <c r="E43" s="619"/>
      <c r="F43" s="620"/>
      <c r="G43" s="685"/>
      <c r="H43" s="686"/>
      <c r="I43" s="685"/>
      <c r="J43" s="686"/>
      <c r="K43" s="621"/>
      <c r="L43" s="622"/>
      <c r="M43" s="621">
        <f>$I37+ROUND(IF($F37&lt;$E37,($F37*L37),IF($F37&lt;SUM($E37:$E38),(($E37*L37)+(($F37-$E37)*L38)),IF($F37&lt;SUM($E37:$E39),(($E37*L37)+($E38*L38)+(($F37-$E37-$E38)*L39)),IF($F37&lt;SUM($E37:$E40),(($E37*L37)+($E38*L38)+($E39*L39)+(($F37-SUM($E37:$E39))*L40)),IF($F37&lt;SUM($E37:$E41),(($E37*L37)+($E38*L38)+($E39*L39)+($E40*L40)+(($F37-SUM($E37:$E40))*L41)),(($E37*L37)+($E38*L38)+($E39*L39)+($E40*L39)+($E41*L41)+(($F37-SUM($E37:$E41))*L42))))))),2)</f>
        <v>7887.3772300000001</v>
      </c>
      <c r="N43" s="622"/>
      <c r="O43" s="621">
        <f>$I37+ROUND(IF($F37&lt;$E37,($F37*N37),IF($F37&lt;SUM($E37:$E38),(($E37*N37)+(($F37-$E37)*N38)),IF($F37&lt;SUM($E37:$E39),(($E37*N37)+($E38*N38)+(($F37-$E37-$E38)*N39)),IF($F37&lt;SUM($E37:$E40),(($E37*N37)+($E38*N38)+($E39*N39)+(($F37-SUM($E37:$E39))*N40)),IF($F37&lt;SUM($E37:$E41),(($E37*N37)+($E38*N38)+($E39*N39)+($E40*N40)+(($F37-SUM($E37:$E40))*N41)),(($E37*N37)+($E38*N38)+($E39*N39)+($E40*N39)+($E41*N41)+(($F37-SUM($E37:$E41))*N42))))))),2)</f>
        <v>7886.8972299999987</v>
      </c>
      <c r="P43" s="623">
        <f>ROUND((O43-M43)/M43,3)</f>
        <v>0</v>
      </c>
      <c r="Q43" s="622"/>
      <c r="R43" s="621">
        <f>$I37+ROUND(IF($F37&lt;$E37,($F37*Q37),IF($F37&lt;SUM($E37:$E38),(($E37*Q37)+(($F37-$E37)*Q38)),IF($F37&lt;SUM($E37:$E39),(($E37*Q37)+($E38*Q38)+(($F37-$E37-$E38)*Q39)),IF($F37&lt;SUM($E37:$E40),(($E37*Q37)+($E38*Q38)+($E39*Q39)+(($F37-SUM($E37:$E39))*Q40)),IF($F37&lt;SUM($E37:$E41),(($E37*Q37)+($E38*Q38)+($E39*Q39)+($E40*Q40)+(($F37-SUM($E37:$E40))*Q41)),(($E37*Q37)+($E38*Q38)+($E39*Q39)+($E40*Q39)+($E41*Q41)+(($F37-SUM($E37:$E41))*Q42))))))),2)</f>
        <v>7881.9772299999986</v>
      </c>
      <c r="S43" s="623">
        <f>ROUND((R43-M43)/M43,3)</f>
        <v>-1E-3</v>
      </c>
      <c r="T43" s="330"/>
      <c r="U43" s="329">
        <f>$I37+ROUND(IF($F37&lt;$E37,($F37*T37),IF($F37&lt;SUM($E37:$E38),(($E37*T37)+(($F37-$E37)*T38)),IF($F37&lt;SUM($E37:$E39),(($E37*T37)+($E38*T38)+(($F37-$E37-$E38)*T39)),IF($F37&lt;SUM($E37:$E40),(($E37*T37)+($E38*T38)+($E39*T39)+(($F37-SUM($E37:$E39))*T40)),IF($F37&lt;SUM($E37:$E41),(($E37*T37)+($E38*T38)+($E39*T39)+($E40*T40)+(($F37-SUM($E37:$E40))*T41)),(($E37*T37)+($E38*T38)+($E39*T39)+($E40*T39)+($E41*T41)+(($F37-SUM($E37:$E41))*T42))))))),2)</f>
        <v>7888.1872299999995</v>
      </c>
      <c r="V43" s="532">
        <f>ROUND((U43-M43)/M43,3)</f>
        <v>0</v>
      </c>
      <c r="W43" s="622"/>
      <c r="X43" s="621">
        <f>$I37+ROUND(IF($F37&lt;$E37,($F37*W37),IF($F37&lt;SUM($E37:$E38),(($E37*W37)+(($F37-$E37)*W38)),IF($F37&lt;SUM($E37:$E39),(($E37*W37)+($E38*W38)+(($F37-$E37-$E38)*W39)),IF($F37&lt;SUM($E37:$E40),(($E37*W37)+($E38*W38)+($E39*W39)+(($F37-SUM($E37:$E39))*W40)),IF($F37&lt;SUM($E37:$E41),(($E37*W37)+($E38*W38)+($E39*W39)+($E40*W40)+(($F37-SUM($E37:$E40))*W41)),(($E37*W37)+($E38*W38)+($E39*W39)+($E40*W39)+($E41*W41)+(($F37-SUM($E37:$E41))*W42))))))),2)</f>
        <v>7889.7272299999986</v>
      </c>
      <c r="Y43" s="623">
        <f>(X43-M43)/M43</f>
        <v>2.979444156747331E-4</v>
      </c>
      <c r="Z43" s="622"/>
      <c r="AA43" s="621">
        <f>$I37+ROUND(IF($F37&lt;$E37,($F37*Z37),IF($F37&lt;SUM($E37:$E38),(($E37*Z37)+(($F37-$E37)*Z38)),IF($F37&lt;SUM($E37:$E39),(($E37*Z37)+($E38*Z38)+(($F37-$E37-$E38)*Z39)),IF($F37&lt;SUM($E37:$E40),(($E37*Z37)+($E38*Z38)+($E39*Z39)+(($F37-SUM($E37:$E39))*Z40)),IF($F37&lt;SUM($E37:$E41),(($E37*Z37)+($E38*Z38)+($E39*Z39)+($E40*Z40)+(($F37-SUM($E37:$E40))*Z41)),(($E37*Z37)+($E38*Z38)+($E39*Z39)+($E40*Z39)+($E41*Z41)+(($F37-SUM($E37:$E41))*Z42))))))),2)</f>
        <v>7887.8472299999994</v>
      </c>
      <c r="AB43" s="623">
        <f>(AA43-M43)/M43</f>
        <v>5.9588883134900495E-5</v>
      </c>
      <c r="AC43" s="624"/>
      <c r="AD43" s="625">
        <f>$I37+ROUND(IF($F37&lt;$E37,($F37*AC37),IF($F37&lt;SUM($E37:$E38),(($E37*AC37)+(($F37-$E37)*AC38)),IF($F37&lt;SUM($E37:$E39),(($E37*AC37)+($E38*AC38)+(($F37-$E37-$E38)*AC39)),IF($F37&lt;SUM($E37:$E40),(($E37*AC37)+($E38*AC38)+($E39*AC39)+(($F37-SUM($E37:$E39))*AC40)),IF($F37&lt;SUM($E37:$E41),(($E37*AC37)+($E38*AC38)+($E39*AC39)+($E40*AC40)+(($F37-SUM($E37:$E40))*AC41)),(($E37*AC37)+($E38*AC38)+($E39*AC39)+($E40*AC39)+($E41*AC41)+(($F37-SUM($E37:$E41))*AC42))))))),2)</f>
        <v>7887.3772300000001</v>
      </c>
      <c r="AE43" s="626">
        <f>(AD43-M43)/M43</f>
        <v>0</v>
      </c>
      <c r="AF43" s="622"/>
      <c r="AG43" s="621">
        <f>$K37+ROUND(IF($F37&lt;$E37,($F37*AF37),IF($F37&lt;SUM($E37:$E38),(($E37*AF37)+(($F37-$E37)*AF38)),IF($F37&lt;SUM($E37:$E39),(($E37*AF37)+($E38*AF38)+(($F37-$E37-$E38)*AF39)),IF($F37&lt;SUM($E37:$E40),(($E37*AF37)+($E38*AF38)+($E39*AF39)+(($F37-SUM($E37:$E39))*AF40)),IF($F37&lt;SUM($E37:$E41),(($E37*AF37)+($E38*AF38)+($E39*AF39)+($E40*AF40)+(($F37-SUM($E37:$E40))*AF41)),(($E37*AF37)+($E38*AF38)+($E39*AF39)+($E40*AF39)+($E41*AF41)+(($F37-SUM($E37:$E41))*AF42))))))),2)</f>
        <v>7887.3772300000001</v>
      </c>
      <c r="AH43" s="623">
        <f>(AG43-M43)/M43</f>
        <v>0</v>
      </c>
      <c r="AI43" s="622"/>
      <c r="AJ43" s="621">
        <f>$I37+ROUND(IF($F37&lt;$E37,($F37*AI37),IF($F37&lt;SUM($E37:$E38),(($E37*AI37)+(($F37-$E37)*AI38)),IF($F37&lt;SUM($E37:$E39),(($E37*AI37)+($E38*AI38)+(($F37-$E37-$E38)*AI39)),IF($F37&lt;SUM($E37:$E40),(($E37*AI37)+($E38*AI38)+($E39*AI39)+(($F37-SUM($E37:$E39))*AI40)),IF($F37&lt;SUM($E37:$E41),(($E37*AI37)+($E38*AI38)+($E39*AI39)+($E40*AI40)+(($F37-SUM($E37:$E40))*AI41)),(($E37*AI37)+($E38*AI38)+($E39*AI39)+($E40*AI39)+($E41*AI41)+(($F37-SUM($E37:$E41))*AI42))))))),2)</f>
        <v>7034.6972299999998</v>
      </c>
      <c r="AK43" s="638">
        <f>ROUND((AJ43-M43)/M43,3)</f>
        <v>-0.108</v>
      </c>
      <c r="AL43" s="622"/>
      <c r="AM43" s="621">
        <f>$K37+ROUND(IF($F37&lt;$E37,($F37*AL37),IF($F37&lt;SUM($E37:$E38),(($E37*AL37)+(($F37-$E37)*AL38)),IF($F37&lt;SUM($E37:$E39),(($E37*AL37)+($E38*AL38)+(($F37-$E37-$E38)*AL39)),IF($F37&lt;SUM($E37:$E40),(($E37*AL37)+($E38*AL38)+($E39*AL39)+(($F37-SUM($E37:$E39))*AL40)),IF($F37&lt;SUM($E37:$E41),(($E37*AL37)+($E38*AL38)+($E39*AL39)+($E40*AL40)+(($F37-SUM($E37:$E40))*AL41)),(($E37*AL37)+($E38*AL38)+($E39*AL39)+($E40*AL39)+($E41*AL41)+(($F37-SUM($E37:$E41))*AL42))))))),2)</f>
        <v>7032.45723</v>
      </c>
      <c r="AN43" s="638">
        <f>ROUND((AM43-M43)/M43,3)</f>
        <v>-0.108</v>
      </c>
      <c r="AO43" s="538"/>
      <c r="AP43" s="601"/>
      <c r="AQ43" s="537">
        <f t="shared" si="19"/>
        <v>0</v>
      </c>
      <c r="AR43" s="537">
        <f t="shared" si="20"/>
        <v>0</v>
      </c>
      <c r="AS43" s="537">
        <f t="shared" si="21"/>
        <v>0</v>
      </c>
      <c r="AT43" s="537">
        <f t="shared" si="32"/>
        <v>0</v>
      </c>
      <c r="AU43" s="627"/>
      <c r="AV43" s="628">
        <f>$I37+ROUND(IF($F37&lt;$E37,($F37*AU37),IF($F37&lt;SUM($E37:$E38),(($E37*AU37)+(($F37-$E37)*AU38)),IF($F37&lt;SUM($E37:$E39),(($E37*AU37)+($E38*AU38)+(($F37-$E37-$E38)*AU39)),IF($F37&lt;SUM($E37:$E40),(($E37*AU37)+($E38*AU38)+($E39*AU39)+(($F37-SUM($E37:$E39))*AU40)),IF($F37&lt;SUM($E37:$E41),(($E37*AU37)+($E38*AU38)+($E39*AU39)+($E40*AU40)+(($F37-SUM($E37:$E40))*AU41)),(($E37*AU37)+($E38*AU38)+($E39*AU39)+($E40*AU39)+($E41*AU41)+(($F37-SUM($E37:$E41))*AU42))))))),2)</f>
        <v>8146.3472299999994</v>
      </c>
      <c r="AW43" s="629">
        <f>ROUND((AV43-M43)/M43,3)</f>
        <v>3.3000000000000002E-2</v>
      </c>
      <c r="AX43" s="190"/>
      <c r="AY43" s="190"/>
      <c r="AZ43" s="190"/>
      <c r="BA43" s="190"/>
    </row>
    <row r="44" spans="1:57" x14ac:dyDescent="0.35">
      <c r="A44" s="15">
        <f t="shared" si="0"/>
        <v>38</v>
      </c>
      <c r="B44" s="15" t="s">
        <v>94</v>
      </c>
      <c r="C44" s="193" t="s">
        <v>82</v>
      </c>
      <c r="D44" s="127">
        <f>+'[12]Washington volumes'!J37</f>
        <v>887029.75709862076</v>
      </c>
      <c r="E44" s="127">
        <v>10000</v>
      </c>
      <c r="F44" s="161">
        <v>12869</v>
      </c>
      <c r="G44" s="683">
        <v>1300</v>
      </c>
      <c r="H44" s="683">
        <f>'[52]Aver Bill by RS'!$J44</f>
        <v>3945.7691048183847</v>
      </c>
      <c r="I44" s="683">
        <f>G44-(IF(H44&gt;(F44*$H$3),(F44*$H$3),H44))</f>
        <v>-1797.9543699999999</v>
      </c>
      <c r="J44" s="683">
        <f>'[52]Aver Bill by RS'!$J44</f>
        <v>3945.7691048183847</v>
      </c>
      <c r="K44" s="92">
        <f>G44-(IF(J44&gt;($F44*$H$4),($F44*$H$4),J44))</f>
        <v>-1797.9543699999999</v>
      </c>
      <c r="L44" s="190">
        <f>+'[12]Rates in summary'!D37</f>
        <v>0.73169000000000006</v>
      </c>
      <c r="M44" s="92"/>
      <c r="N44" s="190">
        <f>'[12]Rates in summary'!D37+[12]Temporaries!K37+[12]Temporaries!L37+[12]Temporaries!M37-[12]Temporaries!AX37</f>
        <v>0.73169000000000006</v>
      </c>
      <c r="O44" s="92"/>
      <c r="P44" s="611"/>
      <c r="Q44" s="190">
        <f>'[12]Rates in summary'!D37+[12]Temporaries!N37+[12]Temporaries!O37-[12]Temporaries!AY37</f>
        <v>0.73159000000000018</v>
      </c>
      <c r="R44" s="92"/>
      <c r="S44" s="611"/>
      <c r="T44" s="534">
        <f>'[12]Rates in detail'!D37+[12]Temporaries!T37-[12]Temporaries!BD37+[12]Temporaries!S37-[12]Temporaries!BC37+[12]Temporaries!P37-[12]Temporaries!BB37++[12]Temporaries!Q37-[12]Temporaries!AW37</f>
        <v>0.73119000000000001</v>
      </c>
      <c r="U44" s="112"/>
      <c r="V44" s="531"/>
      <c r="W44" s="190">
        <f>'[12]Rates in summary'!D37+[12]Temporaries!R37-[12]Temporaries!AZ37</f>
        <v>0.73206000000000004</v>
      </c>
      <c r="X44" s="92"/>
      <c r="Y44" s="611"/>
      <c r="Z44" s="190">
        <f>'[12]Rates in summary'!D37+[12]Permanents!F37</f>
        <v>0.73174000000000006</v>
      </c>
      <c r="AA44" s="92"/>
      <c r="AB44" s="611"/>
      <c r="AC44" s="612">
        <f>'[12]Rates in summary'!D37+[12]Temporaries!U37-[12]Temporaries!BE37</f>
        <v>0.73169000000000006</v>
      </c>
      <c r="AD44" s="546"/>
      <c r="AE44" s="613"/>
      <c r="AF44" s="190">
        <f>'[12]Rates in summary'!D37+[12]Temporaries!V37-[12]Temporaries!BF37</f>
        <v>0.73169000000000006</v>
      </c>
      <c r="AG44" s="92"/>
      <c r="AH44" s="611"/>
      <c r="AI44" s="190">
        <f>'[12]Rates in summary'!G37+[12]Temporaries!J37</f>
        <v>0.66032999999999997</v>
      </c>
      <c r="AJ44" s="92"/>
      <c r="AK44" s="614"/>
      <c r="AL44" s="190">
        <f>+'[12]Rates in summary'!Q37</f>
        <v>0.66015000000000001</v>
      </c>
      <c r="AM44" s="92"/>
      <c r="AN44" s="615"/>
      <c r="AO44" s="538"/>
      <c r="AP44" s="601"/>
      <c r="AQ44" s="537">
        <f t="shared" si="19"/>
        <v>0</v>
      </c>
      <c r="AR44" s="537">
        <f t="shared" si="20"/>
        <v>0</v>
      </c>
      <c r="AS44" s="537">
        <f t="shared" si="21"/>
        <v>-7.1540000000000048E-2</v>
      </c>
      <c r="AT44" s="537">
        <f t="shared" si="32"/>
        <v>-7.1540000000000048E-2</v>
      </c>
      <c r="AU44" s="6">
        <f>+'[12]Rates in summary'!D37+[12]Temporaries!K37+[12]Temporaries!M37+[12]Temporaries!L37-[12]Temporaries!AZ37</f>
        <v>0.72859000000000007</v>
      </c>
      <c r="AV44" s="542"/>
      <c r="AW44" s="616"/>
      <c r="AX44" s="190"/>
      <c r="AY44" s="190"/>
      <c r="AZ44" s="190"/>
      <c r="BA44" s="190"/>
    </row>
    <row r="45" spans="1:57" x14ac:dyDescent="0.35">
      <c r="A45" s="15">
        <f t="shared" si="0"/>
        <v>39</v>
      </c>
      <c r="B45" s="15"/>
      <c r="C45" s="193" t="s">
        <v>83</v>
      </c>
      <c r="D45" s="127">
        <f>+'[12]Washington volumes'!J38</f>
        <v>668287.37243846827</v>
      </c>
      <c r="E45" s="127">
        <v>20000</v>
      </c>
      <c r="F45" s="161"/>
      <c r="G45" s="683"/>
      <c r="H45" s="684"/>
      <c r="I45" s="683"/>
      <c r="J45" s="684"/>
      <c r="K45" s="92"/>
      <c r="L45" s="190">
        <f>+'[12]Rates in summary'!D38</f>
        <v>0.71257999999999988</v>
      </c>
      <c r="M45" s="92"/>
      <c r="N45" s="190">
        <f>'[12]Rates in summary'!D38+[12]Temporaries!K38+[12]Temporaries!L38+[12]Temporaries!M38-[12]Temporaries!AX38</f>
        <v>0.71257999999999988</v>
      </c>
      <c r="O45" s="92"/>
      <c r="P45" s="611"/>
      <c r="Q45" s="190">
        <f>'[12]Rates in summary'!D38+[12]Temporaries!N38+[12]Temporaries!O38-[12]Temporaries!AY38</f>
        <v>0.71248999999999985</v>
      </c>
      <c r="R45" s="92"/>
      <c r="S45" s="611"/>
      <c r="T45" s="534">
        <f>'[12]Rates in detail'!D38+[12]Temporaries!T38-[12]Temporaries!BD38+[12]Temporaries!S38-[12]Temporaries!BC38+[12]Temporaries!P38-[12]Temporaries!BB38++[12]Temporaries!Q38-[12]Temporaries!AW38</f>
        <v>0.71204999999999985</v>
      </c>
      <c r="U45" s="112"/>
      <c r="V45" s="531"/>
      <c r="W45" s="190">
        <f>'[12]Rates in summary'!D38+[12]Temporaries!R38-[12]Temporaries!AZ38</f>
        <v>0.71291999999999978</v>
      </c>
      <c r="X45" s="92"/>
      <c r="Y45" s="611"/>
      <c r="Z45" s="190">
        <f>'[12]Rates in summary'!D38+[12]Permanents!F38</f>
        <v>0.71261999999999992</v>
      </c>
      <c r="AA45" s="92"/>
      <c r="AB45" s="611"/>
      <c r="AC45" s="612">
        <f>'[12]Rates in summary'!D38+[12]Temporaries!U38-[12]Temporaries!BE38</f>
        <v>0.71257999999999988</v>
      </c>
      <c r="AD45" s="546"/>
      <c r="AE45" s="613"/>
      <c r="AF45" s="190">
        <f>'[12]Rates in summary'!D38+[12]Temporaries!V38-[12]Temporaries!BF38</f>
        <v>0.71257999999999988</v>
      </c>
      <c r="AG45" s="92"/>
      <c r="AH45" s="611"/>
      <c r="AI45" s="190">
        <f>'[12]Rates in summary'!G38+[12]Temporaries!J38</f>
        <v>0.64121999999999979</v>
      </c>
      <c r="AJ45" s="92"/>
      <c r="AK45" s="614"/>
      <c r="AL45" s="190">
        <f>+'[12]Rates in summary'!Q38</f>
        <v>0.64097999999999988</v>
      </c>
      <c r="AM45" s="92"/>
      <c r="AN45" s="615"/>
      <c r="AO45" s="538"/>
      <c r="AP45" s="601"/>
      <c r="AQ45" s="537">
        <f t="shared" si="19"/>
        <v>0</v>
      </c>
      <c r="AR45" s="537">
        <f t="shared" si="20"/>
        <v>0</v>
      </c>
      <c r="AS45" s="537">
        <f t="shared" si="21"/>
        <v>-7.1599999999999997E-2</v>
      </c>
      <c r="AT45" s="537">
        <f t="shared" si="32"/>
        <v>-7.1599999999999997E-2</v>
      </c>
      <c r="AU45" s="6">
        <f>+'[12]Rates in summary'!D38+[12]Temporaries!K38+[12]Temporaries!M38+[12]Temporaries!L38-[12]Temporaries!AZ38</f>
        <v>0.70980999999999983</v>
      </c>
      <c r="AV45" s="542"/>
      <c r="AW45" s="616"/>
      <c r="AX45" s="190"/>
      <c r="AY45" s="190"/>
      <c r="AZ45" s="190"/>
      <c r="BA45" s="190"/>
    </row>
    <row r="46" spans="1:57" x14ac:dyDescent="0.35">
      <c r="A46" s="15">
        <f t="shared" si="0"/>
        <v>40</v>
      </c>
      <c r="B46" s="15"/>
      <c r="C46" s="193" t="s">
        <v>90</v>
      </c>
      <c r="D46" s="127">
        <f>+'[12]Washington volumes'!J39</f>
        <v>109047.67533172015</v>
      </c>
      <c r="E46" s="127">
        <v>20000</v>
      </c>
      <c r="F46" s="161"/>
      <c r="G46" s="683"/>
      <c r="H46" s="684"/>
      <c r="I46" s="683"/>
      <c r="J46" s="684"/>
      <c r="K46" s="92"/>
      <c r="L46" s="190">
        <f>+'[12]Rates in summary'!D39</f>
        <v>0.67456999999999967</v>
      </c>
      <c r="M46" s="92"/>
      <c r="N46" s="190">
        <f>'[12]Rates in summary'!D39+[12]Temporaries!K39+[12]Temporaries!L39+[12]Temporaries!M39-[12]Temporaries!AX39</f>
        <v>0.67456999999999967</v>
      </c>
      <c r="O46" s="92"/>
      <c r="P46" s="611"/>
      <c r="Q46" s="190">
        <f>'[12]Rates in summary'!D39+[12]Temporaries!N39+[12]Temporaries!O39-[12]Temporaries!AY39</f>
        <v>0.6744899999999997</v>
      </c>
      <c r="R46" s="92"/>
      <c r="S46" s="611"/>
      <c r="T46" s="534">
        <f>'[12]Rates in detail'!D39+[12]Temporaries!T39-[12]Temporaries!BD39+[12]Temporaries!S39-[12]Temporaries!BC39+[12]Temporaries!P39-[12]Temporaries!BB39++[12]Temporaries!Q39-[12]Temporaries!AW39</f>
        <v>0.67399999999999971</v>
      </c>
      <c r="U46" s="112"/>
      <c r="V46" s="531"/>
      <c r="W46" s="190">
        <f>'[12]Rates in summary'!D39+[12]Temporaries!R39-[12]Temporaries!AZ39</f>
        <v>0.67481999999999975</v>
      </c>
      <c r="X46" s="92"/>
      <c r="Y46" s="611"/>
      <c r="Z46" s="190">
        <f>'[12]Rates in summary'!D39+[12]Permanents!F39</f>
        <v>0.67459999999999964</v>
      </c>
      <c r="AA46" s="92"/>
      <c r="AB46" s="611"/>
      <c r="AC46" s="612">
        <f>'[12]Rates in summary'!D39+[12]Temporaries!U39-[12]Temporaries!BE39</f>
        <v>0.67456999999999967</v>
      </c>
      <c r="AD46" s="546"/>
      <c r="AE46" s="613"/>
      <c r="AF46" s="190">
        <f>'[12]Rates in summary'!D39+[12]Temporaries!V39-[12]Temporaries!BF39</f>
        <v>0.67456999999999967</v>
      </c>
      <c r="AG46" s="92"/>
      <c r="AH46" s="611"/>
      <c r="AI46" s="190">
        <f>'[12]Rates in summary'!G39+[12]Temporaries!J39</f>
        <v>0.60320999999999969</v>
      </c>
      <c r="AJ46" s="92"/>
      <c r="AK46" s="614"/>
      <c r="AL46" s="190">
        <f>+'[12]Rates in summary'!Q39</f>
        <v>0.60283999999999971</v>
      </c>
      <c r="AM46" s="92"/>
      <c r="AN46" s="615"/>
      <c r="AO46" s="538"/>
      <c r="AP46" s="601"/>
      <c r="AQ46" s="537">
        <f t="shared" si="19"/>
        <v>0</v>
      </c>
      <c r="AR46" s="537">
        <f t="shared" si="20"/>
        <v>0</v>
      </c>
      <c r="AS46" s="537">
        <f t="shared" si="21"/>
        <v>-7.172999999999996E-2</v>
      </c>
      <c r="AT46" s="537">
        <f t="shared" si="32"/>
        <v>-7.172999999999996E-2</v>
      </c>
      <c r="AU46" s="6">
        <f>+'[12]Rates in summary'!D39+[12]Temporaries!K39+[12]Temporaries!M39+[12]Temporaries!L39-[12]Temporaries!AZ39</f>
        <v>0.6724399999999997</v>
      </c>
      <c r="AV46" s="542"/>
      <c r="AW46" s="616"/>
      <c r="AX46" s="190"/>
      <c r="AY46" s="190"/>
      <c r="AZ46" s="190"/>
      <c r="BA46" s="190"/>
    </row>
    <row r="47" spans="1:57" x14ac:dyDescent="0.35">
      <c r="A47" s="15">
        <f t="shared" si="0"/>
        <v>41</v>
      </c>
      <c r="B47" s="15"/>
      <c r="C47" s="193" t="s">
        <v>91</v>
      </c>
      <c r="D47" s="127">
        <f>+'[12]Washington volumes'!J40</f>
        <v>24232.772003191028</v>
      </c>
      <c r="E47" s="127">
        <v>100000</v>
      </c>
      <c r="F47" s="161"/>
      <c r="G47" s="683"/>
      <c r="H47" s="684"/>
      <c r="I47" s="683"/>
      <c r="J47" s="684"/>
      <c r="K47" s="92"/>
      <c r="L47" s="190">
        <f>+'[12]Rates in summary'!D40</f>
        <v>0.64957000000000009</v>
      </c>
      <c r="M47" s="92"/>
      <c r="N47" s="190">
        <f>'[12]Rates in summary'!D40+[12]Temporaries!K40+[12]Temporaries!L40+[12]Temporaries!M40-[12]Temporaries!AX40</f>
        <v>0.64957000000000009</v>
      </c>
      <c r="O47" s="92"/>
      <c r="P47" s="611"/>
      <c r="Q47" s="190">
        <f>'[12]Rates in summary'!D40+[12]Temporaries!N40+[12]Temporaries!O40-[12]Temporaries!AY40</f>
        <v>0.64951000000000014</v>
      </c>
      <c r="R47" s="92"/>
      <c r="S47" s="611"/>
      <c r="T47" s="534">
        <f>'[12]Rates in detail'!D40+[12]Temporaries!T40-[12]Temporaries!BD40+[12]Temporaries!S40-[12]Temporaries!BC40+[12]Temporaries!P40-[12]Temporaries!BB40++[12]Temporaries!Q40-[12]Temporaries!AW40</f>
        <v>0.64898000000000011</v>
      </c>
      <c r="U47" s="112"/>
      <c r="V47" s="531"/>
      <c r="W47" s="190">
        <f>'[12]Rates in summary'!D40+[12]Temporaries!R40-[12]Temporaries!AZ40</f>
        <v>0.64978000000000002</v>
      </c>
      <c r="X47" s="92"/>
      <c r="Y47" s="611"/>
      <c r="Z47" s="190">
        <f>'[12]Rates in summary'!D40+[12]Permanents!F40</f>
        <v>0.64959000000000011</v>
      </c>
      <c r="AA47" s="92"/>
      <c r="AB47" s="611"/>
      <c r="AC47" s="612">
        <f>'[12]Rates in summary'!D40+[12]Temporaries!U40-[12]Temporaries!BE40</f>
        <v>0.64957000000000009</v>
      </c>
      <c r="AD47" s="546"/>
      <c r="AE47" s="613"/>
      <c r="AF47" s="190">
        <f>'[12]Rates in summary'!D40+[12]Temporaries!V40-[12]Temporaries!BF40</f>
        <v>0.64957000000000009</v>
      </c>
      <c r="AG47" s="92"/>
      <c r="AH47" s="611"/>
      <c r="AI47" s="190">
        <f>'[12]Rates in summary'!G40+[12]Temporaries!J40</f>
        <v>0.57821</v>
      </c>
      <c r="AJ47" s="92"/>
      <c r="AK47" s="614"/>
      <c r="AL47" s="190">
        <f>+'[12]Rates in summary'!Q40</f>
        <v>0.57779000000000003</v>
      </c>
      <c r="AM47" s="92"/>
      <c r="AN47" s="615"/>
      <c r="AO47" s="538"/>
      <c r="AP47" s="601"/>
      <c r="AQ47" s="537">
        <f t="shared" si="19"/>
        <v>0</v>
      </c>
      <c r="AR47" s="537">
        <f t="shared" si="20"/>
        <v>0</v>
      </c>
      <c r="AS47" s="537">
        <f t="shared" si="21"/>
        <v>-7.1780000000000066E-2</v>
      </c>
      <c r="AT47" s="537">
        <f t="shared" si="32"/>
        <v>-7.1780000000000066E-2</v>
      </c>
      <c r="AU47" s="6">
        <f>+'[12]Rates in summary'!D40+[12]Temporaries!K40+[12]Temporaries!M40+[12]Temporaries!L40-[12]Temporaries!AZ40</f>
        <v>0.64787000000000006</v>
      </c>
      <c r="AV47" s="542"/>
      <c r="AW47" s="616"/>
      <c r="AX47" s="190"/>
      <c r="AY47" s="190"/>
      <c r="AZ47" s="190"/>
      <c r="BA47" s="190"/>
    </row>
    <row r="48" spans="1:57" x14ac:dyDescent="0.35">
      <c r="A48" s="15">
        <f t="shared" si="0"/>
        <v>42</v>
      </c>
      <c r="B48" s="15"/>
      <c r="C48" s="193" t="s">
        <v>92</v>
      </c>
      <c r="D48" s="127">
        <f>+'[12]Washington volumes'!J41</f>
        <v>0</v>
      </c>
      <c r="E48" s="127">
        <v>600000</v>
      </c>
      <c r="F48" s="161"/>
      <c r="G48" s="683"/>
      <c r="H48" s="684"/>
      <c r="I48" s="683"/>
      <c r="J48" s="684"/>
      <c r="K48" s="92"/>
      <c r="L48" s="190">
        <f>+'[12]Rates in summary'!D41</f>
        <v>0.61626000000000036</v>
      </c>
      <c r="M48" s="92"/>
      <c r="N48" s="190">
        <f>'[12]Rates in summary'!D41+[12]Temporaries!K41+[12]Temporaries!L41+[12]Temporaries!M41-[12]Temporaries!AX41</f>
        <v>0.61626000000000036</v>
      </c>
      <c r="O48" s="92"/>
      <c r="P48" s="611"/>
      <c r="Q48" s="190">
        <f>'[12]Rates in summary'!D41+[12]Temporaries!N41+[12]Temporaries!O41-[12]Temporaries!AY41</f>
        <v>0.61622000000000032</v>
      </c>
      <c r="R48" s="92"/>
      <c r="S48" s="611"/>
      <c r="T48" s="534">
        <f>'[12]Rates in detail'!D41+[12]Temporaries!T41-[12]Temporaries!BD41+[12]Temporaries!S41-[12]Temporaries!BC41+[12]Temporaries!P41-[12]Temporaries!BB41++[12]Temporaries!Q41-[12]Temporaries!AW41</f>
        <v>0.61562000000000039</v>
      </c>
      <c r="U48" s="112"/>
      <c r="V48" s="531"/>
      <c r="W48" s="190">
        <f>'[12]Rates in summary'!D41+[12]Temporaries!R41-[12]Temporaries!AZ41</f>
        <v>0.61639000000000033</v>
      </c>
      <c r="X48" s="92"/>
      <c r="Y48" s="611"/>
      <c r="Z48" s="190">
        <f>'[12]Rates in summary'!D41+[12]Permanents!F41</f>
        <v>0.61628000000000038</v>
      </c>
      <c r="AA48" s="92"/>
      <c r="AB48" s="611"/>
      <c r="AC48" s="612">
        <f>'[12]Rates in summary'!D41+[12]Temporaries!U41-[12]Temporaries!BE41</f>
        <v>0.61626000000000036</v>
      </c>
      <c r="AD48" s="546"/>
      <c r="AE48" s="613"/>
      <c r="AF48" s="190">
        <f>'[12]Rates in summary'!D41+[12]Temporaries!V41-[12]Temporaries!BF41</f>
        <v>0.61626000000000036</v>
      </c>
      <c r="AG48" s="92"/>
      <c r="AH48" s="611"/>
      <c r="AI48" s="190">
        <f>'[12]Rates in summary'!G41+[12]Temporaries!J41</f>
        <v>0.54490000000000027</v>
      </c>
      <c r="AJ48" s="92"/>
      <c r="AK48" s="614"/>
      <c r="AL48" s="190">
        <f>+'[12]Rates in summary'!Q41</f>
        <v>0.54437000000000035</v>
      </c>
      <c r="AM48" s="92"/>
      <c r="AN48" s="615"/>
      <c r="AO48" s="538"/>
      <c r="AP48" s="601"/>
      <c r="AQ48" s="537">
        <f t="shared" si="19"/>
        <v>0</v>
      </c>
      <c r="AR48" s="537">
        <f t="shared" si="20"/>
        <v>0</v>
      </c>
      <c r="AS48" s="537">
        <f t="shared" si="21"/>
        <v>-7.1890000000000009E-2</v>
      </c>
      <c r="AT48" s="537">
        <f t="shared" si="32"/>
        <v>-7.1890000000000009E-2</v>
      </c>
      <c r="AU48" s="6">
        <f>+'[12]Rates in summary'!D41+[12]Temporaries!K41+[12]Temporaries!M41+[12]Temporaries!L41-[12]Temporaries!AZ41</f>
        <v>0.61512000000000033</v>
      </c>
      <c r="AV48" s="6"/>
      <c r="AW48" s="616"/>
      <c r="AX48" s="190"/>
      <c r="AY48" s="190"/>
      <c r="AZ48" s="190"/>
      <c r="BA48" s="190"/>
    </row>
    <row r="49" spans="1:57" x14ac:dyDescent="0.35">
      <c r="A49" s="15">
        <f t="shared" si="0"/>
        <v>43</v>
      </c>
      <c r="B49" s="15"/>
      <c r="C49" s="193" t="s">
        <v>93</v>
      </c>
      <c r="D49" s="127">
        <f>+'[12]Washington volumes'!J42</f>
        <v>0</v>
      </c>
      <c r="E49" s="568" t="s">
        <v>265</v>
      </c>
      <c r="F49" s="161"/>
      <c r="G49" s="683"/>
      <c r="H49" s="684"/>
      <c r="I49" s="683"/>
      <c r="J49" s="684"/>
      <c r="K49" s="92"/>
      <c r="L49" s="190">
        <f>+'[12]Rates in summary'!D42</f>
        <v>0.57454999999999989</v>
      </c>
      <c r="M49" s="92"/>
      <c r="N49" s="190">
        <f>'[12]Rates in summary'!D42+[12]Temporaries!K42+[12]Temporaries!L42+[12]Temporaries!M42-[12]Temporaries!AX42</f>
        <v>0.57454999999999989</v>
      </c>
      <c r="O49" s="92"/>
      <c r="P49" s="611"/>
      <c r="Q49" s="190">
        <f>'[12]Rates in summary'!D42+[12]Temporaries!N42+[12]Temporaries!O42-[12]Temporaries!AY42</f>
        <v>0.57452999999999987</v>
      </c>
      <c r="R49" s="92"/>
      <c r="S49" s="611"/>
      <c r="T49" s="534">
        <f>'[12]Rates in detail'!D42+[12]Temporaries!T42-[12]Temporaries!BD42+[12]Temporaries!S42-[12]Temporaries!BC42+[12]Temporaries!P42-[12]Temporaries!BB42++[12]Temporaries!Q42-[12]Temporaries!AW42</f>
        <v>0.57385999999999993</v>
      </c>
      <c r="U49" s="112"/>
      <c r="V49" s="531"/>
      <c r="W49" s="190">
        <f>'[12]Rates in summary'!D42+[12]Temporaries!R42-[12]Temporaries!AZ42</f>
        <v>0.57459999999999989</v>
      </c>
      <c r="X49" s="92"/>
      <c r="Y49" s="611"/>
      <c r="Z49" s="190">
        <f>'[12]Rates in summary'!D42+[12]Permanents!F42</f>
        <v>0.57455999999999985</v>
      </c>
      <c r="AA49" s="92"/>
      <c r="AB49" s="611"/>
      <c r="AC49" s="612">
        <f>'[12]Rates in summary'!D42+[12]Temporaries!U42-[12]Temporaries!BE42</f>
        <v>0.57454999999999989</v>
      </c>
      <c r="AD49" s="546"/>
      <c r="AE49" s="613"/>
      <c r="AF49" s="190">
        <f>'[12]Rates in summary'!D42+[12]Temporaries!V42-[12]Temporaries!BF42</f>
        <v>0.57454999999999989</v>
      </c>
      <c r="AG49" s="92"/>
      <c r="AH49" s="611"/>
      <c r="AI49" s="190">
        <f>'[12]Rates in summary'!G42+[12]Temporaries!J42</f>
        <v>0.50318999999999992</v>
      </c>
      <c r="AJ49" s="92"/>
      <c r="AK49" s="614"/>
      <c r="AL49" s="190">
        <f>+'[12]Rates in summary'!Q42</f>
        <v>0.50253999999999988</v>
      </c>
      <c r="AM49" s="92"/>
      <c r="AN49" s="615"/>
      <c r="AO49" s="538"/>
      <c r="AP49" s="601"/>
      <c r="AQ49" s="537">
        <f t="shared" si="19"/>
        <v>0</v>
      </c>
      <c r="AR49" s="537">
        <f t="shared" si="20"/>
        <v>0</v>
      </c>
      <c r="AS49" s="537">
        <f t="shared" si="21"/>
        <v>-7.2010000000000018E-2</v>
      </c>
      <c r="AT49" s="537">
        <f t="shared" si="32"/>
        <v>-7.2010000000000018E-2</v>
      </c>
      <c r="AU49" s="6">
        <f>+'[12]Rates in summary'!D42+[12]Temporaries!K42+[12]Temporaries!M42+[12]Temporaries!L42-[12]Temporaries!AZ42</f>
        <v>0.57411999999999985</v>
      </c>
      <c r="AV49" s="6"/>
      <c r="AW49" s="616"/>
      <c r="AX49" s="190"/>
      <c r="AY49" s="190"/>
      <c r="AZ49" s="190"/>
      <c r="BA49" s="190"/>
    </row>
    <row r="50" spans="1:57" x14ac:dyDescent="0.35">
      <c r="A50" s="15">
        <f t="shared" si="0"/>
        <v>44</v>
      </c>
      <c r="B50" s="192"/>
      <c r="C50" s="617" t="s">
        <v>49</v>
      </c>
      <c r="D50" s="618"/>
      <c r="E50" s="619"/>
      <c r="F50" s="620"/>
      <c r="G50" s="685"/>
      <c r="H50" s="686"/>
      <c r="I50" s="685"/>
      <c r="J50" s="686"/>
      <c r="K50" s="621"/>
      <c r="L50" s="622"/>
      <c r="M50" s="621">
        <f>$I44+ROUND(IF($F44&lt;$E44,($F44*L44),IF($F44&lt;SUM($E44:$E45),(($E44*L44)+(($F44-$E44)*L45)),IF($F44&lt;SUM($E44:$E46),(($E44*L44)+($E45*L45)+(($F44-$E44-$E45)*L46)),IF($F44&lt;SUM($E44:$E47),(($E44*L44)+($E45*L45)+($E46*L46)+(($F44-SUM($E44:$E46))*L47)),IF($F44&lt;SUM($E44:$E48),(($E44*L44)+($E45*L45)+($E46*L46)+($E47*L47)+(($F44-SUM($E44:$E47))*L48)),(($E44*L44)+($E45*L45)+($E46*L46)+($E47*L46)+($E48*L48)+(($F44-SUM($E44:$E48))*L49))))))),2)</f>
        <v>7563.3356300000014</v>
      </c>
      <c r="N50" s="622"/>
      <c r="O50" s="621">
        <f>$I44+ROUND(IF($F44&lt;$E44,($F44*N44),IF($F44&lt;SUM($E44:$E45),(($E44*N44)+(($F44-$E44)*N45)),IF($F44&lt;SUM($E44:$E46),(($E44*N44)+($E45*N45)+(($F44-$E44-$E45)*N46)),IF($F44&lt;SUM($E44:$E47),(($E44*N44)+($E45*N45)+($E46*N46)+(($F44-SUM($E44:$E46))*N47)),IF($F44&lt;SUM($E44:$E48),(($E44*N44)+($E45*N45)+($E46*N46)+($E47*N47)+(($F44-SUM($E44:$E47))*N48)),(($E44*N44)+($E45*N45)+($E46*N46)+($E47*N46)+($E48*N48)+(($F44-SUM($E44:$E48))*N49))))))),2)</f>
        <v>7563.3356300000014</v>
      </c>
      <c r="P50" s="623">
        <f>ROUND((O50-M50)/M50,3)</f>
        <v>0</v>
      </c>
      <c r="Q50" s="622"/>
      <c r="R50" s="621">
        <f>$I44+ROUND(IF($F44&lt;$E44,($F44*Q44),IF($F44&lt;SUM($E44:$E45),(($E44*Q44)+(($F44-$E44)*Q45)),IF($F44&lt;SUM($E44:$E46),(($E44*Q44)+($E45*Q45)+(($F44-$E44-$E45)*Q46)),IF($F44&lt;SUM($E44:$E47),(($E44*Q44)+($E45*Q45)+($E46*Q46)+(($F44-SUM($E44:$E46))*Q47)),IF($F44&lt;SUM($E44:$E48),(($E44*Q44)+($E45*Q45)+($E46*Q46)+($E47*Q47)+(($F44-SUM($E44:$E47))*Q48)),(($E44*Q44)+($E45*Q45)+($E46*Q46)+($E47*Q46)+($E48*Q48)+(($F44-SUM($E44:$E48))*Q49))))))),2)</f>
        <v>7562.0756300000012</v>
      </c>
      <c r="S50" s="623">
        <f>ROUND((R50-M50)/M50,3)</f>
        <v>0</v>
      </c>
      <c r="T50" s="330"/>
      <c r="U50" s="329">
        <f>$I44+ROUND(IF($F44&lt;$E44,($F44*T44),IF($F44&lt;SUM($E44:$E45),(($E44*T44)+(($F44-$E44)*T45)),IF($F44&lt;SUM($E44:$E46),(($E44*T44)+($E45*T45)+(($F44-$E44-$E45)*T46)),IF($F44&lt;SUM($E44:$E47),(($E44*T44)+($E45*T45)+($E46*T46)+(($F44-SUM($E44:$E46))*T47)),IF($F44&lt;SUM($E44:$E48),(($E44*T44)+($E45*T45)+($E46*T46)+($E47*T47)+(($F44-SUM($E44:$E47))*T48)),(($E44*T44)+($E45*T45)+($E46*T46)+($E47*T46)+($E48*T48)+(($F44-SUM($E44:$E48))*T49))))))),2)</f>
        <v>7556.815630000001</v>
      </c>
      <c r="V50" s="532">
        <f>ROUND((U50-M50)/M50,3)</f>
        <v>-1E-3</v>
      </c>
      <c r="W50" s="622"/>
      <c r="X50" s="621">
        <f>$I44+ROUND(IF($F44&lt;$E44,($F44*W44),IF($F44&lt;SUM($E44:$E45),(($E44*W44)+(($F44-$E44)*W45)),IF($F44&lt;SUM($E44:$E46),(($E44*W44)+($E45*W45)+(($F44-$E44-$E45)*W46)),IF($F44&lt;SUM($E44:$E47),(($E44*W44)+($E45*W45)+($E46*W46)+(($F44-SUM($E44:$E46))*W47)),IF($F44&lt;SUM($E44:$E48),(($E44*W44)+($E45*W45)+($E46*W46)+($E47*W47)+(($F44-SUM($E44:$E47))*W48)),(($E44*W44)+($E45*W45)+($E46*W46)+($E47*W46)+($E48*W48)+(($F44-SUM($E44:$E48))*W49))))))),2)</f>
        <v>7568.0156299999999</v>
      </c>
      <c r="Y50" s="623">
        <f>(X50-M50)/M50</f>
        <v>6.1877460276061702E-4</v>
      </c>
      <c r="Z50" s="622"/>
      <c r="AA50" s="621">
        <f>$I44+ROUND(IF($F44&lt;$E44,($F44*Z44),IF($F44&lt;SUM($E44:$E45),(($E44*Z44)+(($F44-$E44)*Z45)),IF($F44&lt;SUM($E44:$E46),(($E44*Z44)+($E45*Z45)+(($F44-$E44-$E45)*Z46)),IF($F44&lt;SUM($E44:$E47),(($E44*Z44)+($E45*Z45)+($E46*Z46)+(($F44-SUM($E44:$E46))*Z47)),IF($F44&lt;SUM($E44:$E48),(($E44*Z44)+($E45*Z45)+($E46*Z46)+($E47*Z47)+(($F44-SUM($E44:$E47))*Z48)),(($E44*Z44)+($E45*Z45)+($E46*Z46)+($E47*Z46)+($E48*Z48)+(($F44-SUM($E44:$E48))*Z49))))))),2)</f>
        <v>7563.9556300000004</v>
      </c>
      <c r="AB50" s="623">
        <f>(AA50-M50)/M50</f>
        <v>8.1974413186127672E-5</v>
      </c>
      <c r="AC50" s="624"/>
      <c r="AD50" s="625">
        <f>$I44+ROUND(IF($F44&lt;$E44,($F44*AC44),IF($F44&lt;SUM($E44:$E45),(($E44*AC44)+(($F44-$E44)*AC45)),IF($F44&lt;SUM($E44:$E46),(($E44*AC44)+($E45*AC45)+(($F44-$E44-$E45)*AC46)),IF($F44&lt;SUM($E44:$E47),(($E44*AC44)+($E45*AC45)+($E46*AC46)+(($F44-SUM($E44:$E46))*AC47)),IF($F44&lt;SUM($E44:$E48),(($E44*AC44)+($E45*AC45)+($E46*AC46)+($E47*AC47)+(($F44-SUM($E44:$E47))*AC48)),(($E44*AC44)+($E45*AC45)+($E46*AC46)+($E47*AC46)+($E48*AC48)+(($F44-SUM($E44:$E48))*AC49))))))),2)</f>
        <v>7563.3356300000014</v>
      </c>
      <c r="AE50" s="626">
        <f>(AD50-M50)/M50</f>
        <v>0</v>
      </c>
      <c r="AF50" s="622"/>
      <c r="AG50" s="621">
        <f>$K44+ROUND(IF($F44&lt;$E44,($F44*AF44),IF($F44&lt;SUM($E44:$E45),(($E44*AF44)+(($F44-$E44)*AF45)),IF($F44&lt;SUM($E44:$E46),(($E44*AF44)+($E45*AF45)+(($F44-$E44-$E45)*AF46)),IF($F44&lt;SUM($E44:$E47),(($E44*AF44)+($E45*AF45)+($E46*AF46)+(($F44-SUM($E44:$E46))*AF47)),IF($F44&lt;SUM($E44:$E48),(($E44*AF44)+($E45*AF45)+($E46*AF46)+($E47*AF47)+(($F44-SUM($E44:$E47))*AF48)),(($E44*AF44)+($E45*AF45)+($E46*AF46)+($E47*AF46)+($E48*AF48)+(($F44-SUM($E44:$E48))*AF49))))))),2)</f>
        <v>7563.3356300000014</v>
      </c>
      <c r="AH50" s="623">
        <f>(AG50-M50)/M50</f>
        <v>0</v>
      </c>
      <c r="AI50" s="622"/>
      <c r="AJ50" s="621">
        <f>$I44+ROUND(IF($F44&lt;$E44,($F44*AI44),IF($F44&lt;SUM($E44:$E45),(($E44*AI44)+(($F44-$E44)*AI45)),IF($F44&lt;SUM($E44:$E46),(($E44*AI44)+($E45*AI45)+(($F44-$E44-$E45)*AI46)),IF($F44&lt;SUM($E44:$E47),(($E44*AI44)+($E45*AI45)+($E46*AI46)+(($F44-SUM($E44:$E46))*AI47)),IF($F44&lt;SUM($E44:$E48),(($E44*AI44)+($E45*AI45)+($E46*AI46)+($E47*AI47)+(($F44-SUM($E44:$E47))*AI48)),(($E44*AI44)+($E45*AI45)+($E46*AI46)+($E47*AI46)+($E48*AI48)+(($F44-SUM($E44:$E48))*AI49))))))),2)</f>
        <v>6645.0056299999997</v>
      </c>
      <c r="AK50" s="638">
        <f>ROUND((AJ50-M50)/M50,3)</f>
        <v>-0.121</v>
      </c>
      <c r="AL50" s="622"/>
      <c r="AM50" s="621">
        <f>$K44+ROUND(IF($F44&lt;$E44,($F44*AL44),IF($F44&lt;SUM($E44:$E45),(($E44*AL44)+(($F44-$E44)*AL45)),IF($F44&lt;SUM($E44:$E46),(($E44*AL44)+($E45*AL45)+(($F44-$E44-$E45)*AL46)),IF($F44&lt;SUM($E44:$E47),(($E44*AL44)+($E45*AL45)+($E46*AL46)+(($F44-SUM($E44:$E46))*AL47)),IF($F44&lt;SUM($E44:$E48),(($E44*AL44)+($E45*AL45)+($E46*AL46)+($E47*AL47)+(($F44-SUM($E44:$E47))*AL48)),(($E44*AL44)+($E45*AL45)+($E46*AL46)+($E47*AL46)+($E48*AL48)+(($F44-SUM($E44:$E48))*AL49))))))),2)</f>
        <v>6642.5156299999999</v>
      </c>
      <c r="AN50" s="638">
        <f>ROUND((AM50-M50)/M50,3)</f>
        <v>-0.122</v>
      </c>
      <c r="AO50" s="538"/>
      <c r="AP50" s="601"/>
      <c r="AQ50" s="537">
        <f t="shared" si="19"/>
        <v>0</v>
      </c>
      <c r="AR50" s="537">
        <f t="shared" si="20"/>
        <v>0</v>
      </c>
      <c r="AS50" s="537">
        <f t="shared" si="21"/>
        <v>0</v>
      </c>
      <c r="AT50" s="537">
        <f t="shared" si="32"/>
        <v>0</v>
      </c>
      <c r="AU50" s="627"/>
      <c r="AV50" s="628">
        <f>$I44+ROUND(IF($F44&lt;$E44,($F44*AU44),IF($F44&lt;SUM($E44:$E45),(($E44*AU44)+(($F44-$E44)*AU45)),IF($F44&lt;SUM($E44:$E46),(($E44*AU44)+($E45*AU45)+(($F44-$E44-$E45)*AU46)),IF($F44&lt;SUM($E44:$E47),(($E44*AU44)+($E45*AU45)+($E46*AU46)+(($F44-SUM($E44:$E46))*AU47)),IF($F44&lt;SUM($E44:$E48),(($E44*AU44)+($E45*AU45)+($E46*AU46)+($E47*AU47)+(($F44-SUM($E44:$E47))*AU48)),(($E44*AU44)+($E45*AU45)+($E46*AU46)+($E47*AU46)+($E48*AU48)+(($F44-SUM($E44:$E48))*AU49))))))),2)</f>
        <v>7524.3856300000007</v>
      </c>
      <c r="AW50" s="629">
        <f>ROUND((AV50-M50)/M50,3)</f>
        <v>-5.0000000000000001E-3</v>
      </c>
      <c r="AX50" s="190"/>
      <c r="AY50" s="190"/>
      <c r="AZ50" s="190"/>
      <c r="BA50" s="190"/>
    </row>
    <row r="51" spans="1:57" x14ac:dyDescent="0.35">
      <c r="A51" s="15">
        <f t="shared" si="0"/>
        <v>45</v>
      </c>
      <c r="B51" s="15" t="s">
        <v>95</v>
      </c>
      <c r="C51" s="193" t="s">
        <v>82</v>
      </c>
      <c r="D51" s="127">
        <f>+'[12]Washington volumes'!J43</f>
        <v>122543.87639893022</v>
      </c>
      <c r="E51" s="127">
        <v>10000</v>
      </c>
      <c r="F51" s="161">
        <v>51470</v>
      </c>
      <c r="G51" s="683">
        <f>1300+250</f>
        <v>1550</v>
      </c>
      <c r="H51" s="683">
        <f>'[52]Aver Bill by RS'!$J51</f>
        <v>5142.2693365131181</v>
      </c>
      <c r="I51" s="683">
        <f>G51-(IF(H51&gt;(F51*$H$3),(F51*$H$3),H51))</f>
        <v>-3592.2693365131181</v>
      </c>
      <c r="J51" s="683">
        <f>'[52]Aver Bill by RS'!$J51</f>
        <v>5142.2693365131181</v>
      </c>
      <c r="K51" s="92">
        <f>G51-(IF(J51&gt;($F51*$H$4),($F51*$H$4),J51))</f>
        <v>-3592.2693365131181</v>
      </c>
      <c r="L51" s="190">
        <f>+'[12]Rates in summary'!D43</f>
        <v>0.40332000000000001</v>
      </c>
      <c r="M51" s="92"/>
      <c r="N51" s="190">
        <f>'[12]Rates in summary'!D43+[12]Temporaries!K43+[12]Temporaries!L43+[12]Temporaries!M43-[12]Temporaries!AX43</f>
        <v>0.40332000000000001</v>
      </c>
      <c r="O51" s="92"/>
      <c r="P51" s="611"/>
      <c r="Q51" s="190">
        <f>'[12]Rates in summary'!D43+[12]Temporaries!N43+[12]Temporaries!O43-[12]Temporaries!AY43</f>
        <v>0.40332000000000001</v>
      </c>
      <c r="R51" s="92"/>
      <c r="S51" s="611"/>
      <c r="T51" s="534">
        <f>'[12]Rates in detail'!D43+[12]Temporaries!T43-[12]Temporaries!BD43+[12]Temporaries!S43-[12]Temporaries!BC43+[12]Temporaries!P43-[12]Temporaries!BB43++[12]Temporaries!Q43-[12]Temporaries!AW43</f>
        <v>0.40266000000000007</v>
      </c>
      <c r="U51" s="112"/>
      <c r="V51" s="531"/>
      <c r="W51" s="190">
        <f>'[12]Rates in summary'!D43+[12]Temporaries!R43-[12]Temporaries!AZ43</f>
        <v>0.40358000000000005</v>
      </c>
      <c r="X51" s="92"/>
      <c r="Y51" s="611"/>
      <c r="Z51" s="190">
        <f>'[12]Rates in summary'!D43+[12]Permanents!F43</f>
        <v>0.40332000000000001</v>
      </c>
      <c r="AA51" s="92"/>
      <c r="AB51" s="611"/>
      <c r="AC51" s="612">
        <f>'[12]Rates in summary'!D43+[12]Temporaries!U43-[12]Temporaries!BE43</f>
        <v>0.40332000000000001</v>
      </c>
      <c r="AD51" s="546"/>
      <c r="AE51" s="613"/>
      <c r="AF51" s="190">
        <f>'[12]Rates in summary'!D43+[12]Temporaries!V43-[12]Temporaries!BF43</f>
        <v>0.40332000000000001</v>
      </c>
      <c r="AG51" s="92"/>
      <c r="AH51" s="611"/>
      <c r="AI51" s="190">
        <f>'[12]Rates in summary'!G43+[12]Temporaries!J43</f>
        <v>0.40332000000000001</v>
      </c>
      <c r="AJ51" s="92"/>
      <c r="AK51" s="614"/>
      <c r="AL51" s="190">
        <f>+'[12]Rates in summary'!Q43</f>
        <v>0.40292</v>
      </c>
      <c r="AM51" s="92"/>
      <c r="AN51" s="615"/>
      <c r="AO51" s="538"/>
      <c r="AP51" s="601"/>
      <c r="AQ51" s="537">
        <f t="shared" si="19"/>
        <v>0</v>
      </c>
      <c r="AR51" s="537">
        <f t="shared" si="20"/>
        <v>0</v>
      </c>
      <c r="AS51" s="537">
        <f t="shared" si="21"/>
        <v>-4.0000000000001146E-4</v>
      </c>
      <c r="AT51" s="537">
        <f t="shared" si="32"/>
        <v>-4.0000000000001146E-4</v>
      </c>
      <c r="AU51" s="6">
        <f>+'[12]Rates in summary'!D43+[12]Temporaries!K43+[12]Temporaries!M43+[12]Temporaries!L43-[12]Temporaries!AZ43</f>
        <v>0.40139000000000002</v>
      </c>
      <c r="AV51" s="542"/>
      <c r="AW51" s="616"/>
      <c r="AX51" s="190"/>
      <c r="AY51" s="190"/>
      <c r="AZ51" s="190"/>
      <c r="BA51" s="190"/>
    </row>
    <row r="52" spans="1:57" x14ac:dyDescent="0.35">
      <c r="A52" s="15">
        <f t="shared" si="0"/>
        <v>46</v>
      </c>
      <c r="B52" s="15"/>
      <c r="C52" s="193" t="s">
        <v>83</v>
      </c>
      <c r="D52" s="127">
        <f>+'[12]Washington volumes'!J44</f>
        <v>245087.75279786045</v>
      </c>
      <c r="E52" s="127">
        <v>20000</v>
      </c>
      <c r="F52" s="161"/>
      <c r="G52" s="683"/>
      <c r="H52" s="684"/>
      <c r="I52" s="683"/>
      <c r="J52" s="684"/>
      <c r="K52" s="92"/>
      <c r="L52" s="190">
        <f>+'[12]Rates in summary'!D44</f>
        <v>0.38640000000000002</v>
      </c>
      <c r="M52" s="92"/>
      <c r="N52" s="190">
        <f>'[12]Rates in summary'!D44+[12]Temporaries!K44+[12]Temporaries!L44+[12]Temporaries!M44-[12]Temporaries!AX44</f>
        <v>0.38640000000000002</v>
      </c>
      <c r="O52" s="92"/>
      <c r="P52" s="611"/>
      <c r="Q52" s="190">
        <f>'[12]Rates in summary'!D44+[12]Temporaries!N44+[12]Temporaries!O44-[12]Temporaries!AY44</f>
        <v>0.38640000000000002</v>
      </c>
      <c r="R52" s="92"/>
      <c r="S52" s="611"/>
      <c r="T52" s="534">
        <f>'[12]Rates in detail'!D44+[12]Temporaries!T44-[12]Temporaries!BD44+[12]Temporaries!S44-[12]Temporaries!BC44+[12]Temporaries!P44-[12]Temporaries!BB44++[12]Temporaries!Q44-[12]Temporaries!AW44</f>
        <v>0.38574000000000003</v>
      </c>
      <c r="U52" s="112"/>
      <c r="V52" s="531"/>
      <c r="W52" s="190">
        <f>'[12]Rates in summary'!D44+[12]Temporaries!R44-[12]Temporaries!AZ44</f>
        <v>0.38663000000000003</v>
      </c>
      <c r="X52" s="92"/>
      <c r="Y52" s="611"/>
      <c r="Z52" s="190">
        <f>'[12]Rates in summary'!D44+[12]Permanents!F44</f>
        <v>0.38640000000000002</v>
      </c>
      <c r="AA52" s="92"/>
      <c r="AB52" s="611"/>
      <c r="AC52" s="612">
        <f>'[12]Rates in summary'!D44+[12]Temporaries!U44-[12]Temporaries!BE44</f>
        <v>0.38640000000000008</v>
      </c>
      <c r="AD52" s="546"/>
      <c r="AE52" s="613"/>
      <c r="AF52" s="190">
        <f>'[12]Rates in summary'!D44+[12]Temporaries!V44-[12]Temporaries!BF44</f>
        <v>0.38639999999999997</v>
      </c>
      <c r="AG52" s="92"/>
      <c r="AH52" s="611"/>
      <c r="AI52" s="190">
        <f>'[12]Rates in summary'!G44+[12]Temporaries!J44</f>
        <v>0.38640000000000002</v>
      </c>
      <c r="AJ52" s="92"/>
      <c r="AK52" s="614"/>
      <c r="AL52" s="190">
        <f>+'[12]Rates in summary'!Q44</f>
        <v>0.38597000000000004</v>
      </c>
      <c r="AM52" s="92"/>
      <c r="AN52" s="615"/>
      <c r="AO52" s="538"/>
      <c r="AP52" s="601"/>
      <c r="AQ52" s="537">
        <f t="shared" si="19"/>
        <v>0</v>
      </c>
      <c r="AR52" s="537">
        <f t="shared" si="20"/>
        <v>0</v>
      </c>
      <c r="AS52" s="537">
        <f t="shared" si="21"/>
        <v>-4.2999999999998595E-4</v>
      </c>
      <c r="AT52" s="537">
        <f t="shared" si="32"/>
        <v>-4.2999999999998595E-4</v>
      </c>
      <c r="AU52" s="6">
        <f>+'[12]Rates in summary'!D44+[12]Temporaries!K44+[12]Temporaries!M44+[12]Temporaries!L44-[12]Temporaries!AZ44</f>
        <v>0.38467000000000001</v>
      </c>
      <c r="AV52" s="542"/>
      <c r="AW52" s="616"/>
      <c r="AX52" s="190"/>
      <c r="AY52" s="190"/>
      <c r="AZ52" s="190"/>
      <c r="BA52" s="190"/>
    </row>
    <row r="53" spans="1:57" x14ac:dyDescent="0.35">
      <c r="A53" s="15">
        <f t="shared" si="0"/>
        <v>47</v>
      </c>
      <c r="B53" s="15"/>
      <c r="C53" s="193" t="s">
        <v>90</v>
      </c>
      <c r="D53" s="127">
        <f>+'[12]Washington volumes'!J45</f>
        <v>245087.75279786045</v>
      </c>
      <c r="E53" s="127">
        <v>20000</v>
      </c>
      <c r="F53" s="161"/>
      <c r="G53" s="683"/>
      <c r="H53" s="684"/>
      <c r="I53" s="683"/>
      <c r="J53" s="684"/>
      <c r="K53" s="92"/>
      <c r="L53" s="190">
        <f>+'[12]Rates in summary'!D45</f>
        <v>0.35268999999999995</v>
      </c>
      <c r="M53" s="92"/>
      <c r="N53" s="190">
        <f>'[12]Rates in summary'!D45+[12]Temporaries!K45+[12]Temporaries!L45+[12]Temporaries!M45-[12]Temporaries!AX45</f>
        <v>0.35268999999999995</v>
      </c>
      <c r="O53" s="92"/>
      <c r="P53" s="611"/>
      <c r="Q53" s="190">
        <f>'[12]Rates in summary'!D45+[12]Temporaries!N45+[12]Temporaries!O45-[12]Temporaries!AY45</f>
        <v>0.35268999999999995</v>
      </c>
      <c r="R53" s="92"/>
      <c r="S53" s="611"/>
      <c r="T53" s="534">
        <f>'[12]Rates in detail'!D45+[12]Temporaries!T45-[12]Temporaries!BD45+[12]Temporaries!S45-[12]Temporaries!BC45+[12]Temporaries!P45-[12]Temporaries!BB45++[12]Temporaries!Q45-[12]Temporaries!AW45</f>
        <v>0.35200999999999999</v>
      </c>
      <c r="U53" s="112"/>
      <c r="V53" s="531"/>
      <c r="W53" s="190">
        <f>'[12]Rates in summary'!D45+[12]Temporaries!R45-[12]Temporaries!AZ45</f>
        <v>0.35285999999999995</v>
      </c>
      <c r="X53" s="92"/>
      <c r="Y53" s="611"/>
      <c r="Z53" s="190">
        <f>'[12]Rates in summary'!D45+[12]Permanents!F45</f>
        <v>0.35268999999999995</v>
      </c>
      <c r="AA53" s="92"/>
      <c r="AB53" s="611"/>
      <c r="AC53" s="612">
        <f>'[12]Rates in summary'!D45+[12]Temporaries!U45-[12]Temporaries!BE45</f>
        <v>0.35268999999999995</v>
      </c>
      <c r="AD53" s="546"/>
      <c r="AE53" s="613"/>
      <c r="AF53" s="190">
        <f>'[12]Rates in summary'!D45+[12]Temporaries!V45-[12]Temporaries!BF45</f>
        <v>0.35268999999999995</v>
      </c>
      <c r="AG53" s="92"/>
      <c r="AH53" s="611"/>
      <c r="AI53" s="190">
        <f>'[12]Rates in summary'!G45+[12]Temporaries!J45</f>
        <v>0.35268999999999995</v>
      </c>
      <c r="AJ53" s="92"/>
      <c r="AK53" s="614"/>
      <c r="AL53" s="190">
        <f>+'[12]Rates in summary'!Q45</f>
        <v>0.35217999999999994</v>
      </c>
      <c r="AM53" s="92"/>
      <c r="AN53" s="615"/>
      <c r="AO53" s="538"/>
      <c r="AP53" s="601"/>
      <c r="AQ53" s="537">
        <f t="shared" si="19"/>
        <v>0</v>
      </c>
      <c r="AR53" s="537">
        <f t="shared" si="20"/>
        <v>0</v>
      </c>
      <c r="AS53" s="537">
        <f t="shared" si="21"/>
        <v>-5.1000000000001044E-4</v>
      </c>
      <c r="AT53" s="537">
        <f t="shared" si="32"/>
        <v>-5.1000000000001044E-4</v>
      </c>
      <c r="AU53" s="6">
        <f>+'[12]Rates in summary'!D45+[12]Temporaries!K45+[12]Temporaries!M45+[12]Temporaries!L45-[12]Temporaries!AZ45</f>
        <v>0.35135999999999995</v>
      </c>
      <c r="AV53" s="542"/>
      <c r="AW53" s="616"/>
      <c r="AX53" s="190"/>
      <c r="AY53" s="190"/>
      <c r="AZ53" s="190"/>
      <c r="BA53" s="190"/>
    </row>
    <row r="54" spans="1:57" x14ac:dyDescent="0.35">
      <c r="A54" s="15">
        <f t="shared" si="0"/>
        <v>48</v>
      </c>
      <c r="B54" s="15"/>
      <c r="C54" s="193" t="s">
        <v>91</v>
      </c>
      <c r="D54" s="127">
        <f>+'[12]Washington volumes'!J46</f>
        <v>403343.97837634891</v>
      </c>
      <c r="E54" s="127">
        <v>100000</v>
      </c>
      <c r="F54" s="161"/>
      <c r="G54" s="683"/>
      <c r="H54" s="684"/>
      <c r="I54" s="683"/>
      <c r="J54" s="684"/>
      <c r="K54" s="92"/>
      <c r="L54" s="190">
        <f>+'[12]Rates in summary'!D46</f>
        <v>0.33054000000000006</v>
      </c>
      <c r="M54" s="92"/>
      <c r="N54" s="190">
        <f>'[12]Rates in summary'!D46+[12]Temporaries!K46+[12]Temporaries!L46+[12]Temporaries!M46-[12]Temporaries!AX46</f>
        <v>0.33054000000000006</v>
      </c>
      <c r="O54" s="92"/>
      <c r="P54" s="611"/>
      <c r="Q54" s="190">
        <f>'[12]Rates in summary'!D46+[12]Temporaries!N46+[12]Temporaries!O46-[12]Temporaries!AY46</f>
        <v>0.33054000000000006</v>
      </c>
      <c r="R54" s="92"/>
      <c r="S54" s="611"/>
      <c r="T54" s="534">
        <f>'[12]Rates in detail'!D46+[12]Temporaries!T46-[12]Temporaries!BD46+[12]Temporaries!S46-[12]Temporaries!BC46+[12]Temporaries!P46-[12]Temporaries!BB46++[12]Temporaries!Q46-[12]Temporaries!AW46</f>
        <v>0.32982000000000011</v>
      </c>
      <c r="U54" s="112"/>
      <c r="V54" s="531"/>
      <c r="W54" s="190">
        <f>'[12]Rates in summary'!D46+[12]Temporaries!R46-[12]Temporaries!AZ46</f>
        <v>0.33068000000000003</v>
      </c>
      <c r="X54" s="92"/>
      <c r="Y54" s="611"/>
      <c r="Z54" s="190">
        <f>'[12]Rates in summary'!D46+[12]Permanents!F46</f>
        <v>0.33054000000000006</v>
      </c>
      <c r="AA54" s="92"/>
      <c r="AB54" s="611"/>
      <c r="AC54" s="612">
        <f>'[12]Rates in summary'!D46+[12]Temporaries!U46-[12]Temporaries!BE46</f>
        <v>0.33054000000000006</v>
      </c>
      <c r="AD54" s="546"/>
      <c r="AE54" s="613"/>
      <c r="AF54" s="190">
        <f>'[12]Rates in summary'!D46+[12]Temporaries!V46-[12]Temporaries!BF46</f>
        <v>0.33054000000000006</v>
      </c>
      <c r="AG54" s="92"/>
      <c r="AH54" s="611"/>
      <c r="AI54" s="190">
        <f>'[12]Rates in summary'!G46+[12]Temporaries!J46</f>
        <v>0.33054000000000006</v>
      </c>
      <c r="AJ54" s="92"/>
      <c r="AK54" s="614"/>
      <c r="AL54" s="190">
        <f>+'[12]Rates in summary'!Q46</f>
        <v>0.32996000000000003</v>
      </c>
      <c r="AM54" s="92"/>
      <c r="AN54" s="615"/>
      <c r="AO54" s="538"/>
      <c r="AP54" s="601"/>
      <c r="AQ54" s="537">
        <f t="shared" si="19"/>
        <v>0</v>
      </c>
      <c r="AR54" s="537">
        <f t="shared" si="20"/>
        <v>0</v>
      </c>
      <c r="AS54" s="537">
        <f t="shared" si="21"/>
        <v>-5.8000000000002494E-4</v>
      </c>
      <c r="AT54" s="537">
        <f t="shared" si="32"/>
        <v>-5.8000000000002494E-4</v>
      </c>
      <c r="AU54" s="6">
        <f>+'[12]Rates in summary'!D46+[12]Temporaries!K46+[12]Temporaries!M46+[12]Temporaries!L46-[12]Temporaries!AZ46</f>
        <v>0.32948000000000005</v>
      </c>
      <c r="AV54" s="542"/>
      <c r="AW54" s="616"/>
      <c r="AX54" s="190"/>
      <c r="AY54" s="190"/>
      <c r="AZ54" s="190"/>
      <c r="BA54" s="190"/>
    </row>
    <row r="55" spans="1:57" x14ac:dyDescent="0.35">
      <c r="A55" s="15">
        <f t="shared" si="0"/>
        <v>49</v>
      </c>
      <c r="B55" s="15"/>
      <c r="C55" s="193" t="s">
        <v>92</v>
      </c>
      <c r="D55" s="127">
        <f>+'[12]Washington volumes'!J47</f>
        <v>0</v>
      </c>
      <c r="E55" s="127">
        <v>600000</v>
      </c>
      <c r="F55" s="161"/>
      <c r="G55" s="683"/>
      <c r="H55" s="684"/>
      <c r="I55" s="683"/>
      <c r="J55" s="684"/>
      <c r="K55" s="92"/>
      <c r="L55" s="190">
        <f>+'[12]Rates in summary'!D47</f>
        <v>0.30097000000000007</v>
      </c>
      <c r="M55" s="92"/>
      <c r="N55" s="190">
        <f>'[12]Rates in summary'!D47+[12]Temporaries!K47+[12]Temporaries!L47+[12]Temporaries!M47-[12]Temporaries!AX47</f>
        <v>0.30097000000000007</v>
      </c>
      <c r="O55" s="92"/>
      <c r="P55" s="611"/>
      <c r="Q55" s="190">
        <f>'[12]Rates in summary'!D47+[12]Temporaries!N47+[12]Temporaries!O47-[12]Temporaries!AY47</f>
        <v>0.30097000000000007</v>
      </c>
      <c r="R55" s="92"/>
      <c r="S55" s="611"/>
      <c r="T55" s="534">
        <f>'[12]Rates in detail'!D47+[12]Temporaries!T47-[12]Temporaries!BD47+[12]Temporaries!S47-[12]Temporaries!BC47+[12]Temporaries!P47-[12]Temporaries!BB47++[12]Temporaries!Q47-[12]Temporaries!AW47</f>
        <v>0.30025000000000013</v>
      </c>
      <c r="U55" s="112"/>
      <c r="V55" s="531"/>
      <c r="W55" s="190">
        <f>'[12]Rates in summary'!D47+[12]Temporaries!R47-[12]Temporaries!AZ47</f>
        <v>0.30106000000000011</v>
      </c>
      <c r="X55" s="92"/>
      <c r="Y55" s="611"/>
      <c r="Z55" s="190">
        <f>'[12]Rates in summary'!D47+[12]Permanents!F47</f>
        <v>0.30097000000000007</v>
      </c>
      <c r="AA55" s="92"/>
      <c r="AB55" s="611"/>
      <c r="AC55" s="612">
        <f>'[12]Rates in summary'!D47+[12]Temporaries!U47-[12]Temporaries!BE47</f>
        <v>0.30097000000000007</v>
      </c>
      <c r="AD55" s="546"/>
      <c r="AE55" s="613"/>
      <c r="AF55" s="190">
        <f>'[12]Rates in summary'!D47+[12]Temporaries!V47-[12]Temporaries!BF47</f>
        <v>0.30097000000000007</v>
      </c>
      <c r="AG55" s="92"/>
      <c r="AH55" s="611"/>
      <c r="AI55" s="190">
        <f>'[12]Rates in summary'!G47+[12]Temporaries!J47</f>
        <v>0.30097000000000007</v>
      </c>
      <c r="AJ55" s="92"/>
      <c r="AK55" s="614"/>
      <c r="AL55" s="190">
        <f>+'[12]Rates in summary'!Q47</f>
        <v>0.30034000000000005</v>
      </c>
      <c r="AM55" s="92"/>
      <c r="AN55" s="615"/>
      <c r="AO55" s="538"/>
      <c r="AP55" s="601"/>
      <c r="AQ55" s="537">
        <f t="shared" si="19"/>
        <v>0</v>
      </c>
      <c r="AR55" s="537">
        <f t="shared" si="20"/>
        <v>0</v>
      </c>
      <c r="AS55" s="537">
        <f t="shared" si="21"/>
        <v>-6.3000000000001943E-4</v>
      </c>
      <c r="AT55" s="537">
        <f t="shared" si="32"/>
        <v>-6.3000000000001943E-4</v>
      </c>
      <c r="AU55" s="6">
        <f>+'[12]Rates in summary'!D47+[12]Temporaries!K47+[12]Temporaries!M47+[12]Temporaries!L47-[12]Temporaries!AZ47</f>
        <v>0.30026000000000008</v>
      </c>
      <c r="AV55" s="6"/>
      <c r="AW55" s="616"/>
      <c r="AX55" s="190"/>
      <c r="AY55" s="190"/>
      <c r="AZ55" s="190"/>
      <c r="BA55" s="190"/>
    </row>
    <row r="56" spans="1:57" x14ac:dyDescent="0.35">
      <c r="A56" s="15">
        <f t="shared" si="0"/>
        <v>50</v>
      </c>
      <c r="B56" s="15"/>
      <c r="C56" s="193" t="s">
        <v>93</v>
      </c>
      <c r="D56" s="127">
        <f>+'[12]Washington volumes'!J48</f>
        <v>0</v>
      </c>
      <c r="E56" s="568" t="s">
        <v>265</v>
      </c>
      <c r="F56" s="161"/>
      <c r="G56" s="683"/>
      <c r="H56" s="684"/>
      <c r="I56" s="683"/>
      <c r="J56" s="684"/>
      <c r="K56" s="92"/>
      <c r="L56" s="190">
        <f>+'[12]Rates in summary'!D48</f>
        <v>0.26403000000000004</v>
      </c>
      <c r="M56" s="92"/>
      <c r="N56" s="190">
        <f>'[12]Rates in summary'!D48+[12]Temporaries!K48+[12]Temporaries!L48+[12]Temporaries!M48-[12]Temporaries!AX48</f>
        <v>0.26403000000000004</v>
      </c>
      <c r="O56" s="92"/>
      <c r="P56" s="611"/>
      <c r="Q56" s="190">
        <f>'[12]Rates in summary'!D48+[12]Temporaries!N48+[12]Temporaries!O48-[12]Temporaries!AY48</f>
        <v>0.26403000000000004</v>
      </c>
      <c r="R56" s="92"/>
      <c r="S56" s="611"/>
      <c r="T56" s="534">
        <f>'[12]Rates in detail'!D48+[12]Temporaries!T48-[12]Temporaries!BD48+[12]Temporaries!S48-[12]Temporaries!BC48+[12]Temporaries!P48-[12]Temporaries!BB48++[12]Temporaries!Q48-[12]Temporaries!AW48</f>
        <v>0.26328000000000013</v>
      </c>
      <c r="U56" s="112"/>
      <c r="V56" s="531"/>
      <c r="W56" s="190">
        <f>'[12]Rates in summary'!D48+[12]Temporaries!R48-[12]Temporaries!AZ48</f>
        <v>0.26406000000000007</v>
      </c>
      <c r="X56" s="92"/>
      <c r="Y56" s="611"/>
      <c r="Z56" s="190">
        <f>'[12]Rates in summary'!D48+[12]Permanents!F48</f>
        <v>0.26403000000000004</v>
      </c>
      <c r="AA56" s="92"/>
      <c r="AB56" s="611"/>
      <c r="AC56" s="612">
        <f>'[12]Rates in summary'!D48+[12]Temporaries!U48-[12]Temporaries!BE48</f>
        <v>0.26403000000000004</v>
      </c>
      <c r="AD56" s="546"/>
      <c r="AE56" s="613"/>
      <c r="AF56" s="190">
        <f>'[12]Rates in summary'!D48+[12]Temporaries!V48-[12]Temporaries!BF48</f>
        <v>0.2640300000000001</v>
      </c>
      <c r="AG56" s="92"/>
      <c r="AH56" s="611"/>
      <c r="AI56" s="190">
        <f>'[12]Rates in summary'!G48+[12]Temporaries!J48</f>
        <v>0.26403000000000004</v>
      </c>
      <c r="AJ56" s="92"/>
      <c r="AK56" s="614"/>
      <c r="AL56" s="190">
        <f>+'[12]Rates in summary'!Q48</f>
        <v>0.26331000000000004</v>
      </c>
      <c r="AM56" s="92"/>
      <c r="AN56" s="615"/>
      <c r="AO56" s="538"/>
      <c r="AP56" s="601"/>
      <c r="AQ56" s="537">
        <f t="shared" si="19"/>
        <v>0</v>
      </c>
      <c r="AR56" s="537">
        <f t="shared" si="20"/>
        <v>0</v>
      </c>
      <c r="AS56" s="537">
        <f t="shared" si="21"/>
        <v>-7.1999999999999842E-4</v>
      </c>
      <c r="AT56" s="537">
        <f t="shared" si="32"/>
        <v>-7.1999999999999842E-4</v>
      </c>
      <c r="AU56" s="6">
        <f>+'[12]Rates in summary'!D48+[12]Temporaries!K48+[12]Temporaries!M48+[12]Temporaries!L48-[12]Temporaries!AZ48</f>
        <v>0.26376000000000005</v>
      </c>
      <c r="AV56" s="6"/>
      <c r="AW56" s="616"/>
      <c r="AX56" s="190"/>
      <c r="AY56" s="190"/>
      <c r="AZ56" s="190"/>
      <c r="BA56" s="190"/>
    </row>
    <row r="57" spans="1:57" x14ac:dyDescent="0.35">
      <c r="A57" s="15">
        <f t="shared" si="0"/>
        <v>51</v>
      </c>
      <c r="B57" s="192"/>
      <c r="C57" s="617" t="s">
        <v>49</v>
      </c>
      <c r="D57" s="618"/>
      <c r="E57" s="619"/>
      <c r="F57" s="620"/>
      <c r="G57" s="685"/>
      <c r="H57" s="686"/>
      <c r="I57" s="685"/>
      <c r="J57" s="686"/>
      <c r="K57" s="621"/>
      <c r="L57" s="622"/>
      <c r="M57" s="621">
        <f>$I51+ROUND(IF($F51&lt;$E51,($F51*L51),IF($F51&lt;SUM($E51:$E52),(($E51*L51)+(($F51-$E51)*L52)),IF($F51&lt;SUM($E51:$E53),(($E51*L51)+($E52*L52)+(($F51-$E51-$E52)*L53)),IF($F51&lt;SUM($E51:$E54),(($E51*L51)+($E52*L52)+($E53*L53)+(($F51-SUM($E51:$E53))*L54)),IF($F51&lt;SUM($E51:$E55),(($E51*L51)+($E52*L52)+($E53*L53)+($E54*L54)+(($F51-SUM($E51:$E54))*L55)),(($E51*L51)+($E52*L52)+($E53*L53)+($E54*L53)+($E55*L55)+(($F51-SUM($E51:$E55))*L56))))))),2)</f>
        <v>15708.620663486881</v>
      </c>
      <c r="N57" s="622"/>
      <c r="O57" s="621">
        <f>$I51+ROUND(IF($F51&lt;$E51,($F51*N51),IF($F51&lt;SUM($E51:$E52),(($E51*N51)+(($F51-$E51)*N52)),IF($F51&lt;SUM($E51:$E53),(($E51*N51)+($E52*N52)+(($F51-$E51-$E52)*N53)),IF($F51&lt;SUM($E51:$E54),(($E51*N51)+($E52*N52)+($E53*N53)+(($F51-SUM($E51:$E53))*N54)),IF($F51&lt;SUM($E51:$E55),(($E51*N51)+($E52*N52)+($E53*N53)+($E54*N54)+(($F51-SUM($E51:$E54))*N55)),(($E51*N51)+($E52*N52)+($E53*N53)+($E54*N53)+($E55*N55)+(($F51-SUM($E51:$E55))*N56))))))),2)</f>
        <v>15708.620663486881</v>
      </c>
      <c r="P57" s="623">
        <f>ROUND((O57-M57)/M57,3)</f>
        <v>0</v>
      </c>
      <c r="Q57" s="622"/>
      <c r="R57" s="621">
        <f>$I51+ROUND(IF($F51&lt;$E51,($F51*Q51),IF($F51&lt;SUM($E51:$E52),(($E51*Q51)+(($F51-$E51)*Q52)),IF($F51&lt;SUM($E51:$E53),(($E51*Q51)+($E52*Q52)+(($F51-$E51-$E52)*Q53)),IF($F51&lt;SUM($E51:$E54),(($E51*Q51)+($E52*Q52)+($E53*Q53)+(($F51-SUM($E51:$E53))*Q54)),IF($F51&lt;SUM($E51:$E55),(($E51*Q51)+($E52*Q52)+($E53*Q53)+($E54*Q54)+(($F51-SUM($E51:$E54))*Q55)),(($E51*Q51)+($E52*Q52)+($E53*Q53)+($E54*Q53)+($E55*Q55)+(($F51-SUM($E51:$E55))*Q56))))))),2)</f>
        <v>15708.620663486881</v>
      </c>
      <c r="S57" s="623">
        <f>ROUND((R57-M57)/M57,3)</f>
        <v>0</v>
      </c>
      <c r="T57" s="330"/>
      <c r="U57" s="329">
        <f>$I51+ROUND(IF($F51&lt;$E51,($F51*T51),IF($F51&lt;SUM($E51:$E52),(($E51*T51)+(($F51-$E51)*T52)),IF($F51&lt;SUM($E51:$E53),(($E51*T51)+($E52*T52)+(($F51-$E51-$E52)*T53)),IF($F51&lt;SUM($E51:$E54),(($E51*T51)+($E52*T52)+($E53*T53)+(($F51-SUM($E51:$E53))*T54)),IF($F51&lt;SUM($E51:$E55),(($E51*T51)+($E52*T52)+($E53*T53)+($E54*T54)+(($F51-SUM($E51:$E54))*T55)),(($E51*T51)+($E52*T52)+($E53*T53)+($E54*T53)+($E55*T55)+(($F51-SUM($E51:$E55))*T56))))))),2)</f>
        <v>15674.170663486881</v>
      </c>
      <c r="V57" s="532">
        <f>ROUND((U57-M57)/M57,3)</f>
        <v>-2E-3</v>
      </c>
      <c r="W57" s="622"/>
      <c r="X57" s="621">
        <f>$I51+ROUND(IF($F51&lt;$E51,($F51*W51),IF($F51&lt;SUM($E51:$E52),(($E51*W51)+(($F51-$E51)*W52)),IF($F51&lt;SUM($E51:$E53),(($E51*W51)+($E52*W52)+(($F51-$E51-$E52)*W53)),IF($F51&lt;SUM($E51:$E54),(($E51*W51)+($E52*W52)+($E53*W53)+(($F51-SUM($E51:$E53))*W54)),IF($F51&lt;SUM($E51:$E55),(($E51*W51)+($E52*W52)+($E53*W53)+($E54*W54)+(($F51-SUM($E51:$E54))*W55)),(($E51*W51)+($E52*W52)+($E53*W53)+($E54*W53)+($E55*W55)+(($F51-SUM($E51:$E55))*W56))))))),2)</f>
        <v>15719.430663486883</v>
      </c>
      <c r="Y57" s="623">
        <f>(X57-M57)/M57</f>
        <v>6.8815717379490068E-4</v>
      </c>
      <c r="Z57" s="622"/>
      <c r="AA57" s="621">
        <f>$I51+ROUND(IF($F51&lt;$E51,($F51*Z51),IF($F51&lt;SUM($E51:$E52),(($E51*Z51)+(($F51-$E51)*Z52)),IF($F51&lt;SUM($E51:$E53),(($E51*Z51)+($E52*Z52)+(($F51-$E51-$E52)*Z53)),IF($F51&lt;SUM($E51:$E54),(($E51*Z51)+($E52*Z52)+($E53*Z53)+(($F51-SUM($E51:$E53))*Z54)),IF($F51&lt;SUM($E51:$E55),(($E51*Z51)+($E52*Z52)+($E53*Z53)+($E54*Z54)+(($F51-SUM($E51:$E54))*Z55)),(($E51*Z51)+($E52*Z52)+($E53*Z53)+($E54*Z53)+($E55*Z55)+(($F51-SUM($E51:$E55))*Z56))))))),2)</f>
        <v>15708.620663486881</v>
      </c>
      <c r="AB57" s="623">
        <f>(AA57-M57)/M57</f>
        <v>0</v>
      </c>
      <c r="AC57" s="624"/>
      <c r="AD57" s="625">
        <f>$I51+ROUND(IF($F51&lt;$E51,($F51*AC51),IF($F51&lt;SUM($E51:$E52),(($E51*AC51)+(($F51-$E51)*AC52)),IF($F51&lt;SUM($E51:$E53),(($E51*AC51)+($E52*AC52)+(($F51-$E51-$E52)*AC53)),IF($F51&lt;SUM($E51:$E54),(($E51*AC51)+($E52*AC52)+($E53*AC53)+(($F51-SUM($E51:$E53))*AC54)),IF($F51&lt;SUM($E51:$E55),(($E51*AC51)+($E52*AC52)+($E53*AC53)+($E54*AC54)+(($F51-SUM($E51:$E54))*AC55)),(($E51*AC51)+($E52*AC52)+($E53*AC53)+($E54*AC53)+($E55*AC55)+(($F51-SUM($E51:$E55))*AC56))))))),2)</f>
        <v>15708.620663486881</v>
      </c>
      <c r="AE57" s="626">
        <f>(AD57-M57)/M57</f>
        <v>0</v>
      </c>
      <c r="AF57" s="622"/>
      <c r="AG57" s="621">
        <f>$K51+ROUND(IF($F51&lt;$E51,($F51*AF51),IF($F51&lt;SUM($E51:$E52),(($E51*AF51)+(($F51-$E51)*AF52)),IF($F51&lt;SUM($E51:$E53),(($E51*AF51)+($E52*AF52)+(($F51-$E51-$E52)*AF53)),IF($F51&lt;SUM($E51:$E54),(($E51*AF51)+($E52*AF52)+($E53*AF53)+(($F51-SUM($E51:$E53))*AF54)),IF($F51&lt;SUM($E51:$E55),(($E51*AF51)+($E52*AF52)+($E53*AF53)+($E54*AF54)+(($F51-SUM($E51:$E54))*AF55)),(($E51*AF51)+($E52*AF52)+($E53*AF53)+($E54*AF53)+($E55*AF55)+(($F51-SUM($E51:$E55))*AF56))))))),2)</f>
        <v>15708.620663486881</v>
      </c>
      <c r="AH57" s="623">
        <f>(AG57-M57)/M57</f>
        <v>0</v>
      </c>
      <c r="AI57" s="622"/>
      <c r="AJ57" s="621">
        <f>$I51+ROUND(IF($F51&lt;$E51,($F51*AI51),IF($F51&lt;SUM($E51:$E52),(($E51*AI51)+(($F51-$E51)*AI52)),IF($F51&lt;SUM($E51:$E53),(($E51*AI51)+($E52*AI52)+(($F51-$E51-$E52)*AI53)),IF($F51&lt;SUM($E51:$E54),(($E51*AI51)+($E52*AI52)+($E53*AI53)+(($F51-SUM($E51:$E53))*AI54)),IF($F51&lt;SUM($E51:$E55),(($E51*AI51)+($E52*AI52)+($E53*AI53)+($E54*AI54)+(($F51-SUM($E51:$E54))*AI55)),(($E51*AI51)+($E52*AI52)+($E53*AI53)+($E54*AI53)+($E55*AI55)+(($F51-SUM($E51:$E55))*AI56))))))),2)</f>
        <v>15708.620663486881</v>
      </c>
      <c r="AK57" s="638">
        <f>ROUND((AJ57-M57)/M57,3)</f>
        <v>0</v>
      </c>
      <c r="AL57" s="622"/>
      <c r="AM57" s="621">
        <f>$K51+ROUND(IF($F51&lt;$E51,($F51*AL51),IF($F51&lt;SUM($E51:$E52),(($E51*AL51)+(($F51-$E51)*AL52)),IF($F51&lt;SUM($E51:$E53),(($E51*AL51)+($E52*AL52)+(($F51-$E51-$E52)*AL53)),IF($F51&lt;SUM($E51:$E54),(($E51*AL51)+($E52*AL52)+($E53*AL53)+(($F51-SUM($E51:$E53))*AL54)),IF($F51&lt;SUM($E51:$E55),(($E51*AL51)+($E52*AL52)+($E53*AL53)+($E54*AL54)+(($F51-SUM($E51:$E54))*AL55)),(($E51*AL51)+($E52*AL52)+($E53*AL53)+($E54*AL53)+($E55*AL55)+(($F51-SUM($E51:$E55))*AL56))))))),2)</f>
        <v>15684.970663486883</v>
      </c>
      <c r="AN57" s="638">
        <f>ROUND((AM57-M57)/M57,3)</f>
        <v>-2E-3</v>
      </c>
      <c r="AO57" s="538"/>
      <c r="AP57" s="601"/>
      <c r="AQ57" s="537">
        <f t="shared" si="19"/>
        <v>0</v>
      </c>
      <c r="AR57" s="537">
        <f t="shared" si="20"/>
        <v>0</v>
      </c>
      <c r="AS57" s="537">
        <f t="shared" si="21"/>
        <v>0</v>
      </c>
      <c r="AT57" s="537">
        <f t="shared" si="32"/>
        <v>0</v>
      </c>
      <c r="AU57" s="627"/>
      <c r="AV57" s="628">
        <f>$I51+ROUND(IF($F51&lt;$E51,($F51*AU51),IF($F51&lt;SUM($E51:$E52),(($E51*AU51)+(($F51-$E51)*AU52)),IF($F51&lt;SUM($E51:$E53),(($E51*AU51)+($E52*AU52)+(($F51-$E51-$E52)*AU53)),IF($F51&lt;SUM($E51:$E54),(($E51*AU51)+($E52*AU52)+($E53*AU53)+(($F51-SUM($E51:$E53))*AU54)),IF($F51&lt;SUM($E51:$E55),(($E51*AU51)+($E52*AU52)+($E53*AU53)+($E54*AU54)+(($F51-SUM($E51:$E54))*AU55)),(($E51*AU51)+($E52*AU52)+($E53*AU53)+($E54*AU53)+($E55*AU55)+(($F51-SUM($E51:$E55))*AU56))))))),2)</f>
        <v>15626.570663486882</v>
      </c>
      <c r="AW57" s="629">
        <f>ROUND((AV57-M57)/M57,3)</f>
        <v>-5.0000000000000001E-3</v>
      </c>
      <c r="AX57" s="190"/>
      <c r="AY57" s="190"/>
      <c r="AZ57" s="190"/>
      <c r="BA57" s="190"/>
      <c r="BB57" s="640"/>
      <c r="BC57" s="641"/>
      <c r="BD57" s="641"/>
      <c r="BE57" s="641"/>
    </row>
    <row r="58" spans="1:57" x14ac:dyDescent="0.35">
      <c r="A58" s="15">
        <f t="shared" si="0"/>
        <v>52</v>
      </c>
      <c r="B58" s="15" t="s">
        <v>96</v>
      </c>
      <c r="C58" s="193" t="s">
        <v>82</v>
      </c>
      <c r="D58" s="127">
        <f>+'[12]Washington volumes'!J49</f>
        <v>933451.95163091726</v>
      </c>
      <c r="E58" s="127">
        <v>10000</v>
      </c>
      <c r="F58" s="161">
        <v>63374</v>
      </c>
      <c r="G58" s="683">
        <f>1300+250</f>
        <v>1550</v>
      </c>
      <c r="H58" s="683">
        <f>'[52]Aver Bill by RS'!$J58</f>
        <v>3945.7691048183847</v>
      </c>
      <c r="I58" s="683">
        <f>G58-(IF(H58&gt;(F58*$H$3),(F58*$H$3),H58))</f>
        <v>-2395.7691048183847</v>
      </c>
      <c r="J58" s="683">
        <f>'[52]Aver Bill by RS'!$J58</f>
        <v>3945.7691048183847</v>
      </c>
      <c r="K58" s="92">
        <f>G58-(IF(J58&gt;($F58*$H$4),($F58*$H$4),J58))</f>
        <v>-2395.7691048183847</v>
      </c>
      <c r="L58" s="190">
        <f>+'[12]Rates in summary'!D49</f>
        <v>0.40095999999999998</v>
      </c>
      <c r="M58" s="92"/>
      <c r="N58" s="190">
        <f>'[12]Rates in summary'!D49+[12]Temporaries!K49+[12]Temporaries!L49+[12]Temporaries!M49-[12]Temporaries!AX49</f>
        <v>0.40095999999999998</v>
      </c>
      <c r="O58" s="92"/>
      <c r="P58" s="611"/>
      <c r="Q58" s="190">
        <f>'[12]Rates in summary'!D49+[12]Temporaries!N49+[12]Temporaries!O49-[12]Temporaries!AY49</f>
        <v>0.40095999999999998</v>
      </c>
      <c r="R58" s="92"/>
      <c r="S58" s="611"/>
      <c r="T58" s="534">
        <f>'[12]Rates in detail'!D49+[12]Temporaries!T49-[12]Temporaries!BD49+[12]Temporaries!S49-[12]Temporaries!BC49+[12]Temporaries!P49-[12]Temporaries!BB49++[12]Temporaries!Q49-[12]Temporaries!AW49</f>
        <v>0.40032000000000006</v>
      </c>
      <c r="U58" s="112"/>
      <c r="V58" s="531"/>
      <c r="W58" s="190">
        <f>'[12]Rates in summary'!D49+[12]Temporaries!R49-[12]Temporaries!AZ49</f>
        <v>0.40120999999999996</v>
      </c>
      <c r="X58" s="92"/>
      <c r="Y58" s="611"/>
      <c r="Z58" s="190">
        <f>'[12]Rates in summary'!D49+[12]Permanents!F49</f>
        <v>0.40095999999999998</v>
      </c>
      <c r="AA58" s="92"/>
      <c r="AB58" s="611"/>
      <c r="AC58" s="612">
        <f>'[12]Rates in summary'!D49+[12]Temporaries!U49-[12]Temporaries!BE49</f>
        <v>0.40095999999999998</v>
      </c>
      <c r="AD58" s="546"/>
      <c r="AE58" s="613"/>
      <c r="AF58" s="190">
        <f>'[12]Rates in summary'!D49+[12]Temporaries!V49-[12]Temporaries!BF49</f>
        <v>0.40095999999999998</v>
      </c>
      <c r="AG58" s="92"/>
      <c r="AH58" s="611"/>
      <c r="AI58" s="190">
        <f>'[12]Rates in summary'!G49+[12]Temporaries!J49</f>
        <v>0.40095999999999998</v>
      </c>
      <c r="AJ58" s="92"/>
      <c r="AK58" s="611"/>
      <c r="AL58" s="190">
        <f>+'[12]Rates in summary'!Q49</f>
        <v>0.40056999999999998</v>
      </c>
      <c r="AM58" s="92"/>
      <c r="AN58" s="615"/>
      <c r="AO58" s="538"/>
      <c r="AP58" s="601"/>
      <c r="AQ58" s="537">
        <f t="shared" si="19"/>
        <v>0</v>
      </c>
      <c r="AR58" s="537">
        <f t="shared" si="20"/>
        <v>0</v>
      </c>
      <c r="AS58" s="537">
        <f t="shared" si="21"/>
        <v>-3.9000000000000146E-4</v>
      </c>
      <c r="AT58" s="537">
        <f t="shared" si="32"/>
        <v>-3.9000000000000146E-4</v>
      </c>
      <c r="AU58" s="6">
        <f>+'[12]Rates in summary'!D49+[12]Temporaries!K49+[12]Temporaries!M49+[12]Temporaries!L49-[12]Temporaries!AZ49</f>
        <v>0.39889999999999998</v>
      </c>
      <c r="AV58" s="542"/>
      <c r="AW58" s="616"/>
      <c r="AX58" s="190"/>
      <c r="AY58" s="190"/>
      <c r="AZ58" s="190"/>
      <c r="BA58" s="190"/>
      <c r="BB58" s="640"/>
      <c r="BC58" s="641"/>
      <c r="BD58" s="641"/>
      <c r="BE58" s="641"/>
    </row>
    <row r="59" spans="1:57" x14ac:dyDescent="0.35">
      <c r="A59" s="15">
        <f t="shared" si="0"/>
        <v>53</v>
      </c>
      <c r="B59" s="15"/>
      <c r="C59" s="193" t="s">
        <v>83</v>
      </c>
      <c r="D59" s="127">
        <f>+'[12]Washington volumes'!J50</f>
        <v>1354331.8549391942</v>
      </c>
      <c r="E59" s="127">
        <v>20000</v>
      </c>
      <c r="F59" s="161"/>
      <c r="G59" s="683"/>
      <c r="H59" s="684"/>
      <c r="I59" s="683"/>
      <c r="J59" s="684"/>
      <c r="K59" s="92"/>
      <c r="L59" s="190">
        <f>+'[12]Rates in summary'!D50</f>
        <v>0.38426999999999989</v>
      </c>
      <c r="M59" s="92"/>
      <c r="N59" s="190">
        <f>'[12]Rates in summary'!D50+[12]Temporaries!K50+[12]Temporaries!L50+[12]Temporaries!M50-[12]Temporaries!AX50</f>
        <v>0.38426999999999989</v>
      </c>
      <c r="O59" s="92"/>
      <c r="P59" s="611"/>
      <c r="Q59" s="190">
        <f>'[12]Rates in summary'!D50+[12]Temporaries!N50+[12]Temporaries!O50-[12]Temporaries!AY50</f>
        <v>0.38426999999999989</v>
      </c>
      <c r="R59" s="92"/>
      <c r="S59" s="611"/>
      <c r="T59" s="534">
        <f>'[12]Rates in detail'!D50+[12]Temporaries!T50-[12]Temporaries!BD50+[12]Temporaries!S50-[12]Temporaries!BC50+[12]Temporaries!P50-[12]Temporaries!BB50++[12]Temporaries!Q50-[12]Temporaries!AW50</f>
        <v>0.38361999999999996</v>
      </c>
      <c r="U59" s="112"/>
      <c r="V59" s="531"/>
      <c r="W59" s="190">
        <f>'[12]Rates in summary'!D50+[12]Temporaries!R50-[12]Temporaries!AZ50</f>
        <v>0.3844999999999999</v>
      </c>
      <c r="X59" s="92"/>
      <c r="Y59" s="611"/>
      <c r="Z59" s="190">
        <f>'[12]Rates in summary'!D50+[12]Permanents!F50</f>
        <v>0.38426999999999989</v>
      </c>
      <c r="AA59" s="92"/>
      <c r="AB59" s="611"/>
      <c r="AC59" s="612">
        <f>'[12]Rates in summary'!D50+[12]Temporaries!U50-[12]Temporaries!BE50</f>
        <v>0.38426999999999989</v>
      </c>
      <c r="AD59" s="546"/>
      <c r="AE59" s="613"/>
      <c r="AF59" s="190">
        <f>'[12]Rates in summary'!D50+[12]Temporaries!V50-[12]Temporaries!BF50</f>
        <v>0.38426999999999989</v>
      </c>
      <c r="AG59" s="92"/>
      <c r="AH59" s="611"/>
      <c r="AI59" s="190">
        <f>'[12]Rates in summary'!G50+[12]Temporaries!J50</f>
        <v>0.38426999999999989</v>
      </c>
      <c r="AJ59" s="92"/>
      <c r="AK59" s="611"/>
      <c r="AL59" s="190">
        <f>+'[12]Rates in summary'!Q50</f>
        <v>0.38384999999999991</v>
      </c>
      <c r="AM59" s="92"/>
      <c r="AN59" s="615"/>
      <c r="AO59" s="538"/>
      <c r="AP59" s="601"/>
      <c r="AQ59" s="537">
        <f t="shared" si="19"/>
        <v>0</v>
      </c>
      <c r="AR59" s="537">
        <f t="shared" si="20"/>
        <v>0</v>
      </c>
      <c r="AS59" s="537">
        <f t="shared" si="21"/>
        <v>-4.1999999999997595E-4</v>
      </c>
      <c r="AT59" s="537">
        <f t="shared" si="32"/>
        <v>-4.1999999999997595E-4</v>
      </c>
      <c r="AU59" s="6">
        <f>+'[12]Rates in summary'!D50+[12]Temporaries!K50+[12]Temporaries!M50+[12]Temporaries!L50-[12]Temporaries!AZ50</f>
        <v>0.38242999999999988</v>
      </c>
      <c r="AV59" s="542"/>
      <c r="AW59" s="616"/>
      <c r="AX59" s="190"/>
      <c r="AY59" s="190"/>
      <c r="AZ59" s="190"/>
      <c r="BA59" s="190"/>
      <c r="BB59" s="640"/>
      <c r="BC59" s="641"/>
      <c r="BD59" s="641"/>
      <c r="BE59" s="641"/>
    </row>
    <row r="60" spans="1:57" x14ac:dyDescent="0.35">
      <c r="A60" s="15">
        <f t="shared" si="0"/>
        <v>54</v>
      </c>
      <c r="B60" s="15"/>
      <c r="C60" s="193" t="s">
        <v>90</v>
      </c>
      <c r="D60" s="127">
        <f>+'[12]Washington volumes'!J51</f>
        <v>1182764.9803330612</v>
      </c>
      <c r="E60" s="127">
        <v>20000</v>
      </c>
      <c r="F60" s="161"/>
      <c r="G60" s="683"/>
      <c r="H60" s="684"/>
      <c r="I60" s="683"/>
      <c r="J60" s="684"/>
      <c r="K60" s="92"/>
      <c r="L60" s="190">
        <f>+'[12]Rates in summary'!D51</f>
        <v>0.35105000000000003</v>
      </c>
      <c r="M60" s="92"/>
      <c r="N60" s="190">
        <f>'[12]Rates in summary'!D51+[12]Temporaries!K51+[12]Temporaries!L51+[12]Temporaries!M51-[12]Temporaries!AX51</f>
        <v>0.35105000000000003</v>
      </c>
      <c r="O60" s="92"/>
      <c r="P60" s="611"/>
      <c r="Q60" s="190">
        <f>'[12]Rates in summary'!D51+[12]Temporaries!N51+[12]Temporaries!O51-[12]Temporaries!AY51</f>
        <v>0.35105000000000003</v>
      </c>
      <c r="R60" s="92"/>
      <c r="S60" s="611"/>
      <c r="T60" s="534">
        <f>'[12]Rates in detail'!D51+[12]Temporaries!T51-[12]Temporaries!BD51+[12]Temporaries!S51-[12]Temporaries!BC51+[12]Temporaries!P51-[12]Temporaries!BB51++[12]Temporaries!Q51-[12]Temporaries!AW51</f>
        <v>0.35038000000000008</v>
      </c>
      <c r="U60" s="112"/>
      <c r="V60" s="531"/>
      <c r="W60" s="190">
        <f>'[12]Rates in summary'!D51+[12]Temporaries!R51-[12]Temporaries!AZ51</f>
        <v>0.35122999999999999</v>
      </c>
      <c r="X60" s="92"/>
      <c r="Y60" s="611"/>
      <c r="Z60" s="190">
        <f>'[12]Rates in summary'!D51+[12]Permanents!F51</f>
        <v>0.35105000000000003</v>
      </c>
      <c r="AA60" s="92"/>
      <c r="AB60" s="611"/>
      <c r="AC60" s="612">
        <f>'[12]Rates in summary'!D51+[12]Temporaries!U51-[12]Temporaries!BE51</f>
        <v>0.35105000000000003</v>
      </c>
      <c r="AD60" s="546"/>
      <c r="AE60" s="613"/>
      <c r="AF60" s="190">
        <f>'[12]Rates in summary'!D51+[12]Temporaries!V51-[12]Temporaries!BF51</f>
        <v>0.35104999999999997</v>
      </c>
      <c r="AG60" s="92"/>
      <c r="AH60" s="611"/>
      <c r="AI60" s="190">
        <f>'[12]Rates in summary'!G51+[12]Temporaries!J51</f>
        <v>0.35105000000000003</v>
      </c>
      <c r="AJ60" s="92"/>
      <c r="AK60" s="611"/>
      <c r="AL60" s="190">
        <f>+'[12]Rates in summary'!Q51</f>
        <v>0.35056000000000004</v>
      </c>
      <c r="AM60" s="92"/>
      <c r="AN60" s="615"/>
      <c r="AO60" s="538"/>
      <c r="AP60" s="601"/>
      <c r="AQ60" s="537">
        <f t="shared" si="19"/>
        <v>0</v>
      </c>
      <c r="AR60" s="537">
        <f t="shared" si="20"/>
        <v>0</v>
      </c>
      <c r="AS60" s="537">
        <f t="shared" si="21"/>
        <v>-4.8999999999999044E-4</v>
      </c>
      <c r="AT60" s="537">
        <f t="shared" si="32"/>
        <v>-4.8999999999999044E-4</v>
      </c>
      <c r="AU60" s="6">
        <f>+'[12]Rates in summary'!D51+[12]Temporaries!K51+[12]Temporaries!M51+[12]Temporaries!L51-[12]Temporaries!AZ51</f>
        <v>0.34964000000000001</v>
      </c>
      <c r="AV60" s="542"/>
      <c r="AW60" s="616"/>
      <c r="AX60" s="190"/>
      <c r="AY60" s="190"/>
      <c r="AZ60" s="190"/>
      <c r="BA60" s="190"/>
      <c r="BB60" s="640"/>
      <c r="BC60" s="641"/>
      <c r="BD60" s="641"/>
      <c r="BE60" s="641"/>
    </row>
    <row r="61" spans="1:57" x14ac:dyDescent="0.35">
      <c r="A61" s="15">
        <f t="shared" si="0"/>
        <v>55</v>
      </c>
      <c r="B61" s="15"/>
      <c r="C61" s="193" t="s">
        <v>91</v>
      </c>
      <c r="D61" s="127">
        <f>+'[12]Washington volumes'!J52</f>
        <v>2743941.1371104051</v>
      </c>
      <c r="E61" s="127">
        <v>100000</v>
      </c>
      <c r="F61" s="161"/>
      <c r="G61" s="683"/>
      <c r="H61" s="684"/>
      <c r="I61" s="683"/>
      <c r="J61" s="684"/>
      <c r="K61" s="92"/>
      <c r="L61" s="190">
        <f>+'[12]Rates in summary'!D52</f>
        <v>0.32922000000000012</v>
      </c>
      <c r="M61" s="92"/>
      <c r="N61" s="190">
        <f>'[12]Rates in summary'!D52+[12]Temporaries!K52+[12]Temporaries!L52+[12]Temporaries!M52-[12]Temporaries!AX52</f>
        <v>0.32922000000000012</v>
      </c>
      <c r="O61" s="92"/>
      <c r="P61" s="611"/>
      <c r="Q61" s="190">
        <f>'[12]Rates in summary'!D52+[12]Temporaries!N52+[12]Temporaries!O52-[12]Temporaries!AY52</f>
        <v>0.32922000000000012</v>
      </c>
      <c r="R61" s="92"/>
      <c r="S61" s="611"/>
      <c r="T61" s="534">
        <f>'[12]Rates in detail'!D52+[12]Temporaries!T52-[12]Temporaries!BD52+[12]Temporaries!S52-[12]Temporaries!BC52+[12]Temporaries!P52-[12]Temporaries!BB52++[12]Temporaries!Q52-[12]Temporaries!AW52</f>
        <v>0.32853000000000016</v>
      </c>
      <c r="U61" s="112"/>
      <c r="V61" s="531"/>
      <c r="W61" s="190">
        <f>'[12]Rates in summary'!D52+[12]Temporaries!R52-[12]Temporaries!AZ52</f>
        <v>0.3293600000000001</v>
      </c>
      <c r="X61" s="92"/>
      <c r="Y61" s="611"/>
      <c r="Z61" s="190">
        <f>'[12]Rates in summary'!D52+[12]Permanents!F52</f>
        <v>0.32922000000000012</v>
      </c>
      <c r="AA61" s="92"/>
      <c r="AB61" s="611"/>
      <c r="AC61" s="612">
        <f>'[12]Rates in summary'!D52+[12]Temporaries!U52-[12]Temporaries!BE52</f>
        <v>0.32922000000000012</v>
      </c>
      <c r="AD61" s="546"/>
      <c r="AE61" s="613"/>
      <c r="AF61" s="190">
        <f>'[12]Rates in summary'!D52+[12]Temporaries!V52-[12]Temporaries!BF52</f>
        <v>0.32922000000000018</v>
      </c>
      <c r="AG61" s="92"/>
      <c r="AH61" s="611"/>
      <c r="AI61" s="190">
        <f>'[12]Rates in summary'!G52+[12]Temporaries!J52</f>
        <v>0.32922000000000012</v>
      </c>
      <c r="AJ61" s="92"/>
      <c r="AK61" s="611"/>
      <c r="AL61" s="190">
        <f>+'[12]Rates in summary'!Q52</f>
        <v>0.32867000000000013</v>
      </c>
      <c r="AM61" s="92"/>
      <c r="AN61" s="615"/>
      <c r="AO61" s="538"/>
      <c r="AP61" s="601"/>
      <c r="AQ61" s="537">
        <f t="shared" si="19"/>
        <v>0</v>
      </c>
      <c r="AR61" s="537">
        <f t="shared" si="20"/>
        <v>0</v>
      </c>
      <c r="AS61" s="537">
        <f t="shared" si="21"/>
        <v>-5.4999999999999494E-4</v>
      </c>
      <c r="AT61" s="537">
        <f t="shared" si="32"/>
        <v>-5.4999999999999494E-4</v>
      </c>
      <c r="AU61" s="6">
        <f>+'[12]Rates in summary'!D52+[12]Temporaries!K52+[12]Temporaries!M52+[12]Temporaries!L52-[12]Temporaries!AZ52</f>
        <v>0.3280900000000001</v>
      </c>
      <c r="AV61" s="542"/>
      <c r="AW61" s="616"/>
      <c r="AX61" s="190"/>
      <c r="AY61" s="190"/>
      <c r="AZ61" s="190"/>
      <c r="BA61" s="190"/>
      <c r="BB61" s="640"/>
      <c r="BC61" s="641"/>
      <c r="BD61" s="641"/>
      <c r="BE61" s="641"/>
    </row>
    <row r="62" spans="1:57" x14ac:dyDescent="0.35">
      <c r="A62" s="15">
        <f t="shared" si="0"/>
        <v>56</v>
      </c>
      <c r="B62" s="15"/>
      <c r="C62" s="193" t="s">
        <v>92</v>
      </c>
      <c r="D62" s="127">
        <f>+'[12]Washington volumes'!J53</f>
        <v>1030133.9063092957</v>
      </c>
      <c r="E62" s="127">
        <v>600000</v>
      </c>
      <c r="F62" s="161"/>
      <c r="G62" s="683"/>
      <c r="H62" s="684"/>
      <c r="I62" s="683"/>
      <c r="J62" s="684"/>
      <c r="K62" s="92"/>
      <c r="L62" s="190">
        <f>+'[12]Rates in summary'!D53</f>
        <v>0.30008999999999997</v>
      </c>
      <c r="M62" s="92"/>
      <c r="N62" s="190">
        <f>'[12]Rates in summary'!D53+[12]Temporaries!K53+[12]Temporaries!L53+[12]Temporaries!M53-[12]Temporaries!AX53</f>
        <v>0.30008999999999997</v>
      </c>
      <c r="O62" s="92"/>
      <c r="P62" s="611"/>
      <c r="Q62" s="190">
        <f>'[12]Rates in summary'!D53+[12]Temporaries!N53+[12]Temporaries!O53-[12]Temporaries!AY53</f>
        <v>0.30008999999999997</v>
      </c>
      <c r="R62" s="92"/>
      <c r="S62" s="611"/>
      <c r="T62" s="534">
        <f>'[12]Rates in detail'!D53+[12]Temporaries!T53-[12]Temporaries!BD53+[12]Temporaries!S53-[12]Temporaries!BC53+[12]Temporaries!P53-[12]Temporaries!BB53++[12]Temporaries!Q53-[12]Temporaries!AW53</f>
        <v>0.29938000000000003</v>
      </c>
      <c r="U62" s="112"/>
      <c r="V62" s="531"/>
      <c r="W62" s="190">
        <f>'[12]Rates in summary'!D53+[12]Temporaries!R53-[12]Temporaries!AZ53</f>
        <v>0.30019000000000001</v>
      </c>
      <c r="X62" s="92"/>
      <c r="Y62" s="611"/>
      <c r="Z62" s="190">
        <f>'[12]Rates in summary'!D53+[12]Permanents!F53</f>
        <v>0.30008999999999997</v>
      </c>
      <c r="AA62" s="92"/>
      <c r="AB62" s="611"/>
      <c r="AC62" s="612">
        <f>'[12]Rates in summary'!D53+[12]Temporaries!U53-[12]Temporaries!BE53</f>
        <v>0.30008999999999997</v>
      </c>
      <c r="AD62" s="546"/>
      <c r="AE62" s="613"/>
      <c r="AF62" s="190">
        <f>'[12]Rates in summary'!D53+[12]Temporaries!V53-[12]Temporaries!BF53</f>
        <v>0.30008999999999997</v>
      </c>
      <c r="AG62" s="92"/>
      <c r="AH62" s="611"/>
      <c r="AI62" s="190">
        <f>'[12]Rates in summary'!G53+[12]Temporaries!J53</f>
        <v>0.30008999999999997</v>
      </c>
      <c r="AJ62" s="92"/>
      <c r="AK62" s="611"/>
      <c r="AL62" s="190">
        <f>+'[12]Rates in summary'!Q53</f>
        <v>0.29947999999999997</v>
      </c>
      <c r="AM62" s="92"/>
      <c r="AN62" s="615"/>
      <c r="AO62" s="538"/>
      <c r="AP62" s="601"/>
      <c r="AQ62" s="537">
        <f t="shared" si="19"/>
        <v>0</v>
      </c>
      <c r="AR62" s="537">
        <f t="shared" si="20"/>
        <v>0</v>
      </c>
      <c r="AS62" s="537">
        <f t="shared" si="21"/>
        <v>-6.0999999999999943E-4</v>
      </c>
      <c r="AT62" s="537">
        <f t="shared" si="32"/>
        <v>-6.0999999999999943E-4</v>
      </c>
      <c r="AU62" s="6">
        <f>+'[12]Rates in summary'!D53+[12]Temporaries!K53+[12]Temporaries!M53+[12]Temporaries!L53-[12]Temporaries!AZ53</f>
        <v>0.29933999999999999</v>
      </c>
      <c r="AV62" s="6"/>
      <c r="AW62" s="616"/>
      <c r="AX62" s="190"/>
      <c r="AY62" s="190"/>
      <c r="AZ62" s="190"/>
      <c r="BA62" s="190"/>
      <c r="BB62" s="640"/>
      <c r="BC62" s="641"/>
      <c r="BD62" s="641"/>
      <c r="BE62" s="641"/>
    </row>
    <row r="63" spans="1:57" x14ac:dyDescent="0.35">
      <c r="A63" s="15">
        <f t="shared" si="0"/>
        <v>57</v>
      </c>
      <c r="B63" s="15"/>
      <c r="C63" s="193" t="s">
        <v>93</v>
      </c>
      <c r="D63" s="127">
        <f>+'[12]Washington volumes'!J54</f>
        <v>0</v>
      </c>
      <c r="E63" s="568" t="s">
        <v>265</v>
      </c>
      <c r="F63" s="161"/>
      <c r="G63" s="683"/>
      <c r="H63" s="684"/>
      <c r="I63" s="683"/>
      <c r="J63" s="684"/>
      <c r="K63" s="92"/>
      <c r="L63" s="190">
        <f>+'[12]Rates in summary'!D54</f>
        <v>0.26369000000000009</v>
      </c>
      <c r="M63" s="92"/>
      <c r="N63" s="190">
        <f>'[12]Rates in summary'!D54+[12]Temporaries!K54+[12]Temporaries!L54+[12]Temporaries!M54-[12]Temporaries!AX54</f>
        <v>0.26369000000000009</v>
      </c>
      <c r="O63" s="92"/>
      <c r="P63" s="611"/>
      <c r="Q63" s="190">
        <f>'[12]Rates in summary'!D54+[12]Temporaries!N54+[12]Temporaries!O54-[12]Temporaries!AY54</f>
        <v>0.26369000000000009</v>
      </c>
      <c r="R63" s="92"/>
      <c r="S63" s="611"/>
      <c r="T63" s="534">
        <f>'[12]Rates in detail'!D54+[12]Temporaries!T54-[12]Temporaries!BD54+[12]Temporaries!S54-[12]Temporaries!BC54+[12]Temporaries!P54-[12]Temporaries!BB54++[12]Temporaries!Q54-[12]Temporaries!AW54</f>
        <v>0.26296000000000014</v>
      </c>
      <c r="U63" s="112"/>
      <c r="V63" s="531"/>
      <c r="W63" s="190">
        <f>'[12]Rates in summary'!D54+[12]Temporaries!R54-[12]Temporaries!AZ54</f>
        <v>0.26373000000000008</v>
      </c>
      <c r="X63" s="92"/>
      <c r="Y63" s="611"/>
      <c r="Z63" s="190">
        <f>'[12]Rates in summary'!D54+[12]Permanents!F54</f>
        <v>0.26369000000000009</v>
      </c>
      <c r="AA63" s="92"/>
      <c r="AB63" s="611"/>
      <c r="AC63" s="612">
        <f>'[12]Rates in summary'!D54+[12]Temporaries!U54-[12]Temporaries!BE54</f>
        <v>0.26369000000000009</v>
      </c>
      <c r="AD63" s="546"/>
      <c r="AE63" s="613"/>
      <c r="AF63" s="190">
        <f>'[12]Rates in summary'!D54+[12]Temporaries!V54-[12]Temporaries!BF54</f>
        <v>0.26369000000000009</v>
      </c>
      <c r="AG63" s="92"/>
      <c r="AH63" s="611"/>
      <c r="AI63" s="190">
        <f>'[12]Rates in summary'!G54+[12]Temporaries!J54</f>
        <v>0.26369000000000009</v>
      </c>
      <c r="AJ63" s="92"/>
      <c r="AK63" s="611"/>
      <c r="AL63" s="190">
        <f>+'[12]Rates in summary'!Q54</f>
        <v>0.26300000000000012</v>
      </c>
      <c r="AM63" s="92"/>
      <c r="AN63" s="615"/>
      <c r="AO63" s="538"/>
      <c r="AP63" s="601"/>
      <c r="AQ63" s="537">
        <f t="shared" si="19"/>
        <v>0</v>
      </c>
      <c r="AR63" s="537">
        <f t="shared" si="20"/>
        <v>0</v>
      </c>
      <c r="AS63" s="537">
        <f t="shared" si="21"/>
        <v>-6.8999999999996842E-4</v>
      </c>
      <c r="AT63" s="537">
        <f t="shared" si="32"/>
        <v>-6.8999999999996842E-4</v>
      </c>
      <c r="AU63" s="6">
        <f>+'[12]Rates in summary'!D54+[12]Temporaries!K54+[12]Temporaries!M54+[12]Temporaries!L54-[12]Temporaries!AZ54</f>
        <v>0.26341000000000009</v>
      </c>
      <c r="AV63" s="6"/>
      <c r="AW63" s="616"/>
      <c r="AX63" s="190"/>
      <c r="AY63" s="190"/>
      <c r="AZ63" s="190"/>
      <c r="BA63" s="190"/>
      <c r="BB63" s="640"/>
      <c r="BC63" s="641"/>
      <c r="BD63" s="641"/>
      <c r="BE63" s="641"/>
    </row>
    <row r="64" spans="1:57" x14ac:dyDescent="0.35">
      <c r="A64" s="15">
        <f t="shared" si="0"/>
        <v>58</v>
      </c>
      <c r="B64" s="192"/>
      <c r="C64" s="617" t="s">
        <v>49</v>
      </c>
      <c r="D64" s="618"/>
      <c r="E64" s="619"/>
      <c r="F64" s="620"/>
      <c r="G64" s="685"/>
      <c r="H64" s="686"/>
      <c r="I64" s="685"/>
      <c r="J64" s="686"/>
      <c r="K64" s="621"/>
      <c r="L64" s="622"/>
      <c r="M64" s="621">
        <f>$I58+ROUND(IF($F58&lt;$E58,($F58*L58),IF($F58&lt;SUM($E58:$E59),(($E58*L58)+(($F58-$E58)*L59)),IF($F58&lt;SUM($E58:$E60),(($E58*L58)+($E59*L59)+(($F58-$E58-$E59)*L60)),IF($F58&lt;SUM($E58:$E61),(($E58*L58)+($E59*L59)+($E60*L60)+(($F58-SUM($E58:$E60))*L61)),IF($F58&lt;SUM($E58:$E62),(($E58*L58)+($E59*L59)+($E60*L60)+($E61*L61)+(($F58-SUM($E58:$E61))*L62)),(($E58*L58)+($E59*L59)+($E60*L60)+($E61*L60)+($E62*L62)+(($F58-SUM($E58:$E62))*L63))))))),2)</f>
        <v>20723.220895181617</v>
      </c>
      <c r="N64" s="622"/>
      <c r="O64" s="621">
        <f>$I58+ROUND(IF($F58&lt;$E58,($F58*N58),IF($F58&lt;SUM($E58:$E59),(($E58*N58)+(($F58-$E58)*N59)),IF($F58&lt;SUM($E58:$E60),(($E58*N58)+($E59*N59)+(($F58-$E58-$E59)*N60)),IF($F58&lt;SUM($E58:$E61),(($E58*N58)+($E59*N59)+($E60*N60)+(($F58-SUM($E58:$E60))*N61)),IF($F58&lt;SUM($E58:$E62),(($E58*N58)+($E59*N59)+($E60*N60)+($E61*N61)+(($F58-SUM($E58:$E61))*N62)),(($E58*N58)+($E59*N59)+($E60*N60)+($E61*N60)+($E62*N62)+(($F58-SUM($E58:$E62))*N63))))))),2)</f>
        <v>20723.220895181617</v>
      </c>
      <c r="P64" s="623">
        <f>ROUND((O64-M64)/M64,3)</f>
        <v>0</v>
      </c>
      <c r="Q64" s="622"/>
      <c r="R64" s="621">
        <f>$I58+ROUND(IF($F58&lt;$E58,($F58*Q58),IF($F58&lt;SUM($E58:$E59),(($E58*Q58)+(($F58-$E58)*Q59)),IF($F58&lt;SUM($E58:$E60),(($E58*Q58)+($E59*Q59)+(($F58-$E58-$E59)*Q60)),IF($F58&lt;SUM($E58:$E61),(($E58*Q58)+($E59*Q59)+($E60*Q60)+(($F58-SUM($E58:$E60))*Q61)),IF($F58&lt;SUM($E58:$E62),(($E58*Q58)+($E59*Q59)+($E60*Q60)+($E61*Q61)+(($F58-SUM($E58:$E61))*Q62)),(($E58*Q58)+($E59*Q59)+($E60*Q60)+($E61*Q60)+($E62*Q62)+(($F58-SUM($E58:$E62))*Q63))))))),2)</f>
        <v>20723.220895181617</v>
      </c>
      <c r="S64" s="623">
        <f>ROUND((R64-M64)/M64,3)</f>
        <v>0</v>
      </c>
      <c r="T64" s="330"/>
      <c r="U64" s="329">
        <f>$I58+ROUND(IF($F58&lt;$E58,($F58*T58),IF($F58&lt;SUM($E58:$E59),(($E58*T58)+(($F58-$E58)*T59)),IF($F58&lt;SUM($E58:$E60),(($E58*T58)+($E59*T59)+(($F58-$E58-$E59)*T60)),IF($F58&lt;SUM($E58:$E61),(($E58*T58)+($E59*T59)+($E60*T60)+(($F58-SUM($E58:$E60))*T61)),IF($F58&lt;SUM($E58:$E62),(($E58*T58)+($E59*T59)+($E60*T60)+($E61*T61)+(($F58-SUM($E58:$E61))*T62)),(($E58*T58)+($E59*T59)+($E60*T60)+($E61*T60)+($E62*T62)+(($F58-SUM($E58:$E62))*T63))))))),2)</f>
        <v>20681.190895181615</v>
      </c>
      <c r="V64" s="532">
        <f>ROUND((U64-M64)/M64,3)</f>
        <v>-2E-3</v>
      </c>
      <c r="W64" s="622"/>
      <c r="X64" s="621">
        <f>$I58+ROUND(IF($F58&lt;$E58,($F58*W58),IF($F58&lt;SUM($E58:$E59),(($E58*W58)+(($F58-$E58)*W59)),IF($F58&lt;SUM($E58:$E60),(($E58*W58)+($E59*W59)+(($F58-$E58-$E59)*W60)),IF($F58&lt;SUM($E58:$E61),(($E58*W58)+($E59*W59)+($E60*W60)+(($F58-SUM($E58:$E60))*W61)),IF($F58&lt;SUM($E58:$E62),(($E58*W58)+($E59*W59)+($E60*W60)+($E61*W61)+(($F58-SUM($E58:$E61))*W62)),(($E58*W58)+($E59*W59)+($E60*W60)+($E61*W60)+($E62*W62)+(($F58-SUM($E58:$E62))*W63))))))),2)</f>
        <v>20735.790895181617</v>
      </c>
      <c r="Y64" s="623">
        <f>(X64-M64)/M64</f>
        <v>6.0656594182820179E-4</v>
      </c>
      <c r="Z64" s="622"/>
      <c r="AA64" s="621">
        <f>$I58+ROUND(IF($F58&lt;$E58,($F58*Z58),IF($F58&lt;SUM($E58:$E59),(($E58*Z58)+(($F58-$E58)*Z59)),IF($F58&lt;SUM($E58:$E60),(($E58*Z58)+($E59*Z59)+(($F58-$E58-$E59)*Z60)),IF($F58&lt;SUM($E58:$E61),(($E58*Z58)+($E59*Z59)+($E60*Z60)+(($F58-SUM($E58:$E60))*Z61)),IF($F58&lt;SUM($E58:$E62),(($E58*Z58)+($E59*Z59)+($E60*Z60)+($E61*Z61)+(($F58-SUM($E58:$E61))*Z62)),(($E58*Z58)+($E59*Z59)+($E60*Z60)+($E61*Z60)+($E62*Z62)+(($F58-SUM($E58:$E62))*Z63))))))),2)</f>
        <v>20723.220895181617</v>
      </c>
      <c r="AB64" s="623">
        <f>(AA64-M64)/M64</f>
        <v>0</v>
      </c>
      <c r="AC64" s="624"/>
      <c r="AD64" s="625">
        <f>$I58+ROUND(IF($F58&lt;$E58,($F58*AC58),IF($F58&lt;SUM($E58:$E59),(($E58*AC58)+(($F58-$E58)*AC59)),IF($F58&lt;SUM($E58:$E60),(($E58*AC58)+($E59*AC59)+(($F58-$E58-$E59)*AC60)),IF($F58&lt;SUM($E58:$E61),(($E58*AC58)+($E59*AC59)+($E60*AC60)+(($F58-SUM($E58:$E60))*AC61)),IF($F58&lt;SUM($E58:$E62),(($E58*AC58)+($E59*AC59)+($E60*AC60)+($E61*AC61)+(($F58-SUM($E58:$E61))*AC62)),(($E58*AC58)+($E59*AC59)+($E60*AC60)+($E61*AC60)+($E62*AC62)+(($F58-SUM($E58:$E62))*AC63))))))),2)</f>
        <v>20723.220895181617</v>
      </c>
      <c r="AE64" s="626">
        <f>(AD64-M64)/M64</f>
        <v>0</v>
      </c>
      <c r="AF64" s="622"/>
      <c r="AG64" s="621">
        <f>$K58+ROUND(IF($F58&lt;$E58,($F58*AF58),IF($F58&lt;SUM($E58:$E59),(($E58*AF58)+(($F58-$E58)*AF59)),IF($F58&lt;SUM($E58:$E60),(($E58*AF58)+($E59*AF59)+(($F58-$E58-$E59)*AF60)),IF($F58&lt;SUM($E58:$E61),(($E58*AF58)+($E59*AF59)+($E60*AF60)+(($F58-SUM($E58:$E60))*AF61)),IF($F58&lt;SUM($E58:$E62),(($E58*AF58)+($E59*AF59)+($E60*AF60)+($E61*AF61)+(($F58-SUM($E58:$E61))*AF62)),(($E58*AF58)+($E59*AF59)+($E60*AF60)+($E61*AF60)+($E62*AF62)+(($F58-SUM($E58:$E62))*AF63))))))),2)</f>
        <v>20723.220895181617</v>
      </c>
      <c r="AH64" s="623">
        <f>(AG64-M64)/M64</f>
        <v>0</v>
      </c>
      <c r="AI64" s="622"/>
      <c r="AJ64" s="621">
        <f>$I58+ROUND(IF($F58&lt;$E58,($F58*AI58),IF($F58&lt;SUM($E58:$E59),(($E58*AI58)+(($F58-$E58)*AI59)),IF($F58&lt;SUM($E58:$E60),(($E58*AI58)+($E59*AI59)+(($F58-$E58-$E59)*AI60)),IF($F58&lt;SUM($E58:$E61),(($E58*AI58)+($E59*AI59)+($E60*AI60)+(($F58-SUM($E58:$E60))*AI61)),IF($F58&lt;SUM($E58:$E62),(($E58*AI58)+($E59*AI59)+($E60*AI60)+($E61*AI61)+(($F58-SUM($E58:$E61))*AI62)),(($E58*AI58)+($E59*AI59)+($E60*AI60)+($E61*AI60)+($E62*AI62)+(($F58-SUM($E58:$E62))*AI63))))))),2)</f>
        <v>20723.220895181617</v>
      </c>
      <c r="AK64" s="623">
        <f>ROUND((AJ64-M64)/M64,3)</f>
        <v>0</v>
      </c>
      <c r="AL64" s="622"/>
      <c r="AM64" s="621">
        <f>$K58+ROUND(IF($F58&lt;$E58,($F58*AL58),IF($F58&lt;SUM($E58:$E59),(($E58*AL58)+(($F58-$E58)*AL59)),IF($F58&lt;SUM($E58:$E60),(($E58*AL58)+($E59*AL59)+(($F58-$E58-$E59)*AL60)),IF($F58&lt;SUM($E58:$E61),(($E58*AL58)+($E59*AL59)+($E60*AL60)+(($F58-SUM($E58:$E60))*AL61)),IF($F58&lt;SUM($E58:$E62),(($E58*AL58)+($E59*AL59)+($E60*AL60)+($E61*AL61)+(($F58-SUM($E58:$E61))*AL62)),(($E58*AL58)+($E59*AL59)+($E60*AL60)+($E61*AL60)+($E62*AL62)+(($F58-SUM($E58:$E62))*AL63))))))),2)</f>
        <v>20693.760895181615</v>
      </c>
      <c r="AN64" s="623">
        <f>ROUND((AM64-M64)/M64,3)</f>
        <v>-1E-3</v>
      </c>
      <c r="AO64" s="538"/>
      <c r="AP64" s="601"/>
      <c r="AQ64" s="537">
        <f t="shared" si="19"/>
        <v>0</v>
      </c>
      <c r="AR64" s="537">
        <f t="shared" si="20"/>
        <v>0</v>
      </c>
      <c r="AS64" s="537">
        <f t="shared" si="21"/>
        <v>0</v>
      </c>
      <c r="AT64" s="537">
        <f t="shared" si="32"/>
        <v>0</v>
      </c>
      <c r="AU64" s="627"/>
      <c r="AV64" s="628">
        <f>$I58+ROUND(IF($F58&lt;$E58,($F58*AU58),IF($F58&lt;SUM($E58:$E59),(($E58*AU58)+(($F58-$E58)*AU59)),IF($F58&lt;SUM($E58:$E60),(($E58*AU58)+($E59*AU59)+(($F58-$E58-$E59)*AU60)),IF($F58&lt;SUM($E58:$E61),(($E58*AU58)+($E59*AU59)+($E60*AU60)+(($F58-SUM($E58:$E60))*AU61)),IF($F58&lt;SUM($E58:$E62),(($E58*AU58)+($E59*AU59)+($E60*AU60)+($E61*AU61)+(($F58-SUM($E58:$E61))*AU62)),(($E58*AU58)+($E59*AU59)+($E60*AU60)+($E61*AU60)+($E62*AU62)+(($F58-SUM($E58:$E62))*AU63))))))),2)</f>
        <v>20622.510895181615</v>
      </c>
      <c r="AW64" s="642">
        <f>ROUND((AV64-M64)/M64,3)</f>
        <v>-5.0000000000000001E-3</v>
      </c>
      <c r="AX64" s="190"/>
      <c r="AY64" s="190"/>
      <c r="AZ64" s="190"/>
      <c r="BA64" s="190"/>
    </row>
    <row r="65" spans="1:53" x14ac:dyDescent="0.35">
      <c r="A65" s="15">
        <f t="shared" si="0"/>
        <v>59</v>
      </c>
      <c r="B65" s="15" t="s">
        <v>97</v>
      </c>
      <c r="C65" s="193" t="s">
        <v>82</v>
      </c>
      <c r="D65" s="127">
        <f>+'[12]Washington volumes'!J55</f>
        <v>237823.79371068976</v>
      </c>
      <c r="E65" s="127">
        <v>10000</v>
      </c>
      <c r="F65" s="161">
        <v>39322</v>
      </c>
      <c r="G65" s="683">
        <v>1300</v>
      </c>
      <c r="H65" s="683">
        <f>'[52]Aver Bill by RS'!$J65</f>
        <v>5142.2693365131181</v>
      </c>
      <c r="I65" s="683">
        <f>G65-(IF(H65&gt;(F65*$H$3),(F65*$H$3),H65))</f>
        <v>-3842.2693365131181</v>
      </c>
      <c r="J65" s="683">
        <f>'[52]Aver Bill by RS'!$J65</f>
        <v>5142.2693365131181</v>
      </c>
      <c r="K65" s="92">
        <f>G65-(IF(J65&gt;($F65*$H$4),($F65*$H$4),J65))</f>
        <v>-3842.2693365131181</v>
      </c>
      <c r="L65" s="190">
        <f>+'[12]Rates in summary'!D55</f>
        <v>0.71133000000000013</v>
      </c>
      <c r="M65" s="92"/>
      <c r="N65" s="190">
        <f>'[12]Rates in summary'!D55+[12]Temporaries!K55+[12]Temporaries!L55+[12]Temporaries!M55-[12]Temporaries!AX55</f>
        <v>0.71192000000000011</v>
      </c>
      <c r="O65" s="92"/>
      <c r="P65" s="611"/>
      <c r="Q65" s="190">
        <f>'[12]Rates in summary'!D55+[12]Temporaries!N55+[12]Temporaries!O55-[12]Temporaries!AY55</f>
        <v>0.71109000000000011</v>
      </c>
      <c r="R65" s="92"/>
      <c r="S65" s="611"/>
      <c r="T65" s="534">
        <f>'[12]Rates in detail'!D55+[12]Temporaries!T55-[12]Temporaries!BD55+[12]Temporaries!S55-[12]Temporaries!BC55+[12]Temporaries!P55-[12]Temporaries!BB55++[12]Temporaries!Q55-[12]Temporaries!AW55</f>
        <v>0.71132000000000017</v>
      </c>
      <c r="U65" s="112"/>
      <c r="V65" s="531"/>
      <c r="W65" s="190">
        <f>'[12]Rates in summary'!D55+[12]Temporaries!R55-[12]Temporaries!AZ55</f>
        <v>0.71149000000000007</v>
      </c>
      <c r="X65" s="92"/>
      <c r="Y65" s="611"/>
      <c r="Z65" s="190">
        <f>'[12]Rates in summary'!D55+[12]Permanents!F55</f>
        <v>0.7113600000000001</v>
      </c>
      <c r="AA65" s="92"/>
      <c r="AB65" s="611"/>
      <c r="AC65" s="612">
        <f>'[12]Rates in summary'!D55+[12]Temporaries!U55-[12]Temporaries!BE55</f>
        <v>0.71133000000000013</v>
      </c>
      <c r="AD65" s="546"/>
      <c r="AE65" s="613"/>
      <c r="AF65" s="190">
        <f>'[12]Rates in summary'!D55+[12]Temporaries!V55-[12]Temporaries!BF55</f>
        <v>0.71133000000000013</v>
      </c>
      <c r="AG65" s="92"/>
      <c r="AH65" s="611"/>
      <c r="AI65" s="190">
        <f>'[12]Rates in summary'!G55+[12]Temporaries!J55</f>
        <v>0.67227000000000003</v>
      </c>
      <c r="AJ65" s="92"/>
      <c r="AK65" s="614"/>
      <c r="AL65" s="190">
        <f>+'[12]Rates in summary'!Q55</f>
        <v>0.67280000000000006</v>
      </c>
      <c r="AM65" s="92"/>
      <c r="AN65" s="630"/>
      <c r="AO65" s="538"/>
      <c r="AP65" s="601"/>
      <c r="AQ65" s="537">
        <f t="shared" si="19"/>
        <v>0</v>
      </c>
      <c r="AR65" s="537">
        <f t="shared" si="20"/>
        <v>0</v>
      </c>
      <c r="AS65" s="537">
        <f t="shared" si="21"/>
        <v>-3.8530000000000064E-2</v>
      </c>
      <c r="AT65" s="537">
        <f t="shared" si="32"/>
        <v>-3.8530000000000064E-2</v>
      </c>
      <c r="AU65" s="6">
        <f>+'[12]Rates in summary'!D55+[12]Temporaries!K55+[12]Temporaries!M55+[12]Temporaries!L55-[12]Temporaries!AZ55</f>
        <v>0.72826000000000013</v>
      </c>
      <c r="AV65" s="542"/>
      <c r="AW65" s="631"/>
      <c r="AX65" s="190"/>
      <c r="AY65" s="190"/>
      <c r="AZ65" s="190"/>
      <c r="BA65" s="190"/>
    </row>
    <row r="66" spans="1:53" x14ac:dyDescent="0.35">
      <c r="A66" s="15">
        <f t="shared" si="0"/>
        <v>60</v>
      </c>
      <c r="B66" s="15"/>
      <c r="C66" s="193" t="s">
        <v>83</v>
      </c>
      <c r="D66" s="127">
        <f>+'[12]Washington volumes'!J56</f>
        <v>449890.27963003801</v>
      </c>
      <c r="E66" s="127">
        <v>20000</v>
      </c>
      <c r="F66" s="632"/>
      <c r="G66" s="687"/>
      <c r="H66" s="688"/>
      <c r="I66" s="687"/>
      <c r="J66" s="688"/>
      <c r="K66" s="633"/>
      <c r="L66" s="190">
        <f>+'[12]Rates in summary'!D56</f>
        <v>0.69042999999999966</v>
      </c>
      <c r="M66" s="92"/>
      <c r="N66" s="190">
        <f>'[12]Rates in summary'!D56+[12]Temporaries!K56+[12]Temporaries!L56+[12]Temporaries!M56-[12]Temporaries!AX56</f>
        <v>0.69094999999999973</v>
      </c>
      <c r="O66" s="92"/>
      <c r="P66" s="611"/>
      <c r="Q66" s="190">
        <f>'[12]Rates in summary'!D56+[12]Temporaries!N56+[12]Temporaries!O56-[12]Temporaries!AY56</f>
        <v>0.69021999999999961</v>
      </c>
      <c r="R66" s="92"/>
      <c r="S66" s="611"/>
      <c r="T66" s="534">
        <f>'[12]Rates in detail'!D56+[12]Temporaries!T56-[12]Temporaries!BD56+[12]Temporaries!S56-[12]Temporaries!BC56+[12]Temporaries!P56-[12]Temporaries!BB56++[12]Temporaries!Q56-[12]Temporaries!AW56</f>
        <v>0.69039999999999968</v>
      </c>
      <c r="U66" s="112"/>
      <c r="V66" s="531"/>
      <c r="W66" s="190">
        <f>'[12]Rates in summary'!D56+[12]Temporaries!R56-[12]Temporaries!AZ56</f>
        <v>0.69056999999999968</v>
      </c>
      <c r="X66" s="92"/>
      <c r="Y66" s="611"/>
      <c r="Z66" s="190">
        <f>'[12]Rates in summary'!D56+[12]Permanents!F56</f>
        <v>0.69045999999999963</v>
      </c>
      <c r="AA66" s="92"/>
      <c r="AB66" s="611"/>
      <c r="AC66" s="612">
        <f>'[12]Rates in summary'!D56+[12]Temporaries!U56-[12]Temporaries!BE56</f>
        <v>0.69042999999999966</v>
      </c>
      <c r="AD66" s="546"/>
      <c r="AE66" s="613"/>
      <c r="AF66" s="190">
        <f>'[12]Rates in summary'!D56+[12]Temporaries!V56-[12]Temporaries!BF56</f>
        <v>0.69042999999999966</v>
      </c>
      <c r="AG66" s="92"/>
      <c r="AH66" s="611"/>
      <c r="AI66" s="190">
        <f>'[12]Rates in summary'!G56+[12]Temporaries!J56</f>
        <v>0.65136999999999967</v>
      </c>
      <c r="AJ66" s="92"/>
      <c r="AK66" s="614"/>
      <c r="AL66" s="190">
        <f>+'[12]Rates in summary'!Q56</f>
        <v>0.65181999999999962</v>
      </c>
      <c r="AM66" s="92"/>
      <c r="AN66" s="630"/>
      <c r="AO66" s="538"/>
      <c r="AP66" s="601"/>
      <c r="AQ66" s="537">
        <f t="shared" si="19"/>
        <v>0</v>
      </c>
      <c r="AR66" s="537">
        <f t="shared" si="20"/>
        <v>0</v>
      </c>
      <c r="AS66" s="537">
        <f t="shared" si="21"/>
        <v>-3.8610000000000033E-2</v>
      </c>
      <c r="AT66" s="537">
        <f t="shared" si="32"/>
        <v>-3.8610000000000033E-2</v>
      </c>
      <c r="AU66" s="6">
        <f>+'[12]Rates in summary'!D56+[12]Temporaries!K56+[12]Temporaries!M56+[12]Temporaries!L56-[12]Temporaries!AZ56</f>
        <v>0.7055699999999997</v>
      </c>
      <c r="AV66" s="542"/>
      <c r="AW66" s="631"/>
      <c r="AX66" s="190"/>
      <c r="AY66" s="190"/>
      <c r="AZ66" s="190"/>
      <c r="BA66" s="190"/>
    </row>
    <row r="67" spans="1:53" x14ac:dyDescent="0.35">
      <c r="A67" s="15">
        <f t="shared" si="0"/>
        <v>61</v>
      </c>
      <c r="B67" s="15"/>
      <c r="C67" s="193" t="s">
        <v>90</v>
      </c>
      <c r="D67" s="127">
        <f>+'[12]Washington volumes'!J57</f>
        <v>201896.54594079489</v>
      </c>
      <c r="E67" s="127">
        <v>20000</v>
      </c>
      <c r="F67" s="632"/>
      <c r="G67" s="687"/>
      <c r="H67" s="688"/>
      <c r="I67" s="687"/>
      <c r="J67" s="688"/>
      <c r="K67" s="633"/>
      <c r="L67" s="190">
        <f>+'[12]Rates in summary'!D57</f>
        <v>0.64878000000000013</v>
      </c>
      <c r="M67" s="92"/>
      <c r="N67" s="190">
        <f>'[12]Rates in summary'!D57+[12]Temporaries!K57+[12]Temporaries!L57+[12]Temporaries!M57-[12]Temporaries!AX57</f>
        <v>0.64917000000000014</v>
      </c>
      <c r="O67" s="92"/>
      <c r="P67" s="611"/>
      <c r="Q67" s="190">
        <f>'[12]Rates in summary'!D57+[12]Temporaries!N57+[12]Temporaries!O57-[12]Temporaries!AY57</f>
        <v>0.64862000000000009</v>
      </c>
      <c r="R67" s="92"/>
      <c r="S67" s="611"/>
      <c r="T67" s="534">
        <f>'[12]Rates in detail'!D57+[12]Temporaries!T57-[12]Temporaries!BD57+[12]Temporaries!S57-[12]Temporaries!BC57+[12]Temporaries!P57-[12]Temporaries!BB57++[12]Temporaries!Q57-[12]Temporaries!AW57</f>
        <v>0.64873000000000003</v>
      </c>
      <c r="U67" s="112"/>
      <c r="V67" s="531"/>
      <c r="W67" s="190">
        <f>'[12]Rates in summary'!D57+[12]Temporaries!R57-[12]Temporaries!AZ57</f>
        <v>0.64889000000000019</v>
      </c>
      <c r="X67" s="92"/>
      <c r="Y67" s="611"/>
      <c r="Z67" s="190">
        <f>'[12]Rates in summary'!D57+[12]Permanents!F57</f>
        <v>0.64880000000000015</v>
      </c>
      <c r="AA67" s="92"/>
      <c r="AB67" s="611"/>
      <c r="AC67" s="612">
        <f>'[12]Rates in summary'!D57+[12]Temporaries!U57-[12]Temporaries!BE57</f>
        <v>0.64878000000000013</v>
      </c>
      <c r="AD67" s="546"/>
      <c r="AE67" s="613"/>
      <c r="AF67" s="190">
        <f>'[12]Rates in summary'!D57+[12]Temporaries!V57-[12]Temporaries!BF57</f>
        <v>0.64878000000000013</v>
      </c>
      <c r="AG67" s="92"/>
      <c r="AH67" s="611"/>
      <c r="AI67" s="190">
        <f>'[12]Rates in summary'!G57+[12]Temporaries!J57</f>
        <v>0.60972000000000015</v>
      </c>
      <c r="AJ67" s="92"/>
      <c r="AK67" s="614"/>
      <c r="AL67" s="190">
        <f>+'[12]Rates in summary'!Q57</f>
        <v>0.61003000000000018</v>
      </c>
      <c r="AM67" s="92"/>
      <c r="AN67" s="630"/>
      <c r="AO67" s="538"/>
      <c r="AP67" s="601"/>
      <c r="AQ67" s="537">
        <f t="shared" si="19"/>
        <v>0</v>
      </c>
      <c r="AR67" s="537">
        <f t="shared" si="20"/>
        <v>0</v>
      </c>
      <c r="AS67" s="537">
        <f t="shared" si="21"/>
        <v>-3.8749999999999951E-2</v>
      </c>
      <c r="AT67" s="537">
        <f t="shared" si="32"/>
        <v>-3.8749999999999951E-2</v>
      </c>
      <c r="AU67" s="6">
        <f>+'[12]Rates in summary'!D57+[12]Temporaries!K57+[12]Temporaries!M57+[12]Temporaries!L57-[12]Temporaries!AZ57</f>
        <v>0.66039000000000014</v>
      </c>
      <c r="AV67" s="542"/>
      <c r="AW67" s="631"/>
      <c r="AX67" s="190"/>
      <c r="AY67" s="190"/>
      <c r="AZ67" s="190"/>
      <c r="BA67" s="190"/>
    </row>
    <row r="68" spans="1:53" x14ac:dyDescent="0.35">
      <c r="A68" s="15">
        <f t="shared" si="0"/>
        <v>62</v>
      </c>
      <c r="B68" s="15"/>
      <c r="C68" s="193" t="s">
        <v>91</v>
      </c>
      <c r="D68" s="127">
        <f>+'[12]Washington volumes'!J58</f>
        <v>59595.669906477466</v>
      </c>
      <c r="E68" s="127">
        <v>100000</v>
      </c>
      <c r="F68" s="632"/>
      <c r="G68" s="687"/>
      <c r="H68" s="688"/>
      <c r="I68" s="687"/>
      <c r="J68" s="688"/>
      <c r="K68" s="633"/>
      <c r="L68" s="190">
        <f>+'[12]Rates in summary'!D58</f>
        <v>0.62140999999999991</v>
      </c>
      <c r="M68" s="92"/>
      <c r="N68" s="190">
        <f>'[12]Rates in summary'!D58+[12]Temporaries!K58+[12]Temporaries!L58+[12]Temporaries!M58-[12]Temporaries!AX58</f>
        <v>0.62173999999999985</v>
      </c>
      <c r="O68" s="92"/>
      <c r="P68" s="611"/>
      <c r="Q68" s="190">
        <f>'[12]Rates in summary'!D58+[12]Temporaries!N58+[12]Temporaries!O58-[12]Temporaries!AY58</f>
        <v>0.62126999999999988</v>
      </c>
      <c r="R68" s="92"/>
      <c r="S68" s="611"/>
      <c r="T68" s="534">
        <f>'[12]Rates in detail'!D58+[12]Temporaries!T58-[12]Temporaries!BD58+[12]Temporaries!S58-[12]Temporaries!BC58+[12]Temporaries!P58-[12]Temporaries!BB58++[12]Temporaries!Q58-[12]Temporaries!AW58</f>
        <v>0.62132999999999983</v>
      </c>
      <c r="U68" s="112"/>
      <c r="V68" s="531"/>
      <c r="W68" s="190">
        <f>'[12]Rates in summary'!D58+[12]Temporaries!R58-[12]Temporaries!AZ58</f>
        <v>0.62148999999999999</v>
      </c>
      <c r="X68" s="92"/>
      <c r="Y68" s="611"/>
      <c r="Z68" s="190">
        <f>'[12]Rates in summary'!D58+[12]Permanents!F58</f>
        <v>0.62142999999999993</v>
      </c>
      <c r="AA68" s="92"/>
      <c r="AB68" s="611"/>
      <c r="AC68" s="612">
        <f>'[12]Rates in summary'!D58+[12]Temporaries!U58-[12]Temporaries!BE58</f>
        <v>0.62140999999999991</v>
      </c>
      <c r="AD68" s="546"/>
      <c r="AE68" s="613"/>
      <c r="AF68" s="190">
        <f>'[12]Rates in summary'!D58+[12]Temporaries!V58-[12]Temporaries!BF58</f>
        <v>0.62140999999999991</v>
      </c>
      <c r="AG68" s="92"/>
      <c r="AH68" s="611"/>
      <c r="AI68" s="190">
        <f>'[12]Rates in summary'!G58+[12]Temporaries!J58</f>
        <v>0.58234999999999981</v>
      </c>
      <c r="AJ68" s="92"/>
      <c r="AK68" s="614"/>
      <c r="AL68" s="190">
        <f>+'[12]Rates in summary'!Q58</f>
        <v>0.58255999999999986</v>
      </c>
      <c r="AM68" s="92"/>
      <c r="AN68" s="630"/>
      <c r="AO68" s="538"/>
      <c r="AP68" s="601"/>
      <c r="AQ68" s="537">
        <f t="shared" si="19"/>
        <v>0</v>
      </c>
      <c r="AR68" s="537">
        <f t="shared" si="20"/>
        <v>0</v>
      </c>
      <c r="AS68" s="537">
        <f t="shared" si="21"/>
        <v>-3.8850000000000051E-2</v>
      </c>
      <c r="AT68" s="537">
        <f t="shared" si="32"/>
        <v>-3.8850000000000051E-2</v>
      </c>
      <c r="AU68" s="6">
        <f>+'[12]Rates in summary'!D58+[12]Temporaries!K58+[12]Temporaries!M58+[12]Temporaries!L58-[12]Temporaries!AZ58</f>
        <v>0.63069999999999993</v>
      </c>
      <c r="AV68" s="542"/>
      <c r="AW68" s="631"/>
      <c r="AX68" s="190"/>
      <c r="AY68" s="190"/>
      <c r="AZ68" s="190"/>
      <c r="BA68" s="190"/>
    </row>
    <row r="69" spans="1:53" x14ac:dyDescent="0.35">
      <c r="A69" s="15">
        <f t="shared" si="0"/>
        <v>63</v>
      </c>
      <c r="B69" s="15"/>
      <c r="C69" s="193" t="s">
        <v>92</v>
      </c>
      <c r="D69" s="127">
        <f>+'[12]Washington volumes'!J59</f>
        <v>0</v>
      </c>
      <c r="E69" s="127">
        <v>600000</v>
      </c>
      <c r="F69" s="632"/>
      <c r="G69" s="687"/>
      <c r="H69" s="688"/>
      <c r="I69" s="687"/>
      <c r="J69" s="688"/>
      <c r="K69" s="633"/>
      <c r="L69" s="190">
        <f>+'[12]Rates in summary'!D59</f>
        <v>0.58492999999999984</v>
      </c>
      <c r="M69" s="92"/>
      <c r="N69" s="190">
        <f>'[12]Rates in summary'!D59+[12]Temporaries!K59+[12]Temporaries!L59+[12]Temporaries!M59-[12]Temporaries!AX59</f>
        <v>0.58513999999999977</v>
      </c>
      <c r="O69" s="92"/>
      <c r="P69" s="611"/>
      <c r="Q69" s="190">
        <f>'[12]Rates in summary'!D59+[12]Temporaries!N59+[12]Temporaries!O59-[12]Temporaries!AY59</f>
        <v>0.58483999999999992</v>
      </c>
      <c r="R69" s="92"/>
      <c r="S69" s="611"/>
      <c r="T69" s="534">
        <f>'[12]Rates in detail'!D59+[12]Temporaries!T59-[12]Temporaries!BD59+[12]Temporaries!S59-[12]Temporaries!BC59+[12]Temporaries!P59-[12]Temporaries!BB59++[12]Temporaries!Q59-[12]Temporaries!AW59</f>
        <v>0.5848399999999998</v>
      </c>
      <c r="U69" s="112"/>
      <c r="V69" s="531"/>
      <c r="W69" s="190">
        <f>'[12]Rates in summary'!D59+[12]Temporaries!R59-[12]Temporaries!AZ59</f>
        <v>0.58497999999999983</v>
      </c>
      <c r="X69" s="92"/>
      <c r="Y69" s="611"/>
      <c r="Z69" s="190">
        <f>'[12]Rates in summary'!D59+[12]Permanents!F59</f>
        <v>0.58493999999999979</v>
      </c>
      <c r="AA69" s="92"/>
      <c r="AB69" s="611"/>
      <c r="AC69" s="612">
        <f>'[12]Rates in summary'!D59+[12]Temporaries!U59-[12]Temporaries!BE59</f>
        <v>0.58492999999999984</v>
      </c>
      <c r="AD69" s="546"/>
      <c r="AE69" s="613"/>
      <c r="AF69" s="190">
        <f>'[12]Rates in summary'!D59+[12]Temporaries!V59-[12]Temporaries!BF59</f>
        <v>0.58492999999999984</v>
      </c>
      <c r="AG69" s="92"/>
      <c r="AH69" s="611"/>
      <c r="AI69" s="190">
        <f>'[12]Rates in summary'!G59+[12]Temporaries!J59</f>
        <v>0.54586999999999974</v>
      </c>
      <c r="AJ69" s="92"/>
      <c r="AK69" s="614"/>
      <c r="AL69" s="190">
        <f>+'[12]Rates in summary'!Q59</f>
        <v>0.54595999999999978</v>
      </c>
      <c r="AM69" s="92"/>
      <c r="AN69" s="630"/>
      <c r="AO69" s="538"/>
      <c r="AP69" s="601"/>
      <c r="AQ69" s="537">
        <f t="shared" si="19"/>
        <v>0</v>
      </c>
      <c r="AR69" s="537">
        <f t="shared" si="20"/>
        <v>0</v>
      </c>
      <c r="AS69" s="537">
        <f t="shared" si="21"/>
        <v>-3.897000000000006E-2</v>
      </c>
      <c r="AT69" s="537">
        <f t="shared" si="32"/>
        <v>-3.897000000000006E-2</v>
      </c>
      <c r="AU69" s="6">
        <f>+'[12]Rates in summary'!D59+[12]Temporaries!K59+[12]Temporaries!M59+[12]Temporaries!L59-[12]Temporaries!AZ59</f>
        <v>0.59111999999999976</v>
      </c>
      <c r="AV69" s="6"/>
      <c r="AW69" s="631"/>
      <c r="AX69" s="190"/>
      <c r="AY69" s="190"/>
      <c r="AZ69" s="190"/>
      <c r="BA69" s="190"/>
    </row>
    <row r="70" spans="1:53" x14ac:dyDescent="0.35">
      <c r="A70" s="15">
        <f t="shared" si="0"/>
        <v>64</v>
      </c>
      <c r="B70" s="15"/>
      <c r="C70" s="193" t="s">
        <v>93</v>
      </c>
      <c r="D70" s="127">
        <f>+'[12]Washington volumes'!J60</f>
        <v>0</v>
      </c>
      <c r="E70" s="568" t="s">
        <v>265</v>
      </c>
      <c r="F70" s="632"/>
      <c r="G70" s="687"/>
      <c r="H70" s="688"/>
      <c r="I70" s="687"/>
      <c r="J70" s="688"/>
      <c r="K70" s="633"/>
      <c r="L70" s="190">
        <f>+'[12]Rates in summary'!D60</f>
        <v>0.53925000000000001</v>
      </c>
      <c r="M70" s="92"/>
      <c r="N70" s="190">
        <f>'[12]Rates in summary'!D60+[12]Temporaries!K60+[12]Temporaries!L60+[12]Temporaries!M60-[12]Temporaries!AX60</f>
        <v>0.53934000000000004</v>
      </c>
      <c r="O70" s="92"/>
      <c r="P70" s="611"/>
      <c r="Q70" s="190">
        <f>'[12]Rates in summary'!D60+[12]Temporaries!N60+[12]Temporaries!O60-[12]Temporaries!AY60</f>
        <v>0.53921999999999992</v>
      </c>
      <c r="R70" s="92"/>
      <c r="S70" s="611"/>
      <c r="T70" s="534">
        <f>'[12]Rates in detail'!D60+[12]Temporaries!T60-[12]Temporaries!BD60+[12]Temporaries!S60-[12]Temporaries!BC60+[12]Temporaries!P60-[12]Temporaries!BB60++[12]Temporaries!Q60-[12]Temporaries!AW60</f>
        <v>0.53913999999999995</v>
      </c>
      <c r="U70" s="112"/>
      <c r="V70" s="531"/>
      <c r="W70" s="190">
        <f>'[12]Rates in summary'!D60+[12]Temporaries!R60-[12]Temporaries!AZ60</f>
        <v>0.53927999999999998</v>
      </c>
      <c r="X70" s="92"/>
      <c r="Y70" s="611"/>
      <c r="Z70" s="190">
        <f>'[12]Rates in summary'!D60+[12]Permanents!F60</f>
        <v>0.53925000000000001</v>
      </c>
      <c r="AA70" s="92"/>
      <c r="AB70" s="611"/>
      <c r="AC70" s="612">
        <f>'[12]Rates in summary'!D60+[12]Temporaries!U60-[12]Temporaries!BE60</f>
        <v>0.53925000000000001</v>
      </c>
      <c r="AD70" s="546"/>
      <c r="AE70" s="613"/>
      <c r="AF70" s="190">
        <f>'[12]Rates in summary'!D60+[12]Temporaries!V60-[12]Temporaries!BF60</f>
        <v>0.53925000000000001</v>
      </c>
      <c r="AG70" s="92"/>
      <c r="AH70" s="611"/>
      <c r="AI70" s="190">
        <f>'[12]Rates in summary'!G60+[12]Temporaries!J60</f>
        <v>0.50019000000000002</v>
      </c>
      <c r="AJ70" s="92"/>
      <c r="AK70" s="614"/>
      <c r="AL70" s="190">
        <f>+'[12]Rates in summary'!Q60</f>
        <v>0.50017</v>
      </c>
      <c r="AM70" s="92"/>
      <c r="AN70" s="630"/>
      <c r="AO70" s="538"/>
      <c r="AP70" s="601"/>
      <c r="AQ70" s="537">
        <f t="shared" si="19"/>
        <v>0</v>
      </c>
      <c r="AR70" s="537">
        <f t="shared" si="20"/>
        <v>0</v>
      </c>
      <c r="AS70" s="537">
        <f t="shared" si="21"/>
        <v>-3.9080000000000004E-2</v>
      </c>
      <c r="AT70" s="537">
        <f t="shared" si="32"/>
        <v>-3.9080000000000004E-2</v>
      </c>
      <c r="AU70" s="6">
        <f>+'[12]Rates in summary'!D60+[12]Temporaries!K60+[12]Temporaries!M60+[12]Temporaries!L60-[12]Temporaries!AZ60</f>
        <v>0.54158000000000006</v>
      </c>
      <c r="AV70" s="6"/>
      <c r="AW70" s="631"/>
      <c r="AX70" s="190"/>
      <c r="AY70" s="190"/>
      <c r="AZ70" s="190"/>
      <c r="BA70" s="190"/>
    </row>
    <row r="71" spans="1:53" x14ac:dyDescent="0.35">
      <c r="A71" s="15">
        <f t="shared" si="0"/>
        <v>65</v>
      </c>
      <c r="B71" s="192"/>
      <c r="C71" s="617" t="s">
        <v>49</v>
      </c>
      <c r="D71" s="618"/>
      <c r="E71" s="619"/>
      <c r="F71" s="620"/>
      <c r="G71" s="685"/>
      <c r="H71" s="686"/>
      <c r="I71" s="685"/>
      <c r="J71" s="686"/>
      <c r="K71" s="621"/>
      <c r="L71" s="622"/>
      <c r="M71" s="621">
        <f>$I65+ROUND(IF($F65&lt;$E65,($F65*L65),IF($F65&lt;SUM($E65:$E66),(($E65*L65)+(($F65-$E65)*L66)),IF($F65&lt;SUM($E65:$E67),(($E65*L65)+($E66*L66)+(($F65-$E65-$E66)*L67)),IF($F65&lt;SUM($E65:$E68),(($E65*L65)+($E66*L66)+($E67*L67)+(($F65-SUM($E65:$E67))*L68)),IF($F65&lt;SUM($E65:$E69),(($E65*L65)+($E66*L66)+($E67*L67)+($E68*L68)+(($F65-SUM($E65:$E68))*L69)),(($E65*L65)+($E66*L66)+($E67*L67)+($E68*L67)+($E69*L69)+(($F65-SUM($E65:$E69))*L70))))))),2)</f>
        <v>23127.560663486882</v>
      </c>
      <c r="N71" s="622"/>
      <c r="O71" s="621">
        <f>$I65+ROUND(IF($F65&lt;$E65,($F65*N65),IF($F65&lt;SUM($E65:$E66),(($E65*N65)+(($F65-$E65)*N66)),IF($F65&lt;SUM($E65:$E67),(($E65*N65)+($E66*N66)+(($F65-$E65-$E66)*N67)),IF($F65&lt;SUM($E65:$E68),(($E65*N65)+($E66*N66)+($E67*N67)+(($F65-SUM($E65:$E67))*N68)),IF($F65&lt;SUM($E65:$E69),(($E65*N65)+($E66*N66)+($E67*N67)+($E68*N68)+(($F65-SUM($E65:$E68))*N69)),(($E65*N65)+($E66*N66)+($E67*N67)+($E68*N67)+($E69*N69)+(($F65-SUM($E65:$E69))*N70))))))),2)</f>
        <v>23147.490663486882</v>
      </c>
      <c r="P71" s="623">
        <f>ROUND((O71-M71)/M71,3)</f>
        <v>1E-3</v>
      </c>
      <c r="Q71" s="622"/>
      <c r="R71" s="621">
        <f>$I65+ROUND(IF($F65&lt;$E65,($F65*Q65),IF($F65&lt;SUM($E65:$E66),(($E65*Q65)+(($F65-$E65)*Q66)),IF($F65&lt;SUM($E65:$E67),(($E65*Q65)+($E66*Q66)+(($F65-$E65-$E66)*Q67)),IF($F65&lt;SUM($E65:$E68),(($E65*Q65)+($E66*Q66)+($E67*Q67)+(($F65-SUM($E65:$E67))*Q68)),IF($F65&lt;SUM($E65:$E69),(($E65*Q65)+($E66*Q66)+($E67*Q67)+($E68*Q68)+(($F65-SUM($E65:$E68))*Q69)),(($E65*Q65)+($E66*Q66)+($E67*Q67)+($E68*Q67)+($E69*Q69)+(($F65-SUM($E65:$E69))*Q70))))))),2)</f>
        <v>23119.470663486885</v>
      </c>
      <c r="S71" s="623">
        <f>ROUND((R71-M71)/M71,3)</f>
        <v>0</v>
      </c>
      <c r="T71" s="330"/>
      <c r="U71" s="329">
        <f>$I65+ROUND(IF($F65&lt;$E65,($F65*T65),IF($F65&lt;SUM($E65:$E66),(($E65*T65)+(($F65-$E65)*T66)),IF($F65&lt;SUM($E65:$E67),(($E65*T65)+($E66*T66)+(($F65-$E65-$E66)*T67)),IF($F65&lt;SUM($E65:$E68),(($E65*T65)+($E66*T66)+($E67*T67)+(($F65-SUM($E65:$E67))*T68)),IF($F65&lt;SUM($E65:$E69),(($E65*T65)+($E66*T66)+($E67*T67)+($E68*T68)+(($F65-SUM($E65:$E68))*T69)),(($E65*T65)+($E66*T66)+($E67*T67)+($E68*T67)+($E69*T69)+(($F65-SUM($E65:$E69))*T70))))))),2)</f>
        <v>23126.390663486884</v>
      </c>
      <c r="V71" s="532">
        <f>ROUND((U71-M71)/M71,3)</f>
        <v>0</v>
      </c>
      <c r="W71" s="622"/>
      <c r="X71" s="621">
        <f>$I65+ROUND(IF($F65&lt;$E65,($F65*W65),IF($F65&lt;SUM($E65:$E66),(($E65*W65)+(($F65-$E65)*W66)),IF($F65&lt;SUM($E65:$E67),(($E65*W65)+($E66*W66)+(($F65-$E65-$E66)*W67)),IF($F65&lt;SUM($E65:$E68),(($E65*W65)+($E66*W66)+($E67*W67)+(($F65-SUM($E65:$E67))*W68)),IF($F65&lt;SUM($E65:$E69),(($E65*W65)+($E66*W66)+($E67*W67)+($E68*W68)+(($F65-SUM($E65:$E68))*W69)),(($E65*W65)+($E66*W66)+($E67*W67)+($E68*W67)+($E69*W69)+(($F65-SUM($E65:$E69))*W70))))))),2)</f>
        <v>23132.98066348688</v>
      </c>
      <c r="Y71" s="623">
        <f>(X71-M71)/M71</f>
        <v>2.3435242820723379E-4</v>
      </c>
      <c r="Z71" s="622"/>
      <c r="AA71" s="621">
        <f>$I65+ROUND(IF($F65&lt;$E65,($F65*Z65),IF($F65&lt;SUM($E65:$E66),(($E65*Z65)+(($F65-$E65)*Z66)),IF($F65&lt;SUM($E65:$E67),(($E65*Z65)+($E66*Z66)+(($F65-$E65-$E66)*Z67)),IF($F65&lt;SUM($E65:$E68),(($E65*Z65)+($E66*Z66)+($E67*Z67)+(($F65-SUM($E65:$E67))*Z68)),IF($F65&lt;SUM($E65:$E69),(($E65*Z65)+($E66*Z66)+($E67*Z67)+($E68*Z68)+(($F65-SUM($E65:$E68))*Z69)),(($E65*Z65)+($E66*Z66)+($E67*Z67)+($E68*Z67)+($E69*Z69)+(($F65-SUM($E65:$E69))*Z70))))))),2)</f>
        <v>23128.640663486884</v>
      </c>
      <c r="AB71" s="623">
        <f>(AA71-M71)/M71</f>
        <v>4.6697531819982153E-5</v>
      </c>
      <c r="AC71" s="624"/>
      <c r="AD71" s="625">
        <f>$I65+ROUND(IF($F65&lt;$E65,($F65*AC65),IF($F65&lt;SUM($E65:$E66),(($E65*AC65)+(($F65-$E65)*AC66)),IF($F65&lt;SUM($E65:$E67),(($E65*AC65)+($E66*AC66)+(($F65-$E65-$E66)*AC67)),IF($F65&lt;SUM($E65:$E68),(($E65*AC65)+($E66*AC66)+($E67*AC67)+(($F65-SUM($E65:$E67))*AC68)),IF($F65&lt;SUM($E65:$E69),(($E65*AC65)+($E66*AC66)+($E67*AC67)+($E68*AC68)+(($F65-SUM($E65:$E68))*AC69)),(($E65*AC65)+($E66*AC66)+($E67*AC67)+($E68*AC67)+($E69*AC69)+(($F65-SUM($E65:$E69))*AC70))))))),2)</f>
        <v>23127.560663486882</v>
      </c>
      <c r="AE71" s="626">
        <f>(AD71-M71)/M71</f>
        <v>0</v>
      </c>
      <c r="AF71" s="622"/>
      <c r="AG71" s="621">
        <f>$K65+ROUND(IF($F65&lt;$E65,($F65*AF65),IF($F65&lt;SUM($E65:$E66),(($E65*AF65)+(($F65-$E65)*AF66)),IF($F65&lt;SUM($E65:$E67),(($E65*AF65)+($E66*AF66)+(($F65-$E65-$E66)*AF67)),IF($F65&lt;SUM($E65:$E68),(($E65*AF65)+($E66*AF66)+($E67*AF67)+(($F65-SUM($E65:$E67))*AF68)),IF($F65&lt;SUM($E65:$E69),(($E65*AF65)+($E66*AF66)+($E67*AF67)+($E68*AF68)+(($F65-SUM($E65:$E68))*AF69)),(($E65*AF65)+($E66*AF66)+($E67*AF67)+($E68*AF67)+($E69*AF69)+(($F65-SUM($E65:$E69))*AF70))))))),2)</f>
        <v>23127.560663486882</v>
      </c>
      <c r="AH71" s="623">
        <f>(AG71-M71)/M71</f>
        <v>0</v>
      </c>
      <c r="AI71" s="622"/>
      <c r="AJ71" s="621">
        <f>$I65+ROUND(IF($F65&lt;$E65,($F65*AI65),IF($F65&lt;SUM($E65:$E66),(($E65*AI65)+(($F65-$E65)*AI66)),IF($F65&lt;SUM($E65:$E67),(($E65*AI65)+($E66*AI66)+(($F65-$E65-$E66)*AI67)),IF($F65&lt;SUM($E65:$E68),(($E65*AI65)+($E66*AI66)+($E67*AI67)+(($F65-SUM($E65:$E67))*AI68)),IF($F65&lt;SUM($E65:$E69),(($E65*AI65)+($E66*AI66)+($E67*AI67)+($E68*AI68)+(($F65-SUM($E65:$E68))*AI69)),(($E65*AI65)+($E66*AI66)+($E67*AI67)+($E68*AI67)+($E69*AI69)+(($F65-SUM($E65:$E69))*AI70))))))),2)</f>
        <v>21591.640663486884</v>
      </c>
      <c r="AK71" s="638">
        <f>ROUND((AJ71-M71)/M71,3)</f>
        <v>-6.6000000000000003E-2</v>
      </c>
      <c r="AL71" s="622"/>
      <c r="AM71" s="621">
        <f>$K65+ROUND(IF($F65&lt;$E65,($F65*AL65),IF($F65&lt;SUM($E65:$E66),(($E65*AL65)+(($F65-$E65)*AL66)),IF($F65&lt;SUM($E65:$E67),(($E65*AL65)+($E66*AL66)+(($F65-$E65-$E66)*AL67)),IF($F65&lt;SUM($E65:$E68),(($E65*AL65)+($E66*AL66)+($E67*AL67)+(($F65-SUM($E65:$E67))*AL68)),IF($F65&lt;SUM($E65:$E69),(($E65*AL65)+($E66*AL66)+($E67*AL67)+($E68*AL68)+(($F65-SUM($E65:$E68))*AL69)),(($E65*AL65)+($E66*AL66)+($E67*AL67)+($E68*AL67)+($E69*AL69)+(($F65-SUM($E65:$E69))*AL70))))))),2)</f>
        <v>21608.830663486879</v>
      </c>
      <c r="AN71" s="638">
        <f>ROUND((AM71-M71)/M71,3)</f>
        <v>-6.6000000000000003E-2</v>
      </c>
      <c r="AO71" s="538"/>
      <c r="AP71" s="601"/>
      <c r="AQ71" s="537">
        <f t="shared" si="19"/>
        <v>0</v>
      </c>
      <c r="AR71" s="537">
        <f t="shared" si="20"/>
        <v>0</v>
      </c>
      <c r="AS71" s="537">
        <f t="shared" si="21"/>
        <v>0</v>
      </c>
      <c r="AT71" s="537">
        <f t="shared" si="32"/>
        <v>0</v>
      </c>
      <c r="AU71" s="627"/>
      <c r="AV71" s="628">
        <f>$I65+ROUND(IF($F65&lt;$E65,($F65*AU65),IF($F65&lt;SUM($E65:$E66),(($E65*AU65)+(($F65-$E65)*AU66)),IF($F65&lt;SUM($E65:$E67),(($E65*AU65)+($E66*AU66)+(($F65-$E65-$E66)*AU67)),IF($F65&lt;SUM($E65:$E68),(($E65*AU65)+($E66*AU66)+($E67*AU67)+(($F65-SUM($E65:$E67))*AU68)),IF($F65&lt;SUM($E65:$E69),(($E65*AU65)+($E66*AU66)+($E67*AU67)+($E68*AU68)+(($F65-SUM($E65:$E68))*AU69)),(($E65*AU65)+($E66*AU66)+($E67*AU67)+($E68*AU67)+($E69*AU69)+(($F65-SUM($E65:$E69))*AU70))))))),2)</f>
        <v>23707.890663486884</v>
      </c>
      <c r="AW71" s="629">
        <f>ROUND((AV71-M71)/M71,3)</f>
        <v>2.5000000000000001E-2</v>
      </c>
      <c r="AX71" s="190"/>
      <c r="AY71" s="190"/>
      <c r="AZ71" s="190"/>
      <c r="BA71" s="190"/>
    </row>
    <row r="72" spans="1:53" x14ac:dyDescent="0.35">
      <c r="A72" s="15">
        <f t="shared" ref="A72:A105" si="33">+A71+1</f>
        <v>66</v>
      </c>
      <c r="B72" s="15" t="s">
        <v>98</v>
      </c>
      <c r="C72" s="193" t="s">
        <v>82</v>
      </c>
      <c r="D72" s="127">
        <f>+'[12]Washington volumes'!J61</f>
        <v>171532.62817612645</v>
      </c>
      <c r="E72" s="127">
        <v>10000</v>
      </c>
      <c r="F72" s="161">
        <v>13758</v>
      </c>
      <c r="G72" s="683">
        <v>1300</v>
      </c>
      <c r="H72" s="683">
        <f>'[52]Aver Bill by RS'!$J72</f>
        <v>3945.7691048183847</v>
      </c>
      <c r="I72" s="683">
        <f>G72-(IF(H72&gt;(F72*$H$3),(F72*$H$3),H72))</f>
        <v>-2011.9633399999998</v>
      </c>
      <c r="J72" s="683">
        <f>'[52]Aver Bill by RS'!$J72</f>
        <v>3945.7691048183847</v>
      </c>
      <c r="K72" s="92">
        <f>G72-(IF(J72&gt;($F72*$H$4),($F72*$H$4),J72))</f>
        <v>-2011.9633399999998</v>
      </c>
      <c r="L72" s="190">
        <f>+'[12]Rates in summary'!D61</f>
        <v>0.69063999999999992</v>
      </c>
      <c r="M72" s="92"/>
      <c r="N72" s="190">
        <f>'[12]Rates in summary'!D61+[12]Temporaries!K61+[12]Temporaries!L61+[12]Temporaries!M61-[12]Temporaries!AX61</f>
        <v>0.69063999999999992</v>
      </c>
      <c r="O72" s="92"/>
      <c r="P72" s="611"/>
      <c r="Q72" s="190">
        <f>'[12]Rates in summary'!D61+[12]Temporaries!N61+[12]Temporaries!O61-[12]Temporaries!AY61</f>
        <v>0.69030999999999987</v>
      </c>
      <c r="R72" s="92"/>
      <c r="S72" s="611"/>
      <c r="T72" s="534">
        <f>'[12]Rates in detail'!D61+[12]Temporaries!T61-[12]Temporaries!BD61+[12]Temporaries!S61-[12]Temporaries!BC61+[12]Temporaries!P61-[12]Temporaries!BB61++[12]Temporaries!Q61-[12]Temporaries!AW61</f>
        <v>0.6900799999999998</v>
      </c>
      <c r="U72" s="112"/>
      <c r="V72" s="531"/>
      <c r="W72" s="190">
        <f>'[12]Rates in summary'!D61+[12]Temporaries!R61-[12]Temporaries!AZ61</f>
        <v>0.6907899999999999</v>
      </c>
      <c r="X72" s="92"/>
      <c r="Y72" s="611"/>
      <c r="Z72" s="190">
        <f>'[12]Rates in summary'!D61+[12]Permanents!F61</f>
        <v>0.69067999999999996</v>
      </c>
      <c r="AA72" s="92"/>
      <c r="AB72" s="611"/>
      <c r="AC72" s="612">
        <f>'[12]Rates in summary'!D61+[12]Temporaries!U61-[12]Temporaries!BE61</f>
        <v>0.69063999999999992</v>
      </c>
      <c r="AD72" s="546"/>
      <c r="AE72" s="613"/>
      <c r="AF72" s="190">
        <f>'[12]Rates in summary'!D61+[12]Temporaries!V61-[12]Temporaries!BF61</f>
        <v>0.69063999999999992</v>
      </c>
      <c r="AG72" s="92"/>
      <c r="AH72" s="611"/>
      <c r="AI72" s="190">
        <f>'[12]Rates in summary'!G61+[12]Temporaries!J61</f>
        <v>0.65157999999999994</v>
      </c>
      <c r="AJ72" s="92"/>
      <c r="AK72" s="614"/>
      <c r="AL72" s="190">
        <f>+'[12]Rates in summary'!Q61</f>
        <v>0.65088000000000001</v>
      </c>
      <c r="AM72" s="92"/>
      <c r="AN72" s="615"/>
      <c r="AO72" s="538"/>
      <c r="AP72" s="601"/>
      <c r="AQ72" s="537">
        <f t="shared" si="19"/>
        <v>0</v>
      </c>
      <c r="AR72" s="537">
        <f t="shared" si="20"/>
        <v>0</v>
      </c>
      <c r="AS72" s="537">
        <f t="shared" si="21"/>
        <v>-3.9759999999999907E-2</v>
      </c>
      <c r="AT72" s="537">
        <f t="shared" si="32"/>
        <v>-3.9759999999999907E-2</v>
      </c>
      <c r="AU72" s="6">
        <f>+'[12]Rates in summary'!D61+[12]Temporaries!K61+[12]Temporaries!M61+[12]Temporaries!L61-[12]Temporaries!AZ61</f>
        <v>0.68782999999999994</v>
      </c>
      <c r="AV72" s="542"/>
      <c r="AW72" s="616"/>
      <c r="AX72" s="190"/>
      <c r="AY72" s="190"/>
      <c r="AZ72" s="190"/>
      <c r="BA72" s="190"/>
    </row>
    <row r="73" spans="1:53" x14ac:dyDescent="0.35">
      <c r="A73" s="15">
        <f t="shared" si="33"/>
        <v>67</v>
      </c>
      <c r="B73" s="15"/>
      <c r="C73" s="193" t="s">
        <v>83</v>
      </c>
      <c r="D73" s="127">
        <f>+'[12]Washington volumes'!J62</f>
        <v>27036.058789873507</v>
      </c>
      <c r="E73" s="127">
        <v>20000</v>
      </c>
      <c r="F73" s="161"/>
      <c r="G73" s="683"/>
      <c r="H73" s="684"/>
      <c r="I73" s="683"/>
      <c r="J73" s="684"/>
      <c r="K73" s="92"/>
      <c r="L73" s="190">
        <f>+'[12]Rates in summary'!D62</f>
        <v>0.67198999999999998</v>
      </c>
      <c r="M73" s="92"/>
      <c r="N73" s="190">
        <f>'[12]Rates in summary'!D62+[12]Temporaries!K62+[12]Temporaries!L62+[12]Temporaries!M62-[12]Temporaries!AX62</f>
        <v>0.67198999999999998</v>
      </c>
      <c r="O73" s="92"/>
      <c r="P73" s="611"/>
      <c r="Q73" s="190">
        <f>'[12]Rates in summary'!D62+[12]Temporaries!N62+[12]Temporaries!O62-[12]Temporaries!AY62</f>
        <v>0.67169000000000001</v>
      </c>
      <c r="R73" s="92"/>
      <c r="S73" s="611"/>
      <c r="T73" s="534">
        <f>'[12]Rates in detail'!D62+[12]Temporaries!T62-[12]Temporaries!BD62+[12]Temporaries!S62-[12]Temporaries!BC62+[12]Temporaries!P62-[12]Temporaries!BB62++[12]Temporaries!Q62-[12]Temporaries!AW62</f>
        <v>0.67140999999999995</v>
      </c>
      <c r="U73" s="112"/>
      <c r="V73" s="531"/>
      <c r="W73" s="190">
        <f>'[12]Rates in summary'!D62+[12]Temporaries!R62-[12]Temporaries!AZ62</f>
        <v>0.67212000000000005</v>
      </c>
      <c r="X73" s="92"/>
      <c r="Y73" s="611"/>
      <c r="Z73" s="190">
        <f>'[12]Rates in summary'!D62+[12]Permanents!F62</f>
        <v>0.67203000000000002</v>
      </c>
      <c r="AA73" s="92"/>
      <c r="AB73" s="611"/>
      <c r="AC73" s="612">
        <f>'[12]Rates in summary'!D62+[12]Temporaries!U62-[12]Temporaries!BE62</f>
        <v>0.67198999999999998</v>
      </c>
      <c r="AD73" s="546"/>
      <c r="AE73" s="613"/>
      <c r="AF73" s="190">
        <f>'[12]Rates in summary'!D62+[12]Temporaries!V62-[12]Temporaries!BF62</f>
        <v>0.67198999999999998</v>
      </c>
      <c r="AG73" s="92"/>
      <c r="AH73" s="611"/>
      <c r="AI73" s="190">
        <f>'[12]Rates in summary'!G62+[12]Temporaries!J62</f>
        <v>0.63292999999999988</v>
      </c>
      <c r="AJ73" s="92"/>
      <c r="AK73" s="614"/>
      <c r="AL73" s="190">
        <f>+'[12]Rates in summary'!Q62</f>
        <v>0.63222</v>
      </c>
      <c r="AM73" s="92"/>
      <c r="AN73" s="615"/>
      <c r="AO73" s="538"/>
      <c r="AP73" s="601"/>
      <c r="AQ73" s="537">
        <f t="shared" si="19"/>
        <v>0</v>
      </c>
      <c r="AR73" s="537">
        <f t="shared" si="20"/>
        <v>0</v>
      </c>
      <c r="AS73" s="537">
        <f t="shared" si="21"/>
        <v>-3.9769999999999972E-2</v>
      </c>
      <c r="AT73" s="537">
        <f t="shared" si="32"/>
        <v>-3.9769999999999972E-2</v>
      </c>
      <c r="AU73" s="6">
        <f>+'[12]Rates in summary'!D62+[12]Temporaries!K62+[12]Temporaries!M62+[12]Temporaries!L62-[12]Temporaries!AZ62</f>
        <v>0.66947000000000001</v>
      </c>
      <c r="AV73" s="542"/>
      <c r="AW73" s="616"/>
      <c r="AX73" s="190"/>
      <c r="AY73" s="190"/>
      <c r="AZ73" s="190"/>
      <c r="BA73" s="190"/>
    </row>
    <row r="74" spans="1:53" x14ac:dyDescent="0.35">
      <c r="A74" s="15">
        <f t="shared" si="33"/>
        <v>68</v>
      </c>
      <c r="B74" s="15"/>
      <c r="C74" s="193" t="s">
        <v>90</v>
      </c>
      <c r="D74" s="127">
        <f>+'[12]Washington volumes'!J63</f>
        <v>0</v>
      </c>
      <c r="E74" s="127">
        <v>20000</v>
      </c>
      <c r="F74" s="161"/>
      <c r="G74" s="683"/>
      <c r="H74" s="684"/>
      <c r="I74" s="683"/>
      <c r="J74" s="684"/>
      <c r="K74" s="92"/>
      <c r="L74" s="190">
        <f>+'[12]Rates in summary'!D63</f>
        <v>0.63488999999999995</v>
      </c>
      <c r="M74" s="92"/>
      <c r="N74" s="190">
        <f>'[12]Rates in summary'!D63+[12]Temporaries!K63+[12]Temporaries!L63+[12]Temporaries!M63-[12]Temporaries!AX63</f>
        <v>0.63488999999999995</v>
      </c>
      <c r="O74" s="92"/>
      <c r="P74" s="611"/>
      <c r="Q74" s="190">
        <f>'[12]Rates in summary'!D63+[12]Temporaries!N63+[12]Temporaries!O63-[12]Temporaries!AY63</f>
        <v>0.63464999999999994</v>
      </c>
      <c r="R74" s="92"/>
      <c r="S74" s="611"/>
      <c r="T74" s="534">
        <f>'[12]Rates in detail'!D63+[12]Temporaries!T63-[12]Temporaries!BD63+[12]Temporaries!S63-[12]Temporaries!BC63+[12]Temporaries!P63-[12]Temporaries!BB63++[12]Temporaries!Q63-[12]Temporaries!AW63</f>
        <v>0.63426999999999989</v>
      </c>
      <c r="U74" s="112"/>
      <c r="V74" s="531"/>
      <c r="W74" s="190">
        <f>'[12]Rates in summary'!D63+[12]Temporaries!R63-[12]Temporaries!AZ63</f>
        <v>0.63498999999999994</v>
      </c>
      <c r="X74" s="92"/>
      <c r="Y74" s="611"/>
      <c r="Z74" s="190">
        <f>'[12]Rates in summary'!D63+[12]Permanents!F63</f>
        <v>0.63491999999999993</v>
      </c>
      <c r="AA74" s="92"/>
      <c r="AB74" s="611"/>
      <c r="AC74" s="612">
        <f>'[12]Rates in summary'!D63+[12]Temporaries!U63-[12]Temporaries!BE63</f>
        <v>0.63488999999999995</v>
      </c>
      <c r="AD74" s="546"/>
      <c r="AE74" s="613"/>
      <c r="AF74" s="190">
        <f>'[12]Rates in summary'!D63+[12]Temporaries!V63-[12]Temporaries!BF63</f>
        <v>0.63488999999999995</v>
      </c>
      <c r="AG74" s="92"/>
      <c r="AH74" s="611"/>
      <c r="AI74" s="190">
        <f>'[12]Rates in summary'!G63+[12]Temporaries!J63</f>
        <v>0.59582999999999997</v>
      </c>
      <c r="AJ74" s="92"/>
      <c r="AK74" s="614"/>
      <c r="AL74" s="190">
        <f>+'[12]Rates in summary'!Q63</f>
        <v>0.59509999999999996</v>
      </c>
      <c r="AM74" s="92"/>
      <c r="AN74" s="615"/>
      <c r="AO74" s="538"/>
      <c r="AP74" s="601"/>
      <c r="AQ74" s="537">
        <f t="shared" si="19"/>
        <v>0</v>
      </c>
      <c r="AR74" s="537">
        <f t="shared" si="20"/>
        <v>0</v>
      </c>
      <c r="AS74" s="537">
        <f t="shared" si="21"/>
        <v>-3.9789999999999992E-2</v>
      </c>
      <c r="AT74" s="537">
        <f t="shared" si="32"/>
        <v>-3.9789999999999992E-2</v>
      </c>
      <c r="AU74" s="6">
        <f>+'[12]Rates in summary'!D63+[12]Temporaries!K63+[12]Temporaries!M63+[12]Temporaries!L63-[12]Temporaries!AZ63</f>
        <v>0.63295999999999997</v>
      </c>
      <c r="AV74" s="542"/>
      <c r="AW74" s="616"/>
      <c r="AX74" s="190"/>
      <c r="AY74" s="190"/>
      <c r="AZ74" s="190"/>
      <c r="BA74" s="190"/>
    </row>
    <row r="75" spans="1:53" x14ac:dyDescent="0.35">
      <c r="A75" s="15">
        <f t="shared" si="33"/>
        <v>69</v>
      </c>
      <c r="B75" s="15"/>
      <c r="C75" s="193" t="s">
        <v>91</v>
      </c>
      <c r="D75" s="127">
        <f>+'[12]Washington volumes'!J64</f>
        <v>0</v>
      </c>
      <c r="E75" s="127">
        <v>100000</v>
      </c>
      <c r="F75" s="161"/>
      <c r="G75" s="683"/>
      <c r="H75" s="684"/>
      <c r="I75" s="683"/>
      <c r="J75" s="684"/>
      <c r="K75" s="92"/>
      <c r="L75" s="190">
        <f>+'[12]Rates in summary'!D64</f>
        <v>0.61047999999999969</v>
      </c>
      <c r="M75" s="92"/>
      <c r="N75" s="190">
        <f>'[12]Rates in summary'!D64+[12]Temporaries!K64+[12]Temporaries!L64+[12]Temporaries!M64-[12]Temporaries!AX64</f>
        <v>0.61047999999999969</v>
      </c>
      <c r="O75" s="92"/>
      <c r="P75" s="611"/>
      <c r="Q75" s="190">
        <f>'[12]Rates in summary'!D64+[12]Temporaries!N64+[12]Temporaries!O64-[12]Temporaries!AY64</f>
        <v>0.61028999999999967</v>
      </c>
      <c r="R75" s="92"/>
      <c r="S75" s="611"/>
      <c r="T75" s="534">
        <f>'[12]Rates in detail'!D64+[12]Temporaries!T64-[12]Temporaries!BD64+[12]Temporaries!S64-[12]Temporaries!BC64+[12]Temporaries!P64-[12]Temporaries!BB64++[12]Temporaries!Q64-[12]Temporaries!AW64</f>
        <v>0.60982999999999965</v>
      </c>
      <c r="U75" s="112"/>
      <c r="V75" s="531"/>
      <c r="W75" s="190">
        <f>'[12]Rates in summary'!D64+[12]Temporaries!R64-[12]Temporaries!AZ64</f>
        <v>0.61056999999999972</v>
      </c>
      <c r="X75" s="92"/>
      <c r="Y75" s="611"/>
      <c r="Z75" s="190">
        <f>'[12]Rates in summary'!D64+[12]Permanents!F64</f>
        <v>0.61049999999999971</v>
      </c>
      <c r="AA75" s="92"/>
      <c r="AB75" s="611"/>
      <c r="AC75" s="612">
        <f>'[12]Rates in summary'!D64+[12]Temporaries!U64-[12]Temporaries!BE64</f>
        <v>0.61047999999999969</v>
      </c>
      <c r="AD75" s="546"/>
      <c r="AE75" s="613"/>
      <c r="AF75" s="190">
        <f>'[12]Rates in summary'!D64+[12]Temporaries!V64-[12]Temporaries!BF64</f>
        <v>0.61047999999999969</v>
      </c>
      <c r="AG75" s="92"/>
      <c r="AH75" s="611"/>
      <c r="AI75" s="190">
        <f>'[12]Rates in summary'!G64+[12]Temporaries!J64</f>
        <v>0.57141999999999971</v>
      </c>
      <c r="AJ75" s="92"/>
      <c r="AK75" s="614"/>
      <c r="AL75" s="190">
        <f>+'[12]Rates in summary'!Q64</f>
        <v>0.57068999999999981</v>
      </c>
      <c r="AM75" s="92"/>
      <c r="AN75" s="615"/>
      <c r="AO75" s="538"/>
      <c r="AP75" s="601"/>
      <c r="AQ75" s="537">
        <f t="shared" si="19"/>
        <v>0</v>
      </c>
      <c r="AR75" s="537">
        <f t="shared" si="20"/>
        <v>0</v>
      </c>
      <c r="AS75" s="537">
        <f t="shared" si="21"/>
        <v>-3.9789999999999881E-2</v>
      </c>
      <c r="AT75" s="537">
        <f t="shared" si="32"/>
        <v>-3.9789999999999881E-2</v>
      </c>
      <c r="AU75" s="6">
        <f>+'[12]Rates in summary'!D64+[12]Temporaries!K64+[12]Temporaries!M64+[12]Temporaries!L64-[12]Temporaries!AZ64</f>
        <v>0.6089399999999997</v>
      </c>
      <c r="AV75" s="542"/>
      <c r="AW75" s="616"/>
      <c r="AX75" s="190"/>
      <c r="AY75" s="190"/>
      <c r="AZ75" s="190"/>
      <c r="BA75" s="190"/>
    </row>
    <row r="76" spans="1:53" x14ac:dyDescent="0.35">
      <c r="A76" s="15">
        <f t="shared" si="33"/>
        <v>70</v>
      </c>
      <c r="B76" s="15"/>
      <c r="C76" s="193" t="s">
        <v>92</v>
      </c>
      <c r="D76" s="127">
        <f>+'[12]Washington volumes'!J65</f>
        <v>0</v>
      </c>
      <c r="E76" s="127">
        <v>600000</v>
      </c>
      <c r="F76" s="161"/>
      <c r="G76" s="683"/>
      <c r="H76" s="684"/>
      <c r="I76" s="683"/>
      <c r="J76" s="684"/>
      <c r="K76" s="92"/>
      <c r="L76" s="190">
        <f>+'[12]Rates in summary'!D65</f>
        <v>0.57791000000000003</v>
      </c>
      <c r="M76" s="92"/>
      <c r="N76" s="190">
        <f>'[12]Rates in summary'!D65+[12]Temporaries!K65+[12]Temporaries!L65+[12]Temporaries!M65-[12]Temporaries!AX65</f>
        <v>0.57791000000000003</v>
      </c>
      <c r="O76" s="92"/>
      <c r="P76" s="611"/>
      <c r="Q76" s="190">
        <f>'[12]Rates in summary'!D65+[12]Temporaries!N65+[12]Temporaries!O65-[12]Temporaries!AY65</f>
        <v>0.57780000000000009</v>
      </c>
      <c r="R76" s="92"/>
      <c r="S76" s="611"/>
      <c r="T76" s="534">
        <f>'[12]Rates in detail'!D65+[12]Temporaries!T65-[12]Temporaries!BD65+[12]Temporaries!S65-[12]Temporaries!BC65+[12]Temporaries!P65-[12]Temporaries!BB65++[12]Temporaries!Q65-[12]Temporaries!AW65</f>
        <v>0.57723000000000002</v>
      </c>
      <c r="U76" s="112"/>
      <c r="V76" s="531"/>
      <c r="W76" s="190">
        <f>'[12]Rates in summary'!D65+[12]Temporaries!R65-[12]Temporaries!AZ65</f>
        <v>0.57796000000000003</v>
      </c>
      <c r="X76" s="92"/>
      <c r="Y76" s="611"/>
      <c r="Z76" s="190">
        <f>'[12]Rates in summary'!D65+[12]Permanents!F65</f>
        <v>0.57791999999999999</v>
      </c>
      <c r="AA76" s="92"/>
      <c r="AB76" s="611"/>
      <c r="AC76" s="612">
        <f>'[12]Rates in summary'!D65+[12]Temporaries!U65-[12]Temporaries!BE65</f>
        <v>0.57791000000000003</v>
      </c>
      <c r="AD76" s="546"/>
      <c r="AE76" s="613"/>
      <c r="AF76" s="190">
        <f>'[12]Rates in summary'!D65+[12]Temporaries!V65-[12]Temporaries!BF65</f>
        <v>0.57791000000000003</v>
      </c>
      <c r="AG76" s="92"/>
      <c r="AH76" s="611"/>
      <c r="AI76" s="190">
        <f>'[12]Rates in summary'!G65+[12]Temporaries!J65</f>
        <v>0.53884999999999994</v>
      </c>
      <c r="AJ76" s="92"/>
      <c r="AK76" s="614"/>
      <c r="AL76" s="190">
        <f>+'[12]Rates in summary'!Q65</f>
        <v>0.53811999999999993</v>
      </c>
      <c r="AM76" s="92"/>
      <c r="AN76" s="615"/>
      <c r="AO76" s="538"/>
      <c r="AP76" s="601"/>
      <c r="AQ76" s="537">
        <f t="shared" si="19"/>
        <v>0</v>
      </c>
      <c r="AR76" s="537">
        <f t="shared" si="20"/>
        <v>0</v>
      </c>
      <c r="AS76" s="537">
        <f t="shared" si="21"/>
        <v>-3.9790000000000103E-2</v>
      </c>
      <c r="AT76" s="537">
        <f t="shared" si="32"/>
        <v>-3.9790000000000103E-2</v>
      </c>
      <c r="AU76" s="6">
        <f>+'[12]Rates in summary'!D65+[12]Temporaries!K65+[12]Temporaries!M65+[12]Temporaries!L65-[12]Temporaries!AZ65</f>
        <v>0.57688000000000006</v>
      </c>
      <c r="AV76" s="6"/>
      <c r="AW76" s="616"/>
      <c r="AX76" s="190"/>
      <c r="AY76" s="190"/>
      <c r="AZ76" s="190"/>
      <c r="BA76" s="190"/>
    </row>
    <row r="77" spans="1:53" x14ac:dyDescent="0.35">
      <c r="A77" s="15">
        <f t="shared" si="33"/>
        <v>71</v>
      </c>
      <c r="B77" s="15"/>
      <c r="C77" s="193" t="s">
        <v>93</v>
      </c>
      <c r="D77" s="127">
        <f>+'[12]Washington volumes'!J66</f>
        <v>0</v>
      </c>
      <c r="E77" s="568" t="s">
        <v>265</v>
      </c>
      <c r="F77" s="161"/>
      <c r="G77" s="683"/>
      <c r="H77" s="684"/>
      <c r="I77" s="683"/>
      <c r="J77" s="684"/>
      <c r="K77" s="92"/>
      <c r="L77" s="190">
        <f>+'[12]Rates in summary'!D66</f>
        <v>0.53723999999999983</v>
      </c>
      <c r="M77" s="92"/>
      <c r="N77" s="190">
        <f>'[12]Rates in summary'!D66+[12]Temporaries!K66+[12]Temporaries!L66+[12]Temporaries!M66-[12]Temporaries!AX66</f>
        <v>0.53723999999999983</v>
      </c>
      <c r="O77" s="92"/>
      <c r="P77" s="611"/>
      <c r="Q77" s="190">
        <f>'[12]Rates in summary'!D66+[12]Temporaries!N66+[12]Temporaries!O66-[12]Temporaries!AY66</f>
        <v>0.53718999999999983</v>
      </c>
      <c r="R77" s="92"/>
      <c r="S77" s="611"/>
      <c r="T77" s="534">
        <f>'[12]Rates in detail'!D66+[12]Temporaries!T66-[12]Temporaries!BD66+[12]Temporaries!S66-[12]Temporaries!BC66+[12]Temporaries!P66-[12]Temporaries!BB66++[12]Temporaries!Q66-[12]Temporaries!AW66</f>
        <v>0.53652999999999984</v>
      </c>
      <c r="U77" s="112"/>
      <c r="V77" s="531"/>
      <c r="W77" s="190">
        <f>'[12]Rates in summary'!D66+[12]Temporaries!R66-[12]Temporaries!AZ66</f>
        <v>0.53725999999999985</v>
      </c>
      <c r="X77" s="92"/>
      <c r="Y77" s="611"/>
      <c r="Z77" s="190">
        <f>'[12]Rates in summary'!D66+[12]Permanents!F66</f>
        <v>0.53724999999999978</v>
      </c>
      <c r="AA77" s="92"/>
      <c r="AB77" s="611"/>
      <c r="AC77" s="612">
        <f>'[12]Rates in summary'!D66+[12]Temporaries!U66-[12]Temporaries!BE66</f>
        <v>0.53723999999999983</v>
      </c>
      <c r="AD77" s="546"/>
      <c r="AE77" s="613"/>
      <c r="AF77" s="190">
        <f>'[12]Rates in summary'!D66+[12]Temporaries!V66-[12]Temporaries!BF66</f>
        <v>0.53723999999999983</v>
      </c>
      <c r="AG77" s="92"/>
      <c r="AH77" s="611"/>
      <c r="AI77" s="190">
        <f>'[12]Rates in summary'!G66+[12]Temporaries!J66</f>
        <v>0.49817999999999973</v>
      </c>
      <c r="AJ77" s="92"/>
      <c r="AK77" s="614"/>
      <c r="AL77" s="190">
        <f>+'[12]Rates in summary'!Q66</f>
        <v>0.49744999999999978</v>
      </c>
      <c r="AM77" s="92"/>
      <c r="AN77" s="615"/>
      <c r="AO77" s="538"/>
      <c r="AP77" s="601"/>
      <c r="AQ77" s="537">
        <f t="shared" ref="AQ77:AQ94" si="34">AC77-L77</f>
        <v>0</v>
      </c>
      <c r="AR77" s="537">
        <f t="shared" ref="AR77:AR94" si="35">AF77-L77</f>
        <v>0</v>
      </c>
      <c r="AS77" s="537">
        <f t="shared" ref="AS77:AS94" si="36">AL77-L77</f>
        <v>-3.9790000000000048E-2</v>
      </c>
      <c r="AT77" s="537">
        <f t="shared" si="32"/>
        <v>-3.9790000000000048E-2</v>
      </c>
      <c r="AU77" s="6">
        <f>+'[12]Rates in summary'!D66+[12]Temporaries!K66+[12]Temporaries!M66+[12]Temporaries!L66-[12]Temporaries!AZ66</f>
        <v>0.53684999999999983</v>
      </c>
      <c r="AV77" s="6"/>
      <c r="AW77" s="616"/>
      <c r="AX77" s="190"/>
      <c r="AY77" s="190"/>
      <c r="AZ77" s="190"/>
      <c r="BA77" s="190"/>
    </row>
    <row r="78" spans="1:53" x14ac:dyDescent="0.35">
      <c r="A78" s="15">
        <f t="shared" si="33"/>
        <v>72</v>
      </c>
      <c r="B78" s="192"/>
      <c r="C78" s="617" t="s">
        <v>49</v>
      </c>
      <c r="D78" s="618"/>
      <c r="E78" s="619"/>
      <c r="F78" s="620"/>
      <c r="G78" s="685"/>
      <c r="H78" s="686"/>
      <c r="I78" s="685"/>
      <c r="J78" s="686"/>
      <c r="K78" s="621"/>
      <c r="L78" s="622"/>
      <c r="M78" s="621">
        <f>$I72+ROUND(IF($F72&lt;$E72,($F72*L72),IF($F72&lt;SUM($E72:$E73),(($E72*L72)+(($F72-$E72)*L73)),IF($F72&lt;SUM($E72:$E74),(($E72*L72)+($E73*L73)+(($F72-$E72-$E73)*L74)),IF($F72&lt;SUM($E72:$E75),(($E72*L72)+($E73*L73)+($E74*L74)+(($F72-SUM($E72:$E74))*L75)),IF($F72&lt;SUM($E72:$E76),(($E72*L72)+($E73*L73)+($E74*L74)+($E75*L75)+(($F72-SUM($E72:$E75))*L76)),(($E72*L72)+($E73*L73)+($E74*L74)+($E75*L74)+($E76*L76)+(($F72-SUM($E72:$E76))*L77))))))),2)</f>
        <v>7419.7766599999995</v>
      </c>
      <c r="N78" s="622"/>
      <c r="O78" s="621">
        <f>$I72+ROUND(IF($F72&lt;$E72,($F72*N72),IF($F72&lt;SUM($E72:$E73),(($E72*N72)+(($F72-$E72)*N73)),IF($F72&lt;SUM($E72:$E74),(($E72*N72)+($E73*N73)+(($F72-$E72-$E73)*N74)),IF($F72&lt;SUM($E72:$E75),(($E72*N72)+($E73*N73)+($E74*N74)+(($F72-SUM($E72:$E74))*N75)),IF($F72&lt;SUM($E72:$E76),(($E72*N72)+($E73*N73)+($E74*N74)+($E75*N75)+(($F72-SUM($E72:$E75))*N76)),(($E72*N72)+($E73*N73)+($E74*N74)+($E75*N74)+($E76*N76)+(($F72-SUM($E72:$E76))*N77))))))),2)</f>
        <v>7419.7766599999995</v>
      </c>
      <c r="P78" s="623">
        <f>ROUND((O78-M78)/M78,3)</f>
        <v>0</v>
      </c>
      <c r="Q78" s="622"/>
      <c r="R78" s="621">
        <f>$I72+ROUND(IF($F72&lt;$E72,($F72*Q72),IF($F72&lt;SUM($E72:$E73),(($E72*Q72)+(($F72-$E72)*Q73)),IF($F72&lt;SUM($E72:$E74),(($E72*Q72)+($E73*Q73)+(($F72-$E72-$E73)*Q74)),IF($F72&lt;SUM($E72:$E75),(($E72*Q72)+($E73*Q73)+($E74*Q74)+(($F72-SUM($E72:$E74))*Q75)),IF($F72&lt;SUM($E72:$E76),(($E72*Q72)+($E73*Q73)+($E74*Q74)+($E75*Q75)+(($F72-SUM($E72:$E75))*Q76)),(($E72*Q72)+($E73*Q73)+($E74*Q74)+($E75*Q74)+($E76*Q76)+(($F72-SUM($E72:$E76))*Q77))))))),2)</f>
        <v>7415.3466599999992</v>
      </c>
      <c r="S78" s="623">
        <f>ROUND((R78-M78)/M78,3)</f>
        <v>-1E-3</v>
      </c>
      <c r="T78" s="330"/>
      <c r="U78" s="329">
        <f>$I72+ROUND(IF($F72&lt;$E72,($F72*T72),IF($F72&lt;SUM($E72:$E73),(($E72*T72)+(($F72-$E72)*T73)),IF($F72&lt;SUM($E72:$E74),(($E72*T72)+($E73*T73)+(($F72-$E72-$E73)*T74)),IF($F72&lt;SUM($E72:$E75),(($E72*T72)+($E73*T73)+($E74*T74)+(($F72-SUM($E72:$E74))*T75)),IF($F72&lt;SUM($E72:$E76),(($E72*T72)+($E73*T73)+($E74*T74)+($E75*T75)+(($F72-SUM($E72:$E75))*T76)),(($E72*T72)+($E73*T73)+($E74*T74)+($E75*T74)+($E76*T76)+(($F72-SUM($E72:$E76))*T77))))))),2)</f>
        <v>7411.9966599999989</v>
      </c>
      <c r="V78" s="532">
        <f>ROUND((U78-M78)/M78,3)</f>
        <v>-1E-3</v>
      </c>
      <c r="W78" s="622"/>
      <c r="X78" s="621">
        <f>$I72+ROUND(IF($F72&lt;$E72,($F72*W72),IF($F72&lt;SUM($E72:$E73),(($E72*W72)+(($F72-$E72)*W73)),IF($F72&lt;SUM($E72:$E74),(($E72*W72)+($E73*W73)+(($F72-$E72-$E73)*W74)),IF($F72&lt;SUM($E72:$E75),(($E72*W72)+($E73*W73)+($E74*W74)+(($F72-SUM($E72:$E74))*W75)),IF($F72&lt;SUM($E72:$E76),(($E72*W72)+($E73*W73)+($E74*W74)+($E75*W75)+(($F72-SUM($E72:$E75))*W76)),(($E72*W72)+($E73*W73)+($E74*W74)+($E75*W74)+($E76*W76)+(($F72-SUM($E72:$E76))*W77))))))),2)</f>
        <v>7421.7666599999993</v>
      </c>
      <c r="Y78" s="623">
        <f>(X78-M78)/M78</f>
        <v>2.6820214289304255E-4</v>
      </c>
      <c r="Z78" s="622"/>
      <c r="AA78" s="621">
        <f>$I72+ROUND(IF($F72&lt;$E72,($F72*Z72),IF($F72&lt;SUM($E72:$E73),(($E72*Z72)+(($F72-$E72)*Z73)),IF($F72&lt;SUM($E72:$E74),(($E72*Z72)+($E73*Z73)+(($F72-$E72-$E73)*Z74)),IF($F72&lt;SUM($E72:$E75),(($E72*Z72)+($E73*Z73)+($E74*Z74)+(($F72-SUM($E72:$E74))*Z75)),IF($F72&lt;SUM($E72:$E76),(($E72*Z72)+($E73*Z73)+($E74*Z74)+($E75*Z75)+(($F72-SUM($E72:$E75))*Z76)),(($E72*Z72)+($E73*Z73)+($E74*Z74)+($E75*Z74)+($E76*Z76)+(($F72-SUM($E72:$E76))*Z77))))))),2)</f>
        <v>7420.3266600000006</v>
      </c>
      <c r="AB78" s="623">
        <f>(AA78-M78)/M78</f>
        <v>7.4126220397729785E-5</v>
      </c>
      <c r="AC78" s="624"/>
      <c r="AD78" s="625">
        <f>$I72+ROUND(IF($F72&lt;$E72,($F72*AC72),IF($F72&lt;SUM($E72:$E73),(($E72*AC72)+(($F72-$E72)*AC73)),IF($F72&lt;SUM($E72:$E74),(($E72*AC72)+($E73*AC73)+(($F72-$E72-$E73)*AC74)),IF($F72&lt;SUM($E72:$E75),(($E72*AC72)+($E73*AC73)+($E74*AC74)+(($F72-SUM($E72:$E74))*AC75)),IF($F72&lt;SUM($E72:$E76),(($E72*AC72)+($E73*AC73)+($E74*AC74)+($E75*AC75)+(($F72-SUM($E72:$E75))*AC76)),(($E72*AC72)+($E73*AC73)+($E74*AC74)+($E75*AC74)+($E76*AC76)+(($F72-SUM($E72:$E76))*AC77))))))),2)</f>
        <v>7419.7766599999995</v>
      </c>
      <c r="AE78" s="626">
        <f>(AD78-M78)/M78</f>
        <v>0</v>
      </c>
      <c r="AF78" s="622"/>
      <c r="AG78" s="621">
        <f>$K72+ROUND(IF($F72&lt;$E72,($F72*AF72),IF($F72&lt;SUM($E72:$E73),(($E72*AF72)+(($F72-$E72)*AF73)),IF($F72&lt;SUM($E72:$E74),(($E72*AF72)+($E73*AF73)+(($F72-$E72-$E73)*AF74)),IF($F72&lt;SUM($E72:$E75),(($E72*AF72)+($E73*AF73)+($E74*AF74)+(($F72-SUM($E72:$E74))*AF75)),IF($F72&lt;SUM($E72:$E76),(($E72*AF72)+($E73*AF73)+($E74*AF74)+($E75*AF75)+(($F72-SUM($E72:$E75))*AF76)),(($E72*AF72)+($E73*AF73)+($E74*AF74)+($E75*AF74)+($E76*AF76)+(($F72-SUM($E72:$E76))*AF77))))))),2)</f>
        <v>7419.7766599999995</v>
      </c>
      <c r="AH78" s="623">
        <f>(AG78-M78)/M78</f>
        <v>0</v>
      </c>
      <c r="AI78" s="622"/>
      <c r="AJ78" s="621">
        <f>$I72+ROUND(IF($F72&lt;$E72,($F72*AI72),IF($F72&lt;SUM($E72:$E73),(($E72*AI72)+(($F72-$E72)*AI73)),IF($F72&lt;SUM($E72:$E74),(($E72*AI72)+($E73*AI73)+(($F72-$E72-$E73)*AI74)),IF($F72&lt;SUM($E72:$E75),(($E72*AI72)+($E73*AI73)+($E74*AI74)+(($F72-SUM($E72:$E74))*AI75)),IF($F72&lt;SUM($E72:$E76),(($E72*AI72)+($E73*AI73)+($E74*AI74)+($E75*AI75)+(($F72-SUM($E72:$E75))*AI76)),(($E72*AI72)+($E73*AI73)+($E74*AI74)+($E75*AI74)+($E76*AI76)+(($F72-SUM($E72:$E76))*AI77))))))),2)</f>
        <v>6882.3866600000001</v>
      </c>
      <c r="AK78" s="638">
        <f>ROUND((AJ78-M78)/M78,3)</f>
        <v>-7.1999999999999995E-2</v>
      </c>
      <c r="AL78" s="622"/>
      <c r="AM78" s="621">
        <f>$K72+ROUND(IF($F72&lt;$E72,($F72*AL72),IF($F72&lt;SUM($E72:$E73),(($E72*AL72)+(($F72-$E72)*AL73)),IF($F72&lt;SUM($E72:$E74),(($E72*AL72)+($E73*AL73)+(($F72-$E72-$E73)*AL74)),IF($F72&lt;SUM($E72:$E75),(($E72*AL72)+($E73*AL73)+($E74*AL74)+(($F72-SUM($E72:$E74))*AL75)),IF($F72&lt;SUM($E72:$E76),(($E72*AL72)+($E73*AL73)+($E74*AL74)+($E75*AL75)+(($F72-SUM($E72:$E75))*AL76)),(($E72*AL72)+($E73*AL73)+($E74*AL74)+($E75*AL74)+($E76*AL76)+(($F72-SUM($E72:$E76))*AL77))))))),2)</f>
        <v>6872.71666</v>
      </c>
      <c r="AN78" s="638">
        <f>ROUND((AM78-M78)/M78,3)</f>
        <v>-7.3999999999999996E-2</v>
      </c>
      <c r="AO78" s="538"/>
      <c r="AP78" s="601"/>
      <c r="AQ78" s="537">
        <f t="shared" si="34"/>
        <v>0</v>
      </c>
      <c r="AR78" s="537">
        <f t="shared" si="35"/>
        <v>0</v>
      </c>
      <c r="AS78" s="537">
        <f t="shared" si="36"/>
        <v>0</v>
      </c>
      <c r="AT78" s="537">
        <f t="shared" ref="AT78:AT94" si="37">AS78-(AQ78+AR78)</f>
        <v>0</v>
      </c>
      <c r="AU78" s="627"/>
      <c r="AV78" s="628">
        <f>$I72+ROUND(IF($F72&lt;$E72,($F72*AU72),IF($F72&lt;SUM($E72:$E73),(($E72*AU72)+(($F72-$E72)*AU73)),IF($F72&lt;SUM($E72:$E74),(($E72*AU72)+($E73*AU73)+(($F72-$E72-$E73)*AU74)),IF($F72&lt;SUM($E72:$E75),(($E72*AU72)+($E73*AU73)+($E74*AU74)+(($F72-SUM($E72:$E74))*AU75)),IF($F72&lt;SUM($E72:$E76),(($E72*AU72)+($E73*AU73)+($E74*AU74)+($E75*AU75)+(($F72-SUM($E72:$E75))*AU76)),(($E72*AU72)+($E73*AU73)+($E74*AU74)+($E75*AU74)+($E76*AU76)+(($F72-SUM($E72:$E76))*AU77))))))),2)</f>
        <v>7382.2066599999998</v>
      </c>
      <c r="AW78" s="629">
        <f>ROUND((AV78-M78)/M78,3)</f>
        <v>-5.0000000000000001E-3</v>
      </c>
      <c r="AX78" s="190"/>
      <c r="AY78" s="190"/>
      <c r="AZ78" s="190"/>
      <c r="BA78" s="190"/>
    </row>
    <row r="79" spans="1:53" x14ac:dyDescent="0.35">
      <c r="A79" s="15">
        <f t="shared" si="33"/>
        <v>73</v>
      </c>
      <c r="B79" s="15" t="s">
        <v>99</v>
      </c>
      <c r="C79" s="193" t="s">
        <v>82</v>
      </c>
      <c r="D79" s="127">
        <f>+'[12]Washington volumes'!J67</f>
        <v>0</v>
      </c>
      <c r="E79" s="127">
        <v>10000</v>
      </c>
      <c r="F79" s="161">
        <v>0</v>
      </c>
      <c r="G79" s="683">
        <f>1300+250</f>
        <v>1550</v>
      </c>
      <c r="H79" s="683">
        <f>'[52]Aver Bill by RS'!$J79</f>
        <v>5142.2693365131181</v>
      </c>
      <c r="I79" s="683">
        <f>G79-(IF(H79&gt;(F79*$H$3),(F79*$H$3),H79))</f>
        <v>1550</v>
      </c>
      <c r="J79" s="683">
        <f>'[52]Aver Bill by RS'!$J79</f>
        <v>5142.2693365131181</v>
      </c>
      <c r="K79" s="92">
        <f>G79-(IF(J79&gt;($F79*$H$4),($F79*$H$4),J79))</f>
        <v>1550</v>
      </c>
      <c r="L79" s="190">
        <f>+'[12]Rates in summary'!D67</f>
        <v>0.39076</v>
      </c>
      <c r="M79" s="92"/>
      <c r="N79" s="190">
        <f>'[12]Rates in summary'!D67+[12]Temporaries!K67+[12]Temporaries!L67+[12]Temporaries!M67-[12]Temporaries!AX67</f>
        <v>0.39076</v>
      </c>
      <c r="O79" s="92"/>
      <c r="P79" s="611"/>
      <c r="Q79" s="190">
        <f>'[12]Rates in summary'!D67+[12]Temporaries!N67+[12]Temporaries!O67-[12]Temporaries!AY67</f>
        <v>0.39076</v>
      </c>
      <c r="R79" s="92"/>
      <c r="S79" s="611"/>
      <c r="T79" s="534">
        <f>'[12]Rates in detail'!D67+[12]Temporaries!T67-[12]Temporaries!BD67+[12]Temporaries!S67-[12]Temporaries!BC67+[12]Temporaries!P67-[12]Temporaries!BB67++[12]Temporaries!Q67-[12]Temporaries!AW67</f>
        <v>0.39021000000000006</v>
      </c>
      <c r="U79" s="112"/>
      <c r="V79" s="531"/>
      <c r="W79" s="190">
        <f>'[12]Rates in summary'!D67+[12]Temporaries!R67-[12]Temporaries!AZ67</f>
        <v>0.39088000000000001</v>
      </c>
      <c r="X79" s="92"/>
      <c r="Y79" s="611"/>
      <c r="Z79" s="190">
        <f>'[12]Rates in summary'!D67+[12]Permanents!F67</f>
        <v>0.39076</v>
      </c>
      <c r="AA79" s="92"/>
      <c r="AB79" s="611"/>
      <c r="AC79" s="612">
        <f>'[12]Rates in summary'!D67+[12]Temporaries!U67-[12]Temporaries!BE67</f>
        <v>0.39076</v>
      </c>
      <c r="AD79" s="546"/>
      <c r="AE79" s="613"/>
      <c r="AF79" s="190">
        <f>'[12]Rates in summary'!D67+[12]Temporaries!V67-[12]Temporaries!BF67</f>
        <v>0.39076</v>
      </c>
      <c r="AG79" s="92"/>
      <c r="AH79" s="611"/>
      <c r="AI79" s="190">
        <f>'[12]Rates in summary'!G67+[12]Temporaries!J67</f>
        <v>0.39076</v>
      </c>
      <c r="AJ79" s="92"/>
      <c r="AK79" s="614"/>
      <c r="AL79" s="190">
        <f>+'[12]Rates in summary'!Q67</f>
        <v>0.39032999999999995</v>
      </c>
      <c r="AM79" s="92"/>
      <c r="AN79" s="615"/>
      <c r="AO79" s="538"/>
      <c r="AP79" s="601"/>
      <c r="AQ79" s="537">
        <f t="shared" si="34"/>
        <v>0</v>
      </c>
      <c r="AR79" s="537">
        <f t="shared" si="35"/>
        <v>0</v>
      </c>
      <c r="AS79" s="537">
        <f t="shared" si="36"/>
        <v>-4.3000000000004146E-4</v>
      </c>
      <c r="AT79" s="537">
        <f t="shared" si="37"/>
        <v>-4.3000000000004146E-4</v>
      </c>
      <c r="AU79" s="6">
        <f>+'[12]Rates in summary'!D67+[12]Temporaries!K67+[12]Temporaries!M67+[12]Temporaries!L67-[12]Temporaries!AZ67</f>
        <v>0.38874999999999998</v>
      </c>
      <c r="AV79" s="542"/>
      <c r="AW79" s="616"/>
      <c r="AX79" s="190"/>
      <c r="AY79" s="190"/>
      <c r="AZ79" s="190"/>
      <c r="BA79" s="190"/>
    </row>
    <row r="80" spans="1:53" x14ac:dyDescent="0.35">
      <c r="A80" s="15">
        <f t="shared" si="33"/>
        <v>74</v>
      </c>
      <c r="B80" s="15"/>
      <c r="C80" s="193" t="s">
        <v>83</v>
      </c>
      <c r="D80" s="127">
        <f>+'[12]Washington volumes'!J68</f>
        <v>0</v>
      </c>
      <c r="E80" s="127">
        <v>20000</v>
      </c>
      <c r="F80" s="161"/>
      <c r="G80" s="683"/>
      <c r="H80" s="684"/>
      <c r="I80" s="683"/>
      <c r="J80" s="684"/>
      <c r="K80" s="92"/>
      <c r="L80" s="190">
        <f>+'[12]Rates in summary'!D68</f>
        <v>0.37516000000000005</v>
      </c>
      <c r="M80" s="92"/>
      <c r="N80" s="190">
        <f>'[12]Rates in summary'!D68+[12]Temporaries!K68+[12]Temporaries!L68+[12]Temporaries!M68-[12]Temporaries!AX68</f>
        <v>0.37516000000000005</v>
      </c>
      <c r="O80" s="92"/>
      <c r="P80" s="611"/>
      <c r="Q80" s="190">
        <f>'[12]Rates in summary'!D68+[12]Temporaries!N68+[12]Temporaries!O68-[12]Temporaries!AY68</f>
        <v>0.37516000000000005</v>
      </c>
      <c r="R80" s="92"/>
      <c r="S80" s="611"/>
      <c r="T80" s="534">
        <f>'[12]Rates in detail'!D68+[12]Temporaries!T68-[12]Temporaries!BD68+[12]Temporaries!S68-[12]Temporaries!BC68+[12]Temporaries!P68-[12]Temporaries!BB68++[12]Temporaries!Q68-[12]Temporaries!AW68</f>
        <v>0.37460000000000004</v>
      </c>
      <c r="U80" s="112"/>
      <c r="V80" s="531"/>
      <c r="W80" s="190">
        <f>'[12]Rates in summary'!D68+[12]Temporaries!R68-[12]Temporaries!AZ68</f>
        <v>0.37527000000000005</v>
      </c>
      <c r="X80" s="92"/>
      <c r="Y80" s="611"/>
      <c r="Z80" s="190">
        <f>'[12]Rates in summary'!D68+[12]Permanents!F68</f>
        <v>0.37516000000000005</v>
      </c>
      <c r="AA80" s="92"/>
      <c r="AB80" s="611"/>
      <c r="AC80" s="612">
        <f>'[12]Rates in summary'!D68+[12]Temporaries!U68-[12]Temporaries!BE68</f>
        <v>0.37516000000000005</v>
      </c>
      <c r="AD80" s="546"/>
      <c r="AE80" s="613"/>
      <c r="AF80" s="190">
        <f>'[12]Rates in summary'!D68+[12]Temporaries!V68-[12]Temporaries!BF68</f>
        <v>0.37516000000000005</v>
      </c>
      <c r="AG80" s="92"/>
      <c r="AH80" s="611"/>
      <c r="AI80" s="190">
        <f>'[12]Rates in summary'!G68+[12]Temporaries!J68</f>
        <v>0.37516000000000005</v>
      </c>
      <c r="AJ80" s="92"/>
      <c r="AK80" s="614"/>
      <c r="AL80" s="190">
        <f>+'[12]Rates in summary'!Q68</f>
        <v>0.37471000000000004</v>
      </c>
      <c r="AM80" s="92"/>
      <c r="AN80" s="615"/>
      <c r="AO80" s="538"/>
      <c r="AP80" s="601"/>
      <c r="AQ80" s="537">
        <f t="shared" si="34"/>
        <v>0</v>
      </c>
      <c r="AR80" s="537">
        <f t="shared" si="35"/>
        <v>0</v>
      </c>
      <c r="AS80" s="537">
        <f t="shared" si="36"/>
        <v>-4.5000000000000595E-4</v>
      </c>
      <c r="AT80" s="537">
        <f t="shared" si="37"/>
        <v>-4.5000000000000595E-4</v>
      </c>
      <c r="AU80" s="6">
        <f>+'[12]Rates in summary'!D68+[12]Temporaries!K68+[12]Temporaries!M68+[12]Temporaries!L68-[12]Temporaries!AZ68</f>
        <v>0.37336000000000003</v>
      </c>
      <c r="AV80" s="542"/>
      <c r="AW80" s="616"/>
      <c r="AX80" s="190"/>
      <c r="AY80" s="190"/>
      <c r="AZ80" s="190"/>
      <c r="BA80" s="190"/>
    </row>
    <row r="81" spans="1:53" x14ac:dyDescent="0.35">
      <c r="A81" s="15">
        <f t="shared" si="33"/>
        <v>75</v>
      </c>
      <c r="B81" s="15"/>
      <c r="C81" s="193" t="s">
        <v>90</v>
      </c>
      <c r="D81" s="127">
        <f>+'[12]Washington volumes'!J69</f>
        <v>0</v>
      </c>
      <c r="E81" s="127">
        <v>20000</v>
      </c>
      <c r="F81" s="161"/>
      <c r="G81" s="683"/>
      <c r="H81" s="684"/>
      <c r="I81" s="683"/>
      <c r="J81" s="684"/>
      <c r="K81" s="92"/>
      <c r="L81" s="190">
        <f>+'[12]Rates in summary'!D69</f>
        <v>0.34404999999999997</v>
      </c>
      <c r="M81" s="92"/>
      <c r="N81" s="190">
        <f>'[12]Rates in summary'!D69+[12]Temporaries!K69+[12]Temporaries!L69+[12]Temporaries!M69-[12]Temporaries!AX69</f>
        <v>0.34404999999999997</v>
      </c>
      <c r="O81" s="92"/>
      <c r="P81" s="611"/>
      <c r="Q81" s="190">
        <f>'[12]Rates in summary'!D69+[12]Temporaries!N69+[12]Temporaries!O69-[12]Temporaries!AY69</f>
        <v>0.34404999999999997</v>
      </c>
      <c r="R81" s="92"/>
      <c r="S81" s="611"/>
      <c r="T81" s="534">
        <f>'[12]Rates in detail'!D69+[12]Temporaries!T69-[12]Temporaries!BD69+[12]Temporaries!S69-[12]Temporaries!BC69+[12]Temporaries!P69-[12]Temporaries!BB69++[12]Temporaries!Q69-[12]Temporaries!AW69</f>
        <v>0.34345999999999999</v>
      </c>
      <c r="U81" s="112"/>
      <c r="V81" s="531"/>
      <c r="W81" s="190">
        <f>'[12]Rates in summary'!D69+[12]Temporaries!R69-[12]Temporaries!AZ69</f>
        <v>0.34412999999999999</v>
      </c>
      <c r="X81" s="92"/>
      <c r="Y81" s="611"/>
      <c r="Z81" s="190">
        <f>'[12]Rates in summary'!D69+[12]Permanents!F69</f>
        <v>0.34404999999999997</v>
      </c>
      <c r="AA81" s="92"/>
      <c r="AB81" s="611"/>
      <c r="AC81" s="612">
        <f>'[12]Rates in summary'!D69+[12]Temporaries!U69-[12]Temporaries!BE69</f>
        <v>0.34404999999999997</v>
      </c>
      <c r="AD81" s="546"/>
      <c r="AE81" s="613"/>
      <c r="AF81" s="190">
        <f>'[12]Rates in summary'!D69+[12]Temporaries!V69-[12]Temporaries!BF69</f>
        <v>0.34404999999999997</v>
      </c>
      <c r="AG81" s="92"/>
      <c r="AH81" s="611"/>
      <c r="AI81" s="190">
        <f>'[12]Rates in summary'!G69+[12]Temporaries!J69</f>
        <v>0.34404999999999997</v>
      </c>
      <c r="AJ81" s="92"/>
      <c r="AK81" s="614"/>
      <c r="AL81" s="190">
        <f>+'[12]Rates in summary'!Q69</f>
        <v>0.34353999999999996</v>
      </c>
      <c r="AM81" s="92"/>
      <c r="AN81" s="615"/>
      <c r="AO81" s="538"/>
      <c r="AP81" s="601"/>
      <c r="AQ81" s="537">
        <f t="shared" si="34"/>
        <v>0</v>
      </c>
      <c r="AR81" s="537">
        <f t="shared" si="35"/>
        <v>0</v>
      </c>
      <c r="AS81" s="537">
        <f t="shared" si="36"/>
        <v>-5.1000000000001044E-4</v>
      </c>
      <c r="AT81" s="537">
        <f t="shared" si="37"/>
        <v>-5.1000000000001044E-4</v>
      </c>
      <c r="AU81" s="6">
        <f>+'[12]Rates in summary'!D69+[12]Temporaries!K69+[12]Temporaries!M69+[12]Temporaries!L69-[12]Temporaries!AZ69</f>
        <v>0.34266999999999997</v>
      </c>
      <c r="AV81" s="542"/>
      <c r="AW81" s="616"/>
      <c r="AX81" s="190"/>
      <c r="AY81" s="190"/>
      <c r="AZ81" s="190"/>
      <c r="BA81" s="190"/>
    </row>
    <row r="82" spans="1:53" x14ac:dyDescent="0.35">
      <c r="A82" s="15">
        <f t="shared" si="33"/>
        <v>76</v>
      </c>
      <c r="B82" s="15"/>
      <c r="C82" s="193" t="s">
        <v>91</v>
      </c>
      <c r="D82" s="127">
        <f>+'[12]Washington volumes'!J70</f>
        <v>0</v>
      </c>
      <c r="E82" s="127">
        <v>100000</v>
      </c>
      <c r="F82" s="161"/>
      <c r="G82" s="683"/>
      <c r="H82" s="684"/>
      <c r="I82" s="683"/>
      <c r="J82" s="684"/>
      <c r="K82" s="92"/>
      <c r="L82" s="190">
        <f>+'[12]Rates in summary'!D70</f>
        <v>0.3236</v>
      </c>
      <c r="M82" s="92"/>
      <c r="N82" s="190">
        <f>'[12]Rates in summary'!D70+[12]Temporaries!K70+[12]Temporaries!L70+[12]Temporaries!M70-[12]Temporaries!AX70</f>
        <v>0.3236</v>
      </c>
      <c r="O82" s="92"/>
      <c r="P82" s="611"/>
      <c r="Q82" s="190">
        <f>'[12]Rates in summary'!D70+[12]Temporaries!N70+[12]Temporaries!O70-[12]Temporaries!AY70</f>
        <v>0.3236</v>
      </c>
      <c r="R82" s="92"/>
      <c r="S82" s="611"/>
      <c r="T82" s="534">
        <f>'[12]Rates in detail'!D70+[12]Temporaries!T70-[12]Temporaries!BD70+[12]Temporaries!S70-[12]Temporaries!BC70+[12]Temporaries!P70-[12]Temporaries!BB70++[12]Temporaries!Q70-[12]Temporaries!AW70</f>
        <v>0.32300000000000001</v>
      </c>
      <c r="U82" s="112"/>
      <c r="V82" s="531"/>
      <c r="W82" s="190">
        <f>'[12]Rates in summary'!D70+[12]Temporaries!R70-[12]Temporaries!AZ70</f>
        <v>0.32366</v>
      </c>
      <c r="X82" s="92"/>
      <c r="Y82" s="611"/>
      <c r="Z82" s="190">
        <f>'[12]Rates in summary'!D70+[12]Permanents!F70</f>
        <v>0.3236</v>
      </c>
      <c r="AA82" s="92"/>
      <c r="AB82" s="611"/>
      <c r="AC82" s="612">
        <f>'[12]Rates in summary'!D70+[12]Temporaries!U70-[12]Temporaries!BE70</f>
        <v>0.3236</v>
      </c>
      <c r="AD82" s="546"/>
      <c r="AE82" s="613"/>
      <c r="AF82" s="190">
        <f>'[12]Rates in summary'!D70+[12]Temporaries!V70-[12]Temporaries!BF70</f>
        <v>0.3236</v>
      </c>
      <c r="AG82" s="92"/>
      <c r="AH82" s="611"/>
      <c r="AI82" s="190">
        <f>'[12]Rates in summary'!G70+[12]Temporaries!J70</f>
        <v>0.3236</v>
      </c>
      <c r="AJ82" s="92"/>
      <c r="AK82" s="614"/>
      <c r="AL82" s="190">
        <f>+'[12]Rates in summary'!Q70</f>
        <v>0.32306000000000001</v>
      </c>
      <c r="AM82" s="92"/>
      <c r="AN82" s="615"/>
      <c r="AO82" s="538"/>
      <c r="AP82" s="601"/>
      <c r="AQ82" s="537">
        <f t="shared" si="34"/>
        <v>0</v>
      </c>
      <c r="AR82" s="537">
        <f t="shared" si="35"/>
        <v>0</v>
      </c>
      <c r="AS82" s="537">
        <f t="shared" si="36"/>
        <v>-5.3999999999998494E-4</v>
      </c>
      <c r="AT82" s="537">
        <f t="shared" si="37"/>
        <v>-5.3999999999998494E-4</v>
      </c>
      <c r="AU82" s="6">
        <f>+'[12]Rates in summary'!D70+[12]Temporaries!K70+[12]Temporaries!M70+[12]Temporaries!L70-[12]Temporaries!AZ70</f>
        <v>0.32249</v>
      </c>
      <c r="AV82" s="542"/>
      <c r="AW82" s="616"/>
      <c r="AX82" s="190"/>
      <c r="AY82" s="190"/>
      <c r="AZ82" s="190"/>
      <c r="BA82" s="190"/>
    </row>
    <row r="83" spans="1:53" x14ac:dyDescent="0.35">
      <c r="A83" s="15">
        <f t="shared" si="33"/>
        <v>77</v>
      </c>
      <c r="B83" s="15"/>
      <c r="C83" s="193" t="s">
        <v>92</v>
      </c>
      <c r="D83" s="127">
        <f>+'[12]Washington volumes'!J71</f>
        <v>0</v>
      </c>
      <c r="E83" s="127">
        <v>600000</v>
      </c>
      <c r="F83" s="161"/>
      <c r="G83" s="683"/>
      <c r="H83" s="684"/>
      <c r="I83" s="683"/>
      <c r="J83" s="684"/>
      <c r="K83" s="92"/>
      <c r="L83" s="190">
        <f>+'[12]Rates in summary'!D71</f>
        <v>0.29632999999999998</v>
      </c>
      <c r="M83" s="92"/>
      <c r="N83" s="190">
        <f>'[12]Rates in summary'!D71+[12]Temporaries!K71+[12]Temporaries!L71+[12]Temporaries!M71-[12]Temporaries!AX71</f>
        <v>0.29632999999999998</v>
      </c>
      <c r="O83" s="92"/>
      <c r="P83" s="611"/>
      <c r="Q83" s="190">
        <f>'[12]Rates in summary'!D71+[12]Temporaries!N71+[12]Temporaries!O71-[12]Temporaries!AY71</f>
        <v>0.29632999999999998</v>
      </c>
      <c r="R83" s="92"/>
      <c r="S83" s="611"/>
      <c r="T83" s="534">
        <f>'[12]Rates in detail'!D71+[12]Temporaries!T71-[12]Temporaries!BD71+[12]Temporaries!S71-[12]Temporaries!BC71+[12]Temporaries!P71-[12]Temporaries!BB71++[12]Temporaries!Q71-[12]Temporaries!AW71</f>
        <v>0.29570000000000002</v>
      </c>
      <c r="U83" s="112"/>
      <c r="V83" s="531"/>
      <c r="W83" s="190">
        <f>'[12]Rates in summary'!D71+[12]Temporaries!R71-[12]Temporaries!AZ71</f>
        <v>0.29636999999999997</v>
      </c>
      <c r="X83" s="92"/>
      <c r="Y83" s="611"/>
      <c r="Z83" s="190">
        <f>'[12]Rates in summary'!D71+[12]Permanents!F71</f>
        <v>0.29632999999999998</v>
      </c>
      <c r="AA83" s="92"/>
      <c r="AB83" s="611"/>
      <c r="AC83" s="612">
        <f>'[12]Rates in summary'!D71+[12]Temporaries!U71-[12]Temporaries!BE71</f>
        <v>0.29632999999999998</v>
      </c>
      <c r="AD83" s="546"/>
      <c r="AE83" s="613"/>
      <c r="AF83" s="190">
        <f>'[12]Rates in summary'!D71+[12]Temporaries!V71-[12]Temporaries!BF71</f>
        <v>0.29632999999999998</v>
      </c>
      <c r="AG83" s="92"/>
      <c r="AH83" s="611"/>
      <c r="AI83" s="190">
        <f>'[12]Rates in summary'!G71+[12]Temporaries!J71</f>
        <v>0.29632999999999998</v>
      </c>
      <c r="AJ83" s="92"/>
      <c r="AK83" s="614"/>
      <c r="AL83" s="190">
        <f>+'[12]Rates in summary'!Q71</f>
        <v>0.29574</v>
      </c>
      <c r="AM83" s="92"/>
      <c r="AN83" s="615"/>
      <c r="AO83" s="538"/>
      <c r="AP83" s="601"/>
      <c r="AQ83" s="537">
        <f t="shared" si="34"/>
        <v>0</v>
      </c>
      <c r="AR83" s="537">
        <f t="shared" si="35"/>
        <v>0</v>
      </c>
      <c r="AS83" s="537">
        <f t="shared" si="36"/>
        <v>-5.8999999999997943E-4</v>
      </c>
      <c r="AT83" s="537">
        <f t="shared" si="37"/>
        <v>-5.8999999999997943E-4</v>
      </c>
      <c r="AU83" s="6">
        <f>+'[12]Rates in summary'!D71+[12]Temporaries!K71+[12]Temporaries!M71+[12]Temporaries!L71-[12]Temporaries!AZ71</f>
        <v>0.29558999999999996</v>
      </c>
      <c r="AV83" s="6"/>
      <c r="AW83" s="616"/>
      <c r="AX83" s="190"/>
      <c r="AY83" s="190"/>
      <c r="AZ83" s="190"/>
      <c r="BA83" s="190"/>
    </row>
    <row r="84" spans="1:53" x14ac:dyDescent="0.35">
      <c r="A84" s="15">
        <f t="shared" si="33"/>
        <v>78</v>
      </c>
      <c r="B84" s="15"/>
      <c r="C84" s="193" t="s">
        <v>93</v>
      </c>
      <c r="D84" s="127">
        <f>+'[12]Washington volumes'!J72</f>
        <v>0</v>
      </c>
      <c r="E84" s="568" t="s">
        <v>265</v>
      </c>
      <c r="F84" s="161"/>
      <c r="G84" s="683"/>
      <c r="H84" s="684"/>
      <c r="I84" s="683"/>
      <c r="J84" s="684"/>
      <c r="K84" s="92"/>
      <c r="L84" s="190">
        <f>+'[12]Rates in summary'!D72</f>
        <v>0.26221000000000005</v>
      </c>
      <c r="M84" s="92"/>
      <c r="N84" s="190">
        <f>'[12]Rates in summary'!D72+[12]Temporaries!K72+[12]Temporaries!L72+[12]Temporaries!M72-[12]Temporaries!AX72</f>
        <v>0.26221000000000005</v>
      </c>
      <c r="O84" s="92"/>
      <c r="P84" s="611"/>
      <c r="Q84" s="190">
        <f>'[12]Rates in summary'!D72+[12]Temporaries!N72+[12]Temporaries!O72-[12]Temporaries!AY72</f>
        <v>0.26221000000000005</v>
      </c>
      <c r="R84" s="92"/>
      <c r="S84" s="611"/>
      <c r="T84" s="534">
        <f>'[12]Rates in detail'!D72+[12]Temporaries!T72-[12]Temporaries!BD72+[12]Temporaries!S72-[12]Temporaries!BC72+[12]Temporaries!P72-[12]Temporaries!BB72++[12]Temporaries!Q72-[12]Temporaries!AW72</f>
        <v>0.26155000000000012</v>
      </c>
      <c r="U84" s="112"/>
      <c r="V84" s="531"/>
      <c r="W84" s="190">
        <f>'[12]Rates in summary'!D72+[12]Temporaries!R72-[12]Temporaries!AZ72</f>
        <v>0.26222000000000006</v>
      </c>
      <c r="X84" s="92"/>
      <c r="Y84" s="611"/>
      <c r="Z84" s="190">
        <f>'[12]Rates in summary'!D72+[12]Permanents!F72</f>
        <v>0.26221000000000005</v>
      </c>
      <c r="AA84" s="92"/>
      <c r="AB84" s="611"/>
      <c r="AC84" s="612">
        <f>'[12]Rates in summary'!D72+[12]Temporaries!U72-[12]Temporaries!BE72</f>
        <v>0.26221000000000005</v>
      </c>
      <c r="AD84" s="546"/>
      <c r="AE84" s="613"/>
      <c r="AF84" s="190">
        <f>'[12]Rates in summary'!D72+[12]Temporaries!V72-[12]Temporaries!BF72</f>
        <v>0.26221000000000005</v>
      </c>
      <c r="AG84" s="92"/>
      <c r="AH84" s="611"/>
      <c r="AI84" s="190">
        <f>'[12]Rates in summary'!G72+[12]Temporaries!J72</f>
        <v>0.26221000000000005</v>
      </c>
      <c r="AJ84" s="92"/>
      <c r="AK84" s="614"/>
      <c r="AL84" s="190">
        <f>+'[12]Rates in summary'!Q72</f>
        <v>0.26156000000000007</v>
      </c>
      <c r="AM84" s="92"/>
      <c r="AN84" s="615"/>
      <c r="AO84" s="538"/>
      <c r="AP84" s="601"/>
      <c r="AQ84" s="537">
        <f t="shared" si="34"/>
        <v>0</v>
      </c>
      <c r="AR84" s="537">
        <f t="shared" si="35"/>
        <v>0</v>
      </c>
      <c r="AS84" s="537">
        <f t="shared" si="36"/>
        <v>-6.4999999999998392E-4</v>
      </c>
      <c r="AT84" s="537">
        <f t="shared" si="37"/>
        <v>-6.4999999999998392E-4</v>
      </c>
      <c r="AU84" s="6">
        <f>+'[12]Rates in summary'!D72+[12]Temporaries!K72+[12]Temporaries!M72+[12]Temporaries!L72-[12]Temporaries!AZ72</f>
        <v>0.26193000000000005</v>
      </c>
      <c r="AV84" s="6"/>
      <c r="AW84" s="616"/>
      <c r="AX84" s="190"/>
      <c r="AY84" s="190"/>
      <c r="AZ84" s="190"/>
      <c r="BA84" s="190"/>
    </row>
    <row r="85" spans="1:53" x14ac:dyDescent="0.35">
      <c r="A85" s="15">
        <f t="shared" si="33"/>
        <v>79</v>
      </c>
      <c r="B85" s="192"/>
      <c r="C85" s="617" t="s">
        <v>49</v>
      </c>
      <c r="D85" s="618"/>
      <c r="E85" s="619"/>
      <c r="F85" s="620"/>
      <c r="G85" s="685"/>
      <c r="H85" s="686"/>
      <c r="I85" s="685"/>
      <c r="J85" s="686"/>
      <c r="K85" s="621"/>
      <c r="L85" s="622"/>
      <c r="M85" s="621">
        <f>$I79+ROUND(IF($F79&lt;$E79,($F79*L79),IF($F79&lt;SUM($E79:$E80),(($E79*L79)+(($F79-$E79)*L80)),IF($F79&lt;SUM($E79:$E81),(($E79*L79)+($E80*L80)+(($F79-$E79-$E80)*L81)),IF($F79&lt;SUM($E79:$E82),(($E79*L79)+($E80*L80)+($E81*L81)+(($F79-SUM($E79:$E81))*L82)),IF($F79&lt;SUM($E79:$E83),(($E79*L79)+($E80*L80)+($E81*L81)+($E82*L82)+(($F79-SUM($E79:$E82))*L83)),(($E79*L79)+($E80*L80)+($E81*L81)+($E82*L81)+($E83*L83)+(($F79-SUM($E79:$E83))*L84))))))),2)</f>
        <v>1550</v>
      </c>
      <c r="N85" s="621"/>
      <c r="O85" s="621">
        <f>$I79+ROUND(IF($F79&lt;$E79,($F79*N79),IF($F79&lt;SUM($E79:$E80),(($E79*N79)+(($F79-$E79)*N80)),IF($F79&lt;SUM($E79:$E81),(($E79*N79)+($E80*N80)+(($F79-$E79-$E80)*N81)),IF($F79&lt;SUM($E79:$E82),(($E79*N79)+($E80*N80)+($E81*N81)+(($F79-SUM($E79:$E81))*N82)),IF($F79&lt;SUM($E79:$E83),(($E79*N79)+($E80*N80)+($E81*N81)+($E82*N82)+(($F79-SUM($E79:$E82))*N83)),(($E79*N79)+($E80*N80)+($E81*N81)+($E82*N81)+($E83*N83)+(($F79-SUM($E79:$E83))*N84))))))),2)</f>
        <v>1550</v>
      </c>
      <c r="P85" s="623">
        <f>ROUND((O85-M85)/M85,3)</f>
        <v>0</v>
      </c>
      <c r="Q85" s="621"/>
      <c r="R85" s="621">
        <f>$I79+ROUND(IF($F79&lt;$E79,($F79*Q79),IF($F79&lt;SUM($E79:$E80),(($E79*Q79)+(($F79-$E79)*Q80)),IF($F79&lt;SUM($E79:$E81),(($E79*Q79)+($E80*Q80)+(($F79-$E79-$E80)*Q81)),IF($F79&lt;SUM($E79:$E82),(($E79*Q79)+($E80*Q80)+($E81*Q81)+(($F79-SUM($E79:$E81))*Q82)),IF($F79&lt;SUM($E79:$E83),(($E79*Q79)+($E80*Q80)+($E81*Q81)+($E82*Q82)+(($F79-SUM($E79:$E82))*Q83)),(($E79*Q79)+($E80*Q80)+($E81*Q81)+($E82*Q81)+($E83*Q83)+(($F79-SUM($E79:$E83))*Q84))))))),2)</f>
        <v>1550</v>
      </c>
      <c r="S85" s="623">
        <f>ROUND((R85-M85)/M85,3)</f>
        <v>0</v>
      </c>
      <c r="T85" s="535"/>
      <c r="U85" s="329">
        <f>$I79+ROUND(IF($F79&lt;$E79,($F79*T79),IF($F79&lt;SUM($E79:$E80),(($E79*T79)+(($F79-$E79)*T80)),IF($F79&lt;SUM($E79:$E81),(($E79*T79)+($E80*T80)+(($F79-$E79-$E80)*T81)),IF($F79&lt;SUM($E79:$E82),(($E79*T79)+($E80*T80)+($E81*T81)+(($F79-SUM($E79:$E81))*T82)),IF($F79&lt;SUM($E79:$E83),(($E79*T79)+($E80*T80)+($E81*T81)+($E82*T82)+(($F79-SUM($E79:$E82))*T83)),(($E79*T79)+($E80*T80)+($E81*T81)+($E82*T81)+($E83*T83)+(($F79-SUM($E79:$E83))*T84))))))),2)</f>
        <v>1550</v>
      </c>
      <c r="V85" s="532">
        <f>ROUND((U85-M85)/M85,3)</f>
        <v>0</v>
      </c>
      <c r="W85" s="621"/>
      <c r="X85" s="621">
        <f>$I79+ROUND(IF($F79&lt;$E79,($F79*W79),IF($F79&lt;SUM($E79:$E80),(($E79*W79)+(($F79-$E79)*W80)),IF($F79&lt;SUM($E79:$E81),(($E79*W79)+($E80*W80)+(($F79-$E79-$E80)*W81)),IF($F79&lt;SUM($E79:$E82),(($E79*W79)+($E80*W80)+($E81*W81)+(($F79-SUM($E79:$E81))*W82)),IF($F79&lt;SUM($E79:$E83),(($E79*W79)+($E80*W80)+($E81*W81)+($E82*W82)+(($F79-SUM($E79:$E82))*W83)),(($E79*W79)+($E80*W80)+($E81*W81)+($E82*W81)+($E83*W83)+(($F79-SUM($E79:$E83))*W84))))))),2)</f>
        <v>1550</v>
      </c>
      <c r="Y85" s="643">
        <f>(X85-M85)/M85</f>
        <v>0</v>
      </c>
      <c r="Z85" s="622"/>
      <c r="AA85" s="621">
        <f>$I79+ROUND(IF($F79&lt;$E79,($F79*Z79),IF($F79&lt;SUM($E79:$E80),(($E79*Z79)+(($F79-$E79)*Z80)),IF($F79&lt;SUM($E79:$E81),(($E79*Z79)+($E80*Z80)+(($F79-$E79-$E80)*Z81)),IF($F79&lt;SUM($E79:$E82),(($E79*Z79)+($E80*Z80)+($E81*Z81)+(($F79-SUM($E79:$E81))*Z82)),IF($F79&lt;SUM($E79:$E83),(($E79*Z79)+($E80*Z80)+($E81*Z81)+($E82*Z82)+(($F79-SUM($E79:$E82))*Z83)),(($E79*Z79)+($E80*Z80)+($E81*Z81)+($E82*Z81)+($E83*Z83)+(($F79-SUM($E79:$E83))*Z84))))))),2)</f>
        <v>1550</v>
      </c>
      <c r="AB85" s="623">
        <f>(AA85-M85)/M85</f>
        <v>0</v>
      </c>
      <c r="AC85" s="624"/>
      <c r="AD85" s="625">
        <f>$I79+ROUND(IF($F79&lt;$E79,($F79*AC79),IF($F79&lt;SUM($E79:$E80),(($E79*AC79)+(($F79-$E79)*AC80)),IF($F79&lt;SUM($E79:$E81),(($E79*AC79)+($E80*AC80)+(($F79-$E79-$E80)*AC81)),IF($F79&lt;SUM($E79:$E82),(($E79*AC79)+($E80*AC80)+($E81*AC81)+(($F79-SUM($E79:$E81))*AC82)),IF($F79&lt;SUM($E79:$E83),(($E79*AC79)+($E80*AC80)+($E81*AC81)+($E82*AC82)+(($F79-SUM($E79:$E82))*AC83)),(($E79*AC79)+($E80*AC80)+($E81*AC81)+($E82*AC81)+($E83*AC83)+(($F79-SUM($E79:$E83))*AC84))))))),2)</f>
        <v>1550</v>
      </c>
      <c r="AE85" s="626">
        <f>(AD85-M85)/M85</f>
        <v>0</v>
      </c>
      <c r="AF85" s="622"/>
      <c r="AG85" s="621">
        <f>$K79+ROUND(IF($F79&lt;$E79,($F79*AF79),IF($F79&lt;SUM($E79:$E80),(($E79*AF79)+(($F79-$E79)*AF80)),IF($F79&lt;SUM($E79:$E81),(($E79*AF79)+($E80*AF80)+(($F79-$E79-$E80)*AF81)),IF($F79&lt;SUM($E79:$E82),(($E79*AF79)+($E80*AF80)+($E81*AF81)+(($F79-SUM($E79:$E81))*AF82)),IF($F79&lt;SUM($E79:$E83),(($E79*AF79)+($E80*AF80)+($E81*AF81)+($E82*AF82)+(($F79-SUM($E79:$E82))*AF83)),(($E79*AF79)+($E80*AF80)+($E81*AF81)+($E82*AF81)+($E83*AF83)+(($F79-SUM($E79:$E83))*AF84))))))),2)</f>
        <v>1550</v>
      </c>
      <c r="AH85" s="623">
        <f>(AG85-M85)/M85</f>
        <v>0</v>
      </c>
      <c r="AI85" s="644"/>
      <c r="AJ85" s="621">
        <f>$I79+ROUND(IF($F79&lt;$E79,($F79*AI79),IF($F79&lt;SUM($E79:$E80),(($E79*AI79)+(($F79-$E79)*AI80)),IF($F79&lt;SUM($E79:$E81),(($E79*AI79)+($E80*AI80)+(($F79-$E79-$E80)*AI81)),IF($F79&lt;SUM($E79:$E82),(($E79*AI79)+($E80*AI80)+($E81*AI81)+(($F79-SUM($E79:$E81))*AI82)),IF($F79&lt;SUM($E79:$E83),(($E79*AI79)+($E80*AI80)+($E81*AI81)+($E82*AI82)+(($F79-SUM($E79:$E82))*AI83)),(($E79*AI79)+($E80*AI80)+($E81*AI81)+($E82*AI81)+($E83*AI83)+(($F79-SUM($E79:$E83))*AI84))))))),2)</f>
        <v>1550</v>
      </c>
      <c r="AK85" s="630">
        <f>ROUND((AJ85-M85)/M85,3)</f>
        <v>0</v>
      </c>
      <c r="AL85" s="190"/>
      <c r="AM85" s="621">
        <f>$K79+ROUND(IF($F79&lt;$E79,($F79*AL79),IF($F79&lt;SUM($E79:$E80),(($E79*AL79)+(($F79-$E79)*AL80)),IF($F79&lt;SUM($E79:$E81),(($E79*AL79)+($E80*AL80)+(($F79-$E79-$E80)*AL81)),IF($F79&lt;SUM($E79:$E82),(($E79*AL79)+($E80*AL80)+($E81*AL81)+(($F79-SUM($E79:$E81))*AL82)),IF($F79&lt;SUM($E79:$E83),(($E79*AL79)+($E80*AL80)+($E81*AL81)+($E82*AL82)+(($F79-SUM($E79:$E82))*AL83)),(($E79*AL79)+($E80*AL80)+($E81*AL81)+($E82*AL81)+($E83*AL83)+(($F79-SUM($E79:$E83))*AL84))))))),2)</f>
        <v>1550</v>
      </c>
      <c r="AN85" s="638">
        <f>ROUND((AM85-M85)/M85,3)</f>
        <v>0</v>
      </c>
      <c r="AO85" s="538"/>
      <c r="AP85" s="601"/>
      <c r="AQ85" s="537">
        <f t="shared" si="34"/>
        <v>0</v>
      </c>
      <c r="AR85" s="537">
        <f t="shared" si="35"/>
        <v>0</v>
      </c>
      <c r="AS85" s="537">
        <f t="shared" si="36"/>
        <v>0</v>
      </c>
      <c r="AT85" s="537">
        <f t="shared" si="37"/>
        <v>0</v>
      </c>
      <c r="AU85" s="627"/>
      <c r="AV85" s="628">
        <f>$I79+ROUND(IF($F79&lt;$E79,($F79*AU79),IF($F79&lt;SUM($E79:$E80),(($E79*AU79)+(($F79-$E79)*AU80)),IF($F79&lt;SUM($E79:$E81),(($E79*AU79)+($E80*AU80)+(($F79-$E79-$E80)*AU81)),IF($F79&lt;SUM($E79:$E82),(($E79*AU79)+($E80*AU80)+($E81*AU81)+(($F79-SUM($E79:$E81))*AU82)),IF($F79&lt;SUM($E79:$E83),(($E79*AU79)+($E80*AU80)+($E81*AU81)+($E82*AU82)+(($F79-SUM($E79:$E82))*AU83)),(($E79*AU79)+($E80*AU80)+($E81*AU81)+($E82*AU81)+($E83*AU83)+(($F79-SUM($E79:$E83))*AU84))))))),2)</f>
        <v>1550</v>
      </c>
      <c r="AW85" s="629">
        <f>ROUND((AV85-M85)/M85,3)</f>
        <v>0</v>
      </c>
      <c r="AX85" s="190"/>
      <c r="AY85" s="190"/>
      <c r="AZ85" s="190"/>
      <c r="BA85" s="190"/>
    </row>
    <row r="86" spans="1:53" x14ac:dyDescent="0.35">
      <c r="A86" s="15">
        <f t="shared" si="33"/>
        <v>80</v>
      </c>
      <c r="B86" s="15" t="s">
        <v>100</v>
      </c>
      <c r="C86" s="193" t="s">
        <v>82</v>
      </c>
      <c r="D86" s="127">
        <f>+'[12]Washington volumes'!J73</f>
        <v>952237.06746634038</v>
      </c>
      <c r="E86" s="127">
        <v>10000</v>
      </c>
      <c r="F86" s="161">
        <v>95634</v>
      </c>
      <c r="G86" s="683">
        <f>1300+250</f>
        <v>1550</v>
      </c>
      <c r="H86" s="683">
        <f>'[52]Aver Bill by RS'!$J86</f>
        <v>3945.7691048183847</v>
      </c>
      <c r="I86" s="683">
        <f>G86-(IF(H86&gt;(F86*$H$3),(F86*$H$3),H86))</f>
        <v>-2395.7691048183847</v>
      </c>
      <c r="J86" s="683">
        <f>'[52]Aver Bill by RS'!$J86</f>
        <v>3945.7691048183847</v>
      </c>
      <c r="K86" s="92">
        <f>G86-(IF(J86&gt;($F86*$H$4),($F86*$H$4),J86))</f>
        <v>-2395.7691048183847</v>
      </c>
      <c r="L86" s="190">
        <f>+'[12]Rates in summary'!D73</f>
        <v>0.39346999999999999</v>
      </c>
      <c r="M86" s="92"/>
      <c r="N86" s="190">
        <f>'[12]Rates in summary'!D73+[12]Temporaries!K73+[12]Temporaries!L73+[12]Temporaries!M73-[12]Temporaries!AX73</f>
        <v>0.39346999999999999</v>
      </c>
      <c r="O86" s="92"/>
      <c r="P86" s="611"/>
      <c r="Q86" s="190">
        <f>'[12]Rates in summary'!D73+[12]Temporaries!N73+[12]Temporaries!O73-[12]Temporaries!AY73</f>
        <v>0.39346999999999999</v>
      </c>
      <c r="R86" s="92"/>
      <c r="S86" s="611"/>
      <c r="T86" s="534">
        <f>'[12]Rates in detail'!D73+[12]Temporaries!T73-[12]Temporaries!BD73+[12]Temporaries!S73-[12]Temporaries!BC73+[12]Temporaries!P73-[12]Temporaries!BB73++[12]Temporaries!Q73-[12]Temporaries!AW73</f>
        <v>0.39283000000000007</v>
      </c>
      <c r="U86" s="112"/>
      <c r="V86" s="531"/>
      <c r="W86" s="190">
        <f>'[12]Rates in summary'!D73+[12]Temporaries!R73-[12]Temporaries!AZ73</f>
        <v>0.39356999999999998</v>
      </c>
      <c r="X86" s="92"/>
      <c r="Y86" s="611"/>
      <c r="Z86" s="190">
        <f>'[12]Rates in summary'!D73+[12]Permanents!F73</f>
        <v>0.39346999999999999</v>
      </c>
      <c r="AA86" s="92"/>
      <c r="AB86" s="611"/>
      <c r="AC86" s="612">
        <f>'[12]Rates in summary'!D73+[12]Temporaries!U73-[12]Temporaries!BE73</f>
        <v>0.39346999999999999</v>
      </c>
      <c r="AD86" s="546"/>
      <c r="AE86" s="613"/>
      <c r="AF86" s="190">
        <f>'[12]Rates in summary'!D73+[12]Temporaries!V73-[12]Temporaries!BF73</f>
        <v>0.39346999999999999</v>
      </c>
      <c r="AG86" s="92"/>
      <c r="AH86" s="611"/>
      <c r="AI86" s="190">
        <f>'[12]Rates in summary'!G73+[12]Temporaries!J73</f>
        <v>0.39346999999999999</v>
      </c>
      <c r="AJ86" s="92"/>
      <c r="AK86" s="614"/>
      <c r="AL86" s="190">
        <f>+'[12]Rates in summary'!Q73</f>
        <v>0.39293</v>
      </c>
      <c r="AM86" s="92"/>
      <c r="AN86" s="615"/>
      <c r="AO86" s="538"/>
      <c r="AP86" s="601"/>
      <c r="AQ86" s="537">
        <f t="shared" si="34"/>
        <v>0</v>
      </c>
      <c r="AR86" s="537">
        <f t="shared" si="35"/>
        <v>0</v>
      </c>
      <c r="AS86" s="537">
        <f t="shared" si="36"/>
        <v>-5.3999999999998494E-4</v>
      </c>
      <c r="AT86" s="537">
        <f t="shared" si="37"/>
        <v>-5.3999999999998494E-4</v>
      </c>
      <c r="AU86" s="6">
        <f>+'[12]Rates in summary'!D80+[12]Temporaries!K74+[12]Temporaries!M74+[12]Temporaries!L74-[12]Temporaries!AZ74</f>
        <v>0.24504999999999996</v>
      </c>
      <c r="AV86" s="542"/>
      <c r="AW86" s="616"/>
      <c r="AX86" s="190"/>
      <c r="AY86" s="190"/>
      <c r="AZ86" s="190"/>
      <c r="BA86" s="190"/>
    </row>
    <row r="87" spans="1:53" x14ac:dyDescent="0.35">
      <c r="A87" s="15">
        <f t="shared" si="33"/>
        <v>81</v>
      </c>
      <c r="B87" s="15"/>
      <c r="C87" s="193" t="s">
        <v>83</v>
      </c>
      <c r="D87" s="127">
        <f>+'[12]Washington volumes'!J74</f>
        <v>1827774.6796347289</v>
      </c>
      <c r="E87" s="127">
        <v>20000</v>
      </c>
      <c r="F87" s="161"/>
      <c r="G87" s="683"/>
      <c r="H87" s="684"/>
      <c r="I87" s="683"/>
      <c r="J87" s="684"/>
      <c r="K87" s="92"/>
      <c r="L87" s="190">
        <f>+'[12]Rates in summary'!D74</f>
        <v>0.37758000000000003</v>
      </c>
      <c r="M87" s="92"/>
      <c r="N87" s="190">
        <f>'[12]Rates in summary'!D74+[12]Temporaries!K74+[12]Temporaries!L74+[12]Temporaries!M74-[12]Temporaries!AX74</f>
        <v>0.37758000000000003</v>
      </c>
      <c r="O87" s="92"/>
      <c r="P87" s="611"/>
      <c r="Q87" s="190">
        <f>'[12]Rates in summary'!D74+[12]Temporaries!N74+[12]Temporaries!O74-[12]Temporaries!AY74</f>
        <v>0.37758000000000003</v>
      </c>
      <c r="R87" s="92"/>
      <c r="S87" s="611"/>
      <c r="T87" s="534">
        <f>'[12]Rates in detail'!D74+[12]Temporaries!T74-[12]Temporaries!BD74+[12]Temporaries!S74-[12]Temporaries!BC74+[12]Temporaries!P74-[12]Temporaries!BB74++[12]Temporaries!Q74-[12]Temporaries!AW74</f>
        <v>0.37693000000000004</v>
      </c>
      <c r="U87" s="112"/>
      <c r="V87" s="531"/>
      <c r="W87" s="190">
        <f>'[12]Rates in summary'!D74+[12]Temporaries!R74-[12]Temporaries!AZ74</f>
        <v>0.37767000000000001</v>
      </c>
      <c r="X87" s="92"/>
      <c r="Y87" s="611"/>
      <c r="Z87" s="190">
        <f>'[12]Rates in summary'!D74+[12]Permanents!F74</f>
        <v>0.37758000000000003</v>
      </c>
      <c r="AA87" s="92"/>
      <c r="AB87" s="611"/>
      <c r="AC87" s="612">
        <f>'[12]Rates in summary'!D74+[12]Temporaries!U74-[12]Temporaries!BE74</f>
        <v>0.37758000000000003</v>
      </c>
      <c r="AD87" s="546"/>
      <c r="AE87" s="613"/>
      <c r="AF87" s="190">
        <f>'[12]Rates in summary'!D74+[12]Temporaries!V74-[12]Temporaries!BF74</f>
        <v>0.37758000000000003</v>
      </c>
      <c r="AG87" s="92"/>
      <c r="AH87" s="611"/>
      <c r="AI87" s="190">
        <f>'[12]Rates in summary'!G74+[12]Temporaries!J74</f>
        <v>0.37758000000000003</v>
      </c>
      <c r="AJ87" s="92"/>
      <c r="AK87" s="614"/>
      <c r="AL87" s="190">
        <f>+'[12]Rates in summary'!Q74</f>
        <v>0.37702000000000002</v>
      </c>
      <c r="AM87" s="92"/>
      <c r="AN87" s="615"/>
      <c r="AO87" s="538"/>
      <c r="AP87" s="601"/>
      <c r="AQ87" s="537">
        <f t="shared" si="34"/>
        <v>0</v>
      </c>
      <c r="AR87" s="537">
        <f t="shared" si="35"/>
        <v>0</v>
      </c>
      <c r="AS87" s="537">
        <f t="shared" si="36"/>
        <v>-5.6000000000000494E-4</v>
      </c>
      <c r="AT87" s="537">
        <f t="shared" si="37"/>
        <v>-5.6000000000000494E-4</v>
      </c>
      <c r="AU87" s="6">
        <f>+'[12]Rates in summary'!D81+[12]Temporaries!K75+[12]Temporaries!M75+[12]Temporaries!L75-[12]Temporaries!AZ75</f>
        <v>-1.3799999999999999E-3</v>
      </c>
      <c r="AV87" s="542"/>
      <c r="AW87" s="616"/>
      <c r="AX87" s="190"/>
      <c r="AY87" s="190"/>
      <c r="AZ87" s="190"/>
      <c r="BA87" s="190"/>
    </row>
    <row r="88" spans="1:53" x14ac:dyDescent="0.35">
      <c r="A88" s="15">
        <f t="shared" si="33"/>
        <v>82</v>
      </c>
      <c r="B88" s="15"/>
      <c r="C88" s="193" t="s">
        <v>90</v>
      </c>
      <c r="D88" s="127">
        <f>+'[12]Washington volumes'!J75</f>
        <v>1364375.8495009863</v>
      </c>
      <c r="E88" s="127">
        <v>20000</v>
      </c>
      <c r="F88" s="161"/>
      <c r="G88" s="683"/>
      <c r="H88" s="684"/>
      <c r="I88" s="683"/>
      <c r="J88" s="684"/>
      <c r="K88" s="92"/>
      <c r="L88" s="190">
        <f>+'[12]Rates in summary'!D75</f>
        <v>0.34592000000000001</v>
      </c>
      <c r="M88" s="92"/>
      <c r="N88" s="190">
        <f>'[12]Rates in summary'!D75+[12]Temporaries!K75+[12]Temporaries!L75+[12]Temporaries!M75-[12]Temporaries!AX75</f>
        <v>0.34592000000000001</v>
      </c>
      <c r="O88" s="92"/>
      <c r="P88" s="611"/>
      <c r="Q88" s="190">
        <f>'[12]Rates in summary'!D75+[12]Temporaries!N75+[12]Temporaries!O75-[12]Temporaries!AY75</f>
        <v>0.34592000000000001</v>
      </c>
      <c r="R88" s="92"/>
      <c r="S88" s="611"/>
      <c r="T88" s="534">
        <f>'[12]Rates in detail'!D75+[12]Temporaries!T75-[12]Temporaries!BD75+[12]Temporaries!S75-[12]Temporaries!BC75+[12]Temporaries!P75-[12]Temporaries!BB75++[12]Temporaries!Q75-[12]Temporaries!AW75</f>
        <v>0.34525000000000006</v>
      </c>
      <c r="U88" s="112"/>
      <c r="V88" s="531"/>
      <c r="W88" s="190">
        <f>'[12]Rates in summary'!D75+[12]Temporaries!R75-[12]Temporaries!AZ75</f>
        <v>0.34599000000000002</v>
      </c>
      <c r="X88" s="92"/>
      <c r="Y88" s="611"/>
      <c r="Z88" s="190">
        <f>'[12]Rates in summary'!D75+[12]Permanents!F75</f>
        <v>0.34592000000000001</v>
      </c>
      <c r="AA88" s="92"/>
      <c r="AB88" s="611"/>
      <c r="AC88" s="612">
        <f>'[12]Rates in summary'!D75+[12]Temporaries!U75-[12]Temporaries!BE75</f>
        <v>0.34592000000000001</v>
      </c>
      <c r="AD88" s="546"/>
      <c r="AE88" s="613"/>
      <c r="AF88" s="190">
        <f>'[12]Rates in summary'!D75+[12]Temporaries!V75-[12]Temporaries!BF75</f>
        <v>0.34592000000000001</v>
      </c>
      <c r="AG88" s="92"/>
      <c r="AH88" s="611"/>
      <c r="AI88" s="190">
        <f>'[12]Rates in summary'!G75+[12]Temporaries!J75</f>
        <v>0.34592000000000001</v>
      </c>
      <c r="AJ88" s="92"/>
      <c r="AK88" s="614"/>
      <c r="AL88" s="190">
        <f>+'[12]Rates in summary'!Q75</f>
        <v>0.34531999999999996</v>
      </c>
      <c r="AM88" s="92"/>
      <c r="AN88" s="615"/>
      <c r="AO88" s="538"/>
      <c r="AP88" s="601"/>
      <c r="AQ88" s="537">
        <f t="shared" si="34"/>
        <v>0</v>
      </c>
      <c r="AR88" s="537">
        <f t="shared" si="35"/>
        <v>0</v>
      </c>
      <c r="AS88" s="537">
        <f t="shared" si="36"/>
        <v>-6.0000000000004494E-4</v>
      </c>
      <c r="AT88" s="537">
        <f t="shared" si="37"/>
        <v>-6.0000000000004494E-4</v>
      </c>
      <c r="AU88" s="6">
        <f>+'[12]Rates in summary'!D82+[12]Temporaries!K76+[12]Temporaries!M76+[12]Temporaries!L76-[12]Temporaries!AZ76</f>
        <v>-1.1000000000000001E-3</v>
      </c>
      <c r="AV88" s="542"/>
      <c r="AW88" s="616"/>
      <c r="AX88" s="190"/>
      <c r="AY88" s="190"/>
      <c r="AZ88" s="190"/>
      <c r="BA88" s="190"/>
    </row>
    <row r="89" spans="1:53" x14ac:dyDescent="0.35">
      <c r="A89" s="15">
        <f t="shared" si="33"/>
        <v>83</v>
      </c>
      <c r="B89" s="15"/>
      <c r="C89" s="193" t="s">
        <v>91</v>
      </c>
      <c r="D89" s="127">
        <f>+'[12]Washington volumes'!J76</f>
        <v>4116253.0789308902</v>
      </c>
      <c r="E89" s="127">
        <v>100000</v>
      </c>
      <c r="F89" s="161"/>
      <c r="G89" s="683"/>
      <c r="H89" s="684"/>
      <c r="I89" s="683"/>
      <c r="J89" s="684"/>
      <c r="K89" s="92"/>
      <c r="L89" s="190">
        <f>+'[12]Rates in summary'!D76</f>
        <v>0.32511000000000001</v>
      </c>
      <c r="M89" s="92"/>
      <c r="N89" s="190">
        <f>'[12]Rates in summary'!D76+[12]Temporaries!K76+[12]Temporaries!L76+[12]Temporaries!M76-[12]Temporaries!AX76</f>
        <v>0.32511000000000001</v>
      </c>
      <c r="O89" s="92"/>
      <c r="P89" s="611"/>
      <c r="Q89" s="190">
        <f>'[12]Rates in summary'!D76+[12]Temporaries!N76+[12]Temporaries!O76-[12]Temporaries!AY76</f>
        <v>0.32511000000000001</v>
      </c>
      <c r="R89" s="92"/>
      <c r="S89" s="611"/>
      <c r="T89" s="534">
        <f>'[12]Rates in detail'!D76+[12]Temporaries!T76-[12]Temporaries!BD76+[12]Temporaries!S76-[12]Temporaries!BC76+[12]Temporaries!P76-[12]Temporaries!BB76++[12]Temporaries!Q76-[12]Temporaries!AW76</f>
        <v>0.32443000000000005</v>
      </c>
      <c r="U89" s="112"/>
      <c r="V89" s="531"/>
      <c r="W89" s="190">
        <f>'[12]Rates in summary'!D76+[12]Temporaries!R76-[12]Temporaries!AZ76</f>
        <v>0.32517000000000001</v>
      </c>
      <c r="X89" s="92"/>
      <c r="Y89" s="611"/>
      <c r="Z89" s="190">
        <f>'[12]Rates in summary'!D76+[12]Permanents!F76</f>
        <v>0.32511000000000001</v>
      </c>
      <c r="AA89" s="92"/>
      <c r="AB89" s="611"/>
      <c r="AC89" s="612">
        <f>'[12]Rates in summary'!D76+[12]Temporaries!U76-[12]Temporaries!BE76</f>
        <v>0.32511000000000001</v>
      </c>
      <c r="AD89" s="546"/>
      <c r="AE89" s="613"/>
      <c r="AF89" s="190">
        <f>'[12]Rates in summary'!D76+[12]Temporaries!V76-[12]Temporaries!BF76</f>
        <v>0.32511000000000001</v>
      </c>
      <c r="AG89" s="92"/>
      <c r="AH89" s="611"/>
      <c r="AI89" s="190">
        <f>'[12]Rates in summary'!G76+[12]Temporaries!J76</f>
        <v>0.32511000000000001</v>
      </c>
      <c r="AJ89" s="92"/>
      <c r="AK89" s="614"/>
      <c r="AL89" s="190">
        <f>+'[12]Rates in summary'!Q76</f>
        <v>0.32449000000000006</v>
      </c>
      <c r="AM89" s="92"/>
      <c r="AN89" s="615"/>
      <c r="AO89" s="538"/>
      <c r="AP89" s="601"/>
      <c r="AQ89" s="537">
        <f t="shared" si="34"/>
        <v>0</v>
      </c>
      <c r="AR89" s="537">
        <f t="shared" si="35"/>
        <v>0</v>
      </c>
      <c r="AS89" s="537">
        <f t="shared" si="36"/>
        <v>-6.1999999999995392E-4</v>
      </c>
      <c r="AT89" s="537">
        <f t="shared" si="37"/>
        <v>-6.1999999999995392E-4</v>
      </c>
      <c r="AU89" s="6">
        <f>+'[12]Rates in summary'!D83+[12]Temporaries!K77+[12]Temporaries!M77+[12]Temporaries!L77-[12]Temporaries!AZ77</f>
        <v>-7.3999999999999999E-4</v>
      </c>
      <c r="AV89" s="542"/>
      <c r="AW89" s="616"/>
      <c r="AX89" s="190"/>
      <c r="AY89" s="190"/>
      <c r="AZ89" s="190"/>
      <c r="BA89" s="190"/>
    </row>
    <row r="90" spans="1:53" x14ac:dyDescent="0.35">
      <c r="A90" s="15">
        <f t="shared" si="33"/>
        <v>84</v>
      </c>
      <c r="B90" s="15"/>
      <c r="C90" s="193" t="s">
        <v>92</v>
      </c>
      <c r="D90" s="127">
        <f>+'[12]Washington volumes'!J77</f>
        <v>1831129.0067156893</v>
      </c>
      <c r="E90" s="127">
        <v>600000</v>
      </c>
      <c r="F90" s="161"/>
      <c r="G90" s="683"/>
      <c r="H90" s="684"/>
      <c r="I90" s="683"/>
      <c r="J90" s="684"/>
      <c r="K90" s="92"/>
      <c r="L90" s="190">
        <f>+'[12]Rates in summary'!D77</f>
        <v>0.29735999999999996</v>
      </c>
      <c r="M90" s="92"/>
      <c r="N90" s="190">
        <f>'[12]Rates in summary'!D77+[12]Temporaries!K77+[12]Temporaries!L77+[12]Temporaries!M77-[12]Temporaries!AX77</f>
        <v>0.29735999999999996</v>
      </c>
      <c r="O90" s="92"/>
      <c r="P90" s="611"/>
      <c r="Q90" s="190">
        <f>'[12]Rates in summary'!D77+[12]Temporaries!N77+[12]Temporaries!O77-[12]Temporaries!AY77</f>
        <v>0.29735999999999996</v>
      </c>
      <c r="R90" s="92"/>
      <c r="S90" s="611"/>
      <c r="T90" s="534">
        <f>'[12]Rates in detail'!D77+[12]Temporaries!T77-[12]Temporaries!BD77+[12]Temporaries!S77-[12]Temporaries!BC77+[12]Temporaries!P77-[12]Temporaries!BB77++[12]Temporaries!Q77-[12]Temporaries!AW77</f>
        <v>0.29665999999999998</v>
      </c>
      <c r="U90" s="112"/>
      <c r="V90" s="531"/>
      <c r="W90" s="190">
        <f>'[12]Rates in summary'!D77+[12]Temporaries!R77-[12]Temporaries!AZ77</f>
        <v>0.29738999999999993</v>
      </c>
      <c r="X90" s="92"/>
      <c r="Y90" s="611"/>
      <c r="Z90" s="190">
        <f>'[12]Rates in summary'!D77+[12]Permanents!F77</f>
        <v>0.29735999999999996</v>
      </c>
      <c r="AA90" s="92"/>
      <c r="AB90" s="611"/>
      <c r="AC90" s="612">
        <f>'[12]Rates in summary'!D77+[12]Temporaries!U77-[12]Temporaries!BE77</f>
        <v>0.29735999999999996</v>
      </c>
      <c r="AD90" s="546"/>
      <c r="AE90" s="613"/>
      <c r="AF90" s="190">
        <f>'[12]Rates in summary'!D77+[12]Temporaries!V77-[12]Temporaries!BF77</f>
        <v>0.29735999999999996</v>
      </c>
      <c r="AG90" s="92"/>
      <c r="AH90" s="611"/>
      <c r="AI90" s="190">
        <f>'[12]Rates in summary'!G77+[12]Temporaries!J77</f>
        <v>0.29735999999999996</v>
      </c>
      <c r="AJ90" s="92"/>
      <c r="AK90" s="614"/>
      <c r="AL90" s="190">
        <f>+'[12]Rates in summary'!Q77</f>
        <v>0.29669000000000001</v>
      </c>
      <c r="AM90" s="92"/>
      <c r="AN90" s="615"/>
      <c r="AO90" s="538"/>
      <c r="AP90" s="601"/>
      <c r="AQ90" s="537">
        <f t="shared" si="34"/>
        <v>0</v>
      </c>
      <c r="AR90" s="537">
        <f t="shared" si="35"/>
        <v>0</v>
      </c>
      <c r="AS90" s="537">
        <f t="shared" si="36"/>
        <v>-6.6999999999994841E-4</v>
      </c>
      <c r="AT90" s="537">
        <f t="shared" si="37"/>
        <v>-6.6999999999994841E-4</v>
      </c>
      <c r="AU90" s="6" t="e">
        <f>+'[12]Rates in summary'!D84+[12]Temporaries!K78+[12]Temporaries!M78+[12]Temporaries!L78-[12]Temporaries!AZ78</f>
        <v>#VALUE!</v>
      </c>
      <c r="AV90" s="6"/>
      <c r="AW90" s="616"/>
      <c r="AX90" s="190"/>
      <c r="AY90" s="190"/>
      <c r="AZ90" s="190"/>
      <c r="BA90" s="190"/>
    </row>
    <row r="91" spans="1:53" x14ac:dyDescent="0.35">
      <c r="A91" s="15">
        <f t="shared" si="33"/>
        <v>85</v>
      </c>
      <c r="B91" s="15"/>
      <c r="C91" s="193" t="s">
        <v>93</v>
      </c>
      <c r="D91" s="127">
        <f>+'[12]Washington volumes'!J78</f>
        <v>0</v>
      </c>
      <c r="E91" s="568" t="s">
        <v>265</v>
      </c>
      <c r="F91" s="161"/>
      <c r="G91" s="683"/>
      <c r="H91" s="684"/>
      <c r="I91" s="683"/>
      <c r="J91" s="684"/>
      <c r="K91" s="92"/>
      <c r="L91" s="190">
        <f>+'[12]Rates in summary'!D78</f>
        <v>0.26266000000000006</v>
      </c>
      <c r="M91" s="92"/>
      <c r="N91" s="190">
        <f>'[12]Rates in summary'!D78+[12]Temporaries!K78+[12]Temporaries!L78+[12]Temporaries!M78-[12]Temporaries!AX78</f>
        <v>0.26266000000000006</v>
      </c>
      <c r="O91" s="92"/>
      <c r="P91" s="611"/>
      <c r="Q91" s="190">
        <f>'[12]Rates in summary'!D78+[12]Temporaries!N78+[12]Temporaries!O78-[12]Temporaries!AY78</f>
        <v>0.26266000000000006</v>
      </c>
      <c r="R91" s="92"/>
      <c r="S91" s="611"/>
      <c r="T91" s="534">
        <f>'[12]Rates in detail'!D78+[12]Temporaries!T78-[12]Temporaries!BD78+[12]Temporaries!S78-[12]Temporaries!BC78+[12]Temporaries!P78-[12]Temporaries!BB78++[12]Temporaries!Q78-[12]Temporaries!AW78</f>
        <v>0.2619200000000001</v>
      </c>
      <c r="U91" s="112"/>
      <c r="V91" s="531"/>
      <c r="W91" s="190">
        <f>'[12]Rates in summary'!D78+[12]Temporaries!R78-[12]Temporaries!AZ78</f>
        <v>0.26267000000000007</v>
      </c>
      <c r="X91" s="92"/>
      <c r="Y91" s="611"/>
      <c r="Z91" s="190">
        <f>'[12]Rates in summary'!D78+[12]Permanents!F78</f>
        <v>0.26266000000000006</v>
      </c>
      <c r="AA91" s="92"/>
      <c r="AB91" s="611"/>
      <c r="AC91" s="612">
        <f>'[12]Rates in summary'!D78+[12]Temporaries!U78-[12]Temporaries!BE78</f>
        <v>0.26266000000000006</v>
      </c>
      <c r="AD91" s="546"/>
      <c r="AE91" s="613"/>
      <c r="AF91" s="190">
        <f>'[12]Rates in summary'!D78+[12]Temporaries!V78-[12]Temporaries!BF78</f>
        <v>0.26266</v>
      </c>
      <c r="AG91" s="92"/>
      <c r="AH91" s="611"/>
      <c r="AI91" s="190">
        <f>'[12]Rates in summary'!G78+[12]Temporaries!J78</f>
        <v>0.26266000000000006</v>
      </c>
      <c r="AJ91" s="92"/>
      <c r="AK91" s="614"/>
      <c r="AL91" s="190">
        <f>+'[12]Rates in summary'!Q78</f>
        <v>0.26193000000000005</v>
      </c>
      <c r="AM91" s="92"/>
      <c r="AN91" s="615"/>
      <c r="AO91" s="538"/>
      <c r="AP91" s="601"/>
      <c r="AQ91" s="537">
        <f t="shared" si="34"/>
        <v>0</v>
      </c>
      <c r="AR91" s="537">
        <f t="shared" si="35"/>
        <v>0</v>
      </c>
      <c r="AS91" s="537">
        <f t="shared" si="36"/>
        <v>-7.3000000000000842E-4</v>
      </c>
      <c r="AT91" s="537">
        <f t="shared" si="37"/>
        <v>-7.3000000000000842E-4</v>
      </c>
      <c r="AU91" s="6">
        <f>+'[12]Rates in summary'!D85+[12]Temporaries!K79+[12]Temporaries!M79+[12]Temporaries!L79-[12]Temporaries!AZ79</f>
        <v>0</v>
      </c>
      <c r="AV91" s="6"/>
      <c r="AW91" s="616"/>
      <c r="AX91" s="190"/>
      <c r="AY91" s="190"/>
      <c r="AZ91" s="190"/>
      <c r="BA91" s="190"/>
    </row>
    <row r="92" spans="1:53" x14ac:dyDescent="0.35">
      <c r="A92" s="15">
        <f t="shared" si="33"/>
        <v>86</v>
      </c>
      <c r="B92" s="192"/>
      <c r="C92" s="617" t="s">
        <v>49</v>
      </c>
      <c r="D92" s="618"/>
      <c r="E92" s="619"/>
      <c r="F92" s="620"/>
      <c r="G92" s="685"/>
      <c r="H92" s="686"/>
      <c r="I92" s="685"/>
      <c r="J92" s="686"/>
      <c r="K92" s="621"/>
      <c r="L92" s="622"/>
      <c r="M92" s="621">
        <f>$I86+ROUND(IF($F86&lt;$E86,($F86*L86),IF($F86&lt;SUM($E86:$E87),(($E86*L86)+(($F86-$E86)*L87)),IF($F86&lt;SUM($E86:$E88),(($E86*L86)+($E87*L87)+(($F86-$E86-$E87)*L88)),IF($F86&lt;SUM($E86:$E89),(($E86*L86)+($E87*L87)+($E88*L88)+(($F86-SUM($E86:$E88))*L89)),IF($F86&lt;SUM($E86:$E90),(($E86*L86)+($E87*L87)+($E88*L88)+($E89*L89)+(($F86-SUM($E86:$E89))*L90)),(($E86*L86)+($E87*L87)+($E88*L88)+($E89*L88)+($E90*L90)+(($F86-SUM($E86:$E90))*L91))))))),2)</f>
        <v>30845.000895181613</v>
      </c>
      <c r="N92" s="644"/>
      <c r="O92" s="621">
        <f>$I86+ROUND(IF($F86&lt;$E86,($F86*N86),IF($F86&lt;SUM($E86:$E87),(($E86*N86)+(($F86-$E86)*N87)),IF($F86&lt;SUM($E86:$E88),(($E86*N86)+($E87*N87)+(($F86-$E86-$E87)*N88)),IF($F86&lt;SUM($E86:$E89),(($E86*N86)+($E87*N87)+($E88*N88)+(($F86-SUM($E86:$E88))*N89)),IF($F86&lt;SUM($E86:$E90),(($E86*N86)+($E87*N87)+($E88*N88)+($E89*N89)+(($F86-SUM($E86:$E89))*N90)),(($E86*N86)+($E87*N87)+($E88*N88)+($E89*N88)+($E90*N90)+(($F86-SUM($E86:$E90))*N91))))))),2)</f>
        <v>30845.000895181613</v>
      </c>
      <c r="P92" s="643">
        <f>ROUND((O92-M92)/M92,3)</f>
        <v>0</v>
      </c>
      <c r="Q92" s="644"/>
      <c r="R92" s="621">
        <f>$I86+ROUND(IF($F86&lt;$E86,($F86*Q86),IF($F86&lt;SUM($E86:$E87),(($E86*Q86)+(($F86-$E86)*Q87)),IF($F86&lt;SUM($E86:$E88),(($E86*Q86)+($E87*Q87)+(($F86-$E86-$E87)*Q88)),IF($F86&lt;SUM($E86:$E89),(($E86*Q86)+($E87*Q87)+($E88*Q88)+(($F86-SUM($E86:$E88))*Q89)),IF($F86&lt;SUM($E86:$E90),(($E86*Q86)+($E87*Q87)+($E88*Q88)+($E89*Q89)+(($F86-SUM($E86:$E89))*Q90)),(($E86*Q86)+($E87*Q87)+($E88*Q88)+($E89*Q88)+($E90*Q90)+(($F86-SUM($E86:$E90))*Q91))))))),2)</f>
        <v>30845.000895181613</v>
      </c>
      <c r="S92" s="643">
        <f>ROUND((R92-M92)/M92,3)</f>
        <v>0</v>
      </c>
      <c r="T92" s="331"/>
      <c r="U92" s="329">
        <f>$I86+ROUND(IF($F86&lt;$E86,($F86*T86),IF($F86&lt;SUM($E86:$E87),(($E86*T86)+(($F86-$E86)*T87)),IF($F86&lt;SUM($E86:$E88),(($E86*T86)+($E87*T87)+(($F86-$E86-$E87)*T88)),IF($F86&lt;SUM($E86:$E89),(($E86*T86)+($E87*T87)+($E88*T88)+(($F86-SUM($E86:$E88))*T89)),IF($F86&lt;SUM($E86:$E90),(($E86*T86)+($E87*T87)+($E88*T88)+($E89*T89)+(($F86-SUM($E86:$E89))*T90)),(($E86*T86)+($E87*T87)+($E88*T88)+($E89*T88)+($E90*T90)+(($F86-SUM($E86:$E90))*T91))))))),2)</f>
        <v>30781.170895181618</v>
      </c>
      <c r="V92" s="532">
        <f>ROUND((U92-M92)/M92,3)</f>
        <v>-2E-3</v>
      </c>
      <c r="W92" s="644"/>
      <c r="X92" s="621">
        <f>$I86+ROUND(IF($F86&lt;$E86,($F86*W86),IF($F86&lt;SUM($E86:$E87),(($E86*W86)+(($F86-$E86)*W87)),IF($F86&lt;SUM($E86:$E88),(($E86*W86)+($E87*W87)+(($F86-$E86-$E87)*W88)),IF($F86&lt;SUM($E86:$E89),(($E86*W86)+($E87*W87)+($E88*W88)+(($F86-SUM($E86:$E88))*W89)),IF($F86&lt;SUM($E86:$E90),(($E86*W86)+($E87*W87)+($E88*W88)+($E89*W89)+(($F86-SUM($E86:$E89))*W90)),(($E86*W86)+($E87*W87)+($E88*W88)+($E89*W88)+($E90*W90)+(($F86-SUM($E86:$E90))*W91))))))),2)</f>
        <v>30851.940895181615</v>
      </c>
      <c r="Y92" s="643">
        <f>(X92-M92)/M92</f>
        <v>2.2499594094958986E-4</v>
      </c>
      <c r="Z92" s="644"/>
      <c r="AA92" s="621">
        <f>$I86+ROUND(IF($F86&lt;$E86,($F86*Z86),IF($F86&lt;SUM($E86:$E87),(($E86*Z86)+(($F86-$E86)*Z87)),IF($F86&lt;SUM($E86:$E88),(($E86*Z86)+($E87*Z87)+(($F86-$E86-$E87)*Z88)),IF($F86&lt;SUM($E86:$E89),(($E86*Z86)+($E87*Z87)+($E88*Z88)+(($F86-SUM($E86:$E88))*Z89)),IF($F86&lt;SUM($E86:$E90),(($E86*Z86)+($E87*Z87)+($E88*Z88)+($E89*Z89)+(($F86-SUM($E86:$E89))*Z90)),(($E86*Z86)+($E87*Z87)+($E88*Z88)+($E89*Z88)+($E90*Z90)+(($F86-SUM($E86:$E90))*Z91))))))),2)</f>
        <v>30845.000895181613</v>
      </c>
      <c r="AB92" s="623">
        <f>(AA92-M92)/M92</f>
        <v>0</v>
      </c>
      <c r="AC92" s="645"/>
      <c r="AD92" s="625">
        <f>$I86+ROUND(IF($F86&lt;$E86,($F86*AC86),IF($F86&lt;SUM($E86:$E87),(($E86*AC86)+(($F86-$E86)*AC87)),IF($F86&lt;SUM($E86:$E88),(($E86*AC86)+($E87*AC87)+(($F86-$E86-$E87)*AC88)),IF($F86&lt;SUM($E86:$E89),(($E86*AC86)+($E87*AC87)+($E88*AC88)+(($F86-SUM($E86:$E88))*AC89)),IF($F86&lt;SUM($E86:$E90),(($E86*AC86)+($E87*AC87)+($E88*AC88)+($E89*AC89)+(($F86-SUM($E86:$E89))*AC90)),(($E86*AC86)+($E87*AC87)+($E88*AC88)+($E89*AC88)+($E90*AC90)+(($F86-SUM($E86:$E90))*AC91))))))),2)</f>
        <v>30845.000895181613</v>
      </c>
      <c r="AE92" s="626">
        <f>(AD92-M92)/M92</f>
        <v>0</v>
      </c>
      <c r="AF92" s="644"/>
      <c r="AG92" s="621">
        <f>$K86+ROUND(IF($F86&lt;$E86,($F86*AF86),IF($F86&lt;SUM($E86:$E87),(($E86*AF86)+(($F86-$E86)*AF87)),IF($F86&lt;SUM($E86:$E88),(($E86*AF86)+($E87*AF87)+(($F86-$E86-$E87)*AF88)),IF($F86&lt;SUM($E86:$E89),(($E86*AF86)+($E87*AF87)+($E88*AF88)+(($F86-SUM($E86:$E88))*AF89)),IF($F86&lt;SUM($E86:$E90),(($E86*AF86)+($E87*AF87)+($E88*AF88)+($E89*AF89)+(($F86-SUM($E86:$E89))*AF90)),(($E86*AF86)+($E87*AF87)+($E88*AF88)+($E89*AF88)+($E90*AF90)+(($F86-SUM($E86:$E90))*AF91))))))),2)</f>
        <v>30845.000895181613</v>
      </c>
      <c r="AH92" s="623">
        <f>(AG92-M92)/M92</f>
        <v>0</v>
      </c>
      <c r="AI92" s="644"/>
      <c r="AJ92" s="621">
        <f>$I86+ROUND(IF($F86&lt;$E86,($F86*AI86),IF($F86&lt;SUM($E86:$E87),(($E86*AI86)+(($F86-$E86)*AI87)),IF($F86&lt;SUM($E86:$E88),(($E86*AI86)+($E87*AI87)+(($F86-$E86-$E87)*AI88)),IF($F86&lt;SUM($E86:$E89),(($E86*AI86)+($E87*AI87)+($E88*AI88)+(($F86-SUM($E86:$E88))*AI89)),IF($F86&lt;SUM($E86:$E90),(($E86*AI86)+($E87*AI87)+($E88*AI88)+($E89*AI89)+(($F86-SUM($E86:$E89))*AI90)),(($E86*AI86)+($E87*AI87)+($E88*AI88)+($E89*AI88)+($E90*AI90)+(($F86-SUM($E86:$E90))*AI91))))))),2)</f>
        <v>30845.000895181613</v>
      </c>
      <c r="AK92" s="630">
        <f>ROUND((AJ92-M92)/M92,3)</f>
        <v>0</v>
      </c>
      <c r="AL92" s="190"/>
      <c r="AM92" s="621">
        <f>$K86+ROUND(IF($F86&lt;$E86,($F86*AL86),IF($F86&lt;SUM($E86:$E87),(($E86*AL86)+(($F86-$E86)*AL87)),IF($F86&lt;SUM($E86:$E88),(($E86*AL86)+($E87*AL87)+(($F86-$E86-$E87)*AL88)),IF($F86&lt;SUM($E86:$E89),(($E86*AL86)+($E87*AL87)+($E88*AL88)+(($F86-SUM($E86:$E88))*AL89)),IF($F86&lt;SUM($E86:$E90),(($E86*AL86)+($E87*AL87)+($E88*AL88)+($E89*AL89)+(($F86-SUM($E86:$E89))*AL90)),(($E86*AL86)+($E87*AL87)+($E88*AL88)+($E89*AL88)+($E90*AL90)+(($F86-SUM($E86:$E90))*AL91))))))),2)</f>
        <v>30788.110895181613</v>
      </c>
      <c r="AN92" s="638">
        <f>ROUND((AM92-M92)/M92,3)</f>
        <v>-2E-3</v>
      </c>
      <c r="AO92" s="538"/>
      <c r="AP92" s="601"/>
      <c r="AQ92" s="537">
        <f t="shared" si="34"/>
        <v>0</v>
      </c>
      <c r="AR92" s="537">
        <f t="shared" si="35"/>
        <v>0</v>
      </c>
      <c r="AS92" s="537">
        <f t="shared" si="36"/>
        <v>0</v>
      </c>
      <c r="AT92" s="537">
        <f t="shared" si="37"/>
        <v>0</v>
      </c>
      <c r="AU92" s="627"/>
      <c r="AV92" s="628">
        <f>$I86+ROUND(IF($F86&lt;$E86,($F86*AU86),IF($F86&lt;SUM($E86:$E87),(($E86*AU86)+(($F86-$E86)*AU87)),IF($F86&lt;SUM($E86:$E88),(($E86*AU86)+($E87*AU87)+(($F86-$E86-$E87)*AU88)),IF($F86&lt;SUM($E86:$E89),(($E86*AU86)+($E87*AU87)+($E88*AU88)+(($F86-SUM($E86:$E88))*AU89)),IF($F86&lt;SUM($E86:$E90),(($E86*AU86)+($E87*AU87)+($E88*AU88)+($E89*AU89)+(($F86-SUM($E86:$E89))*AU90)),(($E86*AU86)+($E87*AU87)+($E88*AU88)+($E89*AU88)+($E90*AU90)+(($F86-SUM($E86:$E90))*AU91))))))),2)</f>
        <v>-28.639104818384567</v>
      </c>
      <c r="AW92" s="629">
        <f>ROUND((AV92-M92)/M92,3)</f>
        <v>-1.0009999999999999</v>
      </c>
      <c r="AX92" s="190"/>
      <c r="AY92" s="190"/>
      <c r="AZ92" s="190"/>
      <c r="BA92" s="190"/>
    </row>
    <row r="93" spans="1:53" x14ac:dyDescent="0.35">
      <c r="A93" s="15">
        <f t="shared" si="33"/>
        <v>87</v>
      </c>
      <c r="B93" s="192" t="s">
        <v>101</v>
      </c>
      <c r="C93" s="192"/>
      <c r="D93" s="203">
        <f>+'[12]Washington volumes'!J79</f>
        <v>0</v>
      </c>
      <c r="E93" s="646" t="s">
        <v>263</v>
      </c>
      <c r="F93" s="647">
        <v>0</v>
      </c>
      <c r="G93" s="689">
        <v>38000</v>
      </c>
      <c r="H93" s="690"/>
      <c r="I93" s="689">
        <f>G93-H93</f>
        <v>38000</v>
      </c>
      <c r="J93" s="690">
        <f>'[52]Aver Bill by RS'!$J93</f>
        <v>0</v>
      </c>
      <c r="K93" s="594"/>
      <c r="L93" s="648">
        <f>+'[12]Rates in summary'!D79</f>
        <v>0.24684999999999996</v>
      </c>
      <c r="M93" s="594">
        <f>ROUND(+$I93+(L93*$F93),2)</f>
        <v>38000</v>
      </c>
      <c r="N93" s="648">
        <f>'[12]Rates in summary'!D79+[12]Temporaries!K79+[12]Temporaries!L79+[12]Temporaries!M79-[12]Temporaries!AX79</f>
        <v>0.24684999999999996</v>
      </c>
      <c r="O93" s="594">
        <f>ROUND(+$I93+(N93*$F93),2)</f>
        <v>38000</v>
      </c>
      <c r="P93" s="649">
        <f>ROUND((O93-M93)/M93,3)</f>
        <v>0</v>
      </c>
      <c r="Q93" s="648">
        <f>'[12]Rates in summary'!D79+[12]Temporaries!N79+[12]Temporaries!O79-[12]Temporaries!AY79</f>
        <v>0.24684999999999996</v>
      </c>
      <c r="R93" s="594">
        <f>ROUND(+$I93+(Q93*$F93),2)</f>
        <v>38000</v>
      </c>
      <c r="S93" s="649">
        <f>ROUND((R93-M93)/M93,3)</f>
        <v>0</v>
      </c>
      <c r="T93" s="332">
        <f>'[12]Rates in detail'!D79+[12]Temporaries!T79-[12]Temporaries!BD79+[12]Temporaries!S79-[12]Temporaries!BC79+[12]Temporaries!P79-[12]Temporaries!BB79++[12]Temporaries!Q79-[12]Temporaries!AW79</f>
        <v>0.24617999999999995</v>
      </c>
      <c r="U93" s="81">
        <f>ROUND(+$I93+(T93*$F93),2)</f>
        <v>38000</v>
      </c>
      <c r="V93" s="530">
        <f>ROUND((U93-M93)/M93,3)</f>
        <v>0</v>
      </c>
      <c r="W93" s="648">
        <f>'[12]Rates in summary'!D79+[12]Temporaries!R79-[12]Temporaries!AZ79</f>
        <v>0.24684999999999996</v>
      </c>
      <c r="X93" s="594">
        <f>ROUND(+$I93+(W93*$F93),2)</f>
        <v>38000</v>
      </c>
      <c r="Y93" s="649">
        <f>(X93-M93)/M93</f>
        <v>0</v>
      </c>
      <c r="Z93" s="648">
        <f>'[12]Rates in summary'!D79+[12]Permanents!F79</f>
        <v>0.24684999999999996</v>
      </c>
      <c r="AA93" s="594">
        <f>I93+(F93*Z93)</f>
        <v>38000</v>
      </c>
      <c r="AB93" s="623">
        <f>(AA93-M93)/M93</f>
        <v>0</v>
      </c>
      <c r="AC93" s="650">
        <f>'[12]Rates in summary'!D79+[12]Temporaries!U79-[12]Temporaries!BE79</f>
        <v>0.24684999999999996</v>
      </c>
      <c r="AD93" s="598">
        <f>ROUND(+$I93+(AC93*$F93),2)</f>
        <v>38000</v>
      </c>
      <c r="AE93" s="626">
        <f>(AD93-M93)/M93</f>
        <v>0</v>
      </c>
      <c r="AF93" s="648">
        <f>'[12]Rates in summary'!D79+[12]Temporaries!V79-[12]Temporaries!BF79</f>
        <v>0.24684999999999996</v>
      </c>
      <c r="AG93" s="594">
        <f>ROUND(+$I93+(AF93*$F93),2)</f>
        <v>38000</v>
      </c>
      <c r="AH93" s="623">
        <f>(AG93-M93)/M93</f>
        <v>0</v>
      </c>
      <c r="AI93" s="648">
        <f>'[12]Rates in summary'!G79+[12]Temporaries!J79</f>
        <v>0.24684999999999996</v>
      </c>
      <c r="AJ93" s="594">
        <f>ROUND(+$I93+(AI93*$F93),2)</f>
        <v>38000</v>
      </c>
      <c r="AK93" s="651">
        <f>ROUND((AJ93-M93)/M93,3)</f>
        <v>0</v>
      </c>
      <c r="AL93" s="648">
        <f>+'[12]Rates in summary'!Q79</f>
        <v>0.24617999999999998</v>
      </c>
      <c r="AM93" s="594">
        <f>ROUND(+$I93+(AL93*$F93),2)</f>
        <v>38000</v>
      </c>
      <c r="AN93" s="652" t="s">
        <v>263</v>
      </c>
      <c r="AO93" s="537"/>
      <c r="AP93" s="601"/>
      <c r="AQ93" s="537">
        <f t="shared" si="34"/>
        <v>0</v>
      </c>
      <c r="AR93" s="537">
        <f t="shared" si="35"/>
        <v>0</v>
      </c>
      <c r="AS93" s="537">
        <f t="shared" si="36"/>
        <v>-6.6999999999997617E-4</v>
      </c>
      <c r="AT93" s="537">
        <f t="shared" si="37"/>
        <v>-6.6999999999997617E-4</v>
      </c>
      <c r="AU93" s="653">
        <f>+'[12]Rates in summary'!D79+[12]Temporaries!K79+[12]Temporaries!M79+[12]Temporaries!L79-[12]Temporaries!AZ79</f>
        <v>0.24684999999999996</v>
      </c>
      <c r="AV93" s="603">
        <f>ROUND(+$I93+(AU93*$F93),2)</f>
        <v>38000</v>
      </c>
      <c r="AW93" s="654" t="s">
        <v>263</v>
      </c>
      <c r="AX93" s="190"/>
      <c r="AY93" s="190"/>
      <c r="AZ93" s="190"/>
      <c r="BA93" s="190"/>
    </row>
    <row r="94" spans="1:53" x14ac:dyDescent="0.35">
      <c r="A94" s="15">
        <f t="shared" si="33"/>
        <v>88</v>
      </c>
      <c r="B94" s="186" t="s">
        <v>102</v>
      </c>
      <c r="C94" s="186"/>
      <c r="D94" s="89">
        <f>+'[12]Washington volumes'!J80</f>
        <v>0</v>
      </c>
      <c r="E94" s="646" t="s">
        <v>263</v>
      </c>
      <c r="F94" s="655">
        <v>0</v>
      </c>
      <c r="G94" s="689">
        <v>38000</v>
      </c>
      <c r="H94" s="691"/>
      <c r="I94" s="689">
        <f>G94-H94</f>
        <v>38000</v>
      </c>
      <c r="J94" s="691">
        <f>'[52]Aver Bill by RS'!$J94</f>
        <v>0</v>
      </c>
      <c r="K94" s="594"/>
      <c r="L94" s="595">
        <f>+'[12]Rates in summary'!D80</f>
        <v>0.24684999999999996</v>
      </c>
      <c r="M94" s="594">
        <f>ROUND(+$I94+(L94*$F94),2)</f>
        <v>38000</v>
      </c>
      <c r="N94" s="648">
        <f>'[12]Rates in summary'!D80+[12]Temporaries!K80+[12]Temporaries!L80+[12]Temporaries!M80-[12]Temporaries!AX80</f>
        <v>0.24684999999999996</v>
      </c>
      <c r="O94" s="594">
        <f>ROUND(+$I94+(N94*$F94),2)</f>
        <v>38000</v>
      </c>
      <c r="P94" s="596">
        <f>ROUND((O94-M94)/M94,3)</f>
        <v>0</v>
      </c>
      <c r="Q94" s="595">
        <f>'[12]Rates in summary'!D80+[12]Temporaries!N80+[12]Temporaries!O80-[12]Temporaries!AY80</f>
        <v>0.24684999999999996</v>
      </c>
      <c r="R94" s="594">
        <f>ROUND(+$I94+(Q94*$F94),2)</f>
        <v>38000</v>
      </c>
      <c r="S94" s="596">
        <f>ROUND((R94-M94)/M94,3)</f>
        <v>0</v>
      </c>
      <c r="T94" s="332">
        <f>'[12]Rates in detail'!D80+[12]Temporaries!T80-[12]Temporaries!BD80+[12]Temporaries!S80-[12]Temporaries!BC80+[12]Temporaries!P80-[12]Temporaries!BB80++[12]Temporaries!Q80-[12]Temporaries!AW80</f>
        <v>0.24617999999999995</v>
      </c>
      <c r="U94" s="81">
        <f>ROUND(+$I94+(T94*$F94),2)</f>
        <v>38000</v>
      </c>
      <c r="V94" s="530">
        <f>ROUND((U94-M94)/M94,3)</f>
        <v>0</v>
      </c>
      <c r="W94" s="648">
        <f>'[12]Rates in summary'!D80+[12]Temporaries!R80-[12]Temporaries!AZ80</f>
        <v>0.24684999999999996</v>
      </c>
      <c r="X94" s="594">
        <f>ROUND(+$I94+(W94*$F94),2)</f>
        <v>38000</v>
      </c>
      <c r="Y94" s="596">
        <f>(X94-M94)/M94</f>
        <v>0</v>
      </c>
      <c r="Z94" s="648">
        <f>'[12]Rates in summary'!D80+[12]Permanents!F80</f>
        <v>0.24684999999999996</v>
      </c>
      <c r="AA94" s="594">
        <f>I94+(F94*Z94)</f>
        <v>38000</v>
      </c>
      <c r="AB94" s="623">
        <f>(AA94-M94)/M94</f>
        <v>0</v>
      </c>
      <c r="AC94" s="650">
        <f>'[12]Rates in summary'!D80+[12]Temporaries!U80-[12]Temporaries!BE80</f>
        <v>0.24684999999999996</v>
      </c>
      <c r="AD94" s="598">
        <f>ROUND(+$I94+(AC94*$F94),2)</f>
        <v>38000</v>
      </c>
      <c r="AE94" s="626">
        <f>(AD94-M94)/M94</f>
        <v>0</v>
      </c>
      <c r="AF94" s="648">
        <f>'[12]Rates in summary'!D80+[12]Temporaries!V80-[12]Temporaries!BF80</f>
        <v>0.24684999999999996</v>
      </c>
      <c r="AG94" s="594">
        <f>ROUND(+$I94+(AF94*$F94),2)</f>
        <v>38000</v>
      </c>
      <c r="AH94" s="623">
        <f>(AG94-M94)/M94</f>
        <v>0</v>
      </c>
      <c r="AI94" s="648">
        <f>'[12]Rates in summary'!G80+[12]Temporaries!J80</f>
        <v>0.24684999999999996</v>
      </c>
      <c r="AJ94" s="594">
        <f>ROUND(+$I94+(AI94*$F94),2)</f>
        <v>38000</v>
      </c>
      <c r="AK94" s="600">
        <f>ROUND((AJ94-M94)/M94,3)</f>
        <v>0</v>
      </c>
      <c r="AL94" s="648">
        <f>+'[12]Rates in summary'!Q80</f>
        <v>0.24617999999999998</v>
      </c>
      <c r="AM94" s="594">
        <f>ROUND(+$I94+(AL94*$F94),2)</f>
        <v>38000</v>
      </c>
      <c r="AN94" s="652" t="s">
        <v>263</v>
      </c>
      <c r="AO94" s="537"/>
      <c r="AP94" s="601"/>
      <c r="AQ94" s="537">
        <f t="shared" si="34"/>
        <v>0</v>
      </c>
      <c r="AR94" s="537">
        <f t="shared" si="35"/>
        <v>0</v>
      </c>
      <c r="AS94" s="537">
        <f t="shared" si="36"/>
        <v>-6.6999999999997617E-4</v>
      </c>
      <c r="AT94" s="537">
        <f t="shared" si="37"/>
        <v>-6.6999999999997617E-4</v>
      </c>
      <c r="AU94" s="653">
        <f>+'[12]Rates in summary'!D80+[12]Temporaries!K80+[12]Temporaries!M80+[12]Temporaries!L80-[12]Temporaries!AZ80</f>
        <v>0.24684999999999996</v>
      </c>
      <c r="AV94" s="603">
        <f>ROUND(+$I94+(AU94*$F94),2)</f>
        <v>38000</v>
      </c>
      <c r="AW94" s="654" t="s">
        <v>263</v>
      </c>
      <c r="AX94" s="190"/>
      <c r="AY94" s="190"/>
      <c r="AZ94" s="190"/>
    </row>
    <row r="95" spans="1:53" ht="15" thickBot="1" x14ac:dyDescent="0.4">
      <c r="A95" s="15">
        <f t="shared" si="33"/>
        <v>89</v>
      </c>
      <c r="B95" s="186" t="s">
        <v>103</v>
      </c>
      <c r="C95" s="186"/>
      <c r="D95" s="89"/>
      <c r="E95" s="646"/>
      <c r="F95" s="655"/>
      <c r="G95" s="692"/>
      <c r="H95" s="691"/>
      <c r="I95" s="692"/>
      <c r="J95" s="691"/>
      <c r="K95" s="655"/>
      <c r="L95" s="602"/>
      <c r="M95" s="603"/>
      <c r="N95" s="603"/>
      <c r="O95" s="603"/>
      <c r="P95" s="656"/>
      <c r="Q95" s="603"/>
      <c r="R95" s="603"/>
      <c r="S95" s="656"/>
      <c r="T95" s="335"/>
      <c r="U95" s="333"/>
      <c r="V95" s="334"/>
      <c r="W95" s="657"/>
      <c r="X95" s="603"/>
      <c r="Y95" s="656"/>
      <c r="Z95" s="657"/>
      <c r="AA95" s="603"/>
      <c r="AB95" s="656"/>
      <c r="AC95" s="658"/>
      <c r="AD95" s="659"/>
      <c r="AE95" s="660"/>
      <c r="AF95" s="648">
        <f>'[12]Rates in summary'!D81+[12]Temporaries!V81-[12]Temporaries!BF81</f>
        <v>-0.49725999999999998</v>
      </c>
      <c r="AG95" s="594">
        <f>ROUND(+$I95+(AF95*$F95),2)</f>
        <v>0</v>
      </c>
      <c r="AH95" s="661"/>
      <c r="AI95" s="603"/>
      <c r="AJ95" s="603"/>
      <c r="AK95" s="656"/>
      <c r="AL95" s="602"/>
      <c r="AM95" s="603"/>
      <c r="AN95" s="662"/>
      <c r="AO95" s="537"/>
      <c r="AP95" s="601"/>
      <c r="AQ95" s="537"/>
      <c r="AR95" s="537"/>
      <c r="AS95" s="537"/>
      <c r="AT95" s="537"/>
      <c r="AU95" s="602"/>
      <c r="AV95" s="603"/>
      <c r="AW95" s="663"/>
    </row>
    <row r="96" spans="1:53" x14ac:dyDescent="0.35">
      <c r="A96" s="15">
        <f t="shared" si="33"/>
        <v>90</v>
      </c>
      <c r="B96" s="722" t="s">
        <v>268</v>
      </c>
      <c r="C96" s="723"/>
      <c r="D96" s="723"/>
      <c r="E96" s="723"/>
      <c r="F96" s="723"/>
      <c r="G96" s="723"/>
      <c r="H96" s="723"/>
      <c r="I96" s="723"/>
      <c r="J96" s="723"/>
      <c r="K96" s="723"/>
      <c r="L96" s="723"/>
      <c r="M96" s="723"/>
      <c r="N96" s="723"/>
      <c r="O96" s="723"/>
      <c r="P96" s="723"/>
      <c r="T96" s="2"/>
      <c r="U96" s="2"/>
      <c r="V96" s="2"/>
      <c r="AO96" s="537"/>
      <c r="AP96" s="601"/>
      <c r="AQ96" s="537"/>
      <c r="AR96" s="537"/>
      <c r="AS96" s="537"/>
      <c r="AT96" s="537"/>
    </row>
    <row r="97" spans="1:49" x14ac:dyDescent="0.35">
      <c r="A97" s="15">
        <f t="shared" si="33"/>
        <v>91</v>
      </c>
      <c r="B97" s="723"/>
      <c r="C97" s="723"/>
      <c r="D97" s="723"/>
      <c r="E97" s="723"/>
      <c r="F97" s="723"/>
      <c r="G97" s="723"/>
      <c r="H97" s="723"/>
      <c r="I97" s="723"/>
      <c r="J97" s="723"/>
      <c r="K97" s="723"/>
      <c r="L97" s="723"/>
      <c r="M97" s="723"/>
      <c r="N97" s="723"/>
      <c r="O97" s="723"/>
      <c r="P97" s="723"/>
      <c r="T97" s="2"/>
      <c r="U97" s="2"/>
      <c r="V97" s="2"/>
      <c r="AO97" s="537"/>
      <c r="AP97" s="601"/>
      <c r="AQ97" s="537"/>
      <c r="AR97" s="537"/>
      <c r="AS97" s="537"/>
      <c r="AT97" s="537"/>
    </row>
    <row r="98" spans="1:49" ht="17.149999999999999" customHeight="1" x14ac:dyDescent="0.35">
      <c r="A98" s="15">
        <f t="shared" si="33"/>
        <v>92</v>
      </c>
      <c r="B98" s="724" t="s">
        <v>269</v>
      </c>
      <c r="C98" s="724"/>
      <c r="D98" s="724"/>
      <c r="E98" s="724"/>
      <c r="F98" s="724"/>
      <c r="G98" s="724"/>
      <c r="H98" s="724"/>
      <c r="I98" s="724"/>
      <c r="J98" s="724"/>
      <c r="K98" s="724"/>
      <c r="L98" s="724"/>
      <c r="M98" s="724"/>
      <c r="N98" s="724"/>
      <c r="O98" s="724"/>
      <c r="P98" s="724"/>
      <c r="T98" s="2"/>
      <c r="U98" s="2"/>
      <c r="V98" s="2"/>
      <c r="AO98" s="537"/>
      <c r="AP98" s="601"/>
      <c r="AQ98" s="537"/>
      <c r="AR98" s="537"/>
      <c r="AS98" s="537"/>
      <c r="AT98" s="537"/>
    </row>
    <row r="99" spans="1:49" x14ac:dyDescent="0.35">
      <c r="A99" s="15">
        <f t="shared" si="33"/>
        <v>93</v>
      </c>
      <c r="B99" s="725" t="s">
        <v>270</v>
      </c>
      <c r="C99" s="723"/>
      <c r="D99" s="723"/>
      <c r="E99" s="723"/>
      <c r="F99" s="723"/>
      <c r="G99" s="723"/>
      <c r="H99" s="723"/>
      <c r="I99" s="723"/>
      <c r="J99" s="723"/>
      <c r="K99" s="723"/>
      <c r="L99" s="723"/>
      <c r="M99" s="723"/>
      <c r="N99" s="723"/>
      <c r="O99" s="723"/>
      <c r="P99" s="723"/>
      <c r="Q99" s="542"/>
      <c r="R99" s="542"/>
      <c r="S99" s="542"/>
      <c r="T99" s="319"/>
      <c r="U99" s="319"/>
      <c r="V99" s="319"/>
      <c r="W99" s="542"/>
      <c r="X99" s="542"/>
      <c r="Y99" s="542"/>
      <c r="Z99" s="542"/>
      <c r="AA99" s="542"/>
      <c r="AB99" s="542"/>
      <c r="AC99" s="664"/>
      <c r="AD99" s="664"/>
      <c r="AE99" s="664"/>
      <c r="AF99" s="542"/>
      <c r="AG99" s="542"/>
      <c r="AH99" s="542"/>
      <c r="AI99" s="542"/>
      <c r="AJ99" s="542"/>
      <c r="AK99" s="542"/>
      <c r="AM99" s="542"/>
      <c r="AN99" s="665"/>
      <c r="AO99" s="537"/>
      <c r="AP99" s="601"/>
      <c r="AQ99" s="537"/>
      <c r="AR99" s="537"/>
      <c r="AS99" s="537"/>
      <c r="AT99" s="537"/>
      <c r="AV99" s="542"/>
      <c r="AW99" s="665"/>
    </row>
    <row r="100" spans="1:49" ht="4.5" customHeight="1" x14ac:dyDescent="0.35">
      <c r="A100" s="15">
        <f t="shared" si="33"/>
        <v>94</v>
      </c>
      <c r="B100" s="723"/>
      <c r="C100" s="723"/>
      <c r="D100" s="723"/>
      <c r="E100" s="723"/>
      <c r="F100" s="723"/>
      <c r="G100" s="723"/>
      <c r="H100" s="723"/>
      <c r="I100" s="723"/>
      <c r="J100" s="723"/>
      <c r="K100" s="723"/>
      <c r="L100" s="723"/>
      <c r="M100" s="723"/>
      <c r="N100" s="723"/>
      <c r="O100" s="723"/>
      <c r="P100" s="723"/>
      <c r="T100" s="2"/>
      <c r="U100" s="2"/>
      <c r="V100" s="2"/>
      <c r="AO100" s="537"/>
      <c r="AP100" s="601"/>
      <c r="AQ100" s="537"/>
      <c r="AR100" s="537"/>
      <c r="AS100" s="537"/>
      <c r="AT100" s="537"/>
    </row>
    <row r="101" spans="1:49" ht="19.5" hidden="1" customHeight="1" thickBot="1" x14ac:dyDescent="0.4">
      <c r="A101" s="15">
        <f t="shared" si="33"/>
        <v>95</v>
      </c>
      <c r="B101" s="723"/>
      <c r="C101" s="723"/>
      <c r="D101" s="723"/>
      <c r="E101" s="723"/>
      <c r="F101" s="723"/>
      <c r="G101" s="723"/>
      <c r="H101" s="723"/>
      <c r="I101" s="723"/>
      <c r="J101" s="723"/>
      <c r="K101" s="723"/>
      <c r="L101" s="723"/>
      <c r="M101" s="723"/>
      <c r="N101" s="723"/>
      <c r="O101" s="723"/>
      <c r="P101" s="723"/>
      <c r="T101" s="2"/>
      <c r="U101" s="2"/>
      <c r="V101" s="2"/>
      <c r="AO101" s="666"/>
      <c r="AP101" s="601"/>
      <c r="AQ101" s="35"/>
      <c r="AR101" s="35"/>
      <c r="AS101" s="35"/>
      <c r="AT101" s="35"/>
      <c r="AU101" s="155" t="s">
        <v>271</v>
      </c>
      <c r="AV101" s="678"/>
      <c r="AW101" s="678"/>
    </row>
    <row r="102" spans="1:49" ht="15" thickBot="1" x14ac:dyDescent="0.4">
      <c r="A102" s="15">
        <f t="shared" si="33"/>
        <v>96</v>
      </c>
      <c r="B102" s="152" t="s">
        <v>272</v>
      </c>
      <c r="P102" s="544">
        <f>SUM(P13:P94)</f>
        <v>6.1000000000000006E-2</v>
      </c>
      <c r="S102" s="544">
        <f>SUM(S13:S94)</f>
        <v>0</v>
      </c>
      <c r="T102" s="2"/>
      <c r="U102" s="2"/>
      <c r="V102" s="320"/>
      <c r="Y102" s="544">
        <f>SUM(Y13:Y94)</f>
        <v>1.3847241650024253E-2</v>
      </c>
      <c r="AB102" s="544">
        <f>SUM(AB13:AB94)</f>
        <v>1.0775422889698996E-3</v>
      </c>
      <c r="AE102" s="668">
        <f>SUM(AE13:AE94)</f>
        <v>-1.8466935187947924E-5</v>
      </c>
      <c r="AH102" s="544">
        <f>SUM(AH13:AH94)</f>
        <v>-1.8466935188355916E-5</v>
      </c>
      <c r="AK102" s="544">
        <f>SUM(AK13:AK94)</f>
        <v>-0.85799999999999998</v>
      </c>
      <c r="AN102" s="544">
        <f>SUM(AN13:AN94)</f>
        <v>-0.79100000000000004</v>
      </c>
      <c r="AO102" s="669"/>
      <c r="AP102" s="601"/>
      <c r="AQ102" s="670"/>
      <c r="AR102" s="670"/>
      <c r="AS102" s="670"/>
      <c r="AT102" s="670"/>
      <c r="AU102" s="173" t="s">
        <v>273</v>
      </c>
      <c r="AV102" s="679"/>
      <c r="AW102" s="679"/>
    </row>
    <row r="103" spans="1:49" ht="15" thickBot="1" x14ac:dyDescent="0.4">
      <c r="A103" s="15">
        <f t="shared" si="33"/>
        <v>97</v>
      </c>
      <c r="B103" s="666" t="s">
        <v>274</v>
      </c>
      <c r="C103" s="35"/>
      <c r="D103" s="155"/>
      <c r="E103" s="155" t="s">
        <v>275</v>
      </c>
      <c r="F103" s="155"/>
      <c r="G103" s="155"/>
      <c r="H103" s="155"/>
      <c r="I103" s="155"/>
      <c r="J103" s="155" t="s">
        <v>275</v>
      </c>
      <c r="K103" s="155"/>
      <c r="L103" s="155"/>
      <c r="M103" s="155"/>
      <c r="N103" s="155"/>
      <c r="O103" s="155"/>
      <c r="P103" s="155"/>
      <c r="Q103" s="155"/>
      <c r="R103" s="155"/>
      <c r="S103" s="155"/>
      <c r="T103" s="336"/>
      <c r="U103" s="336"/>
      <c r="V103" s="336"/>
      <c r="W103" s="155"/>
      <c r="X103" s="155"/>
      <c r="Y103" s="155"/>
      <c r="Z103" s="155"/>
      <c r="AA103" s="155"/>
      <c r="AB103" s="155"/>
      <c r="AC103" s="160"/>
      <c r="AD103" s="160"/>
      <c r="AE103" s="160"/>
      <c r="AF103" s="155"/>
      <c r="AG103" s="155"/>
      <c r="AH103" s="155"/>
      <c r="AI103" s="680"/>
      <c r="AJ103" s="680"/>
      <c r="AK103" s="678"/>
      <c r="AL103" s="678"/>
      <c r="AM103" s="678"/>
      <c r="AN103" s="678"/>
      <c r="AO103" s="671"/>
      <c r="AP103" s="601"/>
      <c r="AQ103" s="175"/>
      <c r="AR103" s="175"/>
      <c r="AS103" s="175"/>
      <c r="AT103" s="175"/>
      <c r="AU103" s="155" t="s">
        <v>276</v>
      </c>
      <c r="AV103" s="154"/>
      <c r="AW103" s="154"/>
    </row>
    <row r="104" spans="1:49" ht="15" thickBot="1" x14ac:dyDescent="0.4">
      <c r="A104" s="15">
        <f t="shared" si="33"/>
        <v>98</v>
      </c>
      <c r="T104" s="2"/>
      <c r="U104" s="2"/>
      <c r="V104" s="2"/>
      <c r="AP104" s="601"/>
    </row>
    <row r="105" spans="1:49" ht="15" thickBot="1" x14ac:dyDescent="0.4">
      <c r="A105" s="15">
        <f t="shared" si="33"/>
        <v>99</v>
      </c>
      <c r="B105" s="666" t="s">
        <v>277</v>
      </c>
      <c r="C105" s="35"/>
      <c r="D105" s="154"/>
      <c r="E105" s="667"/>
      <c r="F105" s="667"/>
      <c r="G105" s="667"/>
      <c r="H105" s="667"/>
      <c r="I105" s="667"/>
      <c r="J105" s="154"/>
      <c r="K105" s="154"/>
      <c r="L105" s="155" t="s">
        <v>28</v>
      </c>
      <c r="M105" s="154"/>
      <c r="N105" s="154"/>
      <c r="O105" s="154"/>
      <c r="P105" s="154"/>
      <c r="Q105" s="154"/>
      <c r="R105" s="154"/>
      <c r="S105" s="154"/>
      <c r="T105" s="26"/>
      <c r="U105" s="26"/>
      <c r="V105" s="26"/>
      <c r="W105" s="154"/>
      <c r="X105" s="154"/>
      <c r="Y105" s="154"/>
      <c r="Z105" s="35"/>
      <c r="AA105" s="35"/>
      <c r="AB105" s="35"/>
      <c r="AC105" s="672"/>
      <c r="AD105" s="672"/>
      <c r="AE105" s="672"/>
      <c r="AF105" s="35"/>
      <c r="AG105" s="35"/>
      <c r="AH105" s="35"/>
      <c r="AI105" s="157"/>
      <c r="AJ105" s="154"/>
      <c r="AK105" s="154"/>
      <c r="AL105" s="154"/>
      <c r="AM105" s="154"/>
      <c r="AN105" s="154"/>
      <c r="AP105" s="601"/>
    </row>
    <row r="106" spans="1:49" x14ac:dyDescent="0.35">
      <c r="A106" s="15"/>
    </row>
    <row r="107" spans="1:49" x14ac:dyDescent="0.35">
      <c r="A107" s="15"/>
    </row>
    <row r="108" spans="1:49" x14ac:dyDescent="0.35">
      <c r="B108" s="724"/>
      <c r="C108" s="724"/>
      <c r="D108" s="724"/>
      <c r="E108" s="724"/>
      <c r="F108" s="724"/>
      <c r="G108" s="724"/>
      <c r="H108" s="724"/>
      <c r="I108" s="724"/>
      <c r="J108" s="724"/>
      <c r="K108" s="724"/>
      <c r="L108" s="724"/>
      <c r="M108" s="724"/>
      <c r="N108" s="724"/>
      <c r="O108" s="724"/>
      <c r="P108" s="724"/>
    </row>
  </sheetData>
  <mergeCells count="4">
    <mergeCell ref="B96:P97"/>
    <mergeCell ref="B98:P98"/>
    <mergeCell ref="B99:P101"/>
    <mergeCell ref="B108:P108"/>
  </mergeCells>
  <conditionalFormatting sqref="AN3">
    <cfRule type="cellIs" dxfId="1" priority="1" operator="lessThan">
      <formula>0.001</formula>
    </cfRule>
    <cfRule type="cellIs" dxfId="0" priority="2" operator="notEqual">
      <formula>0</formula>
    </cfRule>
  </conditionalFormatting>
  <pageMargins left="0.7" right="0" top="0.25" bottom="0.25" header="0.3" footer="0.3"/>
  <pageSetup scale="45" orientation="portrait" r:id="rId1"/>
  <headerFooter alignWithMargins="0"/>
  <colBreaks count="4" manualBreakCount="4">
    <brk id="16" max="1048575" man="1"/>
    <brk id="34" max="1048575" man="1"/>
    <brk id="37" max="86" man="1"/>
    <brk id="4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3D383-2488-4646-95C3-A2B3CFF50F20}">
  <sheetPr>
    <tabColor theme="0" tint="-0.14999847407452621"/>
    <pageSetUpPr fitToPage="1"/>
  </sheetPr>
  <dimension ref="A1:U88"/>
  <sheetViews>
    <sheetView zoomScale="80" zoomScaleNormal="80" workbookViewId="0">
      <pane xSplit="2" ySplit="9" topLeftCell="C10" activePane="bottomRight" state="frozen"/>
      <selection activeCell="F38" sqref="F38"/>
      <selection pane="topRight" activeCell="F38" sqref="F38"/>
      <selection pane="bottomLeft" activeCell="F38" sqref="F38"/>
      <selection pane="bottomRight" activeCell="F38" sqref="F38"/>
    </sheetView>
  </sheetViews>
  <sheetFormatPr defaultColWidth="8.453125" defaultRowHeight="12.5" x14ac:dyDescent="0.25"/>
  <cols>
    <col min="1" max="1" width="3.453125" style="356" customWidth="1"/>
    <col min="2" max="2" width="58" style="356" customWidth="1"/>
    <col min="3" max="3" width="18" style="355" customWidth="1"/>
    <col min="4" max="4" width="17.7265625" style="356" customWidth="1"/>
    <col min="5" max="12" width="15.26953125" style="356" customWidth="1"/>
    <col min="13" max="13" width="49.54296875" style="356" bestFit="1" customWidth="1"/>
    <col min="14" max="15" width="16.1796875" style="356" customWidth="1"/>
    <col min="16" max="16" width="24.1796875" style="356" customWidth="1"/>
    <col min="17" max="22" width="13.1796875" style="356" customWidth="1"/>
    <col min="23" max="27" width="8.453125" style="356" customWidth="1"/>
    <col min="28" max="249" width="8.453125" style="356"/>
    <col min="250" max="255" width="8.453125" style="356" customWidth="1"/>
    <col min="256" max="16384" width="8.453125" style="356"/>
  </cols>
  <sheetData>
    <row r="1" spans="1:18" ht="14" x14ac:dyDescent="0.3">
      <c r="A1" s="354" t="s">
        <v>278</v>
      </c>
      <c r="B1" s="355"/>
    </row>
    <row r="2" spans="1:18" ht="14" x14ac:dyDescent="0.3">
      <c r="A2" s="354" t="s">
        <v>279</v>
      </c>
      <c r="B2" s="355"/>
    </row>
    <row r="3" spans="1:18" ht="14" x14ac:dyDescent="0.3">
      <c r="A3" s="354" t="s">
        <v>289</v>
      </c>
      <c r="B3" s="355"/>
    </row>
    <row r="4" spans="1:18" ht="14" x14ac:dyDescent="0.3">
      <c r="A4" s="354" t="s">
        <v>290</v>
      </c>
      <c r="B4" s="355"/>
    </row>
    <row r="5" spans="1:18" x14ac:dyDescent="0.25">
      <c r="B5" s="357"/>
      <c r="G5" s="358"/>
      <c r="H5" s="359" t="s">
        <v>23</v>
      </c>
      <c r="I5" s="359"/>
      <c r="J5" s="359"/>
      <c r="K5" s="359" t="s">
        <v>291</v>
      </c>
      <c r="L5" s="359" t="s">
        <v>291</v>
      </c>
    </row>
    <row r="6" spans="1:18" x14ac:dyDescent="0.25">
      <c r="B6" s="360"/>
      <c r="D6" s="359"/>
      <c r="G6" s="359" t="s">
        <v>292</v>
      </c>
      <c r="H6" s="359" t="s">
        <v>292</v>
      </c>
      <c r="I6" s="359"/>
      <c r="J6" s="359"/>
      <c r="K6" s="359" t="s">
        <v>293</v>
      </c>
      <c r="L6" s="359" t="s">
        <v>293</v>
      </c>
    </row>
    <row r="7" spans="1:18" x14ac:dyDescent="0.25">
      <c r="B7" s="360"/>
      <c r="D7" s="361" t="s">
        <v>294</v>
      </c>
      <c r="E7" s="361"/>
      <c r="F7" s="359" t="s">
        <v>292</v>
      </c>
      <c r="G7" s="359" t="s">
        <v>173</v>
      </c>
      <c r="H7" s="359" t="s">
        <v>295</v>
      </c>
      <c r="I7" s="359" t="s">
        <v>296</v>
      </c>
      <c r="J7" s="359" t="s">
        <v>296</v>
      </c>
      <c r="K7" s="359" t="s">
        <v>297</v>
      </c>
      <c r="L7" s="359" t="s">
        <v>297</v>
      </c>
      <c r="M7" s="359"/>
      <c r="N7" s="359"/>
    </row>
    <row r="8" spans="1:18" x14ac:dyDescent="0.25">
      <c r="B8" s="355"/>
      <c r="C8" s="359" t="s">
        <v>175</v>
      </c>
      <c r="D8" s="359" t="s">
        <v>292</v>
      </c>
      <c r="E8" s="361" t="s">
        <v>294</v>
      </c>
      <c r="F8" s="359" t="s">
        <v>175</v>
      </c>
      <c r="G8" s="359" t="s">
        <v>298</v>
      </c>
      <c r="H8" s="359" t="s">
        <v>299</v>
      </c>
      <c r="I8" s="359" t="s">
        <v>300</v>
      </c>
      <c r="J8" s="359" t="s">
        <v>301</v>
      </c>
      <c r="K8" s="361" t="s">
        <v>302</v>
      </c>
      <c r="L8" s="359" t="s">
        <v>303</v>
      </c>
      <c r="M8" s="359"/>
      <c r="N8" s="359"/>
    </row>
    <row r="9" spans="1:18" x14ac:dyDescent="0.25">
      <c r="B9" s="362" t="s">
        <v>304</v>
      </c>
      <c r="C9" s="363">
        <v>45900</v>
      </c>
      <c r="D9" s="362" t="s">
        <v>174</v>
      </c>
      <c r="E9" s="362" t="s">
        <v>173</v>
      </c>
      <c r="F9" s="364">
        <v>45596</v>
      </c>
      <c r="G9" s="362" t="s">
        <v>170</v>
      </c>
      <c r="H9" s="362" t="s">
        <v>305</v>
      </c>
      <c r="I9" s="362" t="s">
        <v>306</v>
      </c>
      <c r="J9" s="362" t="s">
        <v>306</v>
      </c>
      <c r="K9" s="362" t="s">
        <v>307</v>
      </c>
      <c r="L9" s="362" t="s">
        <v>308</v>
      </c>
      <c r="M9" s="359"/>
      <c r="N9" s="359"/>
      <c r="O9" s="365"/>
      <c r="P9" s="365"/>
    </row>
    <row r="10" spans="1:18" x14ac:dyDescent="0.25">
      <c r="A10" s="366"/>
      <c r="B10" s="359" t="s">
        <v>52</v>
      </c>
      <c r="C10" s="367" t="s">
        <v>53</v>
      </c>
      <c r="D10" s="367" t="s">
        <v>54</v>
      </c>
      <c r="E10" s="367" t="s">
        <v>55</v>
      </c>
      <c r="F10" s="367" t="s">
        <v>56</v>
      </c>
      <c r="G10" s="367" t="s">
        <v>147</v>
      </c>
      <c r="H10" s="367" t="s">
        <v>58</v>
      </c>
      <c r="I10" s="367" t="s">
        <v>59</v>
      </c>
      <c r="J10" s="367" t="s">
        <v>125</v>
      </c>
      <c r="K10" s="367" t="s">
        <v>60</v>
      </c>
      <c r="L10" s="367" t="s">
        <v>61</v>
      </c>
      <c r="M10" s="367"/>
      <c r="N10" s="367"/>
      <c r="O10" s="365"/>
      <c r="P10" s="365"/>
    </row>
    <row r="11" spans="1:18" x14ac:dyDescent="0.25">
      <c r="A11" s="366"/>
      <c r="B11" s="359"/>
      <c r="C11" s="367"/>
      <c r="F11" s="368" t="s">
        <v>309</v>
      </c>
      <c r="G11" s="369">
        <v>7.4999999999999997E-2</v>
      </c>
      <c r="H11" s="368" t="s">
        <v>310</v>
      </c>
      <c r="I11" s="368"/>
      <c r="J11" s="368"/>
      <c r="K11" s="368" t="s">
        <v>311</v>
      </c>
      <c r="L11" s="368" t="s">
        <v>311</v>
      </c>
      <c r="O11" s="365"/>
      <c r="P11" s="365"/>
    </row>
    <row r="12" spans="1:18" x14ac:dyDescent="0.25">
      <c r="A12" s="370">
        <v>1</v>
      </c>
      <c r="B12" s="359"/>
      <c r="C12" s="366"/>
      <c r="D12" s="366"/>
      <c r="E12" s="366"/>
      <c r="F12" s="366"/>
      <c r="G12" s="366"/>
      <c r="H12" s="368" t="s">
        <v>312</v>
      </c>
      <c r="I12" s="368"/>
      <c r="J12" s="368"/>
      <c r="K12" s="368"/>
      <c r="L12" s="366"/>
      <c r="M12" s="366"/>
      <c r="N12" s="371"/>
      <c r="O12" s="372"/>
      <c r="P12" s="366"/>
    </row>
    <row r="13" spans="1:18" hidden="1" x14ac:dyDescent="0.25">
      <c r="A13" s="370">
        <f>+A12+1</f>
        <v>2</v>
      </c>
      <c r="B13" s="373" t="s">
        <v>313</v>
      </c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71"/>
      <c r="O13" s="366"/>
      <c r="P13" s="366"/>
    </row>
    <row r="14" spans="1:18" hidden="1" x14ac:dyDescent="0.25">
      <c r="A14" s="370">
        <f t="shared" ref="A14:A63" si="0">+A13+1</f>
        <v>3</v>
      </c>
      <c r="B14" s="356" t="s">
        <v>314</v>
      </c>
      <c r="C14" s="366">
        <f>'[53]151822 GREAT'!I218</f>
        <v>585080.04999999981</v>
      </c>
      <c r="D14" s="374">
        <v>0</v>
      </c>
      <c r="E14" s="366">
        <f>SUM('[53]151822 GREAT'!G219:G220)</f>
        <v>7336.3600000000006</v>
      </c>
      <c r="F14" s="366">
        <f>SUM(C14:E14)</f>
        <v>592416.4099999998</v>
      </c>
      <c r="G14" s="375"/>
      <c r="H14" s="366"/>
      <c r="I14" s="366"/>
      <c r="J14" s="366"/>
      <c r="K14" s="376"/>
      <c r="L14" s="366"/>
      <c r="M14" s="366"/>
      <c r="N14" s="371"/>
      <c r="O14" s="366"/>
      <c r="P14" s="366"/>
    </row>
    <row r="15" spans="1:18" hidden="1" x14ac:dyDescent="0.25">
      <c r="A15" s="370">
        <f t="shared" si="0"/>
        <v>4</v>
      </c>
      <c r="B15" s="356" t="s">
        <v>315</v>
      </c>
      <c r="C15" s="377">
        <f>'[53]151824 GREAT AMORT'!I219</f>
        <v>159153.54643603571</v>
      </c>
      <c r="D15" s="377">
        <f>SUM('[53]151824 GREAT AMORT'!D220:D221)</f>
        <v>-38222.720000000001</v>
      </c>
      <c r="E15" s="377">
        <f>SUM('[53]151824 GREAT AMORT'!G220:G221)</f>
        <v>1721.81</v>
      </c>
      <c r="F15" s="377">
        <f>SUM(C15:E15)</f>
        <v>122652.63643603571</v>
      </c>
      <c r="G15" s="377"/>
      <c r="H15" s="377"/>
      <c r="I15" s="366"/>
      <c r="J15" s="366"/>
      <c r="K15" s="366"/>
      <c r="L15" s="366"/>
      <c r="M15" s="366"/>
      <c r="N15" s="371"/>
      <c r="O15" s="366"/>
      <c r="P15" s="366"/>
    </row>
    <row r="16" spans="1:18" hidden="1" x14ac:dyDescent="0.25">
      <c r="A16" s="370">
        <f t="shared" si="0"/>
        <v>5</v>
      </c>
      <c r="C16" s="366">
        <f>SUM(C14:C15)</f>
        <v>744233.59643603559</v>
      </c>
      <c r="D16" s="366">
        <f>SUM(D14:D15)</f>
        <v>-38222.720000000001</v>
      </c>
      <c r="E16" s="366">
        <f>SUM(E14:E15)</f>
        <v>9058.17</v>
      </c>
      <c r="F16" s="366">
        <f>SUM(F14:F15)</f>
        <v>715069.04643603554</v>
      </c>
      <c r="G16" s="375">
        <f>IF(F16&lt;0,ROUND(CUMIPMT($G$11/12,12,-F16,1,12,0),0),-ROUND(CUMIPMT($G$11/12,12,F16,1,12,0),0))</f>
        <v>29381</v>
      </c>
      <c r="H16" s="366">
        <f>ROUND(+F16+G16,0)</f>
        <v>744450</v>
      </c>
      <c r="I16" s="366"/>
      <c r="J16" s="366">
        <f>+H16</f>
        <v>744450</v>
      </c>
      <c r="K16" s="376" t="s">
        <v>316</v>
      </c>
      <c r="L16" s="366"/>
      <c r="M16" s="366"/>
      <c r="N16" s="371"/>
      <c r="O16" s="366"/>
      <c r="P16" s="366"/>
      <c r="Q16" s="366"/>
      <c r="R16" s="366"/>
    </row>
    <row r="17" spans="1:19" hidden="1" x14ac:dyDescent="0.25">
      <c r="A17" s="370">
        <f t="shared" si="0"/>
        <v>6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71"/>
      <c r="O17" s="366"/>
      <c r="P17" s="366"/>
      <c r="Q17" s="366"/>
      <c r="R17" s="366"/>
    </row>
    <row r="18" spans="1:19" hidden="1" x14ac:dyDescent="0.25">
      <c r="A18" s="370">
        <f t="shared" si="0"/>
        <v>7</v>
      </c>
      <c r="B18" s="356" t="s">
        <v>317</v>
      </c>
      <c r="C18" s="378">
        <f>'[53]151890 WA-LIEE'!X242</f>
        <v>97391.199999999924</v>
      </c>
      <c r="D18" s="374">
        <v>0</v>
      </c>
      <c r="E18" s="366">
        <f>SUM('[53]151890 WA-LIEE'!G243:G244)</f>
        <v>1221.19</v>
      </c>
      <c r="F18" s="366">
        <f>SUM(C18:E18)</f>
        <v>98612.389999999927</v>
      </c>
      <c r="G18" s="375"/>
      <c r="H18" s="366"/>
      <c r="I18" s="366"/>
      <c r="L18" s="366"/>
      <c r="M18" s="366"/>
      <c r="N18" s="371"/>
      <c r="O18" s="366"/>
      <c r="P18" s="366"/>
    </row>
    <row r="19" spans="1:19" hidden="1" x14ac:dyDescent="0.25">
      <c r="A19" s="370">
        <f t="shared" si="0"/>
        <v>8</v>
      </c>
      <c r="B19" s="356" t="s">
        <v>318</v>
      </c>
      <c r="C19" s="377">
        <f>'[53]151892 WA-LIEE  AMORT'!I205</f>
        <v>21490.910100000096</v>
      </c>
      <c r="D19" s="377">
        <f>SUM('[53]151892 WA-LIEE  AMORT'!D206:D207)</f>
        <v>-5093.22</v>
      </c>
      <c r="E19" s="377">
        <f>SUM('[53]151892 WA-LIEE  AMORT'!G206:G207)</f>
        <v>232.98000000000002</v>
      </c>
      <c r="F19" s="377">
        <f>SUM(C19:E19)</f>
        <v>16630.670100000094</v>
      </c>
      <c r="G19" s="379"/>
      <c r="H19" s="377"/>
      <c r="I19" s="366"/>
      <c r="J19" s="366"/>
      <c r="K19" s="376"/>
      <c r="L19" s="366"/>
      <c r="M19" s="366"/>
      <c r="N19" s="371"/>
      <c r="O19" s="366"/>
      <c r="P19" s="366"/>
      <c r="Q19" s="366"/>
      <c r="R19" s="366"/>
    </row>
    <row r="20" spans="1:19" hidden="1" x14ac:dyDescent="0.25">
      <c r="A20" s="370">
        <f t="shared" si="0"/>
        <v>9</v>
      </c>
      <c r="C20" s="366">
        <f>SUM(C18:C19)</f>
        <v>118882.11010000002</v>
      </c>
      <c r="D20" s="366">
        <f>SUM(D18:D19)</f>
        <v>-5093.22</v>
      </c>
      <c r="E20" s="366">
        <f>SUM(E18:E19)</f>
        <v>1454.17</v>
      </c>
      <c r="F20" s="366">
        <f>SUM(F18:F19)</f>
        <v>115243.06010000002</v>
      </c>
      <c r="G20" s="375">
        <f>IF(F20&lt;0,ROUND(CUMIPMT($G$11/12,12,-F20,1,12,0),0),-ROUND(CUMIPMT($G$11/12,12,F20,1,12,0),0))</f>
        <v>4735</v>
      </c>
      <c r="H20" s="366">
        <f>ROUND(+F20+G20,0)</f>
        <v>119978</v>
      </c>
      <c r="I20" s="366"/>
      <c r="J20" s="366">
        <f>+H20-I20</f>
        <v>119978</v>
      </c>
      <c r="K20" s="376" t="s">
        <v>319</v>
      </c>
      <c r="L20" s="366"/>
      <c r="M20" s="366"/>
      <c r="N20" s="371"/>
      <c r="O20" s="366"/>
      <c r="P20" s="366"/>
      <c r="Q20" s="366"/>
      <c r="R20" s="366"/>
    </row>
    <row r="21" spans="1:19" hidden="1" x14ac:dyDescent="0.25">
      <c r="A21" s="370">
        <f t="shared" si="0"/>
        <v>10</v>
      </c>
      <c r="C21" s="366"/>
      <c r="D21" s="366"/>
      <c r="E21" s="366"/>
      <c r="F21" s="366"/>
      <c r="G21" s="375"/>
      <c r="H21" s="366"/>
      <c r="I21" s="366"/>
      <c r="J21" s="366"/>
      <c r="K21" s="376"/>
      <c r="L21" s="366"/>
      <c r="M21" s="366"/>
      <c r="N21" s="371"/>
      <c r="O21" s="366"/>
      <c r="P21" s="366"/>
      <c r="Q21" s="366"/>
      <c r="R21" s="366"/>
    </row>
    <row r="22" spans="1:19" hidden="1" x14ac:dyDescent="0.25">
      <c r="A22" s="370">
        <f t="shared" si="0"/>
        <v>11</v>
      </c>
      <c r="B22" s="356" t="s">
        <v>320</v>
      </c>
      <c r="C22" s="366">
        <f>'[53]151894 Historical DSM Amort'!I259</f>
        <v>59658.208188029967</v>
      </c>
      <c r="D22" s="378">
        <f>SUM('[53]151894 Historical DSM Amort'!D260:D261)</f>
        <v>-17439.189999999999</v>
      </c>
      <c r="E22" s="378">
        <f>SUM('[53]151894 Historical DSM Amort'!G260:G261)</f>
        <v>623.49</v>
      </c>
      <c r="F22" s="366">
        <f>SUM(C22:E22)</f>
        <v>42842.508188029962</v>
      </c>
      <c r="G22" s="375"/>
      <c r="H22" s="366"/>
      <c r="I22" s="366"/>
      <c r="J22" s="366"/>
      <c r="K22" s="366"/>
      <c r="L22" s="376"/>
      <c r="M22" s="380"/>
      <c r="N22" s="371"/>
      <c r="O22" s="366"/>
      <c r="P22" s="366"/>
      <c r="Q22" s="366"/>
      <c r="R22" s="366"/>
    </row>
    <row r="23" spans="1:19" hidden="1" x14ac:dyDescent="0.25">
      <c r="A23" s="370">
        <f t="shared" si="0"/>
        <v>12</v>
      </c>
      <c r="B23" s="356" t="s">
        <v>321</v>
      </c>
      <c r="C23" s="366">
        <f>'[53]151898 WA EE True-Up'!G87</f>
        <v>108574.00305196176</v>
      </c>
      <c r="D23" s="378">
        <f>SUM('[53]151898 WA EE True-Up'!D88:D89)</f>
        <v>-213924.30000000002</v>
      </c>
      <c r="E23" s="374">
        <v>0</v>
      </c>
      <c r="F23" s="366">
        <f>SUM(C23:E23)</f>
        <v>-105350.29694803826</v>
      </c>
      <c r="G23" s="375"/>
      <c r="H23" s="366"/>
      <c r="I23" s="366"/>
      <c r="J23" s="366"/>
      <c r="K23" s="366"/>
      <c r="L23" s="376"/>
      <c r="M23" s="380"/>
      <c r="N23" s="366"/>
      <c r="O23" s="366"/>
      <c r="P23" s="366"/>
      <c r="Q23" s="366"/>
      <c r="R23" s="366"/>
    </row>
    <row r="24" spans="1:19" hidden="1" x14ac:dyDescent="0.25">
      <c r="A24" s="370">
        <f t="shared" si="0"/>
        <v>13</v>
      </c>
      <c r="C24" s="381">
        <f>SUM(C22:C23)</f>
        <v>168232.21123999171</v>
      </c>
      <c r="D24" s="381">
        <f>SUM(D22:D23)</f>
        <v>-231363.49000000002</v>
      </c>
      <c r="E24" s="381">
        <f>SUM(E22:E23)</f>
        <v>623.49</v>
      </c>
      <c r="F24" s="381">
        <f>SUM(F22:F23)</f>
        <v>-62507.788760008298</v>
      </c>
      <c r="G24" s="382">
        <f>IF(F24&lt;0,ROUND(CUMIPMT($G$11/12,12,-F24,1,12,0),0),-ROUND(CUMIPMT($G$11/12,12,F24,1,12,0),0))</f>
        <v>-2568</v>
      </c>
      <c r="H24" s="381">
        <f>ROUND(+F24+G24,0)</f>
        <v>-65076</v>
      </c>
      <c r="I24" s="366"/>
      <c r="J24" s="366">
        <f>+H24</f>
        <v>-65076</v>
      </c>
      <c r="K24" s="376" t="s">
        <v>322</v>
      </c>
      <c r="L24" s="376"/>
      <c r="M24" s="383"/>
      <c r="O24" s="366"/>
      <c r="P24" s="366"/>
      <c r="Q24" s="366"/>
      <c r="R24" s="366"/>
    </row>
    <row r="25" spans="1:19" hidden="1" x14ac:dyDescent="0.25">
      <c r="A25" s="370">
        <f t="shared" si="0"/>
        <v>14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83"/>
      <c r="N25" s="366"/>
      <c r="O25" s="366"/>
      <c r="P25" s="366"/>
      <c r="Q25" s="366"/>
      <c r="R25" s="366"/>
    </row>
    <row r="26" spans="1:19" hidden="1" x14ac:dyDescent="0.25">
      <c r="A26" s="370">
        <f t="shared" si="0"/>
        <v>15</v>
      </c>
      <c r="B26" s="373" t="s">
        <v>323</v>
      </c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83"/>
      <c r="N26" s="366"/>
      <c r="O26" s="366"/>
      <c r="P26" s="366"/>
      <c r="Q26" s="366"/>
      <c r="R26" s="366"/>
    </row>
    <row r="27" spans="1:19" hidden="1" x14ac:dyDescent="0.25">
      <c r="A27" s="370">
        <f t="shared" si="0"/>
        <v>16</v>
      </c>
      <c r="B27" s="356" t="s">
        <v>324</v>
      </c>
      <c r="C27" s="366">
        <f>'[53]151540 Defer WACOG'!I242</f>
        <v>-10533163.483584771</v>
      </c>
      <c r="D27" s="374">
        <v>0</v>
      </c>
      <c r="E27" s="378">
        <f>SUM('[53]151540 Defer WACOG'!G242:G243)</f>
        <v>-129444.9</v>
      </c>
      <c r="F27" s="366">
        <f>SUM(C27:E27)</f>
        <v>-10662608.383584771</v>
      </c>
      <c r="G27" s="366"/>
      <c r="H27" s="366"/>
      <c r="I27" s="366"/>
      <c r="J27" s="366"/>
      <c r="K27" s="366"/>
      <c r="L27" s="366"/>
      <c r="M27" s="384" t="s">
        <v>325</v>
      </c>
      <c r="N27" s="366"/>
      <c r="O27" s="366"/>
      <c r="P27" s="366"/>
      <c r="Q27" s="366"/>
      <c r="R27" s="366"/>
    </row>
    <row r="28" spans="1:19" hidden="1" x14ac:dyDescent="0.25">
      <c r="A28" s="370">
        <f t="shared" si="0"/>
        <v>17</v>
      </c>
      <c r="B28" s="356" t="s">
        <v>326</v>
      </c>
      <c r="C28" s="377">
        <f>'[53]151545 Amort WACOG'!I259</f>
        <v>-1854493.9615735998</v>
      </c>
      <c r="D28" s="385">
        <f>SUM('[53]151545 Amort WACOG'!D260:D261)</f>
        <v>444513.23</v>
      </c>
      <c r="E28" s="385">
        <f>SUM('[53]151545 Amort WACOG'!G260:G261)</f>
        <v>-20045.169999999998</v>
      </c>
      <c r="F28" s="377">
        <f>SUM(C28:E28)</f>
        <v>-1430025.9015735998</v>
      </c>
      <c r="G28" s="377"/>
      <c r="H28" s="377"/>
      <c r="I28" s="366"/>
      <c r="J28" s="366"/>
      <c r="K28" s="366"/>
      <c r="L28" s="366"/>
      <c r="M28" s="366"/>
      <c r="N28" s="366"/>
      <c r="O28" s="366"/>
      <c r="P28" s="366"/>
      <c r="Q28" s="366"/>
      <c r="R28" s="366"/>
    </row>
    <row r="29" spans="1:19" hidden="1" x14ac:dyDescent="0.25">
      <c r="A29" s="370">
        <f t="shared" si="0"/>
        <v>18</v>
      </c>
      <c r="B29" s="386"/>
      <c r="C29" s="366">
        <f>SUM(C27:C28)</f>
        <v>-12387657.44515837</v>
      </c>
      <c r="D29" s="366">
        <f>SUM(D27:D28)</f>
        <v>444513.23</v>
      </c>
      <c r="E29" s="366">
        <f>SUM(E27:E28)</f>
        <v>-149490.07</v>
      </c>
      <c r="F29" s="366">
        <f>SUM(F27:F28)</f>
        <v>-12092634.285158372</v>
      </c>
      <c r="G29" s="375">
        <f>IF(F29&lt;0,ROUND(CUMIPMT($G$11/12,12,-F29,1,12,0),0),-ROUND(CUMIPMT($G$11/12,12,F29,1,12,0),0))</f>
        <v>-496874</v>
      </c>
      <c r="H29" s="366">
        <f>ROUND(+F29+G29,0)</f>
        <v>-12589508</v>
      </c>
      <c r="I29" s="366"/>
      <c r="J29" s="366">
        <f>+H29</f>
        <v>-12589508</v>
      </c>
      <c r="K29" s="366"/>
      <c r="L29" s="376" t="s">
        <v>27</v>
      </c>
      <c r="M29" s="376"/>
      <c r="N29" s="366"/>
      <c r="O29" s="366"/>
      <c r="P29" s="366"/>
      <c r="Q29" s="366"/>
      <c r="R29" s="366"/>
    </row>
    <row r="30" spans="1:19" hidden="1" x14ac:dyDescent="0.25">
      <c r="A30" s="370">
        <f t="shared" si="0"/>
        <v>19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87" t="s">
        <v>327</v>
      </c>
      <c r="P30" s="388"/>
      <c r="Q30" s="389" t="s">
        <v>328</v>
      </c>
      <c r="R30" s="366"/>
      <c r="S30" s="366"/>
    </row>
    <row r="31" spans="1:19" ht="14.5" hidden="1" x14ac:dyDescent="0.35">
      <c r="A31" s="370">
        <f t="shared" si="0"/>
        <v>20</v>
      </c>
      <c r="B31" s="356" t="s">
        <v>329</v>
      </c>
      <c r="C31" s="366">
        <f>'[53]151550 Defer Demand'!I242</f>
        <v>669608.69159762096</v>
      </c>
      <c r="D31" s="374">
        <v>0</v>
      </c>
      <c r="E31" s="378">
        <f>SUM('[53]151550 Defer Demand'!G243:G244)</f>
        <v>8396.26</v>
      </c>
      <c r="F31" s="366">
        <f>SUM(C31:E31)</f>
        <v>678004.95159762097</v>
      </c>
      <c r="G31" s="390"/>
      <c r="H31" s="366"/>
      <c r="I31" s="366"/>
      <c r="J31" s="366"/>
      <c r="K31" s="366"/>
      <c r="L31" s="376"/>
      <c r="M31" s="391">
        <f>ROUND((+(Q31*O31)/((Q31*O31)+(Q32*O32)))*J34,0)</f>
        <v>-2284960</v>
      </c>
      <c r="N31" s="392" t="s">
        <v>330</v>
      </c>
      <c r="O31" s="393">
        <f>'[54]Washington volumes'!$M$85</f>
        <v>90908754.476871997</v>
      </c>
      <c r="P31" s="394"/>
      <c r="Q31" s="395">
        <f>'[55]General Inputs'!$E$77</f>
        <v>0.10337</v>
      </c>
      <c r="R31" s="366"/>
      <c r="S31" s="366"/>
    </row>
    <row r="32" spans="1:19" ht="15" hidden="1" thickBot="1" x14ac:dyDescent="0.4">
      <c r="A32" s="370">
        <f t="shared" si="0"/>
        <v>21</v>
      </c>
      <c r="B32" s="356" t="s">
        <v>331</v>
      </c>
      <c r="C32" s="366">
        <f>'[53]151555 Amort Demand'!I259</f>
        <v>-1113718.0518584608</v>
      </c>
      <c r="D32" s="378">
        <f>SUM('[53]151555 Amort Demand'!D260:D261)</f>
        <v>72466.73000000001</v>
      </c>
      <c r="E32" s="378">
        <f>SUM('[53]151555 Amort Demand'!G260:G261)</f>
        <v>-13439.369999999999</v>
      </c>
      <c r="F32" s="366">
        <f>SUM(C32:E32)</f>
        <v>-1054690.6918584609</v>
      </c>
      <c r="G32" s="366"/>
      <c r="H32" s="366"/>
      <c r="I32" s="366"/>
      <c r="J32" s="366"/>
      <c r="K32" s="366"/>
      <c r="L32" s="366"/>
      <c r="M32" s="391">
        <f>+J34-M31</f>
        <v>-98713</v>
      </c>
      <c r="N32" s="392" t="s">
        <v>332</v>
      </c>
      <c r="O32" s="396">
        <f>'[54]Washington volumes'!$M$86</f>
        <v>11239544.658402635</v>
      </c>
      <c r="P32" s="397"/>
      <c r="Q32" s="398">
        <f>'[55]General Inputs'!$E$78</f>
        <v>3.6119999999999999E-2</v>
      </c>
      <c r="R32" s="366"/>
      <c r="S32" s="366"/>
    </row>
    <row r="33" spans="1:21" hidden="1" x14ac:dyDescent="0.25">
      <c r="A33" s="370">
        <f t="shared" si="0"/>
        <v>22</v>
      </c>
      <c r="B33" s="356" t="s">
        <v>333</v>
      </c>
      <c r="C33" s="377">
        <f>'[53]232035 Storage Sharing'!G241</f>
        <v>-1912909.8400000003</v>
      </c>
      <c r="D33" s="399">
        <v>0</v>
      </c>
      <c r="E33" s="399">
        <v>0</v>
      </c>
      <c r="F33" s="377">
        <f>SUM(C33:E33)</f>
        <v>-1912909.8400000003</v>
      </c>
      <c r="G33" s="377"/>
      <c r="H33" s="377"/>
      <c r="I33" s="366"/>
      <c r="J33" s="366"/>
      <c r="K33" s="366"/>
      <c r="L33" s="366"/>
      <c r="M33" s="366"/>
      <c r="N33" s="366"/>
      <c r="O33" s="366"/>
      <c r="P33" s="384"/>
      <c r="Q33" s="366"/>
      <c r="R33" s="366"/>
      <c r="S33" s="366"/>
    </row>
    <row r="34" spans="1:21" hidden="1" x14ac:dyDescent="0.25">
      <c r="A34" s="370">
        <f t="shared" si="0"/>
        <v>23</v>
      </c>
      <c r="B34" s="386"/>
      <c r="C34" s="366">
        <f>SUM(C31:C33)</f>
        <v>-2357019.2002608404</v>
      </c>
      <c r="D34" s="366">
        <f>SUM(D31:D33)</f>
        <v>72466.73000000001</v>
      </c>
      <c r="E34" s="366">
        <f>SUM(E31:E33)</f>
        <v>-5043.1099999999988</v>
      </c>
      <c r="F34" s="366">
        <f>SUM(F31:F33)</f>
        <v>-2289595.5802608402</v>
      </c>
      <c r="G34" s="375">
        <f>IF(F34&lt;0,ROUND(CUMIPMT($G$11/12,12,-F34,1,12,0),0),-ROUND(CUMIPMT($G$11/12,12,F34,1,12,0),0))</f>
        <v>-94077</v>
      </c>
      <c r="H34" s="366">
        <f>ROUND(+F34+G34,0)</f>
        <v>-2383673</v>
      </c>
      <c r="I34" s="366"/>
      <c r="J34" s="366">
        <f>+H34</f>
        <v>-2383673</v>
      </c>
      <c r="K34" s="366"/>
      <c r="L34" s="376" t="s">
        <v>334</v>
      </c>
      <c r="M34" s="383"/>
      <c r="N34" s="383"/>
      <c r="P34" s="394"/>
      <c r="Q34" s="400"/>
      <c r="R34" s="366"/>
      <c r="S34" s="366"/>
      <c r="T34" s="401"/>
      <c r="U34" s="402"/>
    </row>
    <row r="35" spans="1:21" hidden="1" x14ac:dyDescent="0.25">
      <c r="A35" s="370">
        <f t="shared" si="0"/>
        <v>24</v>
      </c>
      <c r="B35" s="403"/>
      <c r="C35" s="366"/>
      <c r="D35" s="366"/>
      <c r="E35" s="366"/>
      <c r="F35" s="366"/>
      <c r="G35" s="384"/>
      <c r="H35" s="384"/>
      <c r="I35" s="384"/>
      <c r="J35" s="384"/>
      <c r="K35" s="384"/>
      <c r="L35" s="376"/>
      <c r="M35" s="383"/>
      <c r="N35" s="383"/>
      <c r="P35" s="394"/>
      <c r="Q35" s="400"/>
      <c r="R35" s="384"/>
      <c r="S35" s="384"/>
    </row>
    <row r="36" spans="1:21" x14ac:dyDescent="0.25">
      <c r="A36" s="370">
        <f t="shared" si="0"/>
        <v>25</v>
      </c>
      <c r="B36" s="373" t="s">
        <v>335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83"/>
      <c r="N36" s="366"/>
      <c r="O36" s="366"/>
      <c r="P36" s="366"/>
      <c r="Q36" s="366"/>
      <c r="R36" s="366"/>
    </row>
    <row r="37" spans="1:21" x14ac:dyDescent="0.25">
      <c r="A37" s="370">
        <f t="shared" si="0"/>
        <v>26</v>
      </c>
      <c r="C37" s="366"/>
      <c r="D37" s="366"/>
      <c r="E37" s="366"/>
      <c r="F37" s="366"/>
      <c r="G37" s="384"/>
      <c r="H37" s="384"/>
      <c r="I37" s="384"/>
      <c r="J37" s="384"/>
      <c r="K37" s="384"/>
      <c r="L37" s="366"/>
      <c r="M37" s="383"/>
      <c r="N37" s="366"/>
      <c r="O37" s="375"/>
      <c r="Q37" s="384"/>
      <c r="R37" s="384"/>
      <c r="S37" s="401"/>
    </row>
    <row r="38" spans="1:21" x14ac:dyDescent="0.25">
      <c r="A38" s="370">
        <f t="shared" si="0"/>
        <v>27</v>
      </c>
      <c r="B38" s="356" t="s">
        <v>336</v>
      </c>
      <c r="C38" s="404">
        <v>0</v>
      </c>
      <c r="D38" s="374">
        <v>0</v>
      </c>
      <c r="E38" s="374">
        <v>0</v>
      </c>
      <c r="F38" s="404">
        <f>SUM(C38:E38)</f>
        <v>0</v>
      </c>
      <c r="G38" s="390"/>
      <c r="H38" s="366"/>
      <c r="I38" s="366"/>
      <c r="J38" s="366"/>
      <c r="K38" s="366"/>
      <c r="L38" s="376"/>
      <c r="M38" s="376"/>
      <c r="N38" s="366"/>
      <c r="O38" s="366"/>
      <c r="P38" s="366"/>
      <c r="Q38" s="366"/>
      <c r="R38" s="366"/>
    </row>
    <row r="39" spans="1:21" x14ac:dyDescent="0.25">
      <c r="A39" s="370">
        <f t="shared" si="0"/>
        <v>28</v>
      </c>
      <c r="B39" s="356" t="s">
        <v>337</v>
      </c>
      <c r="C39" s="366">
        <f>'[53]232050 Amort Gain on Prop'!I76</f>
        <v>-11226.409123499925</v>
      </c>
      <c r="D39" s="366">
        <f>SUM('[53]232050 Amort Gain on Prop'!D77:D78)</f>
        <v>2608.8300000000004</v>
      </c>
      <c r="E39" s="366">
        <f>SUM('[53]232050 Amort Gain on Prop'!G77:G78)</f>
        <v>-121.91</v>
      </c>
      <c r="F39" s="366">
        <f>SUM(C39:E39)</f>
        <v>-8739.489123499925</v>
      </c>
      <c r="G39" s="375"/>
      <c r="H39" s="366"/>
      <c r="I39" s="384"/>
      <c r="J39" s="366"/>
      <c r="K39" s="384"/>
      <c r="L39" s="366"/>
      <c r="M39" s="383"/>
      <c r="N39" s="366"/>
      <c r="O39" s="375"/>
      <c r="Q39" s="384"/>
      <c r="R39" s="384"/>
      <c r="S39" s="401"/>
    </row>
    <row r="40" spans="1:21" x14ac:dyDescent="0.25">
      <c r="A40" s="370">
        <f t="shared" si="0"/>
        <v>29</v>
      </c>
      <c r="C40" s="381">
        <f>SUM(C38:C39)</f>
        <v>-11226.409123499925</v>
      </c>
      <c r="D40" s="381">
        <f>SUM(D38:D39)</f>
        <v>2608.8300000000004</v>
      </c>
      <c r="E40" s="381">
        <f>SUM(E38:E39)</f>
        <v>-121.91</v>
      </c>
      <c r="F40" s="381">
        <f>SUM(F38:F39)</f>
        <v>-8739.489123499925</v>
      </c>
      <c r="G40" s="405">
        <f>IF(F40&lt;0,ROUND(CUMIPMT($G$11/12,12,-F40,1,12,0),0),-ROUND(CUMIPMT($G$11/12,12,F40,1,12,0),0))</f>
        <v>-359</v>
      </c>
      <c r="H40" s="381">
        <f>ROUND(+F40+G40,0)</f>
        <v>-9098</v>
      </c>
      <c r="I40" s="384"/>
      <c r="J40" s="366">
        <f>+H40</f>
        <v>-9098</v>
      </c>
      <c r="K40" s="384"/>
      <c r="L40" s="366"/>
      <c r="M40" s="383"/>
      <c r="N40" s="366"/>
      <c r="O40" s="375"/>
      <c r="Q40" s="384"/>
      <c r="R40" s="384"/>
      <c r="S40" s="401"/>
    </row>
    <row r="41" spans="1:21" x14ac:dyDescent="0.25">
      <c r="A41" s="370">
        <f t="shared" si="0"/>
        <v>30</v>
      </c>
      <c r="C41" s="366"/>
      <c r="D41" s="366"/>
      <c r="E41" s="366"/>
      <c r="F41" s="366"/>
      <c r="G41" s="375"/>
      <c r="H41" s="366"/>
      <c r="I41" s="384"/>
      <c r="J41" s="366"/>
      <c r="K41" s="384"/>
      <c r="L41" s="366"/>
      <c r="M41" s="383"/>
      <c r="N41" s="366"/>
      <c r="O41" s="375"/>
      <c r="Q41" s="384"/>
      <c r="R41" s="384"/>
      <c r="S41" s="401"/>
    </row>
    <row r="42" spans="1:21" x14ac:dyDescent="0.25">
      <c r="A42" s="370">
        <f t="shared" si="0"/>
        <v>31</v>
      </c>
      <c r="B42" s="356" t="s">
        <v>338</v>
      </c>
      <c r="C42" s="404">
        <v>0</v>
      </c>
      <c r="D42" s="374">
        <v>0</v>
      </c>
      <c r="E42" s="374">
        <v>0</v>
      </c>
      <c r="F42" s="404">
        <f>SUM(C42:E42)</f>
        <v>0</v>
      </c>
      <c r="G42" s="406"/>
      <c r="H42" s="366"/>
      <c r="I42" s="384"/>
      <c r="J42" s="366"/>
      <c r="K42" s="384"/>
      <c r="L42" s="366"/>
      <c r="M42" s="407"/>
      <c r="N42" s="366"/>
      <c r="O42" s="375"/>
      <c r="Q42" s="384"/>
      <c r="R42" s="384"/>
      <c r="S42" s="401"/>
    </row>
    <row r="43" spans="1:21" x14ac:dyDescent="0.25">
      <c r="A43" s="370">
        <f>+A41+1</f>
        <v>31</v>
      </c>
      <c r="B43" s="356" t="s">
        <v>339</v>
      </c>
      <c r="C43" s="377">
        <f>'[53]151829 WUTC Fee Amort'!J223</f>
        <v>2782.7999999999683</v>
      </c>
      <c r="D43" s="377">
        <f>SUM('[53]151829 WUTC Fee Amort'!D224:D225)</f>
        <v>-1252.6399999999999</v>
      </c>
      <c r="E43" s="377">
        <f>SUM('[53]151829 WUTC Fee Amort'!G224:G225)</f>
        <v>25.86</v>
      </c>
      <c r="F43" s="366">
        <f>SUM(C43:E43)</f>
        <v>1556.0199999999684</v>
      </c>
      <c r="G43" s="379"/>
      <c r="H43" s="377"/>
      <c r="I43" s="384"/>
      <c r="J43" s="366"/>
      <c r="K43" s="384"/>
      <c r="L43" s="366"/>
      <c r="M43" s="407"/>
      <c r="N43" s="366"/>
      <c r="O43" s="375"/>
      <c r="Q43" s="384"/>
      <c r="R43" s="384"/>
      <c r="S43" s="401"/>
    </row>
    <row r="44" spans="1:21" x14ac:dyDescent="0.25">
      <c r="A44" s="370">
        <f t="shared" si="0"/>
        <v>32</v>
      </c>
      <c r="C44" s="381">
        <f>SUM(C42:C43)</f>
        <v>2782.7999999999683</v>
      </c>
      <c r="D44" s="381">
        <f>SUM(D42:D43)</f>
        <v>-1252.6399999999999</v>
      </c>
      <c r="E44" s="381">
        <f>SUM(E42:E43)</f>
        <v>25.86</v>
      </c>
      <c r="F44" s="381">
        <f>SUM(F42:F43)</f>
        <v>1556.0199999999684</v>
      </c>
      <c r="G44" s="375">
        <f>IF(F44&lt;0,ROUND(CUMIPMT($G$11/12,12,-F44,1,12,0),0),-ROUND(CUMIPMT($G$11/12,12,F44,1,12,0),0))</f>
        <v>64</v>
      </c>
      <c r="H44" s="381">
        <f>ROUND(+F44+G44,0)</f>
        <v>1620</v>
      </c>
      <c r="I44" s="384"/>
      <c r="J44" s="366">
        <f>+H44</f>
        <v>1620</v>
      </c>
      <c r="K44" s="384"/>
      <c r="L44" s="366"/>
      <c r="M44" s="383"/>
      <c r="O44" s="375"/>
      <c r="Q44" s="384"/>
      <c r="R44" s="384"/>
      <c r="S44" s="401"/>
    </row>
    <row r="45" spans="1:21" x14ac:dyDescent="0.25">
      <c r="A45" s="370">
        <f t="shared" si="0"/>
        <v>33</v>
      </c>
      <c r="C45" s="366"/>
      <c r="D45" s="366"/>
      <c r="E45" s="366"/>
      <c r="F45" s="366"/>
      <c r="G45" s="375"/>
      <c r="H45" s="366"/>
      <c r="I45" s="384"/>
      <c r="J45" s="366"/>
      <c r="K45" s="384"/>
      <c r="L45" s="366"/>
      <c r="M45" s="383"/>
      <c r="N45" s="366"/>
      <c r="O45" s="375"/>
      <c r="Q45" s="384"/>
      <c r="R45" s="384"/>
      <c r="S45" s="401"/>
    </row>
    <row r="46" spans="1:21" x14ac:dyDescent="0.25">
      <c r="A46" s="370">
        <f t="shared" si="0"/>
        <v>34</v>
      </c>
      <c r="B46" s="356" t="s">
        <v>340</v>
      </c>
      <c r="C46" s="366">
        <f>'[53]151887 WA EE Audit Defer'!I221</f>
        <v>-21556.77</v>
      </c>
      <c r="D46" s="404">
        <v>0</v>
      </c>
      <c r="E46" s="366">
        <f>SUM('[53]151887 WA EE Audit Defer'!G222:G223)</f>
        <v>-270.29999999999995</v>
      </c>
      <c r="F46" s="366">
        <f>SUM(C46:E46)</f>
        <v>-21827.07</v>
      </c>
      <c r="G46" s="375"/>
      <c r="H46" s="366"/>
      <c r="I46" s="384"/>
      <c r="J46" s="366"/>
      <c r="K46" s="384"/>
      <c r="L46" s="366"/>
      <c r="M46" s="407"/>
      <c r="N46" s="366"/>
      <c r="O46" s="375"/>
      <c r="Q46" s="384"/>
      <c r="R46" s="384"/>
      <c r="S46" s="401"/>
    </row>
    <row r="47" spans="1:21" x14ac:dyDescent="0.25">
      <c r="A47" s="370">
        <f t="shared" si="0"/>
        <v>35</v>
      </c>
      <c r="B47" s="356" t="s">
        <v>341</v>
      </c>
      <c r="C47" s="366">
        <f>'[53]151889 WA EE Audit AMORT'!J223</f>
        <v>30741.759999999998</v>
      </c>
      <c r="D47" s="366">
        <f>SUM('[53]151889 WA EE Audit AMORT'!D224:D225)</f>
        <v>-2297.1200000000003</v>
      </c>
      <c r="E47" s="366">
        <f>SUM('[53]151889 WA EE Audit AMORT'!G224:G225)</f>
        <v>367.32</v>
      </c>
      <c r="F47" s="366">
        <f>SUM(C47:E47)</f>
        <v>28811.96</v>
      </c>
      <c r="G47" s="379"/>
      <c r="H47" s="366"/>
      <c r="I47" s="384"/>
      <c r="J47" s="366"/>
      <c r="K47" s="384"/>
      <c r="L47" s="366"/>
      <c r="M47" s="407"/>
      <c r="N47" s="366"/>
      <c r="O47" s="375"/>
      <c r="Q47" s="384"/>
      <c r="R47" s="384"/>
      <c r="S47" s="401"/>
    </row>
    <row r="48" spans="1:21" x14ac:dyDescent="0.25">
      <c r="A48" s="370">
        <f t="shared" si="0"/>
        <v>36</v>
      </c>
      <c r="C48" s="381">
        <f>SUM(C46:C47)</f>
        <v>9184.989999999998</v>
      </c>
      <c r="D48" s="381">
        <f>SUM(D46:D47)</f>
        <v>-2297.1200000000003</v>
      </c>
      <c r="E48" s="381">
        <f>SUM(E46:E47)</f>
        <v>97.020000000000039</v>
      </c>
      <c r="F48" s="381">
        <f>SUM(F46:F47)</f>
        <v>6984.8899999999994</v>
      </c>
      <c r="G48" s="375">
        <f>IF(F48&lt;0,ROUND(CUMIPMT($G$11/12,12,-F48,1,12,0),0),-ROUND(CUMIPMT($G$11/12,12,F48,1,12,0),0))</f>
        <v>287</v>
      </c>
      <c r="H48" s="381">
        <f>ROUND(+F48+G48,0)</f>
        <v>7272</v>
      </c>
      <c r="I48" s="384"/>
      <c r="J48" s="366">
        <f>+H48</f>
        <v>7272</v>
      </c>
      <c r="K48" s="384"/>
      <c r="L48" s="366"/>
      <c r="M48" s="407"/>
      <c r="N48" s="366"/>
      <c r="O48" s="375"/>
      <c r="Q48" s="384"/>
      <c r="R48" s="384"/>
      <c r="S48" s="401"/>
    </row>
    <row r="49" spans="1:19" x14ac:dyDescent="0.25">
      <c r="A49" s="370">
        <f t="shared" si="0"/>
        <v>37</v>
      </c>
      <c r="C49" s="366"/>
      <c r="D49" s="366"/>
      <c r="E49" s="366"/>
      <c r="F49" s="366"/>
      <c r="G49" s="375"/>
      <c r="H49" s="366"/>
      <c r="I49" s="384"/>
      <c r="J49" s="366"/>
      <c r="K49" s="384"/>
      <c r="L49" s="366"/>
      <c r="M49" s="407"/>
      <c r="N49" s="366"/>
      <c r="O49" s="375"/>
      <c r="Q49" s="384"/>
      <c r="R49" s="384"/>
      <c r="S49" s="401"/>
    </row>
    <row r="50" spans="1:19" x14ac:dyDescent="0.25">
      <c r="A50" s="370">
        <f t="shared" si="0"/>
        <v>38</v>
      </c>
      <c r="B50" s="356" t="s">
        <v>342</v>
      </c>
      <c r="C50" s="377">
        <f>'[53]151914 Rate Mitigation Amort'!I223</f>
        <v>5025.4758480155888</v>
      </c>
      <c r="D50" s="377">
        <f>SUM('[53]151914 Rate Mitigation Amort'!D224:D225)</f>
        <v>-926.49</v>
      </c>
      <c r="E50" s="377">
        <f>SUM('[53]151914 Rate Mitigation Amort'!G224:G225)</f>
        <v>34.39</v>
      </c>
      <c r="F50" s="366">
        <f>SUM(C50:E50)</f>
        <v>4133.3758480155893</v>
      </c>
      <c r="G50" s="408">
        <f>'[53]151914 Rate Mitigation Amort'!F223</f>
        <v>4.5699999999999998E-2</v>
      </c>
      <c r="H50" s="377"/>
      <c r="I50" s="384"/>
      <c r="J50" s="366"/>
      <c r="K50" s="384"/>
      <c r="L50" s="366"/>
      <c r="M50" s="407"/>
      <c r="N50" s="366"/>
      <c r="O50" s="375"/>
      <c r="Q50" s="384"/>
      <c r="R50" s="384"/>
      <c r="S50" s="401"/>
    </row>
    <row r="51" spans="1:19" x14ac:dyDescent="0.25">
      <c r="A51" s="370">
        <f t="shared" si="0"/>
        <v>39</v>
      </c>
      <c r="C51" s="381">
        <f>SUM(C46:C50)</f>
        <v>23395.455848015583</v>
      </c>
      <c r="D51" s="381">
        <f>SUM(D50)</f>
        <v>-926.49</v>
      </c>
      <c r="E51" s="381">
        <f>SUM(E46:E50)</f>
        <v>228.43000000000006</v>
      </c>
      <c r="F51" s="381">
        <f>SUM(F46:F50)</f>
        <v>18103.155848015587</v>
      </c>
      <c r="G51" s="375">
        <f>IF(F51&lt;0,ROUND(CUMIPMT($G$50/12,12,-F51,1,12,0),0),-ROUND(CUMIPMT($G$50/12,12,F51,1,12,0),0))</f>
        <v>451</v>
      </c>
      <c r="H51" s="381">
        <f>ROUND(+F51+G51,0)</f>
        <v>18554</v>
      </c>
      <c r="I51" s="384"/>
      <c r="J51" s="366">
        <f>+H51</f>
        <v>18554</v>
      </c>
      <c r="K51" s="384"/>
      <c r="L51" s="366"/>
      <c r="M51" s="383"/>
      <c r="N51" s="366"/>
      <c r="O51" s="375"/>
      <c r="Q51" s="384"/>
      <c r="R51" s="384"/>
      <c r="S51" s="401"/>
    </row>
    <row r="52" spans="1:19" x14ac:dyDescent="0.25">
      <c r="A52" s="370">
        <f t="shared" si="0"/>
        <v>40</v>
      </c>
      <c r="C52" s="366"/>
      <c r="D52" s="366"/>
      <c r="E52" s="366"/>
      <c r="F52" s="366"/>
      <c r="G52" s="375"/>
      <c r="H52" s="366"/>
      <c r="I52" s="384"/>
      <c r="J52" s="366"/>
      <c r="K52" s="384"/>
      <c r="L52" s="366"/>
      <c r="M52" s="383"/>
      <c r="N52" s="366"/>
      <c r="O52" s="375"/>
      <c r="Q52" s="384"/>
      <c r="R52" s="384"/>
      <c r="S52" s="401"/>
    </row>
    <row r="53" spans="1:19" hidden="1" x14ac:dyDescent="0.25">
      <c r="A53" s="370">
        <f t="shared" si="0"/>
        <v>41</v>
      </c>
      <c r="B53" s="356" t="s">
        <v>343</v>
      </c>
      <c r="C53" s="399">
        <f>'[53]151884 Participatory Fund Defer'!J222</f>
        <v>0</v>
      </c>
      <c r="D53" s="399">
        <v>0</v>
      </c>
      <c r="E53" s="399">
        <f>SUM('[53]151884 Participatory Fund Defer'!G223:G224)</f>
        <v>0</v>
      </c>
      <c r="F53" s="404">
        <f>SUM(C53:E53)</f>
        <v>0</v>
      </c>
      <c r="G53" s="379"/>
      <c r="H53" s="377"/>
      <c r="I53" s="384"/>
      <c r="J53" s="366"/>
      <c r="K53" s="384"/>
      <c r="L53" s="366"/>
      <c r="M53" s="407"/>
      <c r="N53" s="366"/>
      <c r="O53" s="375"/>
      <c r="Q53" s="384"/>
      <c r="R53" s="384"/>
      <c r="S53" s="401"/>
    </row>
    <row r="54" spans="1:19" hidden="1" x14ac:dyDescent="0.25">
      <c r="A54" s="370">
        <f t="shared" si="0"/>
        <v>42</v>
      </c>
      <c r="C54" s="409">
        <f>SUM(C53)</f>
        <v>0</v>
      </c>
      <c r="D54" s="409">
        <f>SUM(D53)</f>
        <v>0</v>
      </c>
      <c r="E54" s="409">
        <f>SUM(E53)</f>
        <v>0</v>
      </c>
      <c r="F54" s="409">
        <f>SUM(F53)</f>
        <v>0</v>
      </c>
      <c r="G54" s="410">
        <v>0</v>
      </c>
      <c r="H54" s="409">
        <f>ROUND(+F54+G54,0)</f>
        <v>0</v>
      </c>
      <c r="I54" s="384"/>
      <c r="J54" s="366">
        <f>+H54</f>
        <v>0</v>
      </c>
      <c r="K54" s="384"/>
      <c r="L54" s="366"/>
      <c r="M54" s="383"/>
      <c r="N54" s="366"/>
      <c r="O54" s="375"/>
      <c r="Q54" s="384"/>
      <c r="R54" s="384"/>
      <c r="S54" s="401"/>
    </row>
    <row r="55" spans="1:19" hidden="1" x14ac:dyDescent="0.25">
      <c r="A55" s="370">
        <f t="shared" si="0"/>
        <v>43</v>
      </c>
      <c r="C55" s="366"/>
      <c r="D55" s="366"/>
      <c r="E55" s="366"/>
      <c r="F55" s="366"/>
      <c r="G55" s="375"/>
      <c r="H55" s="366"/>
      <c r="I55" s="384"/>
      <c r="J55" s="366"/>
      <c r="K55" s="384"/>
      <c r="L55" s="366"/>
      <c r="M55" s="383"/>
      <c r="N55" s="366"/>
      <c r="O55" s="375"/>
      <c r="Q55" s="384"/>
      <c r="R55" s="384"/>
      <c r="S55" s="401"/>
    </row>
    <row r="56" spans="1:19" hidden="1" x14ac:dyDescent="0.25">
      <c r="A56" s="370">
        <f t="shared" si="0"/>
        <v>44</v>
      </c>
      <c r="B56" s="356" t="s">
        <v>344</v>
      </c>
      <c r="C56" s="377">
        <f>'[53]151823 Demand Response Defer'!J221</f>
        <v>136996.75999999998</v>
      </c>
      <c r="D56" s="399">
        <v>0</v>
      </c>
      <c r="E56" s="377">
        <f>SUM('[53]151823 Demand Response Defer'!G222:G223)</f>
        <v>1074.56</v>
      </c>
      <c r="F56" s="366">
        <f>SUM(C56:E56)</f>
        <v>138071.31999999998</v>
      </c>
      <c r="G56" s="379"/>
      <c r="H56" s="377"/>
      <c r="I56" s="384"/>
      <c r="J56" s="366"/>
      <c r="K56" s="384"/>
      <c r="L56" s="366"/>
      <c r="M56" s="383"/>
      <c r="N56" s="366"/>
      <c r="O56" s="375"/>
      <c r="Q56" s="384"/>
      <c r="R56" s="384"/>
      <c r="S56" s="401"/>
    </row>
    <row r="57" spans="1:19" hidden="1" x14ac:dyDescent="0.25">
      <c r="A57" s="370">
        <f t="shared" si="0"/>
        <v>45</v>
      </c>
      <c r="C57" s="381">
        <f>SUM(C56)</f>
        <v>136996.75999999998</v>
      </c>
      <c r="D57" s="409">
        <f>SUM(D56)</f>
        <v>0</v>
      </c>
      <c r="E57" s="381">
        <f>SUM(E56)</f>
        <v>1074.56</v>
      </c>
      <c r="F57" s="381">
        <f>SUM(F56)</f>
        <v>138071.31999999998</v>
      </c>
      <c r="G57" s="410">
        <v>0</v>
      </c>
      <c r="H57" s="381">
        <f>ROUND(+F57+G57,0)</f>
        <v>138071</v>
      </c>
      <c r="I57" s="384"/>
      <c r="J57" s="366">
        <f>+H57</f>
        <v>138071</v>
      </c>
      <c r="K57" s="384"/>
      <c r="L57" s="366"/>
      <c r="M57" s="383"/>
      <c r="N57" s="366"/>
      <c r="O57" s="375"/>
      <c r="Q57" s="384"/>
      <c r="R57" s="384"/>
      <c r="S57" s="401"/>
    </row>
    <row r="58" spans="1:19" hidden="1" x14ac:dyDescent="0.25">
      <c r="A58" s="370">
        <f t="shared" si="0"/>
        <v>46</v>
      </c>
      <c r="C58" s="366"/>
      <c r="D58" s="366"/>
      <c r="E58" s="366"/>
      <c r="F58" s="366"/>
      <c r="G58" s="375"/>
      <c r="H58" s="366"/>
      <c r="I58" s="384"/>
      <c r="J58" s="366"/>
      <c r="K58" s="384"/>
      <c r="L58" s="366"/>
      <c r="M58" s="383"/>
      <c r="N58" s="366"/>
      <c r="O58" s="375"/>
      <c r="Q58" s="384"/>
      <c r="R58" s="384"/>
      <c r="S58" s="401"/>
    </row>
    <row r="59" spans="1:19" hidden="1" x14ac:dyDescent="0.25">
      <c r="A59" s="370">
        <f t="shared" si="0"/>
        <v>47</v>
      </c>
      <c r="C59" s="384"/>
      <c r="D59" s="366"/>
      <c r="E59" s="366"/>
      <c r="F59" s="366"/>
      <c r="G59" s="384"/>
      <c r="H59" s="384"/>
      <c r="I59" s="384"/>
      <c r="J59" s="384"/>
      <c r="K59" s="384"/>
      <c r="L59" s="366"/>
      <c r="M59" s="383"/>
      <c r="N59" s="366"/>
      <c r="O59" s="375"/>
      <c r="Q59" s="384"/>
      <c r="R59" s="384"/>
      <c r="S59" s="401"/>
    </row>
    <row r="60" spans="1:19" ht="13" hidden="1" thickBot="1" x14ac:dyDescent="0.3">
      <c r="A60" s="370">
        <f t="shared" si="0"/>
        <v>48</v>
      </c>
      <c r="B60" s="355" t="s">
        <v>345</v>
      </c>
      <c r="C60" s="411">
        <f>+C34+C29+C24+C16+C20+C40+C44+C48+C51+C54+C57</f>
        <v>-13552195.130918669</v>
      </c>
      <c r="D60" s="411">
        <f t="shared" ref="D60:H60" si="1">+D34+D29+D24+D16+D20+D40+D44+D48+D51+D54+D57</f>
        <v>240433.10999999996</v>
      </c>
      <c r="E60" s="411">
        <f t="shared" si="1"/>
        <v>-142093.39000000001</v>
      </c>
      <c r="F60" s="411">
        <f t="shared" si="1"/>
        <v>-13458449.650918668</v>
      </c>
      <c r="G60" s="411">
        <f t="shared" si="1"/>
        <v>-558960</v>
      </c>
      <c r="H60" s="411">
        <f t="shared" si="1"/>
        <v>-14017410</v>
      </c>
      <c r="I60" s="384"/>
      <c r="J60" s="411">
        <f>SUM(J13:J59)</f>
        <v>-14017410</v>
      </c>
      <c r="K60" s="384"/>
      <c r="L60" s="366"/>
      <c r="M60" s="366"/>
      <c r="N60" s="366"/>
      <c r="Q60" s="384"/>
      <c r="R60" s="366"/>
    </row>
    <row r="61" spans="1:19" hidden="1" x14ac:dyDescent="0.25">
      <c r="A61" s="370">
        <f t="shared" si="0"/>
        <v>49</v>
      </c>
      <c r="C61" s="384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</row>
    <row r="62" spans="1:19" hidden="1" x14ac:dyDescent="0.25">
      <c r="A62" s="370">
        <f t="shared" si="0"/>
        <v>50</v>
      </c>
      <c r="B62" s="412" t="s">
        <v>196</v>
      </c>
      <c r="C62" s="384"/>
      <c r="D62" s="366"/>
      <c r="E62" s="366"/>
      <c r="F62" s="366"/>
      <c r="G62" s="366"/>
      <c r="H62" s="372"/>
      <c r="I62" s="366"/>
      <c r="J62" s="366"/>
      <c r="K62" s="366"/>
      <c r="L62" s="366"/>
      <c r="M62" s="366"/>
      <c r="N62" s="366"/>
    </row>
    <row r="63" spans="1:19" hidden="1" x14ac:dyDescent="0.25">
      <c r="A63" s="370">
        <f t="shared" si="0"/>
        <v>51</v>
      </c>
      <c r="B63" s="413"/>
      <c r="C63" s="384"/>
      <c r="D63" s="366"/>
      <c r="E63" s="366"/>
      <c r="F63" s="366"/>
      <c r="G63" s="366"/>
      <c r="H63" s="366"/>
      <c r="I63" s="366"/>
      <c r="J63" s="366"/>
      <c r="K63" s="366"/>
      <c r="L63" s="366"/>
      <c r="O63" s="366"/>
      <c r="P63" s="366"/>
    </row>
    <row r="64" spans="1:19" x14ac:dyDescent="0.25">
      <c r="A64" s="370"/>
      <c r="C64" s="414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O64" s="366"/>
      <c r="P64" s="366"/>
    </row>
    <row r="65" spans="1:16" x14ac:dyDescent="0.25">
      <c r="A65" s="370"/>
      <c r="C65" s="415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</row>
    <row r="66" spans="1:16" x14ac:dyDescent="0.25">
      <c r="A66" s="368"/>
      <c r="C66" s="41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</row>
    <row r="67" spans="1:16" x14ac:dyDescent="0.25">
      <c r="A67" s="368"/>
      <c r="C67" s="415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</row>
    <row r="68" spans="1:16" x14ac:dyDescent="0.25">
      <c r="C68" s="415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</row>
    <row r="69" spans="1:16" x14ac:dyDescent="0.25">
      <c r="B69" s="416"/>
      <c r="C69" s="415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</row>
    <row r="70" spans="1:16" x14ac:dyDescent="0.25">
      <c r="B70" s="416"/>
      <c r="C70" s="415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</row>
    <row r="71" spans="1:16" x14ac:dyDescent="0.25">
      <c r="B71" s="416"/>
      <c r="C71" s="415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</row>
    <row r="72" spans="1:16" x14ac:dyDescent="0.25">
      <c r="B72" s="416"/>
      <c r="C72" s="415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</row>
    <row r="73" spans="1:16" x14ac:dyDescent="0.25">
      <c r="B73" s="416"/>
      <c r="C73" s="415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</row>
    <row r="74" spans="1:16" x14ac:dyDescent="0.25">
      <c r="B74" s="416"/>
      <c r="C74" s="415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</row>
    <row r="75" spans="1:16" x14ac:dyDescent="0.25">
      <c r="B75" s="416"/>
      <c r="C75" s="415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</row>
    <row r="76" spans="1:16" x14ac:dyDescent="0.25">
      <c r="B76" s="41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</row>
    <row r="77" spans="1:16" x14ac:dyDescent="0.25">
      <c r="B77" s="41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</row>
    <row r="78" spans="1:16" x14ac:dyDescent="0.25">
      <c r="B78" s="41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</row>
    <row r="79" spans="1:16" x14ac:dyDescent="0.25">
      <c r="B79" s="41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</row>
    <row r="80" spans="1:16" x14ac:dyDescent="0.25">
      <c r="B80" s="41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</row>
    <row r="81" spans="2:2" x14ac:dyDescent="0.25">
      <c r="B81" s="416"/>
    </row>
    <row r="82" spans="2:2" x14ac:dyDescent="0.25">
      <c r="B82" s="416"/>
    </row>
    <row r="83" spans="2:2" x14ac:dyDescent="0.25">
      <c r="B83" s="417"/>
    </row>
    <row r="84" spans="2:2" x14ac:dyDescent="0.25">
      <c r="B84" s="416"/>
    </row>
    <row r="85" spans="2:2" x14ac:dyDescent="0.25">
      <c r="B85" s="416"/>
    </row>
    <row r="86" spans="2:2" x14ac:dyDescent="0.25">
      <c r="B86" s="416"/>
    </row>
    <row r="87" spans="2:2" x14ac:dyDescent="0.25">
      <c r="B87" s="416"/>
    </row>
    <row r="88" spans="2:2" x14ac:dyDescent="0.25">
      <c r="B88" s="386"/>
    </row>
  </sheetData>
  <pageMargins left="0.5" right="0.5" top="0.5" bottom="0.25" header="0.25" footer="0.25"/>
  <pageSetup scale="45" orientation="landscape" r:id="rId1"/>
  <headerFooter alignWithMargins="0">
    <oddHeader xml:space="preserve">&amp;RUG-250711 - NWN WUTC Advice No. 25-06A
Exhibit A - Supporting Materials
Page &amp;P of &amp;N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9909-9948-4BE8-B263-5B52F9DEE09F}">
  <sheetPr>
    <tabColor theme="0" tint="-0.14999847407452621"/>
    <pageSetUpPr fitToPage="1"/>
  </sheetPr>
  <dimension ref="A1:K85"/>
  <sheetViews>
    <sheetView view="pageBreakPreview" zoomScaleNormal="100" zoomScaleSheetLayoutView="100" workbookViewId="0">
      <selection activeCell="F38" sqref="F38"/>
    </sheetView>
  </sheetViews>
  <sheetFormatPr defaultColWidth="8.453125" defaultRowHeight="12.5" outlineLevelRow="1" x14ac:dyDescent="0.25"/>
  <cols>
    <col min="1" max="1" width="6.1796875" style="211" customWidth="1"/>
    <col min="2" max="2" width="14.26953125" style="212" customWidth="1"/>
    <col min="3" max="3" width="11.1796875" style="212" customWidth="1"/>
    <col min="4" max="9" width="14.26953125" style="213" customWidth="1"/>
    <col min="10" max="19" width="14.26953125" style="212" customWidth="1"/>
    <col min="20" max="16384" width="8.453125" style="212"/>
  </cols>
  <sheetData>
    <row r="1" spans="1:11" x14ac:dyDescent="0.25">
      <c r="B1" s="212" t="s">
        <v>161</v>
      </c>
      <c r="D1" s="213" t="s">
        <v>162</v>
      </c>
    </row>
    <row r="2" spans="1:11" x14ac:dyDescent="0.25">
      <c r="B2" s="212" t="s">
        <v>163</v>
      </c>
      <c r="D2" s="213" t="s">
        <v>129</v>
      </c>
    </row>
    <row r="3" spans="1:11" x14ac:dyDescent="0.25">
      <c r="B3" s="212" t="s">
        <v>164</v>
      </c>
      <c r="D3" s="214" t="s">
        <v>165</v>
      </c>
    </row>
    <row r="4" spans="1:11" x14ac:dyDescent="0.25">
      <c r="B4" s="212" t="s">
        <v>166</v>
      </c>
      <c r="D4" s="215">
        <v>232050</v>
      </c>
    </row>
    <row r="8" spans="1:11" x14ac:dyDescent="0.25">
      <c r="A8" s="216">
        <v>1</v>
      </c>
      <c r="B8" s="212" t="s">
        <v>167</v>
      </c>
      <c r="G8" s="217"/>
    </row>
    <row r="9" spans="1:11" x14ac:dyDescent="0.25">
      <c r="A9" s="216">
        <f t="shared" ref="A9:A72" si="0">+A8+1</f>
        <v>2</v>
      </c>
      <c r="G9" s="217"/>
    </row>
    <row r="10" spans="1:11" x14ac:dyDescent="0.25">
      <c r="A10" s="216">
        <f t="shared" si="0"/>
        <v>3</v>
      </c>
      <c r="B10" s="218"/>
      <c r="C10" s="218"/>
      <c r="D10" s="217"/>
      <c r="E10" s="217"/>
      <c r="F10" s="217"/>
      <c r="G10" s="217"/>
      <c r="H10" s="217"/>
      <c r="I10" s="217"/>
    </row>
    <row r="11" spans="1:11" x14ac:dyDescent="0.25">
      <c r="A11" s="216">
        <f t="shared" si="0"/>
        <v>4</v>
      </c>
      <c r="B11" s="219" t="s">
        <v>168</v>
      </c>
      <c r="C11" s="219" t="s">
        <v>169</v>
      </c>
      <c r="D11" s="220" t="s">
        <v>170</v>
      </c>
      <c r="E11" s="220" t="s">
        <v>171</v>
      </c>
      <c r="F11" s="220" t="s">
        <v>172</v>
      </c>
      <c r="G11" s="220" t="s">
        <v>173</v>
      </c>
      <c r="H11" s="220" t="s">
        <v>174</v>
      </c>
      <c r="I11" s="220" t="s">
        <v>175</v>
      </c>
    </row>
    <row r="12" spans="1:11" x14ac:dyDescent="0.25">
      <c r="A12" s="216">
        <f t="shared" si="0"/>
        <v>5</v>
      </c>
      <c r="B12" s="218" t="s">
        <v>176</v>
      </c>
      <c r="C12" s="218" t="s">
        <v>177</v>
      </c>
      <c r="D12" s="217" t="s">
        <v>178</v>
      </c>
      <c r="E12" s="217" t="s">
        <v>179</v>
      </c>
      <c r="F12" s="217" t="s">
        <v>180</v>
      </c>
      <c r="G12" s="217" t="s">
        <v>181</v>
      </c>
      <c r="H12" s="217" t="s">
        <v>182</v>
      </c>
      <c r="I12" s="217" t="s">
        <v>183</v>
      </c>
    </row>
    <row r="13" spans="1:11" x14ac:dyDescent="0.25">
      <c r="A13" s="216">
        <f t="shared" si="0"/>
        <v>6</v>
      </c>
      <c r="G13" s="217"/>
    </row>
    <row r="14" spans="1:11" x14ac:dyDescent="0.25">
      <c r="A14" s="216">
        <f t="shared" si="0"/>
        <v>7</v>
      </c>
      <c r="B14" s="221" t="s">
        <v>184</v>
      </c>
    </row>
    <row r="15" spans="1:11" hidden="1" outlineLevel="1" x14ac:dyDescent="0.25">
      <c r="A15" s="216">
        <f t="shared" si="0"/>
        <v>8</v>
      </c>
      <c r="B15" s="212">
        <v>41425</v>
      </c>
      <c r="C15" s="222">
        <v>1</v>
      </c>
      <c r="D15" s="213">
        <v>-161597</v>
      </c>
      <c r="E15" s="223"/>
      <c r="F15" s="223"/>
      <c r="G15" s="223"/>
      <c r="H15" s="213">
        <f t="shared" ref="H15:H21" si="1">SUM(G15,D15,E15)</f>
        <v>-161597</v>
      </c>
      <c r="I15" s="223">
        <f>+H15</f>
        <v>-161597</v>
      </c>
      <c r="J15" s="224"/>
      <c r="K15" s="224"/>
    </row>
    <row r="16" spans="1:11" hidden="1" outlineLevel="1" x14ac:dyDescent="0.25">
      <c r="A16" s="216">
        <f t="shared" si="0"/>
        <v>9</v>
      </c>
      <c r="B16" s="212">
        <f>+B15+30</f>
        <v>41455</v>
      </c>
      <c r="D16" s="213">
        <v>0</v>
      </c>
      <c r="E16" s="223"/>
      <c r="F16" s="225"/>
      <c r="G16" s="226"/>
      <c r="H16" s="213">
        <f t="shared" si="1"/>
        <v>0</v>
      </c>
      <c r="I16" s="226">
        <f t="shared" ref="I16:I21" si="2">+I15+H16</f>
        <v>-161597</v>
      </c>
      <c r="J16" s="224"/>
      <c r="K16" s="224"/>
    </row>
    <row r="17" spans="1:11" hidden="1" outlineLevel="1" x14ac:dyDescent="0.25">
      <c r="A17" s="216">
        <f t="shared" si="0"/>
        <v>10</v>
      </c>
      <c r="B17" s="212">
        <f>+B16+31</f>
        <v>41486</v>
      </c>
      <c r="D17" s="213">
        <v>0</v>
      </c>
      <c r="E17" s="223"/>
      <c r="F17" s="225"/>
      <c r="G17" s="226"/>
      <c r="H17" s="213">
        <f t="shared" si="1"/>
        <v>0</v>
      </c>
      <c r="I17" s="226">
        <f t="shared" si="2"/>
        <v>-161597</v>
      </c>
      <c r="J17" s="224"/>
      <c r="K17" s="224"/>
    </row>
    <row r="18" spans="1:11" hidden="1" outlineLevel="1" x14ac:dyDescent="0.25">
      <c r="A18" s="216">
        <f t="shared" si="0"/>
        <v>11</v>
      </c>
      <c r="B18" s="212">
        <f>+B17+30</f>
        <v>41516</v>
      </c>
      <c r="D18" s="213">
        <v>0</v>
      </c>
      <c r="E18" s="223"/>
      <c r="F18" s="225"/>
      <c r="G18" s="226"/>
      <c r="H18" s="213">
        <f t="shared" si="1"/>
        <v>0</v>
      </c>
      <c r="I18" s="226">
        <f t="shared" si="2"/>
        <v>-161597</v>
      </c>
      <c r="J18" s="224"/>
      <c r="K18" s="224"/>
    </row>
    <row r="19" spans="1:11" hidden="1" outlineLevel="1" x14ac:dyDescent="0.25">
      <c r="A19" s="216">
        <f t="shared" si="0"/>
        <v>12</v>
      </c>
      <c r="B19" s="212">
        <f>+B18+30</f>
        <v>41546</v>
      </c>
      <c r="D19" s="213">
        <v>0</v>
      </c>
      <c r="E19" s="223"/>
      <c r="F19" s="225"/>
      <c r="G19" s="226"/>
      <c r="H19" s="213">
        <f t="shared" si="1"/>
        <v>0</v>
      </c>
      <c r="I19" s="226">
        <f t="shared" si="2"/>
        <v>-161597</v>
      </c>
      <c r="J19" s="224"/>
      <c r="K19" s="224"/>
    </row>
    <row r="20" spans="1:11" hidden="1" outlineLevel="1" x14ac:dyDescent="0.25">
      <c r="A20" s="216">
        <f t="shared" si="0"/>
        <v>13</v>
      </c>
      <c r="B20" s="212">
        <f>+B19+31</f>
        <v>41577</v>
      </c>
      <c r="C20" s="222">
        <v>2</v>
      </c>
      <c r="D20" s="213">
        <v>-72734</v>
      </c>
      <c r="E20" s="223"/>
      <c r="F20" s="225"/>
      <c r="G20" s="226"/>
      <c r="H20" s="213">
        <f t="shared" si="1"/>
        <v>-72734</v>
      </c>
      <c r="I20" s="226">
        <f t="shared" si="2"/>
        <v>-234331</v>
      </c>
      <c r="J20" s="224"/>
      <c r="K20" s="224"/>
    </row>
    <row r="21" spans="1:11" hidden="1" outlineLevel="1" x14ac:dyDescent="0.25">
      <c r="A21" s="216">
        <f t="shared" si="0"/>
        <v>14</v>
      </c>
      <c r="B21" s="212">
        <f>+B20+30</f>
        <v>41607</v>
      </c>
      <c r="C21" s="222"/>
      <c r="D21" s="213">
        <v>0</v>
      </c>
      <c r="E21" s="223">
        <f>-I20</f>
        <v>234331</v>
      </c>
      <c r="F21" s="225"/>
      <c r="G21" s="226"/>
      <c r="H21" s="213">
        <f t="shared" si="1"/>
        <v>234331</v>
      </c>
      <c r="I21" s="226">
        <f t="shared" si="2"/>
        <v>0</v>
      </c>
      <c r="J21" s="224"/>
      <c r="K21" s="224"/>
    </row>
    <row r="22" spans="1:11" hidden="1" outlineLevel="1" x14ac:dyDescent="0.25">
      <c r="A22" s="216">
        <f t="shared" si="0"/>
        <v>15</v>
      </c>
      <c r="C22" s="222"/>
      <c r="E22" s="223"/>
      <c r="F22" s="225"/>
      <c r="G22" s="226"/>
      <c r="I22" s="226"/>
      <c r="J22" s="224"/>
      <c r="K22" s="224"/>
    </row>
    <row r="23" spans="1:11" hidden="1" outlineLevel="1" x14ac:dyDescent="0.25">
      <c r="A23" s="216">
        <f t="shared" si="0"/>
        <v>16</v>
      </c>
      <c r="C23" s="222"/>
      <c r="E23" s="223"/>
      <c r="F23" s="225"/>
      <c r="G23" s="226"/>
      <c r="I23" s="226"/>
      <c r="J23" s="224"/>
      <c r="K23" s="224"/>
    </row>
    <row r="24" spans="1:11" hidden="1" outlineLevel="1" x14ac:dyDescent="0.25">
      <c r="A24" s="216">
        <f t="shared" si="0"/>
        <v>17</v>
      </c>
      <c r="C24" s="222"/>
      <c r="E24" s="223"/>
      <c r="F24" s="225"/>
      <c r="G24" s="226"/>
      <c r="I24" s="226"/>
      <c r="J24" s="224"/>
      <c r="K24" s="224"/>
    </row>
    <row r="25" spans="1:11" hidden="1" outlineLevel="1" x14ac:dyDescent="0.25">
      <c r="A25" s="216">
        <f t="shared" si="0"/>
        <v>18</v>
      </c>
      <c r="C25" s="222"/>
      <c r="E25" s="223"/>
      <c r="F25" s="225"/>
      <c r="G25" s="226"/>
      <c r="I25" s="226"/>
      <c r="J25" s="224"/>
      <c r="K25" s="224"/>
    </row>
    <row r="26" spans="1:11" hidden="1" outlineLevel="1" x14ac:dyDescent="0.25">
      <c r="A26" s="216">
        <f t="shared" si="0"/>
        <v>19</v>
      </c>
      <c r="C26" s="222"/>
      <c r="E26" s="223"/>
      <c r="F26" s="225"/>
      <c r="G26" s="226"/>
      <c r="I26" s="226"/>
      <c r="J26" s="224"/>
      <c r="K26" s="224"/>
    </row>
    <row r="27" spans="1:11" hidden="1" outlineLevel="1" x14ac:dyDescent="0.25">
      <c r="A27" s="216">
        <f t="shared" si="0"/>
        <v>20</v>
      </c>
      <c r="C27" s="222"/>
      <c r="E27" s="223"/>
      <c r="F27" s="225"/>
      <c r="G27" s="226"/>
      <c r="I27" s="226"/>
      <c r="J27" s="224"/>
      <c r="K27" s="224"/>
    </row>
    <row r="28" spans="1:11" hidden="1" outlineLevel="1" collapsed="1" x14ac:dyDescent="0.25">
      <c r="A28" s="216">
        <f t="shared" si="0"/>
        <v>21</v>
      </c>
      <c r="B28" s="227">
        <v>44501</v>
      </c>
      <c r="C28" s="222">
        <v>1</v>
      </c>
      <c r="D28" s="213">
        <v>14188.16</v>
      </c>
      <c r="E28" s="213">
        <v>-419663.31</v>
      </c>
      <c r="F28" s="228">
        <v>3.2500000000000001E-2</v>
      </c>
      <c r="G28" s="229">
        <f t="shared" ref="G28" si="3">ROUND((+I27+E28+(D28/2))*F28/12,2)</f>
        <v>-1117.3699999999999</v>
      </c>
      <c r="H28" s="230">
        <f>E28+D28+G28</f>
        <v>-406592.52</v>
      </c>
      <c r="I28" s="229">
        <f>+I27+H28</f>
        <v>-406592.52</v>
      </c>
    </row>
    <row r="29" spans="1:11" hidden="1" outlineLevel="1" x14ac:dyDescent="0.25">
      <c r="A29" s="216">
        <f t="shared" si="0"/>
        <v>22</v>
      </c>
      <c r="B29" s="227">
        <v>44531</v>
      </c>
      <c r="C29" s="231"/>
      <c r="D29" s="213">
        <v>54426.090000000018</v>
      </c>
      <c r="F29" s="228">
        <v>3.2500000000000001E-2</v>
      </c>
      <c r="G29" s="232">
        <f>ROUND((+I28+E29+(D29/2))*F29/12,2)</f>
        <v>-1027.49</v>
      </c>
      <c r="H29" s="230">
        <f>E29+D29+G29</f>
        <v>53398.60000000002</v>
      </c>
      <c r="I29" s="229">
        <f>+I28+H29</f>
        <v>-353193.92</v>
      </c>
    </row>
    <row r="30" spans="1:11" hidden="1" outlineLevel="1" x14ac:dyDescent="0.25">
      <c r="A30" s="216">
        <f t="shared" si="0"/>
        <v>23</v>
      </c>
      <c r="B30" s="227">
        <v>44562</v>
      </c>
      <c r="C30" s="231"/>
      <c r="D30" s="213">
        <v>79643.350000000006</v>
      </c>
      <c r="F30" s="228">
        <v>3.2500000000000001E-2</v>
      </c>
      <c r="G30" s="232">
        <f t="shared" ref="G30:G78" si="4">ROUND((+I29+E30+(D30/2))*F30/12,2)</f>
        <v>-848.72</v>
      </c>
      <c r="H30" s="230">
        <f t="shared" ref="H30:H78" si="5">E30+D30+G30</f>
        <v>78794.63</v>
      </c>
      <c r="I30" s="229">
        <f t="shared" ref="I30:I78" si="6">+I29+H30</f>
        <v>-274399.28999999998</v>
      </c>
    </row>
    <row r="31" spans="1:11" hidden="1" outlineLevel="1" x14ac:dyDescent="0.25">
      <c r="A31" s="216">
        <f t="shared" si="0"/>
        <v>24</v>
      </c>
      <c r="B31" s="227">
        <v>44593</v>
      </c>
      <c r="C31" s="231"/>
      <c r="D31" s="213">
        <v>64007.850000000013</v>
      </c>
      <c r="F31" s="228">
        <v>3.2500000000000001E-2</v>
      </c>
      <c r="G31" s="232">
        <f t="shared" si="4"/>
        <v>-656.49</v>
      </c>
      <c r="H31" s="230">
        <f t="shared" si="5"/>
        <v>63351.360000000015</v>
      </c>
      <c r="I31" s="229">
        <f t="shared" si="6"/>
        <v>-211047.92999999996</v>
      </c>
    </row>
    <row r="32" spans="1:11" hidden="1" outlineLevel="1" x14ac:dyDescent="0.25">
      <c r="A32" s="216">
        <f t="shared" si="0"/>
        <v>25</v>
      </c>
      <c r="B32" s="227">
        <v>44621</v>
      </c>
      <c r="C32" s="231"/>
      <c r="D32" s="213">
        <v>54558.48000000001</v>
      </c>
      <c r="F32" s="228">
        <v>3.2500000000000001E-2</v>
      </c>
      <c r="G32" s="232">
        <f t="shared" si="4"/>
        <v>-497.71</v>
      </c>
      <c r="H32" s="230">
        <f t="shared" si="5"/>
        <v>54060.770000000011</v>
      </c>
      <c r="I32" s="229">
        <f t="shared" si="6"/>
        <v>-156987.15999999995</v>
      </c>
    </row>
    <row r="33" spans="1:9" hidden="1" outlineLevel="1" x14ac:dyDescent="0.25">
      <c r="A33" s="216">
        <f t="shared" si="0"/>
        <v>26</v>
      </c>
      <c r="B33" s="227">
        <v>44652</v>
      </c>
      <c r="C33" s="231"/>
      <c r="D33" s="213">
        <v>40676.050000000003</v>
      </c>
      <c r="F33" s="228">
        <v>3.2500000000000001E-2</v>
      </c>
      <c r="G33" s="232">
        <f t="shared" si="4"/>
        <v>-370.09</v>
      </c>
      <c r="H33" s="230">
        <f t="shared" si="5"/>
        <v>40305.960000000006</v>
      </c>
      <c r="I33" s="229">
        <f t="shared" si="6"/>
        <v>-116681.19999999994</v>
      </c>
    </row>
    <row r="34" spans="1:9" hidden="1" outlineLevel="1" x14ac:dyDescent="0.25">
      <c r="A34" s="216">
        <f t="shared" si="0"/>
        <v>27</v>
      </c>
      <c r="B34" s="227">
        <v>44682</v>
      </c>
      <c r="C34" s="231"/>
      <c r="D34" s="213">
        <f>'[56]WA AMORT'!$AB$136</f>
        <v>35414.700000000019</v>
      </c>
      <c r="F34" s="228">
        <v>3.2500000000000001E-2</v>
      </c>
      <c r="G34" s="232">
        <f t="shared" si="4"/>
        <v>-268.05</v>
      </c>
      <c r="H34" s="230">
        <f t="shared" si="5"/>
        <v>35146.650000000016</v>
      </c>
      <c r="I34" s="229">
        <f t="shared" si="6"/>
        <v>-81534.54999999993</v>
      </c>
    </row>
    <row r="35" spans="1:9" hidden="1" outlineLevel="1" x14ac:dyDescent="0.25">
      <c r="A35" s="216">
        <f t="shared" si="0"/>
        <v>28</v>
      </c>
      <c r="B35" s="227">
        <v>44713</v>
      </c>
      <c r="C35" s="231"/>
      <c r="D35" s="213">
        <v>21638.289999999997</v>
      </c>
      <c r="F35" s="228">
        <v>3.2500000000000001E-2</v>
      </c>
      <c r="G35" s="232">
        <f t="shared" si="4"/>
        <v>-191.52</v>
      </c>
      <c r="H35" s="230">
        <f t="shared" si="5"/>
        <v>21446.769999999997</v>
      </c>
      <c r="I35" s="229">
        <f t="shared" si="6"/>
        <v>-60087.779999999933</v>
      </c>
    </row>
    <row r="36" spans="1:9" hidden="1" outlineLevel="1" x14ac:dyDescent="0.25">
      <c r="A36" s="216">
        <f t="shared" si="0"/>
        <v>29</v>
      </c>
      <c r="B36" s="227">
        <v>44743</v>
      </c>
      <c r="C36" s="231"/>
      <c r="D36" s="213">
        <v>14302.87</v>
      </c>
      <c r="F36" s="228">
        <v>3.5999999999999997E-2</v>
      </c>
      <c r="G36" s="232">
        <f t="shared" si="4"/>
        <v>-158.81</v>
      </c>
      <c r="H36" s="230">
        <f t="shared" si="5"/>
        <v>14144.060000000001</v>
      </c>
      <c r="I36" s="229">
        <f t="shared" si="6"/>
        <v>-45943.719999999928</v>
      </c>
    </row>
    <row r="37" spans="1:9" hidden="1" outlineLevel="1" x14ac:dyDescent="0.25">
      <c r="A37" s="216">
        <f t="shared" si="0"/>
        <v>30</v>
      </c>
      <c r="B37" s="227">
        <v>44774</v>
      </c>
      <c r="C37" s="231"/>
      <c r="D37" s="213">
        <v>10955.119999999995</v>
      </c>
      <c r="F37" s="228">
        <v>3.5999999999999997E-2</v>
      </c>
      <c r="G37" s="232">
        <f t="shared" si="4"/>
        <v>-121.4</v>
      </c>
      <c r="H37" s="230">
        <f t="shared" si="5"/>
        <v>10833.719999999996</v>
      </c>
      <c r="I37" s="229">
        <f t="shared" si="6"/>
        <v>-35109.999999999935</v>
      </c>
    </row>
    <row r="38" spans="1:9" ht="13" hidden="1" outlineLevel="1" x14ac:dyDescent="0.3">
      <c r="A38" s="216">
        <f t="shared" si="0"/>
        <v>31</v>
      </c>
      <c r="B38" s="227">
        <v>44805</v>
      </c>
      <c r="C38" s="233"/>
      <c r="D38" s="213">
        <v>11975.960000000003</v>
      </c>
      <c r="F38" s="228">
        <v>3.5999999999999997E-2</v>
      </c>
      <c r="G38" s="232">
        <f t="shared" si="4"/>
        <v>-87.37</v>
      </c>
      <c r="H38" s="230">
        <f t="shared" si="5"/>
        <v>11888.590000000002</v>
      </c>
      <c r="I38" s="229">
        <f t="shared" si="6"/>
        <v>-23221.409999999931</v>
      </c>
    </row>
    <row r="39" spans="1:9" ht="13" hidden="1" outlineLevel="1" x14ac:dyDescent="0.3">
      <c r="A39" s="216">
        <f t="shared" si="0"/>
        <v>32</v>
      </c>
      <c r="B39" s="227">
        <v>44835</v>
      </c>
      <c r="C39" s="233"/>
      <c r="D39" s="213">
        <v>13470.400000000001</v>
      </c>
      <c r="F39" s="228">
        <v>4.9099999999999998E-2</v>
      </c>
      <c r="G39" s="232">
        <f t="shared" si="4"/>
        <v>-67.459999999999994</v>
      </c>
      <c r="H39" s="230">
        <f t="shared" si="5"/>
        <v>13402.940000000002</v>
      </c>
      <c r="I39" s="229">
        <f t="shared" si="6"/>
        <v>-9818.4699999999284</v>
      </c>
    </row>
    <row r="40" spans="1:9" ht="13" hidden="1" outlineLevel="1" x14ac:dyDescent="0.3">
      <c r="A40" s="216">
        <f t="shared" si="0"/>
        <v>33</v>
      </c>
      <c r="B40" s="227">
        <v>44866</v>
      </c>
      <c r="C40" s="233" t="s">
        <v>185</v>
      </c>
      <c r="D40" s="213">
        <v>16660.630000000005</v>
      </c>
      <c r="F40" s="228">
        <v>4.9099999999999998E-2</v>
      </c>
      <c r="G40" s="232">
        <f t="shared" si="4"/>
        <v>-6.09</v>
      </c>
      <c r="H40" s="230">
        <f t="shared" si="5"/>
        <v>16654.540000000005</v>
      </c>
      <c r="I40" s="229">
        <f t="shared" si="6"/>
        <v>6836.0700000000761</v>
      </c>
    </row>
    <row r="41" spans="1:9" hidden="1" outlineLevel="1" collapsed="1" x14ac:dyDescent="0.25">
      <c r="A41" s="216">
        <f t="shared" si="0"/>
        <v>34</v>
      </c>
      <c r="B41" s="227">
        <v>44866</v>
      </c>
      <c r="C41" s="234">
        <v>2</v>
      </c>
      <c r="D41" s="213">
        <v>23064.32</v>
      </c>
      <c r="E41" s="213">
        <v>-458755.29</v>
      </c>
      <c r="F41" s="228">
        <v>4.9099999999999998E-2</v>
      </c>
      <c r="G41" s="232">
        <f>ROUND((+E41+(D41/2))*F41/12,2)</f>
        <v>-1829.89</v>
      </c>
      <c r="H41" s="230">
        <f t="shared" si="5"/>
        <v>-437520.86</v>
      </c>
      <c r="I41" s="229">
        <f t="shared" si="6"/>
        <v>-430684.78999999992</v>
      </c>
    </row>
    <row r="42" spans="1:9" hidden="1" outlineLevel="1" x14ac:dyDescent="0.25">
      <c r="A42" s="216">
        <f t="shared" si="0"/>
        <v>35</v>
      </c>
      <c r="B42" s="227">
        <v>44896</v>
      </c>
      <c r="C42" s="235"/>
      <c r="D42" s="213">
        <v>81258.11</v>
      </c>
      <c r="F42" s="228">
        <v>4.9099999999999998E-2</v>
      </c>
      <c r="G42" s="232">
        <f t="shared" si="4"/>
        <v>-1595.98</v>
      </c>
      <c r="H42" s="230">
        <f t="shared" si="5"/>
        <v>79662.13</v>
      </c>
      <c r="I42" s="229">
        <f t="shared" si="6"/>
        <v>-351022.65999999992</v>
      </c>
    </row>
    <row r="43" spans="1:9" hidden="1" outlineLevel="1" x14ac:dyDescent="0.25">
      <c r="A43" s="216">
        <f t="shared" si="0"/>
        <v>36</v>
      </c>
      <c r="B43" s="227">
        <v>44927</v>
      </c>
      <c r="C43" s="235"/>
      <c r="D43" s="213">
        <v>82716.810000000027</v>
      </c>
      <c r="F43" s="228">
        <v>6.3100000000000003E-2</v>
      </c>
      <c r="G43" s="232">
        <f t="shared" si="4"/>
        <v>-1628.32</v>
      </c>
      <c r="H43" s="230">
        <f t="shared" si="5"/>
        <v>81088.49000000002</v>
      </c>
      <c r="I43" s="229">
        <f t="shared" si="6"/>
        <v>-269934.16999999993</v>
      </c>
    </row>
    <row r="44" spans="1:9" hidden="1" outlineLevel="1" x14ac:dyDescent="0.25">
      <c r="A44" s="216">
        <f t="shared" si="0"/>
        <v>37</v>
      </c>
      <c r="B44" s="227">
        <v>44958</v>
      </c>
      <c r="C44" s="235"/>
      <c r="D44" s="213">
        <v>72312.680000000037</v>
      </c>
      <c r="F44" s="228">
        <v>6.3100000000000003E-2</v>
      </c>
      <c r="G44" s="232">
        <f t="shared" si="4"/>
        <v>-1229.28</v>
      </c>
      <c r="H44" s="230">
        <f t="shared" si="5"/>
        <v>71083.400000000038</v>
      </c>
      <c r="I44" s="229">
        <f t="shared" si="6"/>
        <v>-198850.7699999999</v>
      </c>
    </row>
    <row r="45" spans="1:9" hidden="1" outlineLevel="1" x14ac:dyDescent="0.25">
      <c r="A45" s="216">
        <f t="shared" si="0"/>
        <v>38</v>
      </c>
      <c r="B45" s="227">
        <v>44986</v>
      </c>
      <c r="C45" s="235"/>
      <c r="D45" s="213">
        <v>72855.939999999973</v>
      </c>
      <c r="F45" s="228">
        <v>6.3100000000000003E-2</v>
      </c>
      <c r="G45" s="232">
        <f t="shared" si="4"/>
        <v>-854.07</v>
      </c>
      <c r="H45" s="230">
        <f t="shared" si="5"/>
        <v>72001.869999999966</v>
      </c>
      <c r="I45" s="229">
        <f t="shared" si="6"/>
        <v>-126848.89999999994</v>
      </c>
    </row>
    <row r="46" spans="1:9" hidden="1" outlineLevel="1" x14ac:dyDescent="0.25">
      <c r="A46" s="216">
        <f t="shared" si="0"/>
        <v>39</v>
      </c>
      <c r="B46" s="227">
        <v>45017</v>
      </c>
      <c r="C46" s="235"/>
      <c r="D46" s="213">
        <v>53341.090000000004</v>
      </c>
      <c r="F46" s="228">
        <v>7.4999999999999997E-2</v>
      </c>
      <c r="G46" s="232">
        <f t="shared" si="4"/>
        <v>-626.11</v>
      </c>
      <c r="H46" s="230">
        <f t="shared" si="5"/>
        <v>52714.98</v>
      </c>
      <c r="I46" s="229">
        <f t="shared" si="6"/>
        <v>-74133.919999999925</v>
      </c>
    </row>
    <row r="47" spans="1:9" hidden="1" outlineLevel="1" x14ac:dyDescent="0.25">
      <c r="A47" s="216">
        <f t="shared" si="0"/>
        <v>40</v>
      </c>
      <c r="B47" s="227">
        <v>45047</v>
      </c>
      <c r="C47" s="235"/>
      <c r="D47" s="213">
        <v>30452.819999999996</v>
      </c>
      <c r="F47" s="228">
        <v>7.4999999999999997E-2</v>
      </c>
      <c r="G47" s="232">
        <f t="shared" si="4"/>
        <v>-368.17</v>
      </c>
      <c r="H47" s="230">
        <f t="shared" si="5"/>
        <v>30084.649999999998</v>
      </c>
      <c r="I47" s="229">
        <f t="shared" si="6"/>
        <v>-44049.269999999931</v>
      </c>
    </row>
    <row r="48" spans="1:9" hidden="1" outlineLevel="1" x14ac:dyDescent="0.25">
      <c r="A48" s="216">
        <f t="shared" si="0"/>
        <v>41</v>
      </c>
      <c r="B48" s="227">
        <v>45078</v>
      </c>
      <c r="C48" s="235"/>
      <c r="D48" s="213">
        <v>17631.29</v>
      </c>
      <c r="F48" s="228">
        <v>7.4999999999999997E-2</v>
      </c>
      <c r="G48" s="232">
        <f t="shared" si="4"/>
        <v>-220.21</v>
      </c>
      <c r="H48" s="230">
        <f t="shared" si="5"/>
        <v>17411.080000000002</v>
      </c>
      <c r="I48" s="229">
        <f t="shared" si="6"/>
        <v>-26638.18999999993</v>
      </c>
    </row>
    <row r="49" spans="1:9" hidden="1" outlineLevel="1" x14ac:dyDescent="0.25">
      <c r="A49" s="216">
        <f t="shared" si="0"/>
        <v>42</v>
      </c>
      <c r="B49" s="227">
        <v>45108</v>
      </c>
      <c r="C49" s="235"/>
      <c r="D49" s="213">
        <f>'[24]WA AMORT'!$AB$136</f>
        <v>14388.71</v>
      </c>
      <c r="F49" s="228">
        <v>8.0199999999999994E-2</v>
      </c>
      <c r="G49" s="232">
        <f t="shared" si="4"/>
        <v>-129.94999999999999</v>
      </c>
      <c r="H49" s="230">
        <f t="shared" si="5"/>
        <v>14258.759999999998</v>
      </c>
      <c r="I49" s="229">
        <f t="shared" si="6"/>
        <v>-12379.429999999931</v>
      </c>
    </row>
    <row r="50" spans="1:9" hidden="1" outlineLevel="1" x14ac:dyDescent="0.25">
      <c r="A50" s="216">
        <f t="shared" si="0"/>
        <v>43</v>
      </c>
      <c r="B50" s="227">
        <v>45139</v>
      </c>
      <c r="C50" s="235"/>
      <c r="D50" s="213">
        <v>12491.34</v>
      </c>
      <c r="F50" s="228">
        <v>8.0199999999999994E-2</v>
      </c>
      <c r="G50" s="232">
        <f t="shared" si="4"/>
        <v>-40.99</v>
      </c>
      <c r="H50" s="230">
        <f t="shared" si="5"/>
        <v>12450.35</v>
      </c>
      <c r="I50" s="229">
        <f t="shared" si="6"/>
        <v>70.920000000069194</v>
      </c>
    </row>
    <row r="51" spans="1:9" hidden="1" outlineLevel="1" x14ac:dyDescent="0.25">
      <c r="A51" s="216">
        <f t="shared" si="0"/>
        <v>44</v>
      </c>
      <c r="B51" s="227">
        <v>45170</v>
      </c>
      <c r="C51" s="235"/>
      <c r="D51" s="213">
        <v>13355.369999999999</v>
      </c>
      <c r="F51" s="228">
        <v>8.0199999999999994E-2</v>
      </c>
      <c r="G51" s="232">
        <f t="shared" si="4"/>
        <v>45.1</v>
      </c>
      <c r="H51" s="230">
        <f t="shared" si="5"/>
        <v>13400.47</v>
      </c>
      <c r="I51" s="229">
        <f t="shared" si="6"/>
        <v>13471.390000000069</v>
      </c>
    </row>
    <row r="52" spans="1:9" hidden="1" outlineLevel="1" x14ac:dyDescent="0.25">
      <c r="A52" s="216">
        <f t="shared" si="0"/>
        <v>45</v>
      </c>
      <c r="B52" s="227">
        <v>45200</v>
      </c>
      <c r="C52" s="235"/>
      <c r="D52" s="213">
        <v>17467.829999999998</v>
      </c>
      <c r="F52" s="228">
        <v>8.3500000000000005E-2</v>
      </c>
      <c r="G52" s="232">
        <f t="shared" si="4"/>
        <v>154.51</v>
      </c>
      <c r="H52" s="230">
        <f t="shared" si="5"/>
        <v>17622.339999999997</v>
      </c>
      <c r="I52" s="229">
        <f t="shared" si="6"/>
        <v>31093.730000000065</v>
      </c>
    </row>
    <row r="53" spans="1:9" hidden="1" outlineLevel="1" x14ac:dyDescent="0.25">
      <c r="A53" s="216">
        <f t="shared" si="0"/>
        <v>46</v>
      </c>
      <c r="B53" s="227">
        <v>45231</v>
      </c>
      <c r="C53" s="235" t="s">
        <v>185</v>
      </c>
      <c r="D53" s="213">
        <v>21603.120000000006</v>
      </c>
      <c r="F53" s="228">
        <v>8.3500000000000005E-2</v>
      </c>
      <c r="G53" s="232">
        <f t="shared" si="4"/>
        <v>291.52</v>
      </c>
      <c r="H53" s="230">
        <f t="shared" si="5"/>
        <v>21894.640000000007</v>
      </c>
      <c r="I53" s="229">
        <f t="shared" si="6"/>
        <v>52988.370000000068</v>
      </c>
    </row>
    <row r="54" spans="1:9" hidden="1" outlineLevel="1" collapsed="1" x14ac:dyDescent="0.25">
      <c r="A54" s="216">
        <f t="shared" si="0"/>
        <v>47</v>
      </c>
      <c r="B54" s="227">
        <v>45231</v>
      </c>
      <c r="C54" s="235" t="s">
        <v>186</v>
      </c>
      <c r="D54" s="213">
        <v>-1578.0900000000008</v>
      </c>
      <c r="E54" s="213">
        <v>-0.01</v>
      </c>
      <c r="F54" s="228">
        <v>8.3500000000000005E-2</v>
      </c>
      <c r="G54" s="232">
        <f>ROUND((+E54+(D54/2))*F54/12,2)</f>
        <v>-5.49</v>
      </c>
      <c r="H54" s="230">
        <f t="shared" si="5"/>
        <v>-1583.5900000000008</v>
      </c>
      <c r="I54" s="229">
        <f t="shared" si="6"/>
        <v>51404.780000000064</v>
      </c>
    </row>
    <row r="55" spans="1:9" hidden="1" outlineLevel="1" x14ac:dyDescent="0.25">
      <c r="A55" s="216">
        <f t="shared" si="0"/>
        <v>48</v>
      </c>
      <c r="B55" s="227">
        <v>45261</v>
      </c>
      <c r="C55" s="235"/>
      <c r="D55" s="213">
        <v>-6336.2699999999986</v>
      </c>
      <c r="F55" s="228">
        <v>8.3500000000000005E-2</v>
      </c>
      <c r="G55" s="232">
        <f t="shared" si="4"/>
        <v>335.65</v>
      </c>
      <c r="H55" s="230">
        <f t="shared" si="5"/>
        <v>-6000.619999999999</v>
      </c>
      <c r="I55" s="229">
        <f t="shared" si="6"/>
        <v>45404.160000000062</v>
      </c>
    </row>
    <row r="56" spans="1:9" hidden="1" outlineLevel="1" x14ac:dyDescent="0.25">
      <c r="A56" s="216">
        <f t="shared" si="0"/>
        <v>49</v>
      </c>
      <c r="B56" s="227">
        <v>45292</v>
      </c>
      <c r="C56" s="235"/>
      <c r="D56" s="213">
        <v>-7814.4299999999985</v>
      </c>
      <c r="F56" s="228">
        <v>8.5000000000000006E-2</v>
      </c>
      <c r="G56" s="232">
        <f t="shared" si="4"/>
        <v>293.94</v>
      </c>
      <c r="H56" s="230">
        <f t="shared" si="5"/>
        <v>-7520.4899999999989</v>
      </c>
      <c r="I56" s="229">
        <f t="shared" si="6"/>
        <v>37883.670000000064</v>
      </c>
    </row>
    <row r="57" spans="1:9" hidden="1" outlineLevel="1" x14ac:dyDescent="0.25">
      <c r="A57" s="216">
        <f t="shared" si="0"/>
        <v>50</v>
      </c>
      <c r="B57" s="227">
        <v>45323</v>
      </c>
      <c r="C57" s="235"/>
      <c r="D57" s="213">
        <v>-6901.7199999999993</v>
      </c>
      <c r="F57" s="228">
        <v>8.5000000000000006E-2</v>
      </c>
      <c r="G57" s="232">
        <f t="shared" si="4"/>
        <v>243.9</v>
      </c>
      <c r="H57" s="230">
        <f t="shared" si="5"/>
        <v>-6657.82</v>
      </c>
      <c r="I57" s="229">
        <f t="shared" si="6"/>
        <v>31225.850000000064</v>
      </c>
    </row>
    <row r="58" spans="1:9" hidden="1" outlineLevel="1" x14ac:dyDescent="0.25">
      <c r="A58" s="216">
        <f t="shared" si="0"/>
        <v>51</v>
      </c>
      <c r="B58" s="227">
        <v>45352</v>
      </c>
      <c r="C58" s="235"/>
      <c r="D58" s="213">
        <v>-5842.7100000000037</v>
      </c>
      <c r="F58" s="228">
        <v>8.5000000000000006E-2</v>
      </c>
      <c r="G58" s="232">
        <f t="shared" si="4"/>
        <v>200.49</v>
      </c>
      <c r="H58" s="230">
        <f t="shared" si="5"/>
        <v>-5642.2200000000039</v>
      </c>
      <c r="I58" s="229">
        <f t="shared" si="6"/>
        <v>25583.630000000059</v>
      </c>
    </row>
    <row r="59" spans="1:9" hidden="1" outlineLevel="1" x14ac:dyDescent="0.25">
      <c r="A59" s="216">
        <f t="shared" si="0"/>
        <v>52</v>
      </c>
      <c r="B59" s="227">
        <v>45383</v>
      </c>
      <c r="C59" s="235"/>
      <c r="D59" s="213">
        <v>-3918.9999999999991</v>
      </c>
      <c r="F59" s="228">
        <v>8.5000000000000006E-2</v>
      </c>
      <c r="G59" s="232">
        <f t="shared" si="4"/>
        <v>167.34</v>
      </c>
      <c r="H59" s="230">
        <f t="shared" si="5"/>
        <v>-3751.6599999999989</v>
      </c>
      <c r="I59" s="229">
        <f t="shared" si="6"/>
        <v>21831.970000000059</v>
      </c>
    </row>
    <row r="60" spans="1:9" hidden="1" outlineLevel="1" x14ac:dyDescent="0.25">
      <c r="A60" s="216">
        <f t="shared" si="0"/>
        <v>53</v>
      </c>
      <c r="B60" s="227">
        <v>45413</v>
      </c>
      <c r="C60" s="235"/>
      <c r="D60" s="213">
        <v>-3059.7499999999991</v>
      </c>
      <c r="F60" s="228">
        <v>8.5000000000000006E-2</v>
      </c>
      <c r="G60" s="232">
        <f t="shared" si="4"/>
        <v>143.81</v>
      </c>
      <c r="H60" s="230">
        <f t="shared" si="5"/>
        <v>-2915.9399999999991</v>
      </c>
      <c r="I60" s="229">
        <f t="shared" si="6"/>
        <v>18916.030000000061</v>
      </c>
    </row>
    <row r="61" spans="1:9" hidden="1" outlineLevel="1" x14ac:dyDescent="0.25">
      <c r="A61" s="216">
        <f t="shared" si="0"/>
        <v>54</v>
      </c>
      <c r="B61" s="227">
        <v>45444</v>
      </c>
      <c r="C61" s="235"/>
      <c r="D61" s="213">
        <v>-2103.69</v>
      </c>
      <c r="F61" s="228">
        <v>8.5000000000000006E-2</v>
      </c>
      <c r="G61" s="232">
        <f t="shared" si="4"/>
        <v>126.54</v>
      </c>
      <c r="H61" s="230">
        <f t="shared" si="5"/>
        <v>-1977.15</v>
      </c>
      <c r="I61" s="229">
        <f t="shared" si="6"/>
        <v>16938.880000000059</v>
      </c>
    </row>
    <row r="62" spans="1:9" hidden="1" outlineLevel="1" x14ac:dyDescent="0.25">
      <c r="A62" s="216">
        <f t="shared" si="0"/>
        <v>55</v>
      </c>
      <c r="B62" s="227">
        <v>45474</v>
      </c>
      <c r="C62" s="235"/>
      <c r="D62" s="213">
        <v>-1448.9000000000005</v>
      </c>
      <c r="F62" s="228">
        <v>8.5000000000000006E-2</v>
      </c>
      <c r="G62" s="232">
        <f t="shared" si="4"/>
        <v>114.85</v>
      </c>
      <c r="H62" s="230">
        <f t="shared" si="5"/>
        <v>-1334.0500000000006</v>
      </c>
      <c r="I62" s="229">
        <f t="shared" si="6"/>
        <v>15604.830000000058</v>
      </c>
    </row>
    <row r="63" spans="1:9" hidden="1" outlineLevel="1" x14ac:dyDescent="0.25">
      <c r="A63" s="216">
        <f t="shared" si="0"/>
        <v>56</v>
      </c>
      <c r="B63" s="227">
        <v>45505</v>
      </c>
      <c r="C63" s="235"/>
      <c r="D63" s="213">
        <v>-1267.3200000000006</v>
      </c>
      <c r="F63" s="228">
        <v>8.5000000000000006E-2</v>
      </c>
      <c r="G63" s="232">
        <f t="shared" si="4"/>
        <v>106.05</v>
      </c>
      <c r="H63" s="230">
        <f t="shared" si="5"/>
        <v>-1161.2700000000007</v>
      </c>
      <c r="I63" s="229">
        <f t="shared" si="6"/>
        <v>14443.560000000058</v>
      </c>
    </row>
    <row r="64" spans="1:9" hidden="1" outlineLevel="1" x14ac:dyDescent="0.25">
      <c r="A64" s="216">
        <f t="shared" si="0"/>
        <v>57</v>
      </c>
      <c r="B64" s="227">
        <v>45536</v>
      </c>
      <c r="C64" s="235"/>
      <c r="D64" s="213">
        <v>-1373.8200000000004</v>
      </c>
      <c r="F64" s="228">
        <v>8.5000000000000006E-2</v>
      </c>
      <c r="G64" s="232">
        <f t="shared" si="4"/>
        <v>97.44</v>
      </c>
      <c r="H64" s="230">
        <f t="shared" si="5"/>
        <v>-1276.3800000000003</v>
      </c>
      <c r="I64" s="229">
        <f t="shared" si="6"/>
        <v>13167.180000000057</v>
      </c>
    </row>
    <row r="65" spans="1:9" hidden="1" outlineLevel="1" x14ac:dyDescent="0.25">
      <c r="A65" s="216">
        <f t="shared" si="0"/>
        <v>58</v>
      </c>
      <c r="B65" s="227">
        <v>45566</v>
      </c>
      <c r="C65" s="235"/>
      <c r="D65" s="213">
        <v>-1752.5400000000002</v>
      </c>
      <c r="F65" s="228">
        <v>8.5000000000000006E-2</v>
      </c>
      <c r="G65" s="232">
        <f t="shared" si="4"/>
        <v>87.06</v>
      </c>
      <c r="H65" s="230">
        <f t="shared" si="5"/>
        <v>-1665.4800000000002</v>
      </c>
      <c r="I65" s="229">
        <f t="shared" si="6"/>
        <v>11501.700000000057</v>
      </c>
    </row>
    <row r="66" spans="1:9" hidden="1" outlineLevel="1" x14ac:dyDescent="0.25">
      <c r="A66" s="216">
        <f t="shared" si="0"/>
        <v>59</v>
      </c>
      <c r="B66" s="227">
        <v>45597</v>
      </c>
      <c r="C66" s="235" t="s">
        <v>185</v>
      </c>
      <c r="D66" s="213">
        <v>-2041.0400000000002</v>
      </c>
      <c r="F66" s="228">
        <v>8.5000000000000006E-2</v>
      </c>
      <c r="G66" s="232">
        <f t="shared" si="4"/>
        <v>74.239999999999995</v>
      </c>
      <c r="H66" s="230">
        <f t="shared" si="5"/>
        <v>-1966.8000000000002</v>
      </c>
      <c r="I66" s="229">
        <f t="shared" si="6"/>
        <v>9534.900000000056</v>
      </c>
    </row>
    <row r="67" spans="1:9" collapsed="1" x14ac:dyDescent="0.25">
      <c r="A67" s="216">
        <f t="shared" si="0"/>
        <v>60</v>
      </c>
      <c r="B67" s="227">
        <v>45597</v>
      </c>
      <c r="C67" s="235" t="s">
        <v>187</v>
      </c>
      <c r="D67" s="213">
        <v>1605.6100000000001</v>
      </c>
      <c r="E67" s="213">
        <v>-61550.029123499982</v>
      </c>
      <c r="F67" s="228">
        <v>8.5000000000000006E-2</v>
      </c>
      <c r="G67" s="232">
        <f>ROUND((+E67+(D67/2))*F67/12,2)</f>
        <v>-430.29</v>
      </c>
      <c r="H67" s="230">
        <f t="shared" si="5"/>
        <v>-60374.709123499983</v>
      </c>
      <c r="I67" s="229">
        <f t="shared" si="6"/>
        <v>-50839.80912349993</v>
      </c>
    </row>
    <row r="68" spans="1:9" x14ac:dyDescent="0.25">
      <c r="A68" s="216">
        <f t="shared" si="0"/>
        <v>61</v>
      </c>
      <c r="B68" s="227">
        <v>45627</v>
      </c>
      <c r="C68" s="235"/>
      <c r="D68" s="213">
        <v>7253.9100000000017</v>
      </c>
      <c r="F68" s="228">
        <v>8.5000000000000006E-2</v>
      </c>
      <c r="G68" s="232">
        <f t="shared" si="4"/>
        <v>-334.42</v>
      </c>
      <c r="H68" s="230">
        <f t="shared" si="5"/>
        <v>6919.4900000000016</v>
      </c>
      <c r="I68" s="229">
        <f t="shared" si="6"/>
        <v>-43920.319123499925</v>
      </c>
    </row>
    <row r="69" spans="1:9" x14ac:dyDescent="0.25">
      <c r="A69" s="216">
        <f t="shared" si="0"/>
        <v>62</v>
      </c>
      <c r="B69" s="227">
        <v>45658</v>
      </c>
      <c r="C69" s="235"/>
      <c r="D69" s="213">
        <v>7790.01</v>
      </c>
      <c r="F69" s="228">
        <v>8.0399999999999999E-2</v>
      </c>
      <c r="G69" s="232">
        <f t="shared" si="4"/>
        <v>-268.17</v>
      </c>
      <c r="H69" s="230">
        <f t="shared" si="5"/>
        <v>7521.84</v>
      </c>
      <c r="I69" s="229">
        <f t="shared" si="6"/>
        <v>-36398.479123499928</v>
      </c>
    </row>
    <row r="70" spans="1:9" x14ac:dyDescent="0.25">
      <c r="A70" s="216">
        <f t="shared" si="0"/>
        <v>63</v>
      </c>
      <c r="B70" s="227">
        <v>45689</v>
      </c>
      <c r="C70" s="235"/>
      <c r="D70" s="213">
        <v>8617.2300000000032</v>
      </c>
      <c r="F70" s="228">
        <v>8.0399999999999999E-2</v>
      </c>
      <c r="G70" s="232">
        <f t="shared" si="4"/>
        <v>-215</v>
      </c>
      <c r="H70" s="230">
        <f t="shared" si="5"/>
        <v>8402.2300000000032</v>
      </c>
      <c r="I70" s="229">
        <f t="shared" si="6"/>
        <v>-27996.249123499925</v>
      </c>
    </row>
    <row r="71" spans="1:9" x14ac:dyDescent="0.25">
      <c r="A71" s="216">
        <f t="shared" si="0"/>
        <v>64</v>
      </c>
      <c r="B71" s="227">
        <v>45717</v>
      </c>
      <c r="C71" s="235"/>
      <c r="D71" s="213">
        <v>5945.81</v>
      </c>
      <c r="F71" s="228">
        <v>8.0399999999999999E-2</v>
      </c>
      <c r="G71" s="232">
        <f t="shared" si="4"/>
        <v>-167.66</v>
      </c>
      <c r="H71" s="230">
        <f t="shared" si="5"/>
        <v>5778.1500000000005</v>
      </c>
      <c r="I71" s="229">
        <f t="shared" si="6"/>
        <v>-22218.099123499924</v>
      </c>
    </row>
    <row r="72" spans="1:9" x14ac:dyDescent="0.25">
      <c r="A72" s="216">
        <f t="shared" si="0"/>
        <v>65</v>
      </c>
      <c r="B72" s="227">
        <v>45748</v>
      </c>
      <c r="C72" s="235"/>
      <c r="D72" s="213">
        <v>4128.01</v>
      </c>
      <c r="F72" s="228">
        <v>7.5499999999999998E-2</v>
      </c>
      <c r="G72" s="232">
        <f t="shared" si="4"/>
        <v>-126.8</v>
      </c>
      <c r="H72" s="230">
        <f t="shared" si="5"/>
        <v>4001.21</v>
      </c>
      <c r="I72" s="229">
        <f t="shared" si="6"/>
        <v>-18216.889123499925</v>
      </c>
    </row>
    <row r="73" spans="1:9" x14ac:dyDescent="0.25">
      <c r="A73" s="216">
        <f t="shared" ref="A73:A83" si="7">+A72+1</f>
        <v>66</v>
      </c>
      <c r="B73" s="227">
        <v>45778</v>
      </c>
      <c r="C73" s="236"/>
      <c r="D73" s="213">
        <v>2562.7699999999995</v>
      </c>
      <c r="F73" s="228">
        <v>7.5499999999999998E-2</v>
      </c>
      <c r="G73" s="232">
        <f t="shared" si="4"/>
        <v>-106.55</v>
      </c>
      <c r="H73" s="230">
        <f t="shared" si="5"/>
        <v>2456.2199999999993</v>
      </c>
      <c r="I73" s="229">
        <f t="shared" si="6"/>
        <v>-15760.669123499925</v>
      </c>
    </row>
    <row r="74" spans="1:9" x14ac:dyDescent="0.25">
      <c r="A74" s="216">
        <f t="shared" si="7"/>
        <v>67</v>
      </c>
      <c r="B74" s="227">
        <v>45809</v>
      </c>
      <c r="C74" s="236"/>
      <c r="D74" s="213">
        <v>1940.9300000000003</v>
      </c>
      <c r="F74" s="228">
        <v>7.5499999999999998E-2</v>
      </c>
      <c r="G74" s="232">
        <f t="shared" si="4"/>
        <v>-93.06</v>
      </c>
      <c r="H74" s="230">
        <f t="shared" si="5"/>
        <v>1847.8700000000003</v>
      </c>
      <c r="I74" s="229">
        <f t="shared" si="6"/>
        <v>-13912.799123499924</v>
      </c>
    </row>
    <row r="75" spans="1:9" x14ac:dyDescent="0.25">
      <c r="A75" s="216">
        <f t="shared" si="7"/>
        <v>68</v>
      </c>
      <c r="B75" s="227">
        <v>45839</v>
      </c>
      <c r="C75" s="236"/>
      <c r="D75" s="213">
        <v>1539.1199999999997</v>
      </c>
      <c r="F75" s="237">
        <v>7.4999999999999997E-2</v>
      </c>
      <c r="G75" s="232">
        <f t="shared" si="4"/>
        <v>-82.15</v>
      </c>
      <c r="H75" s="230">
        <f t="shared" si="5"/>
        <v>1456.9699999999996</v>
      </c>
      <c r="I75" s="229">
        <f t="shared" si="6"/>
        <v>-12455.829123499925</v>
      </c>
    </row>
    <row r="76" spans="1:9" x14ac:dyDescent="0.25">
      <c r="A76" s="216">
        <f t="shared" si="7"/>
        <v>69</v>
      </c>
      <c r="B76" s="227">
        <v>45870</v>
      </c>
      <c r="C76" s="236"/>
      <c r="D76" s="213">
        <v>1303.1999999999996</v>
      </c>
      <c r="F76" s="228">
        <v>7.4999999999999997E-2</v>
      </c>
      <c r="G76" s="232">
        <f t="shared" si="4"/>
        <v>-73.78</v>
      </c>
      <c r="H76" s="230">
        <f t="shared" si="5"/>
        <v>1229.4199999999996</v>
      </c>
      <c r="I76" s="229">
        <f t="shared" si="6"/>
        <v>-11226.409123499925</v>
      </c>
    </row>
    <row r="77" spans="1:9" x14ac:dyDescent="0.25">
      <c r="A77" s="216">
        <f t="shared" si="7"/>
        <v>70</v>
      </c>
      <c r="B77" s="227">
        <v>45901</v>
      </c>
      <c r="C77" s="236" t="s">
        <v>188</v>
      </c>
      <c r="D77" s="238">
        <f>'[53]WA AMORT 2024-25'!AE82</f>
        <v>1707.2200000000003</v>
      </c>
      <c r="F77" s="228">
        <v>7.4999999999999997E-2</v>
      </c>
      <c r="G77" s="232">
        <f t="shared" si="4"/>
        <v>-64.83</v>
      </c>
      <c r="H77" s="230">
        <f t="shared" si="5"/>
        <v>1642.3900000000003</v>
      </c>
      <c r="I77" s="229">
        <f t="shared" si="6"/>
        <v>-9584.0191234999256</v>
      </c>
    </row>
    <row r="78" spans="1:9" x14ac:dyDescent="0.25">
      <c r="A78" s="216">
        <f t="shared" si="7"/>
        <v>71</v>
      </c>
      <c r="B78" s="227">
        <v>45931</v>
      </c>
      <c r="C78" s="236" t="s">
        <v>188</v>
      </c>
      <c r="D78" s="238">
        <f>'[53]WA AMORT 2024-25'!AQ82</f>
        <v>901.61</v>
      </c>
      <c r="F78" s="228">
        <v>7.4999999999999997E-2</v>
      </c>
      <c r="G78" s="232">
        <f t="shared" si="4"/>
        <v>-57.08</v>
      </c>
      <c r="H78" s="230">
        <f t="shared" si="5"/>
        <v>844.53</v>
      </c>
      <c r="I78" s="229">
        <f t="shared" si="6"/>
        <v>-8739.489123499925</v>
      </c>
    </row>
    <row r="79" spans="1:9" x14ac:dyDescent="0.25">
      <c r="A79" s="216">
        <f t="shared" si="7"/>
        <v>72</v>
      </c>
    </row>
    <row r="80" spans="1:9" x14ac:dyDescent="0.25">
      <c r="A80" s="216">
        <f t="shared" si="7"/>
        <v>73</v>
      </c>
      <c r="B80" s="239" t="s">
        <v>189</v>
      </c>
    </row>
    <row r="81" spans="1:9" x14ac:dyDescent="0.25">
      <c r="A81" s="216">
        <f t="shared" si="7"/>
        <v>74</v>
      </c>
    </row>
    <row r="82" spans="1:9" x14ac:dyDescent="0.25">
      <c r="A82" s="216">
        <f t="shared" si="7"/>
        <v>75</v>
      </c>
      <c r="B82" s="240" t="s">
        <v>190</v>
      </c>
    </row>
    <row r="83" spans="1:9" x14ac:dyDescent="0.25">
      <c r="A83" s="216">
        <f t="shared" si="7"/>
        <v>76</v>
      </c>
      <c r="B83" s="239" t="s">
        <v>191</v>
      </c>
    </row>
    <row r="84" spans="1:9" x14ac:dyDescent="0.25">
      <c r="A84" s="216">
        <f>+A82+1</f>
        <v>76</v>
      </c>
      <c r="B84" s="239" t="s">
        <v>192</v>
      </c>
      <c r="D84" s="212"/>
      <c r="E84" s="212"/>
      <c r="F84" s="212"/>
      <c r="G84" s="212"/>
      <c r="H84" s="212"/>
      <c r="I84" s="212"/>
    </row>
    <row r="85" spans="1:9" x14ac:dyDescent="0.25">
      <c r="A85" s="216">
        <f>+A83+1</f>
        <v>77</v>
      </c>
      <c r="B85" s="239" t="s">
        <v>193</v>
      </c>
    </row>
  </sheetData>
  <pageMargins left="0.5" right="0.5" top="0.5" bottom="0.25" header="0.25" footer="0.25"/>
  <pageSetup orientation="landscape" r:id="rId1"/>
  <headerFooter alignWithMargins="0">
    <oddHeader xml:space="preserve">&amp;RUG-250711 - NWN WUTC Advice No. 25-06A
Exhibit A - Supporting Materials
Page &amp;P of &amp;N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95BD-692C-40CE-A784-BBD86E6B6F7D}">
  <sheetPr>
    <tabColor theme="0" tint="-0.14999847407452621"/>
    <pageSetUpPr fitToPage="1"/>
  </sheetPr>
  <dimension ref="A1:M216"/>
  <sheetViews>
    <sheetView view="pageBreakPreview" zoomScaleNormal="100" zoomScaleSheetLayoutView="100" workbookViewId="0">
      <selection activeCell="F38" sqref="F38"/>
    </sheetView>
  </sheetViews>
  <sheetFormatPr defaultColWidth="9.7265625" defaultRowHeight="12.5" outlineLevelRow="1" x14ac:dyDescent="0.25"/>
  <cols>
    <col min="1" max="1" width="5" style="241" customWidth="1"/>
    <col min="2" max="2" width="13.1796875" style="212" customWidth="1"/>
    <col min="3" max="3" width="11.1796875" style="212" customWidth="1"/>
    <col min="4" max="18" width="16.54296875" style="212" customWidth="1"/>
    <col min="19" max="16384" width="9.7265625" style="212"/>
  </cols>
  <sheetData>
    <row r="1" spans="1:9" x14ac:dyDescent="0.25">
      <c r="B1" s="212" t="s">
        <v>161</v>
      </c>
      <c r="D1" s="212" t="s">
        <v>162</v>
      </c>
    </row>
    <row r="2" spans="1:9" x14ac:dyDescent="0.25">
      <c r="B2" s="212" t="s">
        <v>163</v>
      </c>
      <c r="D2" s="212" t="s">
        <v>129</v>
      </c>
    </row>
    <row r="3" spans="1:9" x14ac:dyDescent="0.25">
      <c r="B3" s="212" t="s">
        <v>164</v>
      </c>
      <c r="D3" s="221" t="s">
        <v>194</v>
      </c>
    </row>
    <row r="4" spans="1:9" x14ac:dyDescent="0.25">
      <c r="B4" s="212" t="s">
        <v>166</v>
      </c>
      <c r="D4" s="215">
        <v>232075</v>
      </c>
      <c r="G4" s="239"/>
    </row>
    <row r="5" spans="1:9" x14ac:dyDescent="0.25">
      <c r="A5" s="211"/>
      <c r="D5" s="221"/>
    </row>
    <row r="6" spans="1:9" x14ac:dyDescent="0.25">
      <c r="A6" s="211"/>
      <c r="D6" s="221"/>
    </row>
    <row r="7" spans="1:9" x14ac:dyDescent="0.25">
      <c r="A7" s="211"/>
      <c r="D7" s="221"/>
    </row>
    <row r="8" spans="1:9" x14ac:dyDescent="0.25">
      <c r="A8" s="216"/>
      <c r="B8" s="212" t="s">
        <v>167</v>
      </c>
      <c r="G8" s="218"/>
    </row>
    <row r="9" spans="1:9" x14ac:dyDescent="0.25">
      <c r="A9" s="216"/>
      <c r="G9" s="218"/>
    </row>
    <row r="10" spans="1:9" x14ac:dyDescent="0.25">
      <c r="A10" s="216"/>
      <c r="B10" s="218"/>
      <c r="C10" s="218"/>
      <c r="D10" s="218"/>
      <c r="E10" s="218"/>
      <c r="F10" s="218"/>
      <c r="G10" s="218"/>
      <c r="H10" s="218"/>
      <c r="I10" s="218" t="s">
        <v>23</v>
      </c>
    </row>
    <row r="11" spans="1:9" x14ac:dyDescent="0.25">
      <c r="A11" s="216"/>
      <c r="B11" s="219" t="s">
        <v>168</v>
      </c>
      <c r="C11" s="219" t="s">
        <v>169</v>
      </c>
      <c r="D11" s="219" t="s">
        <v>195</v>
      </c>
      <c r="E11" s="219" t="s">
        <v>171</v>
      </c>
      <c r="F11" s="219" t="s">
        <v>172</v>
      </c>
      <c r="G11" s="219" t="s">
        <v>173</v>
      </c>
      <c r="H11" s="219" t="s">
        <v>174</v>
      </c>
      <c r="I11" s="219" t="s">
        <v>175</v>
      </c>
    </row>
    <row r="12" spans="1:9" x14ac:dyDescent="0.25">
      <c r="A12" s="216"/>
      <c r="B12" s="218" t="s">
        <v>176</v>
      </c>
      <c r="C12" s="218" t="s">
        <v>177</v>
      </c>
      <c r="D12" s="218" t="s">
        <v>178</v>
      </c>
      <c r="E12" s="218" t="s">
        <v>179</v>
      </c>
      <c r="F12" s="218" t="s">
        <v>180</v>
      </c>
      <c r="G12" s="218" t="s">
        <v>181</v>
      </c>
      <c r="H12" s="218" t="s">
        <v>182</v>
      </c>
      <c r="I12" s="218" t="s">
        <v>183</v>
      </c>
    </row>
    <row r="13" spans="1:9" x14ac:dyDescent="0.25">
      <c r="A13" s="216"/>
      <c r="G13" s="218"/>
    </row>
    <row r="14" spans="1:9" hidden="1" x14ac:dyDescent="0.25">
      <c r="A14" s="216"/>
      <c r="B14" s="221"/>
      <c r="C14" s="242"/>
      <c r="D14" s="213"/>
      <c r="E14" s="213"/>
      <c r="F14" s="213"/>
      <c r="G14" s="213"/>
      <c r="H14" s="213"/>
      <c r="I14" s="213"/>
    </row>
    <row r="15" spans="1:9" hidden="1" x14ac:dyDescent="0.25">
      <c r="A15" s="216"/>
      <c r="B15" s="221"/>
      <c r="C15" s="242"/>
      <c r="D15" s="213"/>
      <c r="E15" s="213"/>
      <c r="F15" s="213"/>
      <c r="G15" s="213"/>
      <c r="H15" s="213"/>
      <c r="I15" s="213"/>
    </row>
    <row r="16" spans="1:9" hidden="1" x14ac:dyDescent="0.25">
      <c r="A16" s="216"/>
      <c r="B16" s="221"/>
      <c r="C16" s="242"/>
      <c r="D16" s="213"/>
      <c r="E16" s="213"/>
      <c r="F16" s="213"/>
      <c r="G16" s="213"/>
      <c r="H16" s="213"/>
      <c r="I16" s="213"/>
    </row>
    <row r="17" spans="1:9" hidden="1" x14ac:dyDescent="0.25">
      <c r="A17" s="216"/>
      <c r="B17" s="221"/>
      <c r="C17" s="242"/>
      <c r="D17" s="213"/>
      <c r="E17" s="213"/>
      <c r="F17" s="213"/>
      <c r="G17" s="213"/>
      <c r="H17" s="213"/>
      <c r="I17" s="213"/>
    </row>
    <row r="18" spans="1:9" hidden="1" x14ac:dyDescent="0.25">
      <c r="A18" s="216"/>
      <c r="B18" s="221"/>
      <c r="C18" s="242"/>
      <c r="D18" s="213"/>
      <c r="E18" s="213"/>
      <c r="F18" s="213"/>
      <c r="G18" s="213"/>
      <c r="H18" s="213"/>
      <c r="I18" s="213"/>
    </row>
    <row r="19" spans="1:9" hidden="1" x14ac:dyDescent="0.25">
      <c r="A19" s="216"/>
      <c r="B19" s="221"/>
      <c r="C19" s="242"/>
      <c r="D19" s="213"/>
      <c r="E19" s="213"/>
      <c r="F19" s="213"/>
      <c r="G19" s="213"/>
      <c r="H19" s="213"/>
      <c r="I19" s="213"/>
    </row>
    <row r="20" spans="1:9" hidden="1" x14ac:dyDescent="0.25">
      <c r="A20" s="216"/>
      <c r="B20" s="221"/>
      <c r="C20" s="242"/>
      <c r="D20" s="213"/>
      <c r="E20" s="213"/>
      <c r="F20" s="213"/>
      <c r="G20" s="213"/>
      <c r="H20" s="213"/>
      <c r="I20" s="213"/>
    </row>
    <row r="21" spans="1:9" hidden="1" x14ac:dyDescent="0.25">
      <c r="A21" s="216"/>
      <c r="B21" s="221"/>
      <c r="C21" s="242"/>
      <c r="D21" s="213"/>
      <c r="E21" s="213"/>
      <c r="F21" s="213"/>
      <c r="G21" s="213"/>
      <c r="H21" s="213"/>
      <c r="I21" s="213"/>
    </row>
    <row r="22" spans="1:9" hidden="1" x14ac:dyDescent="0.25">
      <c r="A22" s="216"/>
      <c r="B22" s="221"/>
      <c r="C22" s="242"/>
      <c r="D22" s="213"/>
      <c r="E22" s="213"/>
      <c r="F22" s="213"/>
      <c r="G22" s="213"/>
      <c r="H22" s="213"/>
      <c r="I22" s="213"/>
    </row>
    <row r="23" spans="1:9" hidden="1" x14ac:dyDescent="0.25">
      <c r="A23" s="216"/>
      <c r="B23" s="221"/>
      <c r="C23" s="242"/>
      <c r="D23" s="213"/>
      <c r="E23" s="213"/>
      <c r="F23" s="213"/>
      <c r="G23" s="213"/>
      <c r="H23" s="213"/>
      <c r="I23" s="213"/>
    </row>
    <row r="24" spans="1:9" hidden="1" x14ac:dyDescent="0.25">
      <c r="A24" s="216"/>
      <c r="B24" s="221"/>
      <c r="C24" s="242"/>
      <c r="D24" s="213"/>
      <c r="E24" s="213"/>
      <c r="F24" s="213"/>
      <c r="G24" s="213"/>
      <c r="H24" s="213"/>
      <c r="I24" s="213"/>
    </row>
    <row r="25" spans="1:9" hidden="1" x14ac:dyDescent="0.25">
      <c r="A25" s="216"/>
      <c r="B25" s="221"/>
      <c r="C25" s="242"/>
      <c r="D25" s="213"/>
      <c r="E25" s="213"/>
      <c r="F25" s="213"/>
      <c r="G25" s="213"/>
      <c r="H25" s="213"/>
      <c r="I25" s="213"/>
    </row>
    <row r="26" spans="1:9" hidden="1" x14ac:dyDescent="0.25">
      <c r="A26" s="216"/>
      <c r="B26" s="221"/>
      <c r="C26" s="242"/>
      <c r="D26" s="213"/>
      <c r="E26" s="213"/>
      <c r="F26" s="213"/>
      <c r="G26" s="213"/>
      <c r="H26" s="213"/>
      <c r="I26" s="213"/>
    </row>
    <row r="27" spans="1:9" hidden="1" x14ac:dyDescent="0.25">
      <c r="A27" s="216"/>
      <c r="B27" s="221"/>
      <c r="C27" s="242"/>
      <c r="D27" s="213"/>
      <c r="E27" s="213"/>
      <c r="F27" s="213"/>
      <c r="G27" s="213"/>
      <c r="H27" s="213"/>
      <c r="I27" s="213"/>
    </row>
    <row r="28" spans="1:9" hidden="1" x14ac:dyDescent="0.25">
      <c r="A28" s="216"/>
      <c r="B28" s="221"/>
      <c r="C28" s="242"/>
      <c r="D28" s="213"/>
      <c r="E28" s="213"/>
      <c r="F28" s="213"/>
      <c r="G28" s="213"/>
      <c r="H28" s="213"/>
      <c r="I28" s="213"/>
    </row>
    <row r="29" spans="1:9" hidden="1" x14ac:dyDescent="0.25">
      <c r="A29" s="216"/>
      <c r="B29" s="221"/>
      <c r="C29" s="242"/>
      <c r="D29" s="213"/>
      <c r="E29" s="213"/>
      <c r="F29" s="213"/>
      <c r="G29" s="213"/>
      <c r="H29" s="213"/>
      <c r="I29" s="213"/>
    </row>
    <row r="30" spans="1:9" hidden="1" x14ac:dyDescent="0.25">
      <c r="A30" s="216"/>
      <c r="B30" s="221"/>
      <c r="C30" s="242"/>
      <c r="D30" s="213"/>
      <c r="E30" s="213"/>
      <c r="F30" s="213"/>
      <c r="G30" s="213"/>
      <c r="H30" s="213"/>
      <c r="I30" s="213"/>
    </row>
    <row r="31" spans="1:9" hidden="1" x14ac:dyDescent="0.25">
      <c r="A31" s="216"/>
      <c r="B31" s="221"/>
      <c r="C31" s="242"/>
      <c r="D31" s="213"/>
      <c r="E31" s="213"/>
      <c r="F31" s="213"/>
      <c r="G31" s="213"/>
      <c r="H31" s="213"/>
      <c r="I31" s="213"/>
    </row>
    <row r="32" spans="1:9" hidden="1" x14ac:dyDescent="0.25">
      <c r="A32" s="216"/>
      <c r="B32" s="221"/>
      <c r="C32" s="242"/>
      <c r="D32" s="213"/>
      <c r="E32" s="213"/>
      <c r="F32" s="213"/>
      <c r="G32" s="213"/>
      <c r="H32" s="213"/>
      <c r="I32" s="213"/>
    </row>
    <row r="33" spans="1:9" hidden="1" x14ac:dyDescent="0.25">
      <c r="A33" s="216"/>
      <c r="B33" s="221"/>
      <c r="C33" s="242"/>
      <c r="D33" s="213"/>
      <c r="E33" s="213"/>
      <c r="F33" s="213"/>
      <c r="G33" s="213"/>
      <c r="H33" s="213"/>
      <c r="I33" s="213"/>
    </row>
    <row r="34" spans="1:9" hidden="1" x14ac:dyDescent="0.25">
      <c r="A34" s="216"/>
      <c r="B34" s="221"/>
      <c r="C34" s="242"/>
      <c r="D34" s="213"/>
      <c r="E34" s="213"/>
      <c r="F34" s="213"/>
      <c r="G34" s="213"/>
      <c r="H34" s="213"/>
      <c r="I34" s="213"/>
    </row>
    <row r="35" spans="1:9" hidden="1" x14ac:dyDescent="0.25">
      <c r="A35" s="216"/>
      <c r="B35" s="221"/>
      <c r="C35" s="242"/>
      <c r="D35" s="213"/>
      <c r="E35" s="213"/>
      <c r="F35" s="213"/>
      <c r="G35" s="213"/>
      <c r="H35" s="213"/>
      <c r="I35" s="213"/>
    </row>
    <row r="36" spans="1:9" hidden="1" x14ac:dyDescent="0.25">
      <c r="A36" s="216"/>
      <c r="B36" s="221"/>
      <c r="C36" s="242"/>
      <c r="D36" s="213"/>
      <c r="E36" s="213"/>
      <c r="F36" s="213"/>
      <c r="G36" s="213"/>
      <c r="H36" s="213"/>
      <c r="I36" s="213"/>
    </row>
    <row r="37" spans="1:9" hidden="1" x14ac:dyDescent="0.25">
      <c r="A37" s="216"/>
      <c r="B37" s="221"/>
      <c r="C37" s="242"/>
      <c r="D37" s="213"/>
      <c r="E37" s="213"/>
      <c r="F37" s="213"/>
      <c r="G37" s="213"/>
      <c r="H37" s="213"/>
      <c r="I37" s="213"/>
    </row>
    <row r="38" spans="1:9" hidden="1" x14ac:dyDescent="0.25">
      <c r="A38" s="216"/>
      <c r="B38" s="221"/>
      <c r="C38" s="242"/>
      <c r="D38" s="213"/>
      <c r="E38" s="213"/>
      <c r="F38" s="213"/>
      <c r="G38" s="213"/>
      <c r="H38" s="213"/>
      <c r="I38" s="213"/>
    </row>
    <row r="39" spans="1:9" hidden="1" x14ac:dyDescent="0.25">
      <c r="A39" s="216"/>
      <c r="B39" s="221"/>
      <c r="C39" s="242"/>
      <c r="D39" s="213"/>
      <c r="E39" s="213"/>
      <c r="F39" s="213"/>
      <c r="G39" s="213"/>
      <c r="H39" s="213"/>
      <c r="I39" s="213"/>
    </row>
    <row r="40" spans="1:9" hidden="1" x14ac:dyDescent="0.25">
      <c r="A40" s="216"/>
      <c r="B40" s="221"/>
      <c r="C40" s="242"/>
      <c r="D40" s="213"/>
      <c r="E40" s="213"/>
      <c r="F40" s="213"/>
      <c r="G40" s="213"/>
      <c r="H40" s="213"/>
      <c r="I40" s="213"/>
    </row>
    <row r="41" spans="1:9" hidden="1" x14ac:dyDescent="0.25">
      <c r="A41" s="216"/>
      <c r="B41" s="221"/>
      <c r="C41" s="242"/>
      <c r="D41" s="213"/>
      <c r="E41" s="213"/>
      <c r="F41" s="213"/>
      <c r="G41" s="213"/>
      <c r="H41" s="213"/>
      <c r="I41" s="213"/>
    </row>
    <row r="42" spans="1:9" hidden="1" x14ac:dyDescent="0.25">
      <c r="A42" s="216"/>
      <c r="B42" s="221"/>
      <c r="C42" s="242"/>
      <c r="D42" s="213"/>
      <c r="E42" s="213"/>
      <c r="F42" s="213"/>
      <c r="G42" s="213"/>
      <c r="H42" s="213"/>
      <c r="I42" s="213"/>
    </row>
    <row r="43" spans="1:9" hidden="1" x14ac:dyDescent="0.25">
      <c r="A43" s="216"/>
      <c r="B43" s="221"/>
      <c r="C43" s="242"/>
      <c r="D43" s="213"/>
      <c r="E43" s="213"/>
      <c r="F43" s="213"/>
      <c r="G43" s="213"/>
      <c r="H43" s="213"/>
      <c r="I43" s="213"/>
    </row>
    <row r="44" spans="1:9" hidden="1" x14ac:dyDescent="0.25">
      <c r="A44" s="216"/>
      <c r="B44" s="221"/>
      <c r="C44" s="242"/>
      <c r="D44" s="213"/>
      <c r="E44" s="213"/>
      <c r="F44" s="213"/>
      <c r="G44" s="213"/>
      <c r="H44" s="213"/>
      <c r="I44" s="213"/>
    </row>
    <row r="45" spans="1:9" hidden="1" x14ac:dyDescent="0.25">
      <c r="A45" s="216"/>
      <c r="B45" s="221"/>
      <c r="C45" s="242"/>
      <c r="D45" s="213"/>
      <c r="E45" s="213"/>
      <c r="F45" s="213"/>
      <c r="G45" s="213"/>
      <c r="H45" s="213"/>
      <c r="I45" s="213"/>
    </row>
    <row r="46" spans="1:9" hidden="1" x14ac:dyDescent="0.25">
      <c r="A46" s="216"/>
      <c r="B46" s="221"/>
      <c r="C46" s="242"/>
      <c r="D46" s="213"/>
      <c r="E46" s="213"/>
      <c r="F46" s="213"/>
      <c r="G46" s="213"/>
      <c r="H46" s="213"/>
      <c r="I46" s="213"/>
    </row>
    <row r="47" spans="1:9" hidden="1" x14ac:dyDescent="0.25">
      <c r="A47" s="216"/>
      <c r="B47" s="221"/>
      <c r="C47" s="242"/>
      <c r="D47" s="213"/>
      <c r="E47" s="213"/>
      <c r="F47" s="213"/>
      <c r="G47" s="213"/>
      <c r="H47" s="213"/>
      <c r="I47" s="213"/>
    </row>
    <row r="48" spans="1:9" hidden="1" x14ac:dyDescent="0.25">
      <c r="A48" s="216"/>
      <c r="B48" s="221"/>
      <c r="C48" s="242"/>
      <c r="D48" s="213"/>
      <c r="E48" s="213"/>
      <c r="F48" s="213"/>
      <c r="G48" s="213"/>
      <c r="H48" s="213"/>
      <c r="I48" s="213"/>
    </row>
    <row r="49" spans="1:9" hidden="1" x14ac:dyDescent="0.25">
      <c r="A49" s="216"/>
      <c r="B49" s="221"/>
      <c r="C49" s="242"/>
      <c r="D49" s="213"/>
      <c r="E49" s="213"/>
      <c r="F49" s="213"/>
      <c r="G49" s="213"/>
      <c r="H49" s="213"/>
      <c r="I49" s="213"/>
    </row>
    <row r="50" spans="1:9" hidden="1" x14ac:dyDescent="0.25">
      <c r="A50" s="216"/>
      <c r="B50" s="221"/>
      <c r="C50" s="242"/>
      <c r="D50" s="213"/>
      <c r="E50" s="213"/>
      <c r="F50" s="213"/>
      <c r="G50" s="213"/>
      <c r="H50" s="213"/>
      <c r="I50" s="213"/>
    </row>
    <row r="51" spans="1:9" hidden="1" x14ac:dyDescent="0.25">
      <c r="A51" s="216"/>
      <c r="B51" s="221"/>
      <c r="C51" s="242"/>
      <c r="D51" s="213"/>
      <c r="E51" s="213"/>
      <c r="F51" s="213"/>
      <c r="G51" s="213"/>
      <c r="H51" s="213"/>
      <c r="I51" s="213"/>
    </row>
    <row r="52" spans="1:9" hidden="1" x14ac:dyDescent="0.25">
      <c r="A52" s="216"/>
      <c r="B52" s="221"/>
      <c r="C52" s="242"/>
      <c r="D52" s="213"/>
      <c r="E52" s="213"/>
      <c r="F52" s="213"/>
      <c r="G52" s="213"/>
      <c r="H52" s="213"/>
      <c r="I52" s="213"/>
    </row>
    <row r="53" spans="1:9" hidden="1" x14ac:dyDescent="0.25">
      <c r="A53" s="216"/>
      <c r="B53" s="221"/>
      <c r="C53" s="242"/>
      <c r="D53" s="213"/>
      <c r="E53" s="213"/>
      <c r="F53" s="213"/>
      <c r="G53" s="213"/>
      <c r="H53" s="213"/>
      <c r="I53" s="213"/>
    </row>
    <row r="54" spans="1:9" hidden="1" x14ac:dyDescent="0.25">
      <c r="A54" s="216"/>
      <c r="B54" s="221"/>
      <c r="C54" s="242"/>
      <c r="D54" s="213"/>
      <c r="E54" s="213"/>
      <c r="F54" s="213"/>
      <c r="G54" s="213"/>
      <c r="H54" s="213"/>
      <c r="I54" s="213"/>
    </row>
    <row r="55" spans="1:9" hidden="1" x14ac:dyDescent="0.25">
      <c r="A55" s="216"/>
      <c r="B55" s="221"/>
      <c r="C55" s="242"/>
      <c r="D55" s="213"/>
      <c r="E55" s="213"/>
      <c r="F55" s="213"/>
      <c r="G55" s="213"/>
      <c r="H55" s="213"/>
      <c r="I55" s="213"/>
    </row>
    <row r="56" spans="1:9" hidden="1" x14ac:dyDescent="0.25">
      <c r="A56" s="216"/>
      <c r="B56" s="221"/>
      <c r="C56" s="242"/>
      <c r="D56" s="213"/>
      <c r="E56" s="213"/>
      <c r="F56" s="213"/>
      <c r="G56" s="213"/>
      <c r="H56" s="213"/>
      <c r="I56" s="213"/>
    </row>
    <row r="57" spans="1:9" hidden="1" x14ac:dyDescent="0.25">
      <c r="A57" s="216"/>
      <c r="B57" s="221"/>
      <c r="C57" s="242"/>
      <c r="D57" s="213"/>
      <c r="E57" s="213"/>
      <c r="F57" s="213"/>
      <c r="G57" s="213"/>
      <c r="H57" s="213"/>
      <c r="I57" s="213"/>
    </row>
    <row r="58" spans="1:9" hidden="1" x14ac:dyDescent="0.25">
      <c r="A58" s="216"/>
      <c r="B58" s="221"/>
      <c r="C58" s="242"/>
      <c r="D58" s="213"/>
      <c r="E58" s="213"/>
      <c r="F58" s="213"/>
      <c r="G58" s="213"/>
      <c r="H58" s="213"/>
      <c r="I58" s="213"/>
    </row>
    <row r="59" spans="1:9" hidden="1" x14ac:dyDescent="0.25">
      <c r="A59" s="216"/>
      <c r="B59" s="221"/>
      <c r="C59" s="242"/>
      <c r="D59" s="213"/>
      <c r="E59" s="213"/>
      <c r="F59" s="213"/>
      <c r="G59" s="213"/>
      <c r="H59" s="213"/>
      <c r="I59" s="213"/>
    </row>
    <row r="60" spans="1:9" hidden="1" x14ac:dyDescent="0.25">
      <c r="A60" s="216"/>
      <c r="B60" s="221"/>
      <c r="C60" s="242"/>
      <c r="D60" s="213"/>
      <c r="E60" s="213"/>
      <c r="F60" s="213"/>
      <c r="G60" s="213"/>
      <c r="H60" s="213"/>
      <c r="I60" s="213"/>
    </row>
    <row r="61" spans="1:9" hidden="1" x14ac:dyDescent="0.25">
      <c r="A61" s="216"/>
      <c r="B61" s="221"/>
      <c r="C61" s="242"/>
      <c r="D61" s="213"/>
      <c r="E61" s="213"/>
      <c r="F61" s="213"/>
      <c r="G61" s="213"/>
      <c r="H61" s="213"/>
      <c r="I61" s="213"/>
    </row>
    <row r="62" spans="1:9" hidden="1" x14ac:dyDescent="0.25">
      <c r="A62" s="216"/>
      <c r="B62" s="221"/>
      <c r="C62" s="242"/>
      <c r="D62" s="213"/>
      <c r="E62" s="213"/>
      <c r="F62" s="213"/>
      <c r="G62" s="213"/>
      <c r="H62" s="213"/>
      <c r="I62" s="213"/>
    </row>
    <row r="63" spans="1:9" hidden="1" x14ac:dyDescent="0.25">
      <c r="A63" s="216"/>
      <c r="B63" s="221"/>
      <c r="C63" s="242"/>
      <c r="D63" s="213"/>
      <c r="E63" s="213"/>
      <c r="F63" s="213"/>
      <c r="G63" s="213"/>
      <c r="H63" s="213"/>
      <c r="I63" s="213"/>
    </row>
    <row r="64" spans="1:9" hidden="1" x14ac:dyDescent="0.25">
      <c r="A64" s="216"/>
      <c r="B64" s="221"/>
      <c r="C64" s="242"/>
      <c r="D64" s="213"/>
      <c r="E64" s="213"/>
      <c r="F64" s="213"/>
      <c r="G64" s="213"/>
      <c r="H64" s="213"/>
      <c r="I64" s="213"/>
    </row>
    <row r="65" spans="1:9" hidden="1" x14ac:dyDescent="0.25">
      <c r="A65" s="216"/>
      <c r="B65" s="221"/>
      <c r="C65" s="242"/>
      <c r="D65" s="213"/>
      <c r="E65" s="213"/>
      <c r="F65" s="213"/>
      <c r="G65" s="213"/>
      <c r="H65" s="213"/>
      <c r="I65" s="213"/>
    </row>
    <row r="66" spans="1:9" hidden="1" x14ac:dyDescent="0.25">
      <c r="A66" s="216"/>
      <c r="B66" s="221"/>
      <c r="C66" s="242"/>
      <c r="D66" s="213"/>
      <c r="E66" s="213"/>
      <c r="F66" s="213"/>
      <c r="G66" s="213"/>
      <c r="H66" s="213"/>
      <c r="I66" s="213"/>
    </row>
    <row r="67" spans="1:9" hidden="1" x14ac:dyDescent="0.25">
      <c r="A67" s="216"/>
      <c r="B67" s="221"/>
      <c r="C67" s="242"/>
      <c r="D67" s="213"/>
      <c r="E67" s="213"/>
      <c r="F67" s="213"/>
      <c r="G67" s="213"/>
      <c r="H67" s="213"/>
      <c r="I67" s="213"/>
    </row>
    <row r="68" spans="1:9" hidden="1" x14ac:dyDescent="0.25">
      <c r="A68" s="216"/>
      <c r="B68" s="221"/>
      <c r="C68" s="242"/>
      <c r="D68" s="213"/>
      <c r="E68" s="213"/>
      <c r="F68" s="213"/>
      <c r="G68" s="213"/>
      <c r="H68" s="213"/>
      <c r="I68" s="213"/>
    </row>
    <row r="69" spans="1:9" hidden="1" x14ac:dyDescent="0.25">
      <c r="A69" s="216"/>
      <c r="B69" s="221"/>
      <c r="C69" s="242"/>
      <c r="D69" s="213"/>
      <c r="E69" s="213"/>
      <c r="F69" s="213"/>
      <c r="G69" s="213"/>
      <c r="H69" s="213"/>
      <c r="I69" s="213"/>
    </row>
    <row r="70" spans="1:9" x14ac:dyDescent="0.25">
      <c r="A70" s="216">
        <v>1</v>
      </c>
      <c r="B70" s="221" t="s">
        <v>184</v>
      </c>
      <c r="C70" s="242"/>
      <c r="D70" s="213"/>
      <c r="E70" s="213"/>
      <c r="F70" s="213"/>
      <c r="G70" s="213"/>
      <c r="H70" s="213"/>
      <c r="I70" s="213"/>
    </row>
    <row r="71" spans="1:9" hidden="1" outlineLevel="1" x14ac:dyDescent="0.25">
      <c r="A71" s="216">
        <v>2</v>
      </c>
      <c r="B71" s="212">
        <v>43983</v>
      </c>
      <c r="C71" s="243"/>
      <c r="D71" s="244">
        <v>-837952.62857499998</v>
      </c>
      <c r="E71" s="213"/>
      <c r="F71" s="225">
        <v>0</v>
      </c>
      <c r="G71" s="229">
        <f>ROUND((+I15+E71+(D71/2))*F71/12,2)</f>
        <v>0</v>
      </c>
      <c r="H71" s="213">
        <f t="shared" ref="H71:H123" si="0">SUM(D71:E71,G71)</f>
        <v>-837952.62857499998</v>
      </c>
      <c r="I71" s="213">
        <f>+H71</f>
        <v>-837952.62857499998</v>
      </c>
    </row>
    <row r="72" spans="1:9" hidden="1" outlineLevel="1" x14ac:dyDescent="0.25">
      <c r="A72" s="216">
        <v>3</v>
      </c>
      <c r="B72" s="212">
        <v>44013</v>
      </c>
      <c r="C72" s="242"/>
      <c r="D72" s="244"/>
      <c r="E72" s="213"/>
      <c r="F72" s="225">
        <f>+F71</f>
        <v>0</v>
      </c>
      <c r="G72" s="229">
        <f t="shared" ref="G72:G123" si="1">ROUND((+I71+E72+(D72/2))*F72/12,2)</f>
        <v>0</v>
      </c>
      <c r="H72" s="213">
        <f t="shared" si="0"/>
        <v>0</v>
      </c>
      <c r="I72" s="213">
        <f t="shared" ref="I72:I123" si="2">+I71+H72</f>
        <v>-837952.62857499998</v>
      </c>
    </row>
    <row r="73" spans="1:9" hidden="1" outlineLevel="1" x14ac:dyDescent="0.25">
      <c r="A73" s="216">
        <f t="shared" ref="A73:A132" si="3">+A72+1</f>
        <v>4</v>
      </c>
      <c r="B73" s="212">
        <v>44044</v>
      </c>
      <c r="C73" s="242"/>
      <c r="D73" s="244"/>
      <c r="E73" s="213"/>
      <c r="F73" s="225">
        <f t="shared" ref="F73:F75" si="4">+F72</f>
        <v>0</v>
      </c>
      <c r="G73" s="229">
        <f t="shared" si="1"/>
        <v>0</v>
      </c>
      <c r="H73" s="213">
        <f t="shared" si="0"/>
        <v>0</v>
      </c>
      <c r="I73" s="213">
        <f t="shared" si="2"/>
        <v>-837952.62857499998</v>
      </c>
    </row>
    <row r="74" spans="1:9" hidden="1" outlineLevel="1" x14ac:dyDescent="0.25">
      <c r="A74" s="216">
        <f t="shared" si="3"/>
        <v>5</v>
      </c>
      <c r="B74" s="212">
        <v>44075</v>
      </c>
      <c r="D74" s="244"/>
      <c r="F74" s="225">
        <f t="shared" si="4"/>
        <v>0</v>
      </c>
      <c r="G74" s="229">
        <f t="shared" si="1"/>
        <v>0</v>
      </c>
      <c r="H74" s="213">
        <f t="shared" si="0"/>
        <v>0</v>
      </c>
      <c r="I74" s="213">
        <f t="shared" si="2"/>
        <v>-837952.62857499998</v>
      </c>
    </row>
    <row r="75" spans="1:9" hidden="1" outlineLevel="1" x14ac:dyDescent="0.25">
      <c r="A75" s="216">
        <f t="shared" si="3"/>
        <v>6</v>
      </c>
      <c r="B75" s="212">
        <v>44105</v>
      </c>
      <c r="D75" s="244"/>
      <c r="F75" s="225">
        <f t="shared" si="4"/>
        <v>0</v>
      </c>
      <c r="G75" s="229">
        <f t="shared" si="1"/>
        <v>0</v>
      </c>
      <c r="H75" s="213">
        <f t="shared" si="0"/>
        <v>0</v>
      </c>
      <c r="I75" s="213">
        <f t="shared" si="2"/>
        <v>-837952.62857499998</v>
      </c>
    </row>
    <row r="76" spans="1:9" hidden="1" outlineLevel="1" collapsed="1" x14ac:dyDescent="0.25">
      <c r="A76" s="216">
        <f t="shared" si="3"/>
        <v>7</v>
      </c>
      <c r="B76" s="212">
        <v>44501</v>
      </c>
      <c r="C76" s="222">
        <v>1</v>
      </c>
      <c r="D76" s="244"/>
      <c r="E76" s="245">
        <v>419663.31428749999</v>
      </c>
      <c r="F76" s="225">
        <v>0</v>
      </c>
      <c r="G76" s="229">
        <f t="shared" si="1"/>
        <v>0</v>
      </c>
      <c r="H76" s="213">
        <f t="shared" si="0"/>
        <v>419663.31428749999</v>
      </c>
      <c r="I76" s="213">
        <f>+I75+H76</f>
        <v>-418289.31428749999</v>
      </c>
    </row>
    <row r="77" spans="1:9" hidden="1" outlineLevel="1" x14ac:dyDescent="0.25">
      <c r="A77" s="216">
        <f t="shared" si="3"/>
        <v>8</v>
      </c>
      <c r="B77" s="212">
        <v>44531</v>
      </c>
      <c r="C77" s="222">
        <v>2</v>
      </c>
      <c r="D77" s="244"/>
      <c r="E77" s="245">
        <v>-40465.980000000003</v>
      </c>
      <c r="F77" s="246">
        <f>+F76</f>
        <v>0</v>
      </c>
      <c r="G77" s="229">
        <f t="shared" si="1"/>
        <v>0</v>
      </c>
      <c r="H77" s="213">
        <f t="shared" si="0"/>
        <v>-40465.980000000003</v>
      </c>
      <c r="I77" s="213">
        <f t="shared" si="2"/>
        <v>-458755.29428749997</v>
      </c>
    </row>
    <row r="78" spans="1:9" hidden="1" outlineLevel="1" x14ac:dyDescent="0.25">
      <c r="A78" s="216">
        <f t="shared" si="3"/>
        <v>9</v>
      </c>
      <c r="B78" s="212">
        <v>44562</v>
      </c>
      <c r="C78" s="222"/>
      <c r="D78" s="244"/>
      <c r="E78" s="245"/>
      <c r="F78" s="246">
        <f t="shared" ref="F78:F103" si="5">+F77</f>
        <v>0</v>
      </c>
      <c r="G78" s="229">
        <f t="shared" si="1"/>
        <v>0</v>
      </c>
      <c r="H78" s="213">
        <f t="shared" si="0"/>
        <v>0</v>
      </c>
      <c r="I78" s="213">
        <f t="shared" si="2"/>
        <v>-458755.29428749997</v>
      </c>
    </row>
    <row r="79" spans="1:9" hidden="1" outlineLevel="1" x14ac:dyDescent="0.25">
      <c r="A79" s="216">
        <f t="shared" si="3"/>
        <v>10</v>
      </c>
      <c r="B79" s="212">
        <v>44593</v>
      </c>
      <c r="C79" s="222"/>
      <c r="D79" s="244"/>
      <c r="E79" s="245"/>
      <c r="F79" s="246">
        <f t="shared" si="5"/>
        <v>0</v>
      </c>
      <c r="G79" s="229">
        <f t="shared" si="1"/>
        <v>0</v>
      </c>
      <c r="H79" s="213">
        <f t="shared" si="0"/>
        <v>0</v>
      </c>
      <c r="I79" s="213">
        <f t="shared" si="2"/>
        <v>-458755.29428749997</v>
      </c>
    </row>
    <row r="80" spans="1:9" hidden="1" outlineLevel="1" x14ac:dyDescent="0.25">
      <c r="A80" s="216">
        <f t="shared" si="3"/>
        <v>11</v>
      </c>
      <c r="B80" s="212">
        <v>44621</v>
      </c>
      <c r="C80" s="222"/>
      <c r="D80" s="244"/>
      <c r="E80" s="245"/>
      <c r="F80" s="246">
        <f t="shared" si="5"/>
        <v>0</v>
      </c>
      <c r="G80" s="229">
        <f t="shared" si="1"/>
        <v>0</v>
      </c>
      <c r="H80" s="213">
        <f t="shared" si="0"/>
        <v>0</v>
      </c>
      <c r="I80" s="213">
        <f t="shared" si="2"/>
        <v>-458755.29428749997</v>
      </c>
    </row>
    <row r="81" spans="1:9" hidden="1" outlineLevel="1" x14ac:dyDescent="0.25">
      <c r="A81" s="216">
        <f t="shared" si="3"/>
        <v>12</v>
      </c>
      <c r="B81" s="212">
        <v>44652</v>
      </c>
      <c r="C81" s="222"/>
      <c r="D81" s="244"/>
      <c r="E81" s="245"/>
      <c r="F81" s="246">
        <f t="shared" si="5"/>
        <v>0</v>
      </c>
      <c r="G81" s="229">
        <f t="shared" si="1"/>
        <v>0</v>
      </c>
      <c r="H81" s="213">
        <f t="shared" si="0"/>
        <v>0</v>
      </c>
      <c r="I81" s="213">
        <f t="shared" si="2"/>
        <v>-458755.29428749997</v>
      </c>
    </row>
    <row r="82" spans="1:9" hidden="1" outlineLevel="1" x14ac:dyDescent="0.25">
      <c r="A82" s="216">
        <f t="shared" si="3"/>
        <v>13</v>
      </c>
      <c r="B82" s="212">
        <v>44682</v>
      </c>
      <c r="C82" s="222"/>
      <c r="D82" s="244"/>
      <c r="E82" s="245"/>
      <c r="F82" s="246">
        <f t="shared" si="5"/>
        <v>0</v>
      </c>
      <c r="G82" s="229">
        <f t="shared" si="1"/>
        <v>0</v>
      </c>
      <c r="H82" s="213">
        <f t="shared" si="0"/>
        <v>0</v>
      </c>
      <c r="I82" s="213">
        <f t="shared" si="2"/>
        <v>-458755.29428749997</v>
      </c>
    </row>
    <row r="83" spans="1:9" hidden="1" outlineLevel="1" x14ac:dyDescent="0.25">
      <c r="A83" s="216">
        <f t="shared" si="3"/>
        <v>14</v>
      </c>
      <c r="B83" s="212">
        <v>44713</v>
      </c>
      <c r="C83" s="222"/>
      <c r="D83" s="244"/>
      <c r="E83" s="245"/>
      <c r="F83" s="246">
        <f t="shared" si="5"/>
        <v>0</v>
      </c>
      <c r="G83" s="229">
        <f t="shared" si="1"/>
        <v>0</v>
      </c>
      <c r="H83" s="213">
        <f t="shared" si="0"/>
        <v>0</v>
      </c>
      <c r="I83" s="213">
        <f t="shared" si="2"/>
        <v>-458755.29428749997</v>
      </c>
    </row>
    <row r="84" spans="1:9" hidden="1" outlineLevel="1" x14ac:dyDescent="0.25">
      <c r="A84" s="216">
        <f t="shared" si="3"/>
        <v>15</v>
      </c>
      <c r="B84" s="212">
        <v>44743</v>
      </c>
      <c r="C84" s="222"/>
      <c r="D84" s="244"/>
      <c r="E84" s="245"/>
      <c r="F84" s="246">
        <f t="shared" si="5"/>
        <v>0</v>
      </c>
      <c r="G84" s="229">
        <f t="shared" si="1"/>
        <v>0</v>
      </c>
      <c r="H84" s="213">
        <f t="shared" si="0"/>
        <v>0</v>
      </c>
      <c r="I84" s="213">
        <f t="shared" si="2"/>
        <v>-458755.29428749997</v>
      </c>
    </row>
    <row r="85" spans="1:9" hidden="1" outlineLevel="1" x14ac:dyDescent="0.25">
      <c r="A85" s="216">
        <f t="shared" si="3"/>
        <v>16</v>
      </c>
      <c r="B85" s="212">
        <v>44774</v>
      </c>
      <c r="C85" s="222"/>
      <c r="D85" s="244"/>
      <c r="E85" s="245"/>
      <c r="F85" s="246">
        <f t="shared" si="5"/>
        <v>0</v>
      </c>
      <c r="G85" s="229">
        <f t="shared" si="1"/>
        <v>0</v>
      </c>
      <c r="H85" s="213">
        <f t="shared" si="0"/>
        <v>0</v>
      </c>
      <c r="I85" s="213">
        <f t="shared" si="2"/>
        <v>-458755.29428749997</v>
      </c>
    </row>
    <row r="86" spans="1:9" hidden="1" outlineLevel="1" x14ac:dyDescent="0.25">
      <c r="A86" s="216">
        <f t="shared" si="3"/>
        <v>17</v>
      </c>
      <c r="B86" s="212">
        <v>44805</v>
      </c>
      <c r="F86" s="246">
        <f t="shared" si="5"/>
        <v>0</v>
      </c>
      <c r="G86" s="229">
        <f t="shared" si="1"/>
        <v>0</v>
      </c>
      <c r="H86" s="213">
        <f t="shared" si="0"/>
        <v>0</v>
      </c>
      <c r="I86" s="213">
        <f t="shared" si="2"/>
        <v>-458755.29428749997</v>
      </c>
    </row>
    <row r="87" spans="1:9" hidden="1" outlineLevel="1" x14ac:dyDescent="0.25">
      <c r="A87" s="216">
        <f t="shared" si="3"/>
        <v>18</v>
      </c>
      <c r="B87" s="212">
        <v>44835</v>
      </c>
      <c r="F87" s="246">
        <f t="shared" si="5"/>
        <v>0</v>
      </c>
      <c r="G87" s="229">
        <f t="shared" si="1"/>
        <v>0</v>
      </c>
      <c r="H87" s="213">
        <f t="shared" si="0"/>
        <v>0</v>
      </c>
      <c r="I87" s="213">
        <f t="shared" si="2"/>
        <v>-458755.29428749997</v>
      </c>
    </row>
    <row r="88" spans="1:9" hidden="1" outlineLevel="1" x14ac:dyDescent="0.25">
      <c r="A88" s="216">
        <f t="shared" si="3"/>
        <v>19</v>
      </c>
      <c r="B88" s="212">
        <v>44866</v>
      </c>
      <c r="C88" s="222">
        <v>3</v>
      </c>
      <c r="E88" s="247">
        <f>458755.29</f>
        <v>458755.29</v>
      </c>
      <c r="F88" s="246">
        <f t="shared" si="5"/>
        <v>0</v>
      </c>
      <c r="G88" s="229">
        <f t="shared" si="1"/>
        <v>0</v>
      </c>
      <c r="H88" s="213">
        <f t="shared" si="0"/>
        <v>458755.29</v>
      </c>
      <c r="I88" s="213">
        <f t="shared" si="2"/>
        <v>-4.2874999926425517E-3</v>
      </c>
    </row>
    <row r="89" spans="1:9" hidden="1" outlineLevel="1" x14ac:dyDescent="0.25">
      <c r="A89" s="216">
        <f t="shared" si="3"/>
        <v>20</v>
      </c>
      <c r="B89" s="212">
        <v>44896</v>
      </c>
      <c r="C89" s="222"/>
      <c r="E89" s="247"/>
      <c r="F89" s="246">
        <f t="shared" si="5"/>
        <v>0</v>
      </c>
      <c r="G89" s="229">
        <f t="shared" si="1"/>
        <v>0</v>
      </c>
      <c r="H89" s="213">
        <f t="shared" si="0"/>
        <v>0</v>
      </c>
      <c r="I89" s="213">
        <f t="shared" si="2"/>
        <v>-4.2874999926425517E-3</v>
      </c>
    </row>
    <row r="90" spans="1:9" hidden="1" outlineLevel="1" x14ac:dyDescent="0.25">
      <c r="A90" s="216">
        <f t="shared" si="3"/>
        <v>21</v>
      </c>
      <c r="B90" s="212">
        <v>44927</v>
      </c>
      <c r="C90" s="222"/>
      <c r="E90" s="247"/>
      <c r="F90" s="246">
        <f t="shared" si="5"/>
        <v>0</v>
      </c>
      <c r="G90" s="229">
        <f t="shared" si="1"/>
        <v>0</v>
      </c>
      <c r="H90" s="213">
        <f t="shared" si="0"/>
        <v>0</v>
      </c>
      <c r="I90" s="213">
        <f t="shared" si="2"/>
        <v>-4.2874999926425517E-3</v>
      </c>
    </row>
    <row r="91" spans="1:9" hidden="1" outlineLevel="1" x14ac:dyDescent="0.25">
      <c r="A91" s="216">
        <f t="shared" si="3"/>
        <v>22</v>
      </c>
      <c r="B91" s="212">
        <v>44958</v>
      </c>
      <c r="C91" s="222"/>
      <c r="E91" s="247"/>
      <c r="F91" s="246">
        <f t="shared" si="5"/>
        <v>0</v>
      </c>
      <c r="G91" s="229">
        <f t="shared" si="1"/>
        <v>0</v>
      </c>
      <c r="H91" s="213">
        <f t="shared" si="0"/>
        <v>0</v>
      </c>
      <c r="I91" s="213">
        <f t="shared" si="2"/>
        <v>-4.2874999926425517E-3</v>
      </c>
    </row>
    <row r="92" spans="1:9" hidden="1" outlineLevel="1" x14ac:dyDescent="0.25">
      <c r="A92" s="216">
        <f t="shared" si="3"/>
        <v>23</v>
      </c>
      <c r="B92" s="212">
        <v>44986</v>
      </c>
      <c r="C92" s="222"/>
      <c r="E92" s="247"/>
      <c r="F92" s="246">
        <f t="shared" si="5"/>
        <v>0</v>
      </c>
      <c r="G92" s="229">
        <f t="shared" si="1"/>
        <v>0</v>
      </c>
      <c r="H92" s="213">
        <f t="shared" si="0"/>
        <v>0</v>
      </c>
      <c r="I92" s="213">
        <f t="shared" si="2"/>
        <v>-4.2874999926425517E-3</v>
      </c>
    </row>
    <row r="93" spans="1:9" hidden="1" outlineLevel="1" x14ac:dyDescent="0.25">
      <c r="A93" s="216">
        <f t="shared" si="3"/>
        <v>24</v>
      </c>
      <c r="B93" s="212">
        <v>45017</v>
      </c>
      <c r="C93" s="222"/>
      <c r="E93" s="247"/>
      <c r="F93" s="246">
        <f t="shared" si="5"/>
        <v>0</v>
      </c>
      <c r="G93" s="229">
        <f t="shared" si="1"/>
        <v>0</v>
      </c>
      <c r="H93" s="213">
        <f t="shared" si="0"/>
        <v>0</v>
      </c>
      <c r="I93" s="213">
        <f t="shared" si="2"/>
        <v>-4.2874999926425517E-3</v>
      </c>
    </row>
    <row r="94" spans="1:9" hidden="1" outlineLevel="1" x14ac:dyDescent="0.25">
      <c r="A94" s="216">
        <f t="shared" si="3"/>
        <v>25</v>
      </c>
      <c r="B94" s="212">
        <v>45047</v>
      </c>
      <c r="C94" s="222"/>
      <c r="E94" s="247"/>
      <c r="F94" s="246">
        <f t="shared" si="5"/>
        <v>0</v>
      </c>
      <c r="G94" s="229">
        <f t="shared" si="1"/>
        <v>0</v>
      </c>
      <c r="H94" s="213">
        <f t="shared" si="0"/>
        <v>0</v>
      </c>
      <c r="I94" s="213">
        <f t="shared" si="2"/>
        <v>-4.2874999926425517E-3</v>
      </c>
    </row>
    <row r="95" spans="1:9" hidden="1" outlineLevel="1" x14ac:dyDescent="0.25">
      <c r="A95" s="216">
        <f t="shared" si="3"/>
        <v>26</v>
      </c>
      <c r="B95" s="212">
        <v>45078</v>
      </c>
      <c r="C95" s="222"/>
      <c r="E95" s="247"/>
      <c r="F95" s="246">
        <f t="shared" si="5"/>
        <v>0</v>
      </c>
      <c r="G95" s="229">
        <f t="shared" si="1"/>
        <v>0</v>
      </c>
      <c r="H95" s="213">
        <f t="shared" si="0"/>
        <v>0</v>
      </c>
      <c r="I95" s="213">
        <f t="shared" si="2"/>
        <v>-4.2874999926425517E-3</v>
      </c>
    </row>
    <row r="96" spans="1:9" hidden="1" outlineLevel="1" x14ac:dyDescent="0.25">
      <c r="A96" s="216">
        <f t="shared" si="3"/>
        <v>27</v>
      </c>
      <c r="B96" s="212">
        <v>45108</v>
      </c>
      <c r="C96" s="222"/>
      <c r="E96" s="247"/>
      <c r="F96" s="246">
        <f t="shared" si="5"/>
        <v>0</v>
      </c>
      <c r="G96" s="229">
        <f t="shared" si="1"/>
        <v>0</v>
      </c>
      <c r="H96" s="213">
        <f t="shared" si="0"/>
        <v>0</v>
      </c>
      <c r="I96" s="213">
        <f t="shared" si="2"/>
        <v>-4.2874999926425517E-3</v>
      </c>
    </row>
    <row r="97" spans="1:9" hidden="1" outlineLevel="1" x14ac:dyDescent="0.25">
      <c r="A97" s="216">
        <f t="shared" si="3"/>
        <v>28</v>
      </c>
      <c r="B97" s="212">
        <v>45139</v>
      </c>
      <c r="C97" s="222"/>
      <c r="E97" s="247"/>
      <c r="F97" s="246">
        <f t="shared" si="5"/>
        <v>0</v>
      </c>
      <c r="G97" s="229">
        <f t="shared" si="1"/>
        <v>0</v>
      </c>
      <c r="H97" s="213">
        <f t="shared" si="0"/>
        <v>0</v>
      </c>
      <c r="I97" s="213">
        <f t="shared" si="2"/>
        <v>-4.2874999926425517E-3</v>
      </c>
    </row>
    <row r="98" spans="1:9" hidden="1" outlineLevel="1" x14ac:dyDescent="0.25">
      <c r="A98" s="216">
        <f t="shared" si="3"/>
        <v>29</v>
      </c>
      <c r="B98" s="212">
        <v>45170</v>
      </c>
      <c r="C98" s="222"/>
      <c r="E98" s="247"/>
      <c r="F98" s="246">
        <f t="shared" si="5"/>
        <v>0</v>
      </c>
      <c r="G98" s="229">
        <f t="shared" si="1"/>
        <v>0</v>
      </c>
      <c r="H98" s="213">
        <f t="shared" si="0"/>
        <v>0</v>
      </c>
      <c r="I98" s="213">
        <f t="shared" si="2"/>
        <v>-4.2874999926425517E-3</v>
      </c>
    </row>
    <row r="99" spans="1:9" hidden="1" outlineLevel="1" x14ac:dyDescent="0.25">
      <c r="A99" s="216">
        <f t="shared" si="3"/>
        <v>30</v>
      </c>
      <c r="B99" s="212">
        <v>45200</v>
      </c>
      <c r="C99" s="222"/>
      <c r="E99" s="247"/>
      <c r="F99" s="246">
        <f t="shared" si="5"/>
        <v>0</v>
      </c>
      <c r="G99" s="229">
        <f t="shared" si="1"/>
        <v>0</v>
      </c>
      <c r="H99" s="213">
        <f t="shared" si="0"/>
        <v>0</v>
      </c>
      <c r="I99" s="213">
        <f t="shared" si="2"/>
        <v>-4.2874999926425517E-3</v>
      </c>
    </row>
    <row r="100" spans="1:9" hidden="1" outlineLevel="1" collapsed="1" x14ac:dyDescent="0.25">
      <c r="A100" s="216">
        <f t="shared" si="3"/>
        <v>31</v>
      </c>
      <c r="B100" s="212">
        <v>45231</v>
      </c>
      <c r="C100" s="222"/>
      <c r="E100" s="247"/>
      <c r="F100" s="246">
        <f t="shared" si="5"/>
        <v>0</v>
      </c>
      <c r="G100" s="229">
        <f t="shared" si="1"/>
        <v>0</v>
      </c>
      <c r="H100" s="213">
        <f t="shared" si="0"/>
        <v>0</v>
      </c>
      <c r="I100" s="213">
        <f t="shared" si="2"/>
        <v>-4.2874999926425517E-3</v>
      </c>
    </row>
    <row r="101" spans="1:9" hidden="1" outlineLevel="1" x14ac:dyDescent="0.25">
      <c r="A101" s="216">
        <f t="shared" si="3"/>
        <v>32</v>
      </c>
      <c r="B101" s="212">
        <v>45261</v>
      </c>
      <c r="C101" s="222"/>
      <c r="E101" s="247"/>
      <c r="F101" s="246">
        <f t="shared" si="5"/>
        <v>0</v>
      </c>
      <c r="G101" s="229">
        <f t="shared" si="1"/>
        <v>0</v>
      </c>
      <c r="H101" s="213">
        <f t="shared" si="0"/>
        <v>0</v>
      </c>
      <c r="I101" s="213">
        <f t="shared" si="2"/>
        <v>-4.2874999926425517E-3</v>
      </c>
    </row>
    <row r="102" spans="1:9" hidden="1" outlineLevel="1" x14ac:dyDescent="0.25">
      <c r="A102" s="216">
        <f t="shared" si="3"/>
        <v>33</v>
      </c>
      <c r="B102" s="212">
        <v>45292</v>
      </c>
      <c r="C102" s="222"/>
      <c r="E102" s="247"/>
      <c r="F102" s="246">
        <f t="shared" si="5"/>
        <v>0</v>
      </c>
      <c r="G102" s="229">
        <f t="shared" si="1"/>
        <v>0</v>
      </c>
      <c r="H102" s="213">
        <f t="shared" si="0"/>
        <v>0</v>
      </c>
      <c r="I102" s="213">
        <f t="shared" si="2"/>
        <v>-4.2874999926425517E-3</v>
      </c>
    </row>
    <row r="103" spans="1:9" hidden="1" outlineLevel="1" x14ac:dyDescent="0.25">
      <c r="A103" s="216">
        <f t="shared" si="3"/>
        <v>34</v>
      </c>
      <c r="B103" s="212">
        <v>45323</v>
      </c>
      <c r="C103" s="222"/>
      <c r="E103" s="247"/>
      <c r="F103" s="246">
        <f t="shared" si="5"/>
        <v>0</v>
      </c>
      <c r="G103" s="229">
        <f t="shared" si="1"/>
        <v>0</v>
      </c>
      <c r="H103" s="213">
        <f t="shared" si="0"/>
        <v>0</v>
      </c>
      <c r="I103" s="213">
        <f t="shared" si="2"/>
        <v>-4.2874999926425517E-3</v>
      </c>
    </row>
    <row r="104" spans="1:9" hidden="1" outlineLevel="1" x14ac:dyDescent="0.25">
      <c r="A104" s="216">
        <f t="shared" si="3"/>
        <v>35</v>
      </c>
      <c r="B104" s="212">
        <v>45352</v>
      </c>
      <c r="C104" s="222">
        <v>4</v>
      </c>
      <c r="D104" s="247">
        <v>-58376.104835999999</v>
      </c>
      <c r="E104" s="247"/>
      <c r="F104" s="246">
        <v>8.5000000000000006E-2</v>
      </c>
      <c r="G104" s="229">
        <f t="shared" si="1"/>
        <v>-206.75</v>
      </c>
      <c r="H104" s="213">
        <f t="shared" si="0"/>
        <v>-58582.854835999999</v>
      </c>
      <c r="I104" s="213">
        <f t="shared" si="2"/>
        <v>-58582.859123499991</v>
      </c>
    </row>
    <row r="105" spans="1:9" hidden="1" outlineLevel="1" x14ac:dyDescent="0.25">
      <c r="A105" s="216">
        <f t="shared" si="3"/>
        <v>36</v>
      </c>
      <c r="B105" s="212">
        <v>45383</v>
      </c>
      <c r="C105" s="222"/>
      <c r="E105" s="247"/>
      <c r="F105" s="246">
        <v>8.5000000000000006E-2</v>
      </c>
      <c r="G105" s="229">
        <f t="shared" si="1"/>
        <v>-414.96</v>
      </c>
      <c r="H105" s="213">
        <f t="shared" si="0"/>
        <v>-414.96</v>
      </c>
      <c r="I105" s="213">
        <f t="shared" si="2"/>
        <v>-58997.81912349999</v>
      </c>
    </row>
    <row r="106" spans="1:9" hidden="1" outlineLevel="1" x14ac:dyDescent="0.25">
      <c r="A106" s="216">
        <f t="shared" si="3"/>
        <v>37</v>
      </c>
      <c r="B106" s="212">
        <v>45413</v>
      </c>
      <c r="C106" s="222"/>
      <c r="E106" s="247"/>
      <c r="F106" s="246">
        <v>8.5000000000000006E-2</v>
      </c>
      <c r="G106" s="229">
        <f t="shared" si="1"/>
        <v>-417.9</v>
      </c>
      <c r="H106" s="213">
        <f t="shared" si="0"/>
        <v>-417.9</v>
      </c>
      <c r="I106" s="213">
        <f t="shared" si="2"/>
        <v>-59415.719123499992</v>
      </c>
    </row>
    <row r="107" spans="1:9" hidden="1" outlineLevel="1" x14ac:dyDescent="0.25">
      <c r="A107" s="216">
        <f t="shared" si="3"/>
        <v>38</v>
      </c>
      <c r="B107" s="212">
        <v>45444</v>
      </c>
      <c r="C107" s="222"/>
      <c r="E107" s="247"/>
      <c r="F107" s="246">
        <v>8.5000000000000006E-2</v>
      </c>
      <c r="G107" s="229">
        <f t="shared" si="1"/>
        <v>-420.86</v>
      </c>
      <c r="H107" s="213">
        <f t="shared" si="0"/>
        <v>-420.86</v>
      </c>
      <c r="I107" s="213">
        <f t="shared" si="2"/>
        <v>-59836.579123499992</v>
      </c>
    </row>
    <row r="108" spans="1:9" hidden="1" outlineLevel="1" x14ac:dyDescent="0.25">
      <c r="A108" s="216">
        <f t="shared" si="3"/>
        <v>39</v>
      </c>
      <c r="B108" s="212">
        <v>45474</v>
      </c>
      <c r="C108" s="222"/>
      <c r="E108" s="247"/>
      <c r="F108" s="246">
        <v>8.5000000000000006E-2</v>
      </c>
      <c r="G108" s="229">
        <f t="shared" si="1"/>
        <v>-423.84</v>
      </c>
      <c r="H108" s="213">
        <f t="shared" si="0"/>
        <v>-423.84</v>
      </c>
      <c r="I108" s="213">
        <f t="shared" si="2"/>
        <v>-60260.419123499989</v>
      </c>
    </row>
    <row r="109" spans="1:9" hidden="1" outlineLevel="1" x14ac:dyDescent="0.25">
      <c r="A109" s="216">
        <f t="shared" si="3"/>
        <v>40</v>
      </c>
      <c r="B109" s="212">
        <v>45505</v>
      </c>
      <c r="C109" s="222"/>
      <c r="E109" s="247"/>
      <c r="F109" s="246">
        <v>8.5000000000000006E-2</v>
      </c>
      <c r="G109" s="229">
        <f t="shared" si="1"/>
        <v>-426.84</v>
      </c>
      <c r="H109" s="213">
        <f t="shared" si="0"/>
        <v>-426.84</v>
      </c>
      <c r="I109" s="213">
        <f t="shared" si="2"/>
        <v>-60687.259123499985</v>
      </c>
    </row>
    <row r="110" spans="1:9" hidden="1" outlineLevel="1" x14ac:dyDescent="0.25">
      <c r="A110" s="216">
        <f t="shared" si="3"/>
        <v>41</v>
      </c>
      <c r="B110" s="212">
        <v>45536</v>
      </c>
      <c r="C110" s="222"/>
      <c r="E110" s="247"/>
      <c r="F110" s="246">
        <v>8.5000000000000006E-2</v>
      </c>
      <c r="G110" s="229">
        <f t="shared" si="1"/>
        <v>-429.87</v>
      </c>
      <c r="H110" s="213">
        <f t="shared" si="0"/>
        <v>-429.87</v>
      </c>
      <c r="I110" s="213">
        <f t="shared" si="2"/>
        <v>-61117.129123499988</v>
      </c>
    </row>
    <row r="111" spans="1:9" hidden="1" outlineLevel="1" x14ac:dyDescent="0.25">
      <c r="A111" s="216">
        <f t="shared" si="3"/>
        <v>42</v>
      </c>
      <c r="B111" s="212">
        <v>45566</v>
      </c>
      <c r="C111" s="222"/>
      <c r="E111" s="247"/>
      <c r="F111" s="246">
        <v>8.5000000000000006E-2</v>
      </c>
      <c r="G111" s="229">
        <f t="shared" si="1"/>
        <v>-432.91</v>
      </c>
      <c r="H111" s="213">
        <f t="shared" si="0"/>
        <v>-432.91</v>
      </c>
      <c r="I111" s="213">
        <f t="shared" si="2"/>
        <v>-61550.039123499992</v>
      </c>
    </row>
    <row r="112" spans="1:9" collapsed="1" x14ac:dyDescent="0.25">
      <c r="A112" s="216">
        <f t="shared" si="3"/>
        <v>43</v>
      </c>
      <c r="B112" s="212">
        <v>45597</v>
      </c>
      <c r="C112" s="222">
        <v>3</v>
      </c>
      <c r="E112" s="245">
        <v>61550.04</v>
      </c>
      <c r="F112" s="246">
        <v>8.5000000000000006E-2</v>
      </c>
      <c r="G112" s="229">
        <f t="shared" si="1"/>
        <v>0</v>
      </c>
      <c r="H112" s="213">
        <f t="shared" si="0"/>
        <v>61550.04</v>
      </c>
      <c r="I112" s="213">
        <f t="shared" si="2"/>
        <v>8.7650000932626426E-4</v>
      </c>
    </row>
    <row r="113" spans="1:9" x14ac:dyDescent="0.25">
      <c r="A113" s="216">
        <f t="shared" si="3"/>
        <v>44</v>
      </c>
      <c r="B113" s="212">
        <v>45627</v>
      </c>
      <c r="C113" s="222"/>
      <c r="E113" s="247"/>
      <c r="F113" s="246">
        <v>8.5000000000000006E-2</v>
      </c>
      <c r="G113" s="229">
        <f t="shared" si="1"/>
        <v>0</v>
      </c>
      <c r="H113" s="213">
        <f t="shared" si="0"/>
        <v>0</v>
      </c>
      <c r="I113" s="213">
        <f t="shared" si="2"/>
        <v>8.7650000932626426E-4</v>
      </c>
    </row>
    <row r="114" spans="1:9" x14ac:dyDescent="0.25">
      <c r="A114" s="216">
        <f t="shared" si="3"/>
        <v>45</v>
      </c>
      <c r="B114" s="212">
        <v>45658</v>
      </c>
      <c r="C114" s="222"/>
      <c r="E114" s="247"/>
      <c r="F114" s="246">
        <v>8.0399999999999999E-2</v>
      </c>
      <c r="G114" s="229">
        <f t="shared" si="1"/>
        <v>0</v>
      </c>
      <c r="H114" s="213">
        <f t="shared" si="0"/>
        <v>0</v>
      </c>
      <c r="I114" s="213">
        <f t="shared" si="2"/>
        <v>8.7650000932626426E-4</v>
      </c>
    </row>
    <row r="115" spans="1:9" x14ac:dyDescent="0.25">
      <c r="A115" s="216">
        <f t="shared" si="3"/>
        <v>46</v>
      </c>
      <c r="B115" s="212">
        <v>45689</v>
      </c>
      <c r="C115" s="222"/>
      <c r="E115" s="247"/>
      <c r="F115" s="246">
        <v>8.0399999999999999E-2</v>
      </c>
      <c r="G115" s="229">
        <f t="shared" si="1"/>
        <v>0</v>
      </c>
      <c r="H115" s="213">
        <f t="shared" si="0"/>
        <v>0</v>
      </c>
      <c r="I115" s="213">
        <f t="shared" si="2"/>
        <v>8.7650000932626426E-4</v>
      </c>
    </row>
    <row r="116" spans="1:9" x14ac:dyDescent="0.25">
      <c r="A116" s="216">
        <f t="shared" si="3"/>
        <v>47</v>
      </c>
      <c r="B116" s="212">
        <v>45717</v>
      </c>
      <c r="C116" s="222"/>
      <c r="E116" s="247"/>
      <c r="F116" s="246">
        <v>8.0399999999999999E-2</v>
      </c>
      <c r="G116" s="229">
        <f t="shared" si="1"/>
        <v>0</v>
      </c>
      <c r="H116" s="213">
        <f t="shared" si="0"/>
        <v>0</v>
      </c>
      <c r="I116" s="213">
        <f t="shared" si="2"/>
        <v>8.7650000932626426E-4</v>
      </c>
    </row>
    <row r="117" spans="1:9" x14ac:dyDescent="0.25">
      <c r="A117" s="216">
        <f t="shared" si="3"/>
        <v>48</v>
      </c>
      <c r="B117" s="212">
        <v>45748</v>
      </c>
      <c r="C117" s="222"/>
      <c r="E117" s="247"/>
      <c r="F117" s="246">
        <v>7.5499999999999998E-2</v>
      </c>
      <c r="G117" s="229">
        <f t="shared" si="1"/>
        <v>0</v>
      </c>
      <c r="H117" s="213">
        <f t="shared" si="0"/>
        <v>0</v>
      </c>
      <c r="I117" s="213">
        <f t="shared" si="2"/>
        <v>8.7650000932626426E-4</v>
      </c>
    </row>
    <row r="118" spans="1:9" x14ac:dyDescent="0.25">
      <c r="A118" s="216">
        <f t="shared" si="3"/>
        <v>49</v>
      </c>
      <c r="B118" s="212">
        <v>45778</v>
      </c>
      <c r="C118" s="222"/>
      <c r="E118" s="247"/>
      <c r="F118" s="246">
        <v>7.5499999999999998E-2</v>
      </c>
      <c r="G118" s="229">
        <f t="shared" si="1"/>
        <v>0</v>
      </c>
      <c r="H118" s="213">
        <f t="shared" si="0"/>
        <v>0</v>
      </c>
      <c r="I118" s="213">
        <f t="shared" si="2"/>
        <v>8.7650000932626426E-4</v>
      </c>
    </row>
    <row r="119" spans="1:9" x14ac:dyDescent="0.25">
      <c r="A119" s="216">
        <f t="shared" si="3"/>
        <v>50</v>
      </c>
      <c r="B119" s="212">
        <v>45809</v>
      </c>
      <c r="C119" s="222"/>
      <c r="E119" s="247"/>
      <c r="F119" s="246">
        <v>7.5499999999999998E-2</v>
      </c>
      <c r="G119" s="229">
        <f t="shared" si="1"/>
        <v>0</v>
      </c>
      <c r="H119" s="213">
        <f t="shared" si="0"/>
        <v>0</v>
      </c>
      <c r="I119" s="213">
        <f t="shared" si="2"/>
        <v>8.7650000932626426E-4</v>
      </c>
    </row>
    <row r="120" spans="1:9" x14ac:dyDescent="0.25">
      <c r="A120" s="216">
        <f t="shared" si="3"/>
        <v>51</v>
      </c>
      <c r="B120" s="212">
        <v>45839</v>
      </c>
      <c r="C120" s="222"/>
      <c r="E120" s="247"/>
      <c r="F120" s="248">
        <v>7.4999999999999997E-2</v>
      </c>
      <c r="G120" s="229">
        <f t="shared" si="1"/>
        <v>0</v>
      </c>
      <c r="H120" s="213">
        <f t="shared" si="0"/>
        <v>0</v>
      </c>
      <c r="I120" s="213">
        <f t="shared" si="2"/>
        <v>8.7650000932626426E-4</v>
      </c>
    </row>
    <row r="121" spans="1:9" x14ac:dyDescent="0.25">
      <c r="A121" s="216">
        <f t="shared" si="3"/>
        <v>52</v>
      </c>
      <c r="B121" s="212">
        <v>45870</v>
      </c>
      <c r="C121" s="222"/>
      <c r="E121" s="247"/>
      <c r="F121" s="246">
        <v>7.4999999999999997E-2</v>
      </c>
      <c r="G121" s="229">
        <f t="shared" si="1"/>
        <v>0</v>
      </c>
      <c r="H121" s="213">
        <f t="shared" si="0"/>
        <v>0</v>
      </c>
      <c r="I121" s="213">
        <f t="shared" si="2"/>
        <v>8.7650000932626426E-4</v>
      </c>
    </row>
    <row r="122" spans="1:9" x14ac:dyDescent="0.25">
      <c r="A122" s="216">
        <f t="shared" si="3"/>
        <v>53</v>
      </c>
      <c r="B122" s="212">
        <v>45901</v>
      </c>
      <c r="C122" s="222"/>
      <c r="E122" s="247"/>
      <c r="F122" s="246">
        <v>7.4999999999999997E-2</v>
      </c>
      <c r="G122" s="229">
        <f t="shared" si="1"/>
        <v>0</v>
      </c>
      <c r="H122" s="213">
        <f t="shared" si="0"/>
        <v>0</v>
      </c>
      <c r="I122" s="213">
        <f t="shared" si="2"/>
        <v>8.7650000932626426E-4</v>
      </c>
    </row>
    <row r="123" spans="1:9" x14ac:dyDescent="0.25">
      <c r="A123" s="216">
        <f t="shared" si="3"/>
        <v>54</v>
      </c>
      <c r="B123" s="212">
        <v>45931</v>
      </c>
      <c r="C123" s="222"/>
      <c r="E123" s="247"/>
      <c r="F123" s="246">
        <v>7.4999999999999997E-2</v>
      </c>
      <c r="G123" s="229">
        <f t="shared" si="1"/>
        <v>0</v>
      </c>
      <c r="H123" s="213">
        <f t="shared" si="0"/>
        <v>0</v>
      </c>
      <c r="I123" s="213">
        <f t="shared" si="2"/>
        <v>8.7650000932626426E-4</v>
      </c>
    </row>
    <row r="124" spans="1:9" x14ac:dyDescent="0.25">
      <c r="A124" s="216">
        <f t="shared" si="3"/>
        <v>55</v>
      </c>
      <c r="C124" s="222"/>
      <c r="E124" s="247"/>
      <c r="F124" s="246"/>
      <c r="G124" s="229"/>
      <c r="H124" s="213"/>
      <c r="I124" s="213"/>
    </row>
    <row r="125" spans="1:9" x14ac:dyDescent="0.25">
      <c r="A125" s="216">
        <f t="shared" si="3"/>
        <v>56</v>
      </c>
      <c r="B125" s="239" t="s">
        <v>189</v>
      </c>
      <c r="C125" s="222"/>
      <c r="E125" s="247"/>
      <c r="F125" s="246"/>
      <c r="G125" s="229"/>
      <c r="H125" s="213"/>
      <c r="I125" s="213"/>
    </row>
    <row r="126" spans="1:9" x14ac:dyDescent="0.25">
      <c r="A126" s="216">
        <f t="shared" si="3"/>
        <v>57</v>
      </c>
      <c r="C126" s="222"/>
      <c r="E126" s="247"/>
      <c r="F126" s="246"/>
      <c r="G126" s="229"/>
      <c r="H126" s="213"/>
      <c r="I126" s="213"/>
    </row>
    <row r="127" spans="1:9" x14ac:dyDescent="0.25">
      <c r="A127" s="216">
        <f t="shared" si="3"/>
        <v>58</v>
      </c>
      <c r="B127" s="240" t="s">
        <v>196</v>
      </c>
    </row>
    <row r="128" spans="1:9" x14ac:dyDescent="0.25">
      <c r="A128" s="216">
        <f t="shared" si="3"/>
        <v>59</v>
      </c>
      <c r="B128" s="239" t="s">
        <v>197</v>
      </c>
    </row>
    <row r="129" spans="1:13" x14ac:dyDescent="0.25">
      <c r="A129" s="216">
        <f t="shared" si="3"/>
        <v>60</v>
      </c>
      <c r="B129" s="239" t="s">
        <v>198</v>
      </c>
    </row>
    <row r="130" spans="1:13" x14ac:dyDescent="0.25">
      <c r="A130" s="216">
        <f t="shared" si="3"/>
        <v>61</v>
      </c>
      <c r="B130" s="239" t="s">
        <v>199</v>
      </c>
    </row>
    <row r="131" spans="1:13" x14ac:dyDescent="0.25">
      <c r="A131" s="216">
        <f t="shared" si="3"/>
        <v>62</v>
      </c>
      <c r="B131" s="239" t="s">
        <v>200</v>
      </c>
    </row>
    <row r="132" spans="1:13" x14ac:dyDescent="0.25">
      <c r="A132" s="216">
        <f t="shared" si="3"/>
        <v>63</v>
      </c>
    </row>
    <row r="133" spans="1:13" x14ac:dyDescent="0.25">
      <c r="A133" s="211"/>
    </row>
    <row r="134" spans="1:13" x14ac:dyDescent="0.25">
      <c r="A134" s="211"/>
    </row>
    <row r="135" spans="1:13" x14ac:dyDescent="0.25">
      <c r="A135" s="211"/>
    </row>
    <row r="136" spans="1:13" x14ac:dyDescent="0.25">
      <c r="A136" s="211"/>
    </row>
    <row r="137" spans="1:13" x14ac:dyDescent="0.25">
      <c r="A137" s="211"/>
      <c r="M137" s="726"/>
    </row>
    <row r="138" spans="1:13" x14ac:dyDescent="0.25">
      <c r="A138" s="211"/>
      <c r="M138" s="726"/>
    </row>
    <row r="139" spans="1:13" x14ac:dyDescent="0.25">
      <c r="A139" s="211"/>
      <c r="M139" s="726"/>
    </row>
    <row r="140" spans="1:13" x14ac:dyDescent="0.25">
      <c r="A140" s="211"/>
      <c r="M140" s="726"/>
    </row>
    <row r="141" spans="1:13" x14ac:dyDescent="0.25">
      <c r="A141" s="211"/>
    </row>
    <row r="142" spans="1:13" x14ac:dyDescent="0.25">
      <c r="A142" s="211"/>
    </row>
    <row r="143" spans="1:13" x14ac:dyDescent="0.25">
      <c r="A143" s="211"/>
    </row>
    <row r="144" spans="1:13" x14ac:dyDescent="0.25">
      <c r="A144" s="211"/>
    </row>
    <row r="145" spans="1:1" x14ac:dyDescent="0.25">
      <c r="A145" s="211"/>
    </row>
    <row r="146" spans="1:1" x14ac:dyDescent="0.25">
      <c r="A146" s="211"/>
    </row>
    <row r="147" spans="1:1" x14ac:dyDescent="0.25">
      <c r="A147" s="211"/>
    </row>
    <row r="148" spans="1:1" x14ac:dyDescent="0.25">
      <c r="A148" s="211"/>
    </row>
    <row r="149" spans="1:1" x14ac:dyDescent="0.25">
      <c r="A149" s="211"/>
    </row>
    <row r="150" spans="1:1" x14ac:dyDescent="0.25">
      <c r="A150" s="211"/>
    </row>
    <row r="151" spans="1:1" x14ac:dyDescent="0.25">
      <c r="A151" s="211"/>
    </row>
    <row r="152" spans="1:1" x14ac:dyDescent="0.25">
      <c r="A152" s="211"/>
    </row>
    <row r="153" spans="1:1" x14ac:dyDescent="0.25">
      <c r="A153" s="211"/>
    </row>
    <row r="154" spans="1:1" x14ac:dyDescent="0.25">
      <c r="A154" s="211"/>
    </row>
    <row r="155" spans="1:1" x14ac:dyDescent="0.25">
      <c r="A155" s="211"/>
    </row>
    <row r="156" spans="1:1" x14ac:dyDescent="0.25">
      <c r="A156" s="211"/>
    </row>
    <row r="157" spans="1:1" x14ac:dyDescent="0.25">
      <c r="A157" s="211"/>
    </row>
    <row r="158" spans="1:1" x14ac:dyDescent="0.25">
      <c r="A158" s="211"/>
    </row>
    <row r="159" spans="1:1" x14ac:dyDescent="0.25">
      <c r="A159" s="211"/>
    </row>
    <row r="160" spans="1:1" x14ac:dyDescent="0.25">
      <c r="A160" s="211"/>
    </row>
    <row r="161" spans="1:1" x14ac:dyDescent="0.25">
      <c r="A161" s="211"/>
    </row>
    <row r="162" spans="1:1" x14ac:dyDescent="0.25">
      <c r="A162" s="211"/>
    </row>
    <row r="163" spans="1:1" x14ac:dyDescent="0.25">
      <c r="A163" s="211"/>
    </row>
    <row r="164" spans="1:1" x14ac:dyDescent="0.25">
      <c r="A164" s="211"/>
    </row>
    <row r="165" spans="1:1" x14ac:dyDescent="0.25">
      <c r="A165" s="211"/>
    </row>
    <row r="166" spans="1:1" x14ac:dyDescent="0.25">
      <c r="A166" s="211"/>
    </row>
    <row r="167" spans="1:1" x14ac:dyDescent="0.25">
      <c r="A167" s="211"/>
    </row>
    <row r="168" spans="1:1" x14ac:dyDescent="0.25">
      <c r="A168" s="211"/>
    </row>
    <row r="169" spans="1:1" x14ac:dyDescent="0.25">
      <c r="A169" s="211"/>
    </row>
    <row r="170" spans="1:1" x14ac:dyDescent="0.25">
      <c r="A170" s="211"/>
    </row>
    <row r="171" spans="1:1" x14ac:dyDescent="0.25">
      <c r="A171" s="211"/>
    </row>
    <row r="172" spans="1:1" x14ac:dyDescent="0.25">
      <c r="A172" s="211"/>
    </row>
    <row r="173" spans="1:1" x14ac:dyDescent="0.25">
      <c r="A173" s="211"/>
    </row>
    <row r="174" spans="1:1" x14ac:dyDescent="0.25">
      <c r="A174" s="211"/>
    </row>
    <row r="175" spans="1:1" x14ac:dyDescent="0.25">
      <c r="A175" s="211"/>
    </row>
    <row r="176" spans="1:1" x14ac:dyDescent="0.25">
      <c r="A176" s="211"/>
    </row>
    <row r="177" spans="1:1" x14ac:dyDescent="0.25">
      <c r="A177" s="211"/>
    </row>
    <row r="178" spans="1:1" x14ac:dyDescent="0.25">
      <c r="A178" s="211"/>
    </row>
    <row r="179" spans="1:1" x14ac:dyDescent="0.25">
      <c r="A179" s="211"/>
    </row>
    <row r="180" spans="1:1" x14ac:dyDescent="0.25">
      <c r="A180" s="211"/>
    </row>
    <row r="181" spans="1:1" x14ac:dyDescent="0.25">
      <c r="A181" s="211"/>
    </row>
    <row r="182" spans="1:1" x14ac:dyDescent="0.25">
      <c r="A182" s="211"/>
    </row>
    <row r="183" spans="1:1" x14ac:dyDescent="0.25">
      <c r="A183" s="211"/>
    </row>
    <row r="184" spans="1:1" x14ac:dyDescent="0.25">
      <c r="A184" s="211"/>
    </row>
    <row r="185" spans="1:1" x14ac:dyDescent="0.25">
      <c r="A185" s="211"/>
    </row>
    <row r="186" spans="1:1" x14ac:dyDescent="0.25">
      <c r="A186" s="211"/>
    </row>
    <row r="187" spans="1:1" x14ac:dyDescent="0.25">
      <c r="A187" s="211"/>
    </row>
    <row r="188" spans="1:1" x14ac:dyDescent="0.25">
      <c r="A188" s="211"/>
    </row>
    <row r="189" spans="1:1" x14ac:dyDescent="0.25">
      <c r="A189" s="211"/>
    </row>
    <row r="190" spans="1:1" x14ac:dyDescent="0.25">
      <c r="A190" s="211"/>
    </row>
    <row r="191" spans="1:1" x14ac:dyDescent="0.25">
      <c r="A191" s="211"/>
    </row>
    <row r="192" spans="1:1" x14ac:dyDescent="0.25">
      <c r="A192" s="211"/>
    </row>
    <row r="193" spans="1:1" x14ac:dyDescent="0.25">
      <c r="A193" s="211"/>
    </row>
    <row r="194" spans="1:1" x14ac:dyDescent="0.25">
      <c r="A194" s="211"/>
    </row>
    <row r="195" spans="1:1" x14ac:dyDescent="0.25">
      <c r="A195" s="211"/>
    </row>
    <row r="196" spans="1:1" x14ac:dyDescent="0.25">
      <c r="A196" s="211"/>
    </row>
    <row r="197" spans="1:1" x14ac:dyDescent="0.25">
      <c r="A197" s="211"/>
    </row>
    <row r="198" spans="1:1" x14ac:dyDescent="0.25">
      <c r="A198" s="211"/>
    </row>
    <row r="199" spans="1:1" x14ac:dyDescent="0.25">
      <c r="A199" s="211"/>
    </row>
    <row r="200" spans="1:1" x14ac:dyDescent="0.25">
      <c r="A200" s="211"/>
    </row>
    <row r="201" spans="1:1" x14ac:dyDescent="0.25">
      <c r="A201" s="211"/>
    </row>
    <row r="202" spans="1:1" x14ac:dyDescent="0.25">
      <c r="A202" s="211"/>
    </row>
    <row r="203" spans="1:1" x14ac:dyDescent="0.25">
      <c r="A203" s="211"/>
    </row>
    <row r="204" spans="1:1" x14ac:dyDescent="0.25">
      <c r="A204" s="211"/>
    </row>
    <row r="205" spans="1:1" x14ac:dyDescent="0.25">
      <c r="A205" s="211"/>
    </row>
    <row r="206" spans="1:1" x14ac:dyDescent="0.25">
      <c r="A206" s="211"/>
    </row>
    <row r="207" spans="1:1" x14ac:dyDescent="0.25">
      <c r="A207" s="211"/>
    </row>
    <row r="208" spans="1:1" x14ac:dyDescent="0.25">
      <c r="A208" s="211"/>
    </row>
    <row r="209" spans="1:1" x14ac:dyDescent="0.25">
      <c r="A209" s="211"/>
    </row>
    <row r="210" spans="1:1" x14ac:dyDescent="0.25">
      <c r="A210" s="211"/>
    </row>
    <row r="211" spans="1:1" x14ac:dyDescent="0.25">
      <c r="A211" s="211"/>
    </row>
    <row r="212" spans="1:1" x14ac:dyDescent="0.25">
      <c r="A212" s="211"/>
    </row>
    <row r="213" spans="1:1" x14ac:dyDescent="0.25">
      <c r="A213" s="211"/>
    </row>
    <row r="214" spans="1:1" x14ac:dyDescent="0.25">
      <c r="A214" s="211"/>
    </row>
    <row r="215" spans="1:1" x14ac:dyDescent="0.25">
      <c r="A215" s="211"/>
    </row>
    <row r="216" spans="1:1" x14ac:dyDescent="0.25">
      <c r="A216" s="211"/>
    </row>
  </sheetData>
  <mergeCells count="1">
    <mergeCell ref="M137:M140"/>
  </mergeCells>
  <pageMargins left="0.5" right="0.5" top="0.5" bottom="0.25" header="0.25" footer="0.25"/>
  <pageSetup scale="99" orientation="landscape" r:id="rId1"/>
  <headerFooter alignWithMargins="0">
    <oddHeader xml:space="preserve">&amp;RUG-250711 - NWN WUTC Advice No. 25-06A
Exhibit A - Supporting Materials
Page &amp;P of &amp;N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316B-CBDE-4659-A40A-9DC34E3050DA}">
  <sheetPr>
    <tabColor theme="0" tint="-0.14999847407452621"/>
    <pageSetUpPr fitToPage="1"/>
  </sheetPr>
  <dimension ref="A1:L233"/>
  <sheetViews>
    <sheetView view="pageBreakPreview" zoomScaleNormal="100" zoomScaleSheetLayoutView="100" workbookViewId="0">
      <selection activeCell="F38" sqref="F38"/>
    </sheetView>
  </sheetViews>
  <sheetFormatPr defaultColWidth="8.453125" defaultRowHeight="12.5" outlineLevelRow="1" x14ac:dyDescent="0.25"/>
  <cols>
    <col min="1" max="1" width="4.26953125" style="249" customWidth="1"/>
    <col min="2" max="2" width="14.26953125" style="250" customWidth="1"/>
    <col min="3" max="3" width="13.81640625" style="250" customWidth="1"/>
    <col min="4" max="4" width="22.26953125" style="250" customWidth="1"/>
    <col min="5" max="7" width="14.26953125" style="250" customWidth="1"/>
    <col min="8" max="8" width="3.1796875" style="250" customWidth="1"/>
    <col min="9" max="20" width="14.26953125" style="250" customWidth="1"/>
    <col min="21" max="16384" width="8.453125" style="250"/>
  </cols>
  <sheetData>
    <row r="1" spans="1:10" x14ac:dyDescent="0.25">
      <c r="B1" s="250" t="s">
        <v>161</v>
      </c>
      <c r="D1" s="250" t="s">
        <v>162</v>
      </c>
    </row>
    <row r="2" spans="1:10" x14ac:dyDescent="0.25">
      <c r="B2" s="250" t="s">
        <v>163</v>
      </c>
      <c r="D2" s="250" t="s">
        <v>201</v>
      </c>
    </row>
    <row r="3" spans="1:10" x14ac:dyDescent="0.25">
      <c r="B3" s="250" t="s">
        <v>164</v>
      </c>
      <c r="D3" s="251" t="s">
        <v>202</v>
      </c>
    </row>
    <row r="4" spans="1:10" x14ac:dyDescent="0.25">
      <c r="B4" s="250" t="s">
        <v>166</v>
      </c>
      <c r="D4" s="252">
        <v>151827</v>
      </c>
    </row>
    <row r="6" spans="1:10" x14ac:dyDescent="0.25">
      <c r="A6" s="253"/>
      <c r="B6" s="250" t="s">
        <v>167</v>
      </c>
      <c r="G6" s="254"/>
      <c r="H6" s="254"/>
    </row>
    <row r="7" spans="1:10" ht="13.15" hidden="1" customHeight="1" x14ac:dyDescent="0.25">
      <c r="A7" s="253"/>
      <c r="B7" s="255"/>
      <c r="C7" s="255"/>
      <c r="D7" s="256"/>
      <c r="E7" s="255"/>
      <c r="F7" s="255"/>
      <c r="G7" s="257"/>
      <c r="H7" s="257"/>
      <c r="I7" s="255"/>
      <c r="J7" s="255"/>
    </row>
    <row r="8" spans="1:10" ht="13.15" hidden="1" customHeight="1" x14ac:dyDescent="0.25">
      <c r="A8" s="253"/>
      <c r="B8" s="255"/>
      <c r="C8" s="255"/>
      <c r="D8" s="256"/>
      <c r="E8" s="255"/>
      <c r="F8" s="255"/>
      <c r="G8" s="257"/>
      <c r="H8" s="257"/>
      <c r="I8" s="255"/>
      <c r="J8" s="255"/>
    </row>
    <row r="9" spans="1:10" ht="13.15" hidden="1" customHeight="1" x14ac:dyDescent="0.25">
      <c r="A9" s="253"/>
      <c r="B9" s="255"/>
      <c r="C9" s="255"/>
      <c r="D9" s="256"/>
      <c r="E9" s="255"/>
      <c r="F9" s="255"/>
      <c r="G9" s="257"/>
      <c r="H9" s="257"/>
      <c r="I9" s="255"/>
      <c r="J9" s="255"/>
    </row>
    <row r="10" spans="1:10" ht="13.15" hidden="1" customHeight="1" x14ac:dyDescent="0.25">
      <c r="A10" s="253"/>
      <c r="B10" s="255"/>
      <c r="C10" s="255"/>
      <c r="D10" s="256"/>
      <c r="E10" s="255"/>
      <c r="F10" s="255"/>
      <c r="G10" s="257"/>
      <c r="H10" s="257"/>
      <c r="I10" s="255"/>
      <c r="J10" s="255"/>
    </row>
    <row r="11" spans="1:10" ht="13.15" hidden="1" customHeight="1" x14ac:dyDescent="0.25">
      <c r="A11" s="253"/>
      <c r="B11" s="255"/>
      <c r="C11" s="255"/>
      <c r="D11" s="256"/>
      <c r="E11" s="255"/>
      <c r="F11" s="255"/>
      <c r="G11" s="257"/>
      <c r="H11" s="257"/>
      <c r="I11" s="255"/>
      <c r="J11" s="255"/>
    </row>
    <row r="12" spans="1:10" ht="13.15" hidden="1" customHeight="1" x14ac:dyDescent="0.25">
      <c r="A12" s="253"/>
      <c r="B12" s="255"/>
      <c r="C12" s="255"/>
      <c r="D12" s="256"/>
      <c r="E12" s="255"/>
      <c r="F12" s="255"/>
      <c r="G12" s="257"/>
      <c r="H12" s="257"/>
      <c r="I12" s="255"/>
      <c r="J12" s="255"/>
    </row>
    <row r="13" spans="1:10" ht="13.15" hidden="1" customHeight="1" x14ac:dyDescent="0.25">
      <c r="A13" s="253"/>
      <c r="B13" s="255"/>
      <c r="C13" s="255"/>
      <c r="D13" s="256"/>
      <c r="E13" s="255"/>
      <c r="F13" s="255"/>
      <c r="G13" s="257"/>
      <c r="H13" s="257"/>
      <c r="I13" s="255"/>
      <c r="J13" s="255"/>
    </row>
    <row r="14" spans="1:10" ht="13.15" hidden="1" customHeight="1" x14ac:dyDescent="0.25">
      <c r="A14" s="253"/>
      <c r="B14" s="258" t="s">
        <v>203</v>
      </c>
      <c r="C14" s="255"/>
      <c r="D14" s="256"/>
      <c r="E14" s="255"/>
      <c r="F14" s="255"/>
      <c r="G14" s="257"/>
      <c r="H14" s="257"/>
      <c r="I14" s="255"/>
      <c r="J14" s="255"/>
    </row>
    <row r="15" spans="1:10" ht="13.15" hidden="1" customHeight="1" x14ac:dyDescent="0.25">
      <c r="A15" s="253"/>
      <c r="B15" s="255"/>
      <c r="C15" s="255"/>
      <c r="D15" s="256"/>
      <c r="E15" s="255"/>
      <c r="F15" s="255"/>
      <c r="G15" s="257"/>
      <c r="H15" s="257"/>
      <c r="I15" s="255"/>
      <c r="J15" s="255"/>
    </row>
    <row r="16" spans="1:10" ht="13.15" hidden="1" customHeight="1" x14ac:dyDescent="0.25">
      <c r="A16" s="253"/>
      <c r="B16" s="255"/>
      <c r="C16" s="255"/>
      <c r="D16" s="256"/>
      <c r="E16" s="255"/>
      <c r="F16" s="255"/>
      <c r="G16" s="257"/>
      <c r="H16" s="257"/>
      <c r="I16" s="255"/>
      <c r="J16" s="255"/>
    </row>
    <row r="17" spans="1:10" ht="13.15" hidden="1" customHeight="1" x14ac:dyDescent="0.25">
      <c r="A17" s="253"/>
      <c r="B17" s="255"/>
      <c r="C17" s="255"/>
      <c r="D17" s="256"/>
      <c r="E17" s="255"/>
      <c r="F17" s="255"/>
      <c r="G17" s="257"/>
      <c r="H17" s="257"/>
      <c r="I17" s="255"/>
      <c r="J17" s="255"/>
    </row>
    <row r="18" spans="1:10" ht="13.15" hidden="1" customHeight="1" x14ac:dyDescent="0.25">
      <c r="A18" s="253"/>
      <c r="B18" s="255"/>
      <c r="C18" s="255"/>
      <c r="D18" s="256"/>
      <c r="E18" s="255"/>
      <c r="F18" s="255"/>
      <c r="G18" s="257"/>
      <c r="H18" s="257"/>
      <c r="I18" s="255"/>
      <c r="J18" s="255"/>
    </row>
    <row r="19" spans="1:10" ht="13.15" hidden="1" customHeight="1" x14ac:dyDescent="0.25">
      <c r="A19" s="253"/>
      <c r="B19" s="255"/>
      <c r="C19" s="255"/>
      <c r="D19" s="256"/>
      <c r="E19" s="255"/>
      <c r="F19" s="255"/>
      <c r="G19" s="257"/>
      <c r="H19" s="257"/>
      <c r="I19" s="255"/>
      <c r="J19" s="255"/>
    </row>
    <row r="20" spans="1:10" ht="13.15" hidden="1" customHeight="1" x14ac:dyDescent="0.25">
      <c r="A20" s="253"/>
      <c r="B20" s="255"/>
      <c r="C20" s="255"/>
      <c r="D20" s="256"/>
      <c r="E20" s="255"/>
      <c r="F20" s="255"/>
      <c r="G20" s="257"/>
      <c r="H20" s="257"/>
      <c r="I20" s="255"/>
      <c r="J20" s="255"/>
    </row>
    <row r="21" spans="1:10" ht="13.15" hidden="1" customHeight="1" x14ac:dyDescent="0.25">
      <c r="A21" s="253"/>
      <c r="B21" s="255"/>
      <c r="C21" s="255"/>
      <c r="D21" s="256"/>
      <c r="E21" s="255"/>
      <c r="F21" s="255"/>
      <c r="G21" s="257"/>
      <c r="H21" s="257"/>
      <c r="I21" s="255"/>
      <c r="J21" s="255"/>
    </row>
    <row r="22" spans="1:10" ht="13.15" hidden="1" customHeight="1" x14ac:dyDescent="0.25">
      <c r="A22" s="253"/>
      <c r="B22" s="255"/>
      <c r="C22" s="255"/>
      <c r="D22" s="256"/>
      <c r="E22" s="255"/>
      <c r="F22" s="255"/>
      <c r="G22" s="257"/>
      <c r="H22" s="257"/>
      <c r="I22" s="255"/>
      <c r="J22" s="255"/>
    </row>
    <row r="23" spans="1:10" ht="13.15" hidden="1" customHeight="1" x14ac:dyDescent="0.25">
      <c r="A23" s="253"/>
      <c r="B23" s="255"/>
      <c r="C23" s="255"/>
      <c r="D23" s="256"/>
      <c r="E23" s="255"/>
      <c r="F23" s="255"/>
      <c r="G23" s="257"/>
      <c r="H23" s="257"/>
      <c r="I23" s="255"/>
      <c r="J23" s="255"/>
    </row>
    <row r="24" spans="1:10" ht="13.15" hidden="1" customHeight="1" x14ac:dyDescent="0.25">
      <c r="A24" s="253"/>
      <c r="B24" s="255"/>
      <c r="C24" s="255"/>
      <c r="D24" s="256"/>
      <c r="E24" s="255"/>
      <c r="F24" s="255"/>
      <c r="G24" s="257"/>
      <c r="H24" s="257"/>
      <c r="I24" s="255"/>
      <c r="J24" s="255"/>
    </row>
    <row r="25" spans="1:10" ht="13.15" hidden="1" customHeight="1" x14ac:dyDescent="0.25">
      <c r="A25" s="253"/>
      <c r="B25" s="255"/>
      <c r="C25" s="255"/>
      <c r="D25" s="256"/>
      <c r="E25" s="255"/>
      <c r="F25" s="255"/>
      <c r="G25" s="257"/>
      <c r="H25" s="257"/>
      <c r="I25" s="255"/>
      <c r="J25" s="255"/>
    </row>
    <row r="26" spans="1:10" ht="13.15" hidden="1" customHeight="1" x14ac:dyDescent="0.25">
      <c r="A26" s="253"/>
      <c r="B26" s="257"/>
      <c r="C26" s="257"/>
      <c r="D26" s="259"/>
      <c r="E26" s="257"/>
      <c r="F26" s="257"/>
      <c r="G26" s="257"/>
      <c r="H26" s="257"/>
      <c r="I26" s="257"/>
      <c r="J26" s="257"/>
    </row>
    <row r="27" spans="1:10" x14ac:dyDescent="0.25">
      <c r="A27" s="253"/>
      <c r="B27" s="254"/>
      <c r="C27" s="254"/>
      <c r="D27" s="254"/>
      <c r="E27" s="254"/>
      <c r="F27" s="254"/>
      <c r="G27" s="254"/>
      <c r="H27" s="254"/>
      <c r="I27" s="254"/>
      <c r="J27" s="254"/>
    </row>
    <row r="28" spans="1:10" x14ac:dyDescent="0.25">
      <c r="A28" s="253"/>
      <c r="B28" s="260" t="s">
        <v>168</v>
      </c>
      <c r="C28" s="260" t="s">
        <v>169</v>
      </c>
      <c r="D28" s="260" t="s">
        <v>195</v>
      </c>
      <c r="E28" s="260" t="s">
        <v>171</v>
      </c>
      <c r="F28" s="260" t="s">
        <v>172</v>
      </c>
      <c r="G28" s="260" t="s">
        <v>173</v>
      </c>
      <c r="H28" s="260"/>
      <c r="I28" s="260" t="s">
        <v>174</v>
      </c>
      <c r="J28" s="260" t="s">
        <v>175</v>
      </c>
    </row>
    <row r="29" spans="1:10" x14ac:dyDescent="0.25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/>
      <c r="I29" s="254" t="s">
        <v>182</v>
      </c>
      <c r="J29" s="254" t="s">
        <v>183</v>
      </c>
    </row>
    <row r="30" spans="1:10" ht="13.15" hidden="1" customHeight="1" outlineLevel="1" x14ac:dyDescent="0.25">
      <c r="A30" s="253"/>
      <c r="B30" s="261"/>
      <c r="C30" s="261"/>
      <c r="D30" s="261"/>
      <c r="E30" s="261"/>
      <c r="F30" s="261"/>
      <c r="G30" s="261"/>
      <c r="H30" s="261"/>
      <c r="I30" s="261"/>
      <c r="J30" s="261"/>
    </row>
    <row r="31" spans="1:10" ht="13.15" hidden="1" customHeight="1" outlineLevel="1" x14ac:dyDescent="0.25">
      <c r="A31" s="253"/>
      <c r="B31" s="262" t="s">
        <v>204</v>
      </c>
      <c r="C31" s="261"/>
      <c r="D31" s="261"/>
      <c r="E31" s="261"/>
      <c r="F31" s="261"/>
      <c r="G31" s="261"/>
      <c r="H31" s="261"/>
      <c r="I31" s="261"/>
      <c r="J31" s="261"/>
    </row>
    <row r="32" spans="1:10" ht="13.15" hidden="1" customHeight="1" outlineLevel="1" x14ac:dyDescent="0.25">
      <c r="A32" s="253"/>
      <c r="B32" s="261"/>
      <c r="C32" s="261"/>
      <c r="D32" s="261"/>
      <c r="E32" s="261"/>
      <c r="F32" s="261"/>
      <c r="G32" s="261"/>
      <c r="H32" s="261"/>
      <c r="I32" s="261"/>
      <c r="J32" s="261"/>
    </row>
    <row r="33" spans="1:10" ht="13.15" hidden="1" customHeight="1" outlineLevel="1" x14ac:dyDescent="0.25">
      <c r="A33" s="253"/>
      <c r="B33" s="261"/>
      <c r="C33" s="261"/>
      <c r="D33" s="261"/>
      <c r="E33" s="261"/>
      <c r="F33" s="261"/>
      <c r="G33" s="261"/>
      <c r="H33" s="261"/>
      <c r="I33" s="261"/>
      <c r="J33" s="261"/>
    </row>
    <row r="34" spans="1:10" ht="13.15" hidden="1" customHeight="1" outlineLevel="1" x14ac:dyDescent="0.25">
      <c r="A34" s="253"/>
      <c r="B34" s="261"/>
      <c r="C34" s="261"/>
      <c r="D34" s="261"/>
      <c r="E34" s="261"/>
      <c r="F34" s="261"/>
      <c r="G34" s="261"/>
      <c r="H34" s="261"/>
      <c r="I34" s="261"/>
      <c r="J34" s="261"/>
    </row>
    <row r="35" spans="1:10" ht="13.15" hidden="1" customHeight="1" outlineLevel="1" x14ac:dyDescent="0.25">
      <c r="A35" s="253"/>
      <c r="B35" s="261"/>
      <c r="C35" s="261"/>
      <c r="D35" s="261"/>
      <c r="E35" s="261"/>
      <c r="F35" s="261"/>
      <c r="G35" s="261"/>
      <c r="H35" s="261"/>
      <c r="I35" s="261"/>
      <c r="J35" s="261"/>
    </row>
    <row r="36" spans="1:10" ht="13.15" hidden="1" customHeight="1" outlineLevel="1" x14ac:dyDescent="0.25">
      <c r="A36" s="253"/>
      <c r="B36" s="261"/>
      <c r="C36" s="261"/>
      <c r="D36" s="261"/>
      <c r="E36" s="261"/>
      <c r="F36" s="261"/>
      <c r="G36" s="261"/>
      <c r="H36" s="261"/>
      <c r="I36" s="261"/>
      <c r="J36" s="261"/>
    </row>
    <row r="37" spans="1:10" ht="13.15" hidden="1" customHeight="1" outlineLevel="1" x14ac:dyDescent="0.25">
      <c r="A37" s="253"/>
      <c r="B37" s="261"/>
      <c r="C37" s="261"/>
      <c r="D37" s="261"/>
      <c r="E37" s="261"/>
      <c r="F37" s="261"/>
      <c r="G37" s="261"/>
      <c r="H37" s="261"/>
      <c r="I37" s="261"/>
      <c r="J37" s="261"/>
    </row>
    <row r="38" spans="1:10" ht="13.15" hidden="1" customHeight="1" outlineLevel="1" x14ac:dyDescent="0.25">
      <c r="A38" s="253"/>
      <c r="B38" s="261"/>
      <c r="C38" s="261"/>
      <c r="D38" s="261"/>
      <c r="E38" s="261"/>
      <c r="F38" s="261"/>
      <c r="G38" s="261"/>
      <c r="H38" s="261"/>
      <c r="I38" s="261"/>
      <c r="J38" s="261"/>
    </row>
    <row r="39" spans="1:10" ht="13.15" hidden="1" customHeight="1" outlineLevel="1" x14ac:dyDescent="0.25">
      <c r="A39" s="253"/>
      <c r="B39" s="261"/>
      <c r="C39" s="261"/>
      <c r="D39" s="261"/>
      <c r="E39" s="261"/>
      <c r="F39" s="261"/>
      <c r="G39" s="261"/>
      <c r="H39" s="261"/>
      <c r="I39" s="261"/>
      <c r="J39" s="261"/>
    </row>
    <row r="40" spans="1:10" ht="13.15" hidden="1" customHeight="1" outlineLevel="1" x14ac:dyDescent="0.25">
      <c r="A40" s="253"/>
      <c r="B40" s="261"/>
      <c r="C40" s="261"/>
      <c r="D40" s="261"/>
      <c r="E40" s="261"/>
      <c r="F40" s="261"/>
      <c r="G40" s="261"/>
      <c r="H40" s="261"/>
      <c r="I40" s="261"/>
      <c r="J40" s="261"/>
    </row>
    <row r="41" spans="1:10" ht="13.15" hidden="1" customHeight="1" outlineLevel="1" x14ac:dyDescent="0.25">
      <c r="A41" s="253"/>
      <c r="B41" s="261"/>
      <c r="C41" s="261"/>
      <c r="D41" s="261"/>
      <c r="E41" s="261"/>
      <c r="F41" s="261"/>
      <c r="G41" s="261"/>
      <c r="H41" s="261"/>
      <c r="I41" s="261"/>
      <c r="J41" s="261"/>
    </row>
    <row r="42" spans="1:10" ht="13.15" hidden="1" customHeight="1" outlineLevel="1" x14ac:dyDescent="0.25">
      <c r="A42" s="253"/>
      <c r="B42" s="261"/>
      <c r="C42" s="261"/>
      <c r="D42" s="261"/>
      <c r="E42" s="261"/>
      <c r="F42" s="261"/>
      <c r="G42" s="261"/>
      <c r="H42" s="261"/>
      <c r="I42" s="261"/>
      <c r="J42" s="261"/>
    </row>
    <row r="43" spans="1:10" ht="13.15" hidden="1" customHeight="1" outlineLevel="1" x14ac:dyDescent="0.25">
      <c r="A43" s="253"/>
      <c r="B43" s="261"/>
      <c r="C43" s="261"/>
      <c r="D43" s="261"/>
      <c r="E43" s="261"/>
      <c r="F43" s="261"/>
      <c r="G43" s="261"/>
      <c r="H43" s="261"/>
      <c r="I43" s="261"/>
      <c r="J43" s="261"/>
    </row>
    <row r="44" spans="1:10" ht="13.15" hidden="1" customHeight="1" outlineLevel="1" x14ac:dyDescent="0.25">
      <c r="A44" s="253"/>
      <c r="B44" s="261"/>
      <c r="C44" s="261"/>
      <c r="D44" s="261"/>
      <c r="E44" s="261"/>
      <c r="F44" s="261"/>
      <c r="G44" s="261"/>
      <c r="H44" s="261"/>
      <c r="I44" s="261"/>
      <c r="J44" s="261"/>
    </row>
    <row r="45" spans="1:10" ht="13.15" hidden="1" customHeight="1" outlineLevel="1" x14ac:dyDescent="0.25">
      <c r="A45" s="253"/>
      <c r="B45" s="261"/>
      <c r="C45" s="261"/>
      <c r="D45" s="261"/>
      <c r="E45" s="261"/>
      <c r="F45" s="261"/>
      <c r="G45" s="261"/>
      <c r="H45" s="261"/>
      <c r="I45" s="261"/>
      <c r="J45" s="261"/>
    </row>
    <row r="46" spans="1:10" ht="13.15" hidden="1" customHeight="1" outlineLevel="1" x14ac:dyDescent="0.25">
      <c r="A46" s="253"/>
      <c r="B46" s="261"/>
      <c r="C46" s="261"/>
      <c r="D46" s="261"/>
      <c r="E46" s="261"/>
      <c r="F46" s="261"/>
      <c r="G46" s="261"/>
      <c r="H46" s="261"/>
      <c r="I46" s="261"/>
      <c r="J46" s="261"/>
    </row>
    <row r="47" spans="1:10" ht="13.15" hidden="1" customHeight="1" outlineLevel="1" x14ac:dyDescent="0.25">
      <c r="A47" s="253"/>
      <c r="B47" s="261"/>
      <c r="C47" s="261"/>
      <c r="D47" s="261"/>
      <c r="E47" s="261"/>
      <c r="F47" s="261"/>
      <c r="G47" s="261"/>
      <c r="H47" s="261"/>
      <c r="I47" s="261"/>
      <c r="J47" s="261"/>
    </row>
    <row r="48" spans="1:10" ht="13.15" hidden="1" customHeight="1" outlineLevel="1" x14ac:dyDescent="0.25">
      <c r="A48" s="253"/>
      <c r="B48" s="261"/>
      <c r="C48" s="261"/>
      <c r="D48" s="261"/>
      <c r="E48" s="261"/>
      <c r="F48" s="261"/>
      <c r="G48" s="261"/>
      <c r="H48" s="261"/>
      <c r="I48" s="261"/>
      <c r="J48" s="261"/>
    </row>
    <row r="49" spans="1:10" ht="13.15" hidden="1" customHeight="1" outlineLevel="1" x14ac:dyDescent="0.25">
      <c r="A49" s="253"/>
      <c r="B49" s="261"/>
      <c r="C49" s="261"/>
      <c r="D49" s="261"/>
      <c r="E49" s="261"/>
      <c r="F49" s="261"/>
      <c r="G49" s="261"/>
      <c r="H49" s="261"/>
      <c r="I49" s="261"/>
      <c r="J49" s="261"/>
    </row>
    <row r="50" spans="1:10" ht="13.15" hidden="1" customHeight="1" outlineLevel="1" x14ac:dyDescent="0.25">
      <c r="A50" s="253"/>
      <c r="B50" s="261"/>
      <c r="C50" s="261"/>
      <c r="D50" s="261"/>
      <c r="E50" s="261"/>
      <c r="F50" s="261"/>
      <c r="G50" s="261"/>
      <c r="H50" s="261"/>
      <c r="I50" s="261"/>
      <c r="J50" s="261"/>
    </row>
    <row r="51" spans="1:10" ht="13.15" hidden="1" customHeight="1" outlineLevel="1" x14ac:dyDescent="0.25">
      <c r="A51" s="253"/>
      <c r="B51" s="261"/>
      <c r="C51" s="261"/>
      <c r="D51" s="261"/>
      <c r="E51" s="261"/>
      <c r="F51" s="261"/>
      <c r="G51" s="261"/>
      <c r="H51" s="261"/>
      <c r="I51" s="261"/>
      <c r="J51" s="261"/>
    </row>
    <row r="52" spans="1:10" ht="13.15" hidden="1" customHeight="1" outlineLevel="1" x14ac:dyDescent="0.25">
      <c r="A52" s="253"/>
      <c r="B52" s="261"/>
      <c r="C52" s="261"/>
      <c r="D52" s="261"/>
      <c r="E52" s="261"/>
      <c r="F52" s="261"/>
      <c r="G52" s="261"/>
      <c r="H52" s="261"/>
      <c r="I52" s="261"/>
      <c r="J52" s="261"/>
    </row>
    <row r="53" spans="1:10" ht="13.15" hidden="1" customHeight="1" outlineLevel="1" x14ac:dyDescent="0.25">
      <c r="A53" s="253"/>
      <c r="B53" s="261"/>
      <c r="C53" s="261"/>
      <c r="D53" s="261"/>
      <c r="E53" s="261"/>
      <c r="F53" s="261"/>
      <c r="G53" s="261"/>
      <c r="H53" s="261"/>
      <c r="I53" s="261"/>
      <c r="J53" s="261"/>
    </row>
    <row r="54" spans="1:10" ht="13.15" hidden="1" customHeight="1" outlineLevel="1" x14ac:dyDescent="0.25">
      <c r="A54" s="253"/>
      <c r="B54" s="261"/>
      <c r="C54" s="261"/>
      <c r="D54" s="261"/>
      <c r="E54" s="261"/>
      <c r="F54" s="261"/>
      <c r="G54" s="261"/>
      <c r="H54" s="261"/>
      <c r="I54" s="261"/>
      <c r="J54" s="261"/>
    </row>
    <row r="55" spans="1:10" ht="13.15" hidden="1" customHeight="1" outlineLevel="1" x14ac:dyDescent="0.25">
      <c r="A55" s="253"/>
      <c r="B55" s="261"/>
      <c r="C55" s="261"/>
      <c r="D55" s="261"/>
      <c r="E55" s="261"/>
      <c r="F55" s="261"/>
      <c r="G55" s="261"/>
      <c r="H55" s="261"/>
      <c r="I55" s="261"/>
      <c r="J55" s="261"/>
    </row>
    <row r="56" spans="1:10" ht="13.15" hidden="1" customHeight="1" outlineLevel="1" x14ac:dyDescent="0.25">
      <c r="A56" s="253"/>
      <c r="B56" s="261"/>
      <c r="C56" s="261"/>
      <c r="D56" s="261"/>
      <c r="E56" s="261"/>
      <c r="F56" s="261"/>
      <c r="G56" s="261"/>
      <c r="H56" s="261"/>
      <c r="I56" s="261"/>
      <c r="J56" s="261"/>
    </row>
    <row r="57" spans="1:10" ht="13.15" hidden="1" customHeight="1" outlineLevel="1" x14ac:dyDescent="0.25">
      <c r="A57" s="253"/>
      <c r="B57" s="261"/>
      <c r="C57" s="261"/>
      <c r="D57" s="261"/>
      <c r="E57" s="261"/>
      <c r="F57" s="261"/>
      <c r="G57" s="261"/>
      <c r="H57" s="261"/>
      <c r="I57" s="261"/>
      <c r="J57" s="261"/>
    </row>
    <row r="58" spans="1:10" ht="13.15" hidden="1" customHeight="1" outlineLevel="1" x14ac:dyDescent="0.25">
      <c r="A58" s="253"/>
      <c r="B58" s="261"/>
      <c r="C58" s="261"/>
      <c r="D58" s="261"/>
      <c r="E58" s="261"/>
      <c r="F58" s="261"/>
      <c r="G58" s="261"/>
      <c r="H58" s="261"/>
      <c r="I58" s="261"/>
      <c r="J58" s="261"/>
    </row>
    <row r="59" spans="1:10" ht="13.15" hidden="1" customHeight="1" outlineLevel="1" x14ac:dyDescent="0.25">
      <c r="A59" s="253"/>
      <c r="B59" s="261"/>
      <c r="C59" s="261"/>
      <c r="D59" s="261"/>
      <c r="E59" s="261"/>
      <c r="F59" s="261"/>
      <c r="G59" s="261"/>
      <c r="H59" s="261"/>
      <c r="I59" s="261"/>
      <c r="J59" s="261"/>
    </row>
    <row r="60" spans="1:10" ht="13.15" hidden="1" customHeight="1" outlineLevel="1" x14ac:dyDescent="0.25">
      <c r="A60" s="253"/>
      <c r="B60" s="261"/>
      <c r="C60" s="261"/>
      <c r="D60" s="261"/>
      <c r="E60" s="261"/>
      <c r="F60" s="261"/>
      <c r="G60" s="261"/>
      <c r="H60" s="261"/>
      <c r="I60" s="261"/>
      <c r="J60" s="261"/>
    </row>
    <row r="61" spans="1:10" ht="13.15" hidden="1" customHeight="1" outlineLevel="1" x14ac:dyDescent="0.25">
      <c r="A61" s="253"/>
      <c r="B61" s="261"/>
      <c r="C61" s="261"/>
      <c r="D61" s="261"/>
      <c r="E61" s="261"/>
      <c r="F61" s="261"/>
      <c r="G61" s="261"/>
      <c r="H61" s="261"/>
      <c r="I61" s="261"/>
      <c r="J61" s="261"/>
    </row>
    <row r="62" spans="1:10" ht="13.15" hidden="1" customHeight="1" outlineLevel="1" x14ac:dyDescent="0.25">
      <c r="A62" s="253"/>
      <c r="B62" s="261"/>
      <c r="C62" s="261"/>
      <c r="D62" s="261"/>
      <c r="E62" s="261"/>
      <c r="F62" s="261"/>
      <c r="G62" s="261"/>
      <c r="H62" s="261"/>
      <c r="I62" s="261"/>
      <c r="J62" s="261"/>
    </row>
    <row r="63" spans="1:10" ht="13.15" hidden="1" customHeight="1" outlineLevel="1" x14ac:dyDescent="0.25">
      <c r="A63" s="253"/>
      <c r="B63" s="261"/>
      <c r="C63" s="261"/>
      <c r="D63" s="261"/>
      <c r="E63" s="261"/>
      <c r="F63" s="261"/>
      <c r="G63" s="261"/>
      <c r="H63" s="261"/>
      <c r="I63" s="261"/>
      <c r="J63" s="261"/>
    </row>
    <row r="64" spans="1:10" ht="13.15" hidden="1" customHeight="1" outlineLevel="1" x14ac:dyDescent="0.25">
      <c r="A64" s="253"/>
      <c r="B64" s="261"/>
      <c r="C64" s="261"/>
      <c r="D64" s="261"/>
      <c r="E64" s="261"/>
      <c r="F64" s="261"/>
      <c r="G64" s="261"/>
      <c r="H64" s="261"/>
      <c r="I64" s="261"/>
      <c r="J64" s="261"/>
    </row>
    <row r="65" spans="1:10" ht="13.15" hidden="1" customHeight="1" outlineLevel="1" x14ac:dyDescent="0.25">
      <c r="A65" s="253"/>
      <c r="B65" s="261"/>
      <c r="C65" s="261"/>
      <c r="D65" s="261"/>
      <c r="E65" s="261"/>
      <c r="F65" s="261"/>
      <c r="G65" s="261"/>
      <c r="H65" s="261"/>
      <c r="I65" s="261"/>
      <c r="J65" s="261"/>
    </row>
    <row r="66" spans="1:10" ht="13.15" hidden="1" customHeight="1" outlineLevel="1" x14ac:dyDescent="0.25">
      <c r="A66" s="253"/>
      <c r="B66" s="261"/>
      <c r="C66" s="261"/>
      <c r="D66" s="261"/>
      <c r="E66" s="261"/>
      <c r="F66" s="261"/>
      <c r="G66" s="261"/>
      <c r="H66" s="261"/>
      <c r="I66" s="261"/>
      <c r="J66" s="261"/>
    </row>
    <row r="67" spans="1:10" ht="13.15" hidden="1" customHeight="1" outlineLevel="1" x14ac:dyDescent="0.25">
      <c r="A67" s="253"/>
      <c r="B67" s="261"/>
      <c r="C67" s="261"/>
      <c r="D67" s="261"/>
      <c r="E67" s="261"/>
      <c r="F67" s="261"/>
      <c r="G67" s="261"/>
      <c r="H67" s="261"/>
      <c r="I67" s="261"/>
      <c r="J67" s="261"/>
    </row>
    <row r="68" spans="1:10" ht="13.15" hidden="1" customHeight="1" outlineLevel="1" x14ac:dyDescent="0.25">
      <c r="A68" s="253"/>
      <c r="B68" s="261"/>
      <c r="C68" s="261"/>
      <c r="D68" s="261"/>
      <c r="E68" s="261"/>
      <c r="F68" s="261"/>
      <c r="G68" s="261"/>
      <c r="H68" s="261"/>
      <c r="I68" s="261"/>
      <c r="J68" s="261"/>
    </row>
    <row r="69" spans="1:10" ht="13.15" hidden="1" customHeight="1" outlineLevel="1" x14ac:dyDescent="0.25">
      <c r="A69" s="253"/>
      <c r="B69" s="261"/>
      <c r="C69" s="261"/>
      <c r="D69" s="261"/>
      <c r="E69" s="261"/>
      <c r="F69" s="261"/>
      <c r="G69" s="261"/>
      <c r="H69" s="261"/>
      <c r="I69" s="261"/>
      <c r="J69" s="261"/>
    </row>
    <row r="70" spans="1:10" ht="13.15" hidden="1" customHeight="1" outlineLevel="1" x14ac:dyDescent="0.25">
      <c r="A70" s="253"/>
      <c r="B70" s="261"/>
      <c r="C70" s="261"/>
      <c r="D70" s="261"/>
      <c r="E70" s="261"/>
      <c r="F70" s="261"/>
      <c r="G70" s="261"/>
      <c r="H70" s="261"/>
      <c r="I70" s="261"/>
      <c r="J70" s="261"/>
    </row>
    <row r="71" spans="1:10" ht="13.15" hidden="1" customHeight="1" outlineLevel="1" x14ac:dyDescent="0.25">
      <c r="A71" s="253"/>
      <c r="B71" s="261"/>
      <c r="C71" s="261"/>
      <c r="D71" s="261"/>
      <c r="E71" s="261"/>
      <c r="F71" s="261"/>
      <c r="G71" s="261"/>
      <c r="H71" s="261"/>
      <c r="I71" s="261"/>
      <c r="J71" s="261"/>
    </row>
    <row r="72" spans="1:10" ht="13.15" hidden="1" customHeight="1" outlineLevel="1" x14ac:dyDescent="0.25">
      <c r="A72" s="253"/>
      <c r="B72" s="261"/>
      <c r="C72" s="261"/>
      <c r="D72" s="261"/>
      <c r="E72" s="261"/>
      <c r="F72" s="261"/>
      <c r="G72" s="261"/>
      <c r="H72" s="261"/>
      <c r="I72" s="261"/>
      <c r="J72" s="261"/>
    </row>
    <row r="73" spans="1:10" ht="13.15" hidden="1" customHeight="1" outlineLevel="1" x14ac:dyDescent="0.25">
      <c r="A73" s="253"/>
      <c r="B73" s="261"/>
      <c r="C73" s="261"/>
      <c r="D73" s="261"/>
      <c r="E73" s="261"/>
      <c r="F73" s="261"/>
      <c r="G73" s="261"/>
      <c r="H73" s="261"/>
      <c r="I73" s="261"/>
      <c r="J73" s="261"/>
    </row>
    <row r="74" spans="1:10" ht="13.15" hidden="1" customHeight="1" outlineLevel="1" x14ac:dyDescent="0.25">
      <c r="A74" s="253"/>
      <c r="B74" s="261"/>
      <c r="C74" s="261"/>
      <c r="D74" s="261"/>
      <c r="E74" s="261"/>
      <c r="F74" s="261"/>
      <c r="G74" s="261"/>
      <c r="H74" s="261"/>
      <c r="I74" s="261"/>
      <c r="J74" s="261"/>
    </row>
    <row r="75" spans="1:10" ht="13.15" hidden="1" customHeight="1" outlineLevel="1" x14ac:dyDescent="0.25">
      <c r="A75" s="253"/>
      <c r="B75" s="261"/>
      <c r="C75" s="261"/>
      <c r="D75" s="261"/>
      <c r="E75" s="261"/>
      <c r="F75" s="261"/>
      <c r="G75" s="261"/>
      <c r="H75" s="261"/>
      <c r="I75" s="261"/>
      <c r="J75" s="261"/>
    </row>
    <row r="76" spans="1:10" ht="13.15" hidden="1" customHeight="1" outlineLevel="1" x14ac:dyDescent="0.25">
      <c r="A76" s="253"/>
      <c r="B76" s="261"/>
      <c r="C76" s="261"/>
      <c r="D76" s="261"/>
      <c r="E76" s="261"/>
      <c r="F76" s="261"/>
      <c r="G76" s="261"/>
      <c r="H76" s="261"/>
      <c r="I76" s="261"/>
      <c r="J76" s="261"/>
    </row>
    <row r="77" spans="1:10" ht="13.15" hidden="1" customHeight="1" outlineLevel="1" x14ac:dyDescent="0.25">
      <c r="A77" s="253"/>
      <c r="B77" s="261"/>
      <c r="C77" s="261"/>
      <c r="D77" s="261"/>
      <c r="E77" s="261"/>
      <c r="F77" s="261"/>
      <c r="G77" s="261"/>
      <c r="H77" s="261"/>
      <c r="I77" s="261"/>
      <c r="J77" s="261"/>
    </row>
    <row r="78" spans="1:10" ht="13.15" hidden="1" customHeight="1" outlineLevel="1" x14ac:dyDescent="0.25">
      <c r="A78" s="253"/>
      <c r="B78" s="261"/>
      <c r="C78" s="261"/>
      <c r="D78" s="261"/>
      <c r="E78" s="261"/>
      <c r="F78" s="261"/>
      <c r="G78" s="261"/>
      <c r="H78" s="261"/>
      <c r="I78" s="261"/>
      <c r="J78" s="261"/>
    </row>
    <row r="79" spans="1:10" ht="13.15" hidden="1" customHeight="1" outlineLevel="1" x14ac:dyDescent="0.25">
      <c r="A79" s="253"/>
      <c r="B79" s="261"/>
      <c r="C79" s="261"/>
      <c r="D79" s="261"/>
      <c r="E79" s="261"/>
      <c r="F79" s="261"/>
      <c r="G79" s="261"/>
      <c r="H79" s="261"/>
      <c r="I79" s="261"/>
      <c r="J79" s="261"/>
    </row>
    <row r="80" spans="1:10" ht="13.15" hidden="1" customHeight="1" outlineLevel="1" x14ac:dyDescent="0.25">
      <c r="A80" s="253"/>
      <c r="B80" s="261"/>
      <c r="C80" s="261"/>
      <c r="D80" s="261"/>
      <c r="E80" s="261"/>
      <c r="F80" s="261"/>
      <c r="G80" s="261"/>
      <c r="H80" s="261"/>
      <c r="I80" s="261"/>
      <c r="J80" s="261"/>
    </row>
    <row r="81" spans="1:12" ht="13.15" hidden="1" customHeight="1" outlineLevel="1" x14ac:dyDescent="0.25">
      <c r="A81" s="253"/>
      <c r="B81" s="261"/>
      <c r="C81" s="261"/>
      <c r="D81" s="261"/>
      <c r="E81" s="261"/>
      <c r="F81" s="261"/>
      <c r="G81" s="261"/>
      <c r="H81" s="261"/>
      <c r="I81" s="261"/>
      <c r="J81" s="261"/>
    </row>
    <row r="82" spans="1:12" ht="13.15" hidden="1" customHeight="1" outlineLevel="1" x14ac:dyDescent="0.25">
      <c r="A82" s="253"/>
      <c r="B82" s="261"/>
      <c r="C82" s="261"/>
      <c r="D82" s="261"/>
      <c r="E82" s="261"/>
      <c r="F82" s="261"/>
      <c r="G82" s="261"/>
      <c r="H82" s="261"/>
      <c r="I82" s="261"/>
      <c r="J82" s="261"/>
    </row>
    <row r="83" spans="1:12" ht="13.15" hidden="1" customHeight="1" outlineLevel="1" x14ac:dyDescent="0.25">
      <c r="A83" s="253"/>
      <c r="B83" s="261"/>
      <c r="C83" s="261"/>
      <c r="D83" s="261"/>
      <c r="E83" s="261"/>
      <c r="F83" s="261"/>
      <c r="G83" s="261"/>
      <c r="H83" s="261"/>
      <c r="I83" s="261"/>
      <c r="J83" s="261"/>
    </row>
    <row r="84" spans="1:12" ht="13.15" hidden="1" customHeight="1" outlineLevel="1" x14ac:dyDescent="0.25">
      <c r="A84" s="253"/>
      <c r="B84" s="261"/>
      <c r="C84" s="261"/>
      <c r="D84" s="261"/>
      <c r="E84" s="261"/>
      <c r="F84" s="261"/>
      <c r="G84" s="261"/>
      <c r="H84" s="261"/>
      <c r="I84" s="261"/>
      <c r="J84" s="261"/>
    </row>
    <row r="85" spans="1:12" ht="13.15" hidden="1" customHeight="1" outlineLevel="1" x14ac:dyDescent="0.25">
      <c r="A85" s="253"/>
      <c r="B85" s="261"/>
      <c r="C85" s="261"/>
      <c r="D85" s="261"/>
      <c r="E85" s="261"/>
      <c r="F85" s="261"/>
      <c r="G85" s="261"/>
      <c r="H85" s="261"/>
      <c r="I85" s="261"/>
      <c r="J85" s="261"/>
    </row>
    <row r="86" spans="1:12" ht="13.15" hidden="1" customHeight="1" outlineLevel="1" x14ac:dyDescent="0.25">
      <c r="A86" s="253"/>
      <c r="B86" s="261"/>
      <c r="C86" s="261"/>
      <c r="D86" s="261"/>
      <c r="E86" s="261"/>
      <c r="F86" s="261"/>
      <c r="G86" s="261"/>
      <c r="H86" s="261"/>
      <c r="I86" s="261"/>
      <c r="J86" s="261"/>
    </row>
    <row r="87" spans="1:12" ht="13.15" hidden="1" customHeight="1" outlineLevel="1" x14ac:dyDescent="0.25">
      <c r="A87" s="253"/>
      <c r="B87" s="261"/>
      <c r="C87" s="261"/>
      <c r="D87" s="261"/>
      <c r="E87" s="261"/>
      <c r="F87" s="261"/>
      <c r="G87" s="261"/>
      <c r="H87" s="261"/>
      <c r="I87" s="261"/>
      <c r="J87" s="261"/>
    </row>
    <row r="88" spans="1:12" ht="13.15" hidden="1" customHeight="1" outlineLevel="1" x14ac:dyDescent="0.25">
      <c r="A88" s="253"/>
      <c r="B88" s="261"/>
      <c r="C88" s="261"/>
      <c r="D88" s="261"/>
      <c r="E88" s="261"/>
      <c r="F88" s="261"/>
      <c r="G88" s="261"/>
      <c r="H88" s="261"/>
      <c r="I88" s="261"/>
      <c r="J88" s="261"/>
    </row>
    <row r="89" spans="1:12" ht="13.15" hidden="1" customHeight="1" outlineLevel="1" x14ac:dyDescent="0.25">
      <c r="A89" s="253"/>
      <c r="B89" s="261"/>
      <c r="C89" s="261"/>
      <c r="D89" s="261"/>
      <c r="E89" s="261"/>
      <c r="F89" s="261"/>
      <c r="G89" s="261"/>
      <c r="H89" s="261"/>
      <c r="I89" s="261"/>
      <c r="J89" s="261"/>
    </row>
    <row r="90" spans="1:12" ht="13.15" hidden="1" customHeight="1" outlineLevel="1" x14ac:dyDescent="0.25">
      <c r="A90" s="253"/>
      <c r="B90" s="261"/>
      <c r="C90" s="261"/>
      <c r="D90" s="261"/>
      <c r="E90" s="261"/>
      <c r="F90" s="261"/>
      <c r="G90" s="261"/>
      <c r="H90" s="261"/>
      <c r="I90" s="261"/>
      <c r="J90" s="261"/>
    </row>
    <row r="91" spans="1:12" ht="13.15" hidden="1" customHeight="1" outlineLevel="1" x14ac:dyDescent="0.25">
      <c r="A91" s="253"/>
      <c r="B91" s="261"/>
      <c r="C91" s="261"/>
      <c r="D91" s="261"/>
      <c r="E91" s="261"/>
      <c r="F91" s="261"/>
      <c r="G91" s="261"/>
      <c r="H91" s="261"/>
      <c r="I91" s="261"/>
      <c r="J91" s="261"/>
    </row>
    <row r="92" spans="1:12" ht="13.15" hidden="1" customHeight="1" outlineLevel="1" x14ac:dyDescent="0.25">
      <c r="A92" s="253"/>
      <c r="B92" s="261"/>
      <c r="C92" s="261"/>
      <c r="D92" s="261"/>
      <c r="E92" s="261"/>
      <c r="F92" s="261"/>
      <c r="G92" s="261"/>
      <c r="H92" s="261"/>
      <c r="I92" s="261"/>
      <c r="J92" s="261"/>
    </row>
    <row r="93" spans="1:12" ht="13.15" hidden="1" customHeight="1" outlineLevel="1" x14ac:dyDescent="0.25">
      <c r="A93" s="253"/>
      <c r="B93" s="261"/>
      <c r="C93" s="261"/>
      <c r="D93" s="261"/>
      <c r="E93" s="261"/>
      <c r="F93" s="261"/>
      <c r="G93" s="261"/>
      <c r="H93" s="261"/>
      <c r="I93" s="261"/>
      <c r="J93" s="261"/>
      <c r="L93" s="727"/>
    </row>
    <row r="94" spans="1:12" ht="13.15" hidden="1" customHeight="1" outlineLevel="1" x14ac:dyDescent="0.25">
      <c r="A94" s="253"/>
      <c r="B94" s="261"/>
      <c r="C94" s="261"/>
      <c r="D94" s="261"/>
      <c r="E94" s="261"/>
      <c r="F94" s="261"/>
      <c r="G94" s="261"/>
      <c r="H94" s="261"/>
      <c r="I94" s="261"/>
      <c r="J94" s="261"/>
      <c r="L94" s="727"/>
    </row>
    <row r="95" spans="1:12" ht="13.15" hidden="1" customHeight="1" outlineLevel="1" x14ac:dyDescent="0.25">
      <c r="A95" s="253"/>
      <c r="B95" s="263"/>
      <c r="C95" s="263"/>
      <c r="D95" s="263"/>
      <c r="E95" s="263"/>
      <c r="F95" s="263"/>
      <c r="G95" s="261"/>
      <c r="H95" s="261"/>
      <c r="I95" s="263"/>
      <c r="J95" s="263"/>
      <c r="L95" s="727"/>
    </row>
    <row r="96" spans="1:12" ht="13.15" hidden="1" customHeight="1" outlineLevel="1" collapsed="1" x14ac:dyDescent="0.25">
      <c r="A96" s="253"/>
      <c r="L96" s="727"/>
    </row>
    <row r="97" spans="1:10" ht="13.75" hidden="1" customHeight="1" outlineLevel="1" x14ac:dyDescent="0.25">
      <c r="A97" s="253"/>
      <c r="B97" s="227"/>
      <c r="D97" s="230"/>
      <c r="E97" s="264"/>
      <c r="F97" s="265"/>
      <c r="G97" s="264"/>
      <c r="H97" s="264"/>
      <c r="I97" s="230"/>
      <c r="J97" s="266"/>
    </row>
    <row r="98" spans="1:10" ht="13.15" hidden="1" customHeight="1" outlineLevel="1" x14ac:dyDescent="0.25">
      <c r="A98" s="253"/>
      <c r="B98" s="227"/>
      <c r="D98" s="230"/>
      <c r="F98" s="265"/>
      <c r="G98" s="264"/>
      <c r="H98" s="264"/>
      <c r="I98" s="230"/>
      <c r="J98" s="266"/>
    </row>
    <row r="99" spans="1:10" ht="13.15" hidden="1" customHeight="1" outlineLevel="1" x14ac:dyDescent="0.25">
      <c r="A99" s="253"/>
      <c r="B99" s="227"/>
      <c r="D99" s="230"/>
      <c r="F99" s="265"/>
      <c r="G99" s="264"/>
      <c r="H99" s="264"/>
      <c r="I99" s="230"/>
      <c r="J99" s="266"/>
    </row>
    <row r="100" spans="1:10" ht="13.15" hidden="1" customHeight="1" outlineLevel="1" x14ac:dyDescent="0.25">
      <c r="A100" s="253"/>
      <c r="B100" s="227"/>
      <c r="D100" s="230"/>
      <c r="F100" s="265"/>
      <c r="G100" s="264"/>
      <c r="H100" s="264"/>
      <c r="I100" s="230"/>
      <c r="J100" s="266"/>
    </row>
    <row r="101" spans="1:10" ht="13.15" hidden="1" customHeight="1" outlineLevel="1" x14ac:dyDescent="0.25">
      <c r="A101" s="253"/>
      <c r="B101" s="227"/>
      <c r="D101" s="230"/>
      <c r="F101" s="265"/>
      <c r="G101" s="264"/>
      <c r="H101" s="264"/>
      <c r="I101" s="230"/>
      <c r="J101" s="266"/>
    </row>
    <row r="102" spans="1:10" collapsed="1" x14ac:dyDescent="0.25">
      <c r="A102" s="253">
        <v>1</v>
      </c>
      <c r="B102" s="251" t="s">
        <v>184</v>
      </c>
      <c r="D102" s="230"/>
      <c r="E102" s="230"/>
      <c r="F102" s="230"/>
      <c r="G102" s="230"/>
      <c r="H102" s="230"/>
      <c r="I102" s="230"/>
      <c r="J102" s="230">
        <v>0</v>
      </c>
    </row>
    <row r="103" spans="1:10" ht="13.15" hidden="1" customHeight="1" outlineLevel="1" x14ac:dyDescent="0.25">
      <c r="A103" s="253">
        <v>2</v>
      </c>
      <c r="B103" s="227">
        <v>42490</v>
      </c>
      <c r="D103" s="230"/>
      <c r="F103" s="265"/>
      <c r="G103" s="264">
        <f t="shared" ref="G103:G134" si="0">ROUND((+J102+E103+(D103/2))*F103/12,2)</f>
        <v>0</v>
      </c>
      <c r="H103" s="264"/>
      <c r="I103" s="230">
        <f t="shared" ref="I103:I166" si="1">+D103+E103+G103</f>
        <v>0</v>
      </c>
      <c r="J103" s="266">
        <f t="shared" ref="J103:J166" si="2">+J102+I103</f>
        <v>0</v>
      </c>
    </row>
    <row r="104" spans="1:10" ht="13.15" hidden="1" customHeight="1" outlineLevel="1" x14ac:dyDescent="0.25">
      <c r="A104" s="253">
        <f t="shared" ref="A104:A119" si="3">+A103+1</f>
        <v>3</v>
      </c>
      <c r="B104" s="227">
        <f>B103+31</f>
        <v>42521</v>
      </c>
      <c r="D104" s="230"/>
      <c r="F104" s="265"/>
      <c r="G104" s="264">
        <f t="shared" si="0"/>
        <v>0</v>
      </c>
      <c r="H104" s="264"/>
      <c r="I104" s="230">
        <f t="shared" si="1"/>
        <v>0</v>
      </c>
      <c r="J104" s="266">
        <f t="shared" si="2"/>
        <v>0</v>
      </c>
    </row>
    <row r="105" spans="1:10" ht="13.15" hidden="1" customHeight="1" outlineLevel="1" x14ac:dyDescent="0.25">
      <c r="A105" s="253">
        <f t="shared" si="3"/>
        <v>4</v>
      </c>
      <c r="B105" s="227">
        <f>B104+30</f>
        <v>42551</v>
      </c>
      <c r="D105" s="230"/>
      <c r="F105" s="265"/>
      <c r="G105" s="264">
        <f t="shared" si="0"/>
        <v>0</v>
      </c>
      <c r="H105" s="264"/>
      <c r="I105" s="230">
        <f t="shared" si="1"/>
        <v>0</v>
      </c>
      <c r="J105" s="266">
        <f t="shared" si="2"/>
        <v>0</v>
      </c>
    </row>
    <row r="106" spans="1:10" ht="13.15" hidden="1" customHeight="1" outlineLevel="1" x14ac:dyDescent="0.25">
      <c r="A106" s="253">
        <f t="shared" si="3"/>
        <v>5</v>
      </c>
      <c r="B106" s="227">
        <f>B105+31</f>
        <v>42582</v>
      </c>
      <c r="D106" s="230"/>
      <c r="F106" s="265"/>
      <c r="G106" s="264">
        <f t="shared" si="0"/>
        <v>0</v>
      </c>
      <c r="H106" s="264"/>
      <c r="I106" s="230">
        <f t="shared" si="1"/>
        <v>0</v>
      </c>
      <c r="J106" s="266">
        <f t="shared" si="2"/>
        <v>0</v>
      </c>
    </row>
    <row r="107" spans="1:10" ht="13.15" hidden="1" customHeight="1" outlineLevel="1" x14ac:dyDescent="0.25">
      <c r="A107" s="253">
        <f t="shared" si="3"/>
        <v>6</v>
      </c>
      <c r="B107" s="227">
        <f>B106+31</f>
        <v>42613</v>
      </c>
      <c r="D107" s="230"/>
      <c r="F107" s="265"/>
      <c r="G107" s="264">
        <f t="shared" si="0"/>
        <v>0</v>
      </c>
      <c r="H107" s="264"/>
      <c r="I107" s="230">
        <f t="shared" si="1"/>
        <v>0</v>
      </c>
      <c r="J107" s="266">
        <f t="shared" si="2"/>
        <v>0</v>
      </c>
    </row>
    <row r="108" spans="1:10" ht="13.15" hidden="1" customHeight="1" outlineLevel="1" x14ac:dyDescent="0.25">
      <c r="A108" s="253">
        <f t="shared" si="3"/>
        <v>7</v>
      </c>
      <c r="B108" s="227">
        <f>B107+30</f>
        <v>42643</v>
      </c>
      <c r="D108" s="230"/>
      <c r="F108" s="265"/>
      <c r="G108" s="264">
        <f t="shared" si="0"/>
        <v>0</v>
      </c>
      <c r="H108" s="264"/>
      <c r="I108" s="230">
        <f t="shared" si="1"/>
        <v>0</v>
      </c>
      <c r="J108" s="266">
        <f t="shared" si="2"/>
        <v>0</v>
      </c>
    </row>
    <row r="109" spans="1:10" ht="13.15" hidden="1" customHeight="1" outlineLevel="1" x14ac:dyDescent="0.25">
      <c r="A109" s="253">
        <f t="shared" si="3"/>
        <v>8</v>
      </c>
      <c r="B109" s="227">
        <f>B108+31</f>
        <v>42674</v>
      </c>
      <c r="D109" s="230"/>
      <c r="F109" s="265"/>
      <c r="G109" s="264">
        <f t="shared" si="0"/>
        <v>0</v>
      </c>
      <c r="H109" s="264"/>
      <c r="I109" s="230">
        <f t="shared" si="1"/>
        <v>0</v>
      </c>
      <c r="J109" s="266">
        <f t="shared" si="2"/>
        <v>0</v>
      </c>
    </row>
    <row r="110" spans="1:10" ht="13.15" hidden="1" customHeight="1" outlineLevel="1" x14ac:dyDescent="0.25">
      <c r="A110" s="253">
        <f t="shared" si="3"/>
        <v>9</v>
      </c>
      <c r="B110" s="227">
        <f>B109+30</f>
        <v>42704</v>
      </c>
      <c r="C110" s="250" t="s">
        <v>185</v>
      </c>
      <c r="D110" s="230"/>
      <c r="E110" s="230"/>
      <c r="F110" s="265"/>
      <c r="G110" s="264">
        <f t="shared" si="0"/>
        <v>0</v>
      </c>
      <c r="H110" s="264"/>
      <c r="I110" s="230">
        <f t="shared" si="1"/>
        <v>0</v>
      </c>
      <c r="J110" s="266">
        <f t="shared" si="2"/>
        <v>0</v>
      </c>
    </row>
    <row r="111" spans="1:10" ht="13.15" hidden="1" customHeight="1" outlineLevel="1" x14ac:dyDescent="0.25">
      <c r="A111" s="253">
        <f t="shared" si="3"/>
        <v>10</v>
      </c>
      <c r="B111" s="227">
        <f t="shared" ref="B111:B119" si="4">B110+30</f>
        <v>42734</v>
      </c>
      <c r="D111" s="230"/>
      <c r="E111" s="230"/>
      <c r="F111" s="265"/>
      <c r="G111" s="264">
        <f t="shared" si="0"/>
        <v>0</v>
      </c>
      <c r="H111" s="264"/>
      <c r="I111" s="230">
        <f t="shared" si="1"/>
        <v>0</v>
      </c>
      <c r="J111" s="266">
        <f t="shared" si="2"/>
        <v>0</v>
      </c>
    </row>
    <row r="112" spans="1:10" ht="13.15" hidden="1" customHeight="1" outlineLevel="1" x14ac:dyDescent="0.25">
      <c r="A112" s="253">
        <f t="shared" si="3"/>
        <v>11</v>
      </c>
      <c r="B112" s="227">
        <f t="shared" si="4"/>
        <v>42764</v>
      </c>
      <c r="D112" s="230"/>
      <c r="E112" s="230"/>
      <c r="F112" s="265"/>
      <c r="G112" s="264">
        <f t="shared" si="0"/>
        <v>0</v>
      </c>
      <c r="H112" s="264"/>
      <c r="I112" s="230">
        <f t="shared" si="1"/>
        <v>0</v>
      </c>
      <c r="J112" s="266">
        <f t="shared" si="2"/>
        <v>0</v>
      </c>
    </row>
    <row r="113" spans="1:10" ht="13.15" hidden="1" customHeight="1" outlineLevel="1" x14ac:dyDescent="0.25">
      <c r="A113" s="253">
        <f t="shared" si="3"/>
        <v>12</v>
      </c>
      <c r="B113" s="227">
        <f t="shared" si="4"/>
        <v>42794</v>
      </c>
      <c r="D113" s="230"/>
      <c r="E113" s="230"/>
      <c r="F113" s="265"/>
      <c r="G113" s="264">
        <f t="shared" si="0"/>
        <v>0</v>
      </c>
      <c r="H113" s="264"/>
      <c r="I113" s="230">
        <f t="shared" si="1"/>
        <v>0</v>
      </c>
      <c r="J113" s="266">
        <f t="shared" si="2"/>
        <v>0</v>
      </c>
    </row>
    <row r="114" spans="1:10" ht="13.15" hidden="1" customHeight="1" outlineLevel="1" x14ac:dyDescent="0.25">
      <c r="A114" s="253">
        <f t="shared" si="3"/>
        <v>13</v>
      </c>
      <c r="B114" s="227">
        <f t="shared" si="4"/>
        <v>42824</v>
      </c>
      <c r="D114" s="230"/>
      <c r="E114" s="230"/>
      <c r="F114" s="265"/>
      <c r="G114" s="264">
        <f t="shared" si="0"/>
        <v>0</v>
      </c>
      <c r="H114" s="264"/>
      <c r="I114" s="230">
        <f t="shared" si="1"/>
        <v>0</v>
      </c>
      <c r="J114" s="266">
        <f t="shared" si="2"/>
        <v>0</v>
      </c>
    </row>
    <row r="115" spans="1:10" ht="13.15" hidden="1" customHeight="1" outlineLevel="1" x14ac:dyDescent="0.25">
      <c r="A115" s="253">
        <f t="shared" si="3"/>
        <v>14</v>
      </c>
      <c r="B115" s="227">
        <f t="shared" si="4"/>
        <v>42854</v>
      </c>
      <c r="D115" s="230"/>
      <c r="E115" s="230"/>
      <c r="F115" s="265"/>
      <c r="G115" s="264">
        <f t="shared" si="0"/>
        <v>0</v>
      </c>
      <c r="H115" s="264"/>
      <c r="I115" s="230">
        <f t="shared" si="1"/>
        <v>0</v>
      </c>
      <c r="J115" s="266">
        <f t="shared" si="2"/>
        <v>0</v>
      </c>
    </row>
    <row r="116" spans="1:10" ht="13.15" hidden="1" customHeight="1" outlineLevel="1" x14ac:dyDescent="0.25">
      <c r="A116" s="253">
        <f t="shared" si="3"/>
        <v>15</v>
      </c>
      <c r="B116" s="227">
        <f t="shared" si="4"/>
        <v>42884</v>
      </c>
      <c r="D116" s="230"/>
      <c r="E116" s="230"/>
      <c r="F116" s="265"/>
      <c r="G116" s="264">
        <f t="shared" si="0"/>
        <v>0</v>
      </c>
      <c r="H116" s="264"/>
      <c r="I116" s="230">
        <f t="shared" si="1"/>
        <v>0</v>
      </c>
      <c r="J116" s="266">
        <f t="shared" si="2"/>
        <v>0</v>
      </c>
    </row>
    <row r="117" spans="1:10" ht="13.15" hidden="1" customHeight="1" outlineLevel="1" x14ac:dyDescent="0.25">
      <c r="A117" s="253">
        <f t="shared" si="3"/>
        <v>16</v>
      </c>
      <c r="B117" s="227">
        <f t="shared" si="4"/>
        <v>42914</v>
      </c>
      <c r="D117" s="230"/>
      <c r="E117" s="230"/>
      <c r="F117" s="265"/>
      <c r="G117" s="264">
        <f t="shared" si="0"/>
        <v>0</v>
      </c>
      <c r="H117" s="264"/>
      <c r="I117" s="230">
        <f t="shared" si="1"/>
        <v>0</v>
      </c>
      <c r="J117" s="266">
        <f t="shared" si="2"/>
        <v>0</v>
      </c>
    </row>
    <row r="118" spans="1:10" ht="13.15" hidden="1" customHeight="1" outlineLevel="1" x14ac:dyDescent="0.25">
      <c r="A118" s="253">
        <f t="shared" si="3"/>
        <v>17</v>
      </c>
      <c r="B118" s="227">
        <f t="shared" si="4"/>
        <v>42944</v>
      </c>
      <c r="D118" s="230"/>
      <c r="E118" s="230"/>
      <c r="F118" s="265"/>
      <c r="G118" s="264">
        <f t="shared" si="0"/>
        <v>0</v>
      </c>
      <c r="H118" s="264"/>
      <c r="I118" s="230">
        <f t="shared" si="1"/>
        <v>0</v>
      </c>
      <c r="J118" s="266">
        <f t="shared" si="2"/>
        <v>0</v>
      </c>
    </row>
    <row r="119" spans="1:10" ht="13.15" hidden="1" customHeight="1" outlineLevel="1" x14ac:dyDescent="0.25">
      <c r="A119" s="253">
        <f t="shared" si="3"/>
        <v>18</v>
      </c>
      <c r="B119" s="227">
        <f t="shared" si="4"/>
        <v>42974</v>
      </c>
      <c r="D119" s="230"/>
      <c r="E119" s="230"/>
      <c r="F119" s="265"/>
      <c r="G119" s="264">
        <f t="shared" si="0"/>
        <v>0</v>
      </c>
      <c r="H119" s="264"/>
      <c r="I119" s="230">
        <f t="shared" si="1"/>
        <v>0</v>
      </c>
      <c r="J119" s="266">
        <f t="shared" si="2"/>
        <v>0</v>
      </c>
    </row>
    <row r="120" spans="1:10" ht="13.15" hidden="1" customHeight="1" outlineLevel="1" x14ac:dyDescent="0.25">
      <c r="A120" s="253">
        <f>+A119+1</f>
        <v>19</v>
      </c>
      <c r="B120" s="227">
        <f>B119+30</f>
        <v>43004</v>
      </c>
      <c r="D120" s="230"/>
      <c r="E120" s="230"/>
      <c r="F120" s="265"/>
      <c r="G120" s="264">
        <f t="shared" si="0"/>
        <v>0</v>
      </c>
      <c r="H120" s="264"/>
      <c r="I120" s="230">
        <f t="shared" si="1"/>
        <v>0</v>
      </c>
      <c r="J120" s="266">
        <f t="shared" si="2"/>
        <v>0</v>
      </c>
    </row>
    <row r="121" spans="1:10" ht="13.15" hidden="1" customHeight="1" outlineLevel="1" x14ac:dyDescent="0.25">
      <c r="A121" s="253">
        <f>+A120+1</f>
        <v>20</v>
      </c>
      <c r="B121" s="227">
        <f>B120+30</f>
        <v>43034</v>
      </c>
      <c r="D121" s="230"/>
      <c r="E121" s="230"/>
      <c r="F121" s="265"/>
      <c r="G121" s="264">
        <f t="shared" si="0"/>
        <v>0</v>
      </c>
      <c r="H121" s="264"/>
      <c r="I121" s="230">
        <f t="shared" si="1"/>
        <v>0</v>
      </c>
      <c r="J121" s="266">
        <f t="shared" si="2"/>
        <v>0</v>
      </c>
    </row>
    <row r="122" spans="1:10" ht="13.15" hidden="1" customHeight="1" outlineLevel="1" x14ac:dyDescent="0.25">
      <c r="A122" s="253">
        <f>+A121+1</f>
        <v>21</v>
      </c>
      <c r="B122" s="227">
        <f>B121+30</f>
        <v>43064</v>
      </c>
      <c r="C122" s="250" t="s">
        <v>205</v>
      </c>
      <c r="D122" s="230"/>
      <c r="E122" s="230"/>
      <c r="F122" s="265"/>
      <c r="G122" s="264">
        <f t="shared" si="0"/>
        <v>0</v>
      </c>
      <c r="H122" s="264"/>
      <c r="I122" s="230">
        <f t="shared" si="1"/>
        <v>0</v>
      </c>
      <c r="J122" s="266">
        <f t="shared" si="2"/>
        <v>0</v>
      </c>
    </row>
    <row r="123" spans="1:10" ht="13.15" hidden="1" customHeight="1" outlineLevel="1" x14ac:dyDescent="0.25">
      <c r="A123" s="253">
        <f>+A122+1</f>
        <v>22</v>
      </c>
      <c r="B123" s="227">
        <v>43064</v>
      </c>
      <c r="C123" s="250" t="s">
        <v>186</v>
      </c>
      <c r="D123" s="230"/>
      <c r="E123" s="230"/>
      <c r="F123" s="265"/>
      <c r="G123" s="264">
        <f t="shared" si="0"/>
        <v>0</v>
      </c>
      <c r="H123" s="264"/>
      <c r="I123" s="230">
        <f t="shared" si="1"/>
        <v>0</v>
      </c>
      <c r="J123" s="266">
        <f t="shared" si="2"/>
        <v>0</v>
      </c>
    </row>
    <row r="124" spans="1:10" ht="13.15" hidden="1" customHeight="1" outlineLevel="1" x14ac:dyDescent="0.25">
      <c r="A124" s="253">
        <f t="shared" ref="A124:A187" si="5">+A123+1</f>
        <v>23</v>
      </c>
      <c r="B124" s="227">
        <f t="shared" ref="B124:B135" si="6">B123+30</f>
        <v>43094</v>
      </c>
      <c r="D124" s="230"/>
      <c r="E124" s="230"/>
      <c r="F124" s="265"/>
      <c r="G124" s="264">
        <f t="shared" si="0"/>
        <v>0</v>
      </c>
      <c r="H124" s="264"/>
      <c r="I124" s="230">
        <f t="shared" si="1"/>
        <v>0</v>
      </c>
      <c r="J124" s="266">
        <f t="shared" si="2"/>
        <v>0</v>
      </c>
    </row>
    <row r="125" spans="1:10" ht="13.15" hidden="1" customHeight="1" outlineLevel="1" x14ac:dyDescent="0.25">
      <c r="A125" s="253">
        <f t="shared" si="5"/>
        <v>24</v>
      </c>
      <c r="B125" s="227">
        <f t="shared" si="6"/>
        <v>43124</v>
      </c>
      <c r="D125" s="230"/>
      <c r="E125" s="230"/>
      <c r="F125" s="265"/>
      <c r="G125" s="264">
        <f t="shared" si="0"/>
        <v>0</v>
      </c>
      <c r="H125" s="264"/>
      <c r="I125" s="230">
        <f t="shared" si="1"/>
        <v>0</v>
      </c>
      <c r="J125" s="266">
        <f t="shared" si="2"/>
        <v>0</v>
      </c>
    </row>
    <row r="126" spans="1:10" ht="13.15" hidden="1" customHeight="1" outlineLevel="1" x14ac:dyDescent="0.25">
      <c r="A126" s="253">
        <f t="shared" si="5"/>
        <v>25</v>
      </c>
      <c r="B126" s="227">
        <f t="shared" si="6"/>
        <v>43154</v>
      </c>
      <c r="D126" s="230"/>
      <c r="E126" s="230"/>
      <c r="F126" s="265"/>
      <c r="G126" s="264">
        <f t="shared" si="0"/>
        <v>0</v>
      </c>
      <c r="H126" s="264"/>
      <c r="I126" s="230">
        <f t="shared" si="1"/>
        <v>0</v>
      </c>
      <c r="J126" s="266">
        <f t="shared" si="2"/>
        <v>0</v>
      </c>
    </row>
    <row r="127" spans="1:10" ht="13.15" hidden="1" customHeight="1" outlineLevel="1" x14ac:dyDescent="0.25">
      <c r="A127" s="253">
        <f t="shared" si="5"/>
        <v>26</v>
      </c>
      <c r="B127" s="227">
        <f t="shared" si="6"/>
        <v>43184</v>
      </c>
      <c r="D127" s="230"/>
      <c r="E127" s="230"/>
      <c r="F127" s="265"/>
      <c r="G127" s="264">
        <f t="shared" si="0"/>
        <v>0</v>
      </c>
      <c r="H127" s="264"/>
      <c r="I127" s="230">
        <f t="shared" si="1"/>
        <v>0</v>
      </c>
      <c r="J127" s="266">
        <f t="shared" si="2"/>
        <v>0</v>
      </c>
    </row>
    <row r="128" spans="1:10" ht="13.15" hidden="1" customHeight="1" outlineLevel="1" x14ac:dyDescent="0.25">
      <c r="A128" s="253">
        <f t="shared" si="5"/>
        <v>27</v>
      </c>
      <c r="B128" s="227">
        <f t="shared" si="6"/>
        <v>43214</v>
      </c>
      <c r="D128" s="230"/>
      <c r="E128" s="230"/>
      <c r="F128" s="265"/>
      <c r="G128" s="264">
        <f t="shared" si="0"/>
        <v>0</v>
      </c>
      <c r="H128" s="264"/>
      <c r="I128" s="230">
        <f t="shared" si="1"/>
        <v>0</v>
      </c>
      <c r="J128" s="266">
        <f t="shared" si="2"/>
        <v>0</v>
      </c>
    </row>
    <row r="129" spans="1:10" ht="13.15" hidden="1" customHeight="1" outlineLevel="1" x14ac:dyDescent="0.25">
      <c r="A129" s="253">
        <f t="shared" si="5"/>
        <v>28</v>
      </c>
      <c r="B129" s="227">
        <f t="shared" si="6"/>
        <v>43244</v>
      </c>
      <c r="D129" s="230"/>
      <c r="E129" s="230"/>
      <c r="F129" s="265"/>
      <c r="G129" s="264">
        <f t="shared" si="0"/>
        <v>0</v>
      </c>
      <c r="H129" s="264"/>
      <c r="I129" s="230">
        <f t="shared" si="1"/>
        <v>0</v>
      </c>
      <c r="J129" s="266">
        <f t="shared" si="2"/>
        <v>0</v>
      </c>
    </row>
    <row r="130" spans="1:10" ht="13.15" hidden="1" customHeight="1" outlineLevel="1" x14ac:dyDescent="0.25">
      <c r="A130" s="253">
        <f t="shared" si="5"/>
        <v>29</v>
      </c>
      <c r="B130" s="227">
        <f t="shared" si="6"/>
        <v>43274</v>
      </c>
      <c r="D130" s="230"/>
      <c r="E130" s="230"/>
      <c r="F130" s="265"/>
      <c r="G130" s="264">
        <f t="shared" si="0"/>
        <v>0</v>
      </c>
      <c r="H130" s="264"/>
      <c r="I130" s="230">
        <f t="shared" si="1"/>
        <v>0</v>
      </c>
      <c r="J130" s="266">
        <f t="shared" si="2"/>
        <v>0</v>
      </c>
    </row>
    <row r="131" spans="1:10" ht="13.15" hidden="1" customHeight="1" outlineLevel="1" x14ac:dyDescent="0.25">
      <c r="A131" s="253">
        <f t="shared" si="5"/>
        <v>30</v>
      </c>
      <c r="B131" s="227">
        <f t="shared" si="6"/>
        <v>43304</v>
      </c>
      <c r="D131" s="230"/>
      <c r="E131" s="230"/>
      <c r="F131" s="265"/>
      <c r="G131" s="264">
        <f t="shared" si="0"/>
        <v>0</v>
      </c>
      <c r="H131" s="264"/>
      <c r="I131" s="230">
        <f t="shared" si="1"/>
        <v>0</v>
      </c>
      <c r="J131" s="266">
        <f t="shared" si="2"/>
        <v>0</v>
      </c>
    </row>
    <row r="132" spans="1:10" ht="13.15" hidden="1" customHeight="1" outlineLevel="1" x14ac:dyDescent="0.25">
      <c r="A132" s="253">
        <f t="shared" si="5"/>
        <v>31</v>
      </c>
      <c r="B132" s="227">
        <f t="shared" si="6"/>
        <v>43334</v>
      </c>
      <c r="D132" s="230"/>
      <c r="E132" s="230"/>
      <c r="F132" s="265"/>
      <c r="G132" s="264">
        <f t="shared" si="0"/>
        <v>0</v>
      </c>
      <c r="H132" s="264"/>
      <c r="I132" s="230">
        <f t="shared" si="1"/>
        <v>0</v>
      </c>
      <c r="J132" s="266">
        <f t="shared" si="2"/>
        <v>0</v>
      </c>
    </row>
    <row r="133" spans="1:10" ht="13.15" hidden="1" customHeight="1" outlineLevel="1" x14ac:dyDescent="0.25">
      <c r="A133" s="253">
        <f t="shared" si="5"/>
        <v>32</v>
      </c>
      <c r="B133" s="227">
        <f t="shared" si="6"/>
        <v>43364</v>
      </c>
      <c r="D133" s="230"/>
      <c r="E133" s="230"/>
      <c r="F133" s="265"/>
      <c r="G133" s="264">
        <f t="shared" si="0"/>
        <v>0</v>
      </c>
      <c r="H133" s="264"/>
      <c r="I133" s="230">
        <f t="shared" si="1"/>
        <v>0</v>
      </c>
      <c r="J133" s="266">
        <f t="shared" si="2"/>
        <v>0</v>
      </c>
    </row>
    <row r="134" spans="1:10" ht="13.15" hidden="1" customHeight="1" outlineLevel="1" x14ac:dyDescent="0.25">
      <c r="A134" s="253">
        <f t="shared" si="5"/>
        <v>33</v>
      </c>
      <c r="B134" s="227">
        <f t="shared" si="6"/>
        <v>43394</v>
      </c>
      <c r="D134" s="230"/>
      <c r="E134" s="230"/>
      <c r="F134" s="265"/>
      <c r="G134" s="264">
        <f t="shared" si="0"/>
        <v>0</v>
      </c>
      <c r="H134" s="264"/>
      <c r="I134" s="230">
        <f t="shared" si="1"/>
        <v>0</v>
      </c>
      <c r="J134" s="266">
        <f t="shared" si="2"/>
        <v>0</v>
      </c>
    </row>
    <row r="135" spans="1:10" ht="13.15" hidden="1" customHeight="1" outlineLevel="1" x14ac:dyDescent="0.25">
      <c r="A135" s="253">
        <f t="shared" si="5"/>
        <v>34</v>
      </c>
      <c r="B135" s="227">
        <f t="shared" si="6"/>
        <v>43424</v>
      </c>
      <c r="C135" s="250" t="s">
        <v>205</v>
      </c>
      <c r="D135" s="230"/>
      <c r="E135" s="230"/>
      <c r="F135" s="265"/>
      <c r="G135" s="264">
        <f>ROUND((+J134+E135+(D135/2))*F135/12,2)</f>
        <v>0</v>
      </c>
      <c r="H135" s="264"/>
      <c r="I135" s="230">
        <f t="shared" si="1"/>
        <v>0</v>
      </c>
      <c r="J135" s="266">
        <f t="shared" si="2"/>
        <v>0</v>
      </c>
    </row>
    <row r="136" spans="1:10" ht="13.15" hidden="1" customHeight="1" outlineLevel="1" x14ac:dyDescent="0.25">
      <c r="A136" s="253">
        <f t="shared" si="5"/>
        <v>35</v>
      </c>
      <c r="B136" s="227">
        <v>43405</v>
      </c>
      <c r="C136" s="250" t="s">
        <v>186</v>
      </c>
      <c r="D136" s="230"/>
      <c r="E136" s="230"/>
      <c r="F136" s="267"/>
      <c r="G136" s="264">
        <f>ROUND((+J135+E136+(D136/2))*F136/12,2)</f>
        <v>0</v>
      </c>
      <c r="H136" s="264"/>
      <c r="I136" s="230">
        <f t="shared" si="1"/>
        <v>0</v>
      </c>
      <c r="J136" s="266">
        <f t="shared" si="2"/>
        <v>0</v>
      </c>
    </row>
    <row r="137" spans="1:10" ht="13.15" hidden="1" customHeight="1" outlineLevel="1" x14ac:dyDescent="0.25">
      <c r="A137" s="253">
        <f t="shared" si="5"/>
        <v>36</v>
      </c>
      <c r="B137" s="227">
        <f>B136+30</f>
        <v>43435</v>
      </c>
      <c r="D137" s="230"/>
      <c r="E137" s="230"/>
      <c r="F137" s="267"/>
      <c r="G137" s="264">
        <f>ROUND((+J136+E137+(D137/2))*F137/12,2)</f>
        <v>0</v>
      </c>
      <c r="H137" s="264"/>
      <c r="I137" s="230">
        <f t="shared" si="1"/>
        <v>0</v>
      </c>
      <c r="J137" s="266">
        <f t="shared" si="2"/>
        <v>0</v>
      </c>
    </row>
    <row r="138" spans="1:10" ht="13.15" hidden="1" customHeight="1" outlineLevel="1" x14ac:dyDescent="0.25">
      <c r="A138" s="253">
        <f t="shared" si="5"/>
        <v>37</v>
      </c>
      <c r="B138" s="227">
        <f t="shared" ref="B138:B148" si="7">B137+31</f>
        <v>43466</v>
      </c>
      <c r="D138" s="230"/>
      <c r="E138" s="230"/>
      <c r="F138" s="267"/>
      <c r="G138" s="264">
        <f>ROUND((+J137+E138+(D138/2))*F138/12,2)</f>
        <v>0</v>
      </c>
      <c r="H138" s="264"/>
      <c r="I138" s="230">
        <f t="shared" si="1"/>
        <v>0</v>
      </c>
      <c r="J138" s="266">
        <f t="shared" si="2"/>
        <v>0</v>
      </c>
    </row>
    <row r="139" spans="1:10" ht="13.15" hidden="1" customHeight="1" outlineLevel="1" x14ac:dyDescent="0.25">
      <c r="A139" s="253">
        <f t="shared" si="5"/>
        <v>38</v>
      </c>
      <c r="B139" s="227">
        <f t="shared" si="7"/>
        <v>43497</v>
      </c>
      <c r="D139" s="230"/>
      <c r="E139" s="230"/>
      <c r="F139" s="267"/>
      <c r="G139" s="264">
        <f t="shared" ref="G139:G173" si="8">ROUND((+J138+E139+(D139/2))*F139/12,2)</f>
        <v>0</v>
      </c>
      <c r="H139" s="264"/>
      <c r="I139" s="230">
        <f t="shared" si="1"/>
        <v>0</v>
      </c>
      <c r="J139" s="266">
        <f t="shared" si="2"/>
        <v>0</v>
      </c>
    </row>
    <row r="140" spans="1:10" ht="13.15" hidden="1" customHeight="1" outlineLevel="1" x14ac:dyDescent="0.25">
      <c r="A140" s="253">
        <f t="shared" si="5"/>
        <v>39</v>
      </c>
      <c r="B140" s="227">
        <f t="shared" si="7"/>
        <v>43528</v>
      </c>
      <c r="D140" s="230"/>
      <c r="E140" s="230"/>
      <c r="F140" s="267"/>
      <c r="G140" s="264">
        <f t="shared" si="8"/>
        <v>0</v>
      </c>
      <c r="H140" s="264"/>
      <c r="I140" s="230">
        <f t="shared" si="1"/>
        <v>0</v>
      </c>
      <c r="J140" s="266">
        <f t="shared" si="2"/>
        <v>0</v>
      </c>
    </row>
    <row r="141" spans="1:10" ht="13.15" hidden="1" customHeight="1" outlineLevel="1" x14ac:dyDescent="0.25">
      <c r="A141" s="253">
        <f t="shared" si="5"/>
        <v>40</v>
      </c>
      <c r="B141" s="227">
        <f t="shared" si="7"/>
        <v>43559</v>
      </c>
      <c r="D141" s="230"/>
      <c r="E141" s="230"/>
      <c r="F141" s="267"/>
      <c r="G141" s="264">
        <f t="shared" si="8"/>
        <v>0</v>
      </c>
      <c r="H141" s="264"/>
      <c r="I141" s="230">
        <f t="shared" si="1"/>
        <v>0</v>
      </c>
      <c r="J141" s="266">
        <f t="shared" si="2"/>
        <v>0</v>
      </c>
    </row>
    <row r="142" spans="1:10" ht="13.15" hidden="1" customHeight="1" outlineLevel="1" x14ac:dyDescent="0.25">
      <c r="A142" s="253">
        <f t="shared" si="5"/>
        <v>41</v>
      </c>
      <c r="B142" s="227">
        <f t="shared" si="7"/>
        <v>43590</v>
      </c>
      <c r="D142" s="230"/>
      <c r="E142" s="230"/>
      <c r="F142" s="267"/>
      <c r="G142" s="264">
        <f t="shared" si="8"/>
        <v>0</v>
      </c>
      <c r="H142" s="264"/>
      <c r="I142" s="230">
        <f t="shared" si="1"/>
        <v>0</v>
      </c>
      <c r="J142" s="266">
        <f t="shared" si="2"/>
        <v>0</v>
      </c>
    </row>
    <row r="143" spans="1:10" ht="13.15" hidden="1" customHeight="1" outlineLevel="1" x14ac:dyDescent="0.25">
      <c r="A143" s="253">
        <f t="shared" si="5"/>
        <v>42</v>
      </c>
      <c r="B143" s="227">
        <f t="shared" si="7"/>
        <v>43621</v>
      </c>
      <c r="D143" s="230"/>
      <c r="E143" s="230"/>
      <c r="F143" s="267"/>
      <c r="G143" s="264">
        <f t="shared" si="8"/>
        <v>0</v>
      </c>
      <c r="H143" s="264"/>
      <c r="I143" s="230">
        <f t="shared" si="1"/>
        <v>0</v>
      </c>
      <c r="J143" s="266">
        <f t="shared" si="2"/>
        <v>0</v>
      </c>
    </row>
    <row r="144" spans="1:10" ht="13.15" hidden="1" customHeight="1" outlineLevel="1" x14ac:dyDescent="0.25">
      <c r="A144" s="253">
        <f t="shared" si="5"/>
        <v>43</v>
      </c>
      <c r="B144" s="227">
        <f t="shared" si="7"/>
        <v>43652</v>
      </c>
      <c r="D144" s="230"/>
      <c r="E144" s="230"/>
      <c r="F144" s="267"/>
      <c r="G144" s="264">
        <f t="shared" si="8"/>
        <v>0</v>
      </c>
      <c r="H144" s="264"/>
      <c r="I144" s="230">
        <f t="shared" si="1"/>
        <v>0</v>
      </c>
      <c r="J144" s="266">
        <f t="shared" si="2"/>
        <v>0</v>
      </c>
    </row>
    <row r="145" spans="1:10" ht="13.15" hidden="1" customHeight="1" outlineLevel="1" x14ac:dyDescent="0.25">
      <c r="A145" s="253">
        <f t="shared" si="5"/>
        <v>44</v>
      </c>
      <c r="B145" s="227">
        <f t="shared" si="7"/>
        <v>43683</v>
      </c>
      <c r="D145" s="230"/>
      <c r="E145" s="230"/>
      <c r="F145" s="267"/>
      <c r="G145" s="264">
        <f t="shared" si="8"/>
        <v>0</v>
      </c>
      <c r="H145" s="264"/>
      <c r="I145" s="230">
        <f t="shared" si="1"/>
        <v>0</v>
      </c>
      <c r="J145" s="266">
        <f t="shared" si="2"/>
        <v>0</v>
      </c>
    </row>
    <row r="146" spans="1:10" ht="13.15" hidden="1" customHeight="1" outlineLevel="1" x14ac:dyDescent="0.25">
      <c r="A146" s="253">
        <f t="shared" si="5"/>
        <v>45</v>
      </c>
      <c r="B146" s="227">
        <f t="shared" si="7"/>
        <v>43714</v>
      </c>
      <c r="D146" s="230"/>
      <c r="E146" s="230"/>
      <c r="F146" s="267"/>
      <c r="G146" s="264">
        <f t="shared" si="8"/>
        <v>0</v>
      </c>
      <c r="H146" s="264"/>
      <c r="I146" s="230">
        <f t="shared" si="1"/>
        <v>0</v>
      </c>
      <c r="J146" s="266">
        <f t="shared" si="2"/>
        <v>0</v>
      </c>
    </row>
    <row r="147" spans="1:10" ht="13.15" hidden="1" customHeight="1" outlineLevel="1" x14ac:dyDescent="0.25">
      <c r="A147" s="253">
        <f t="shared" si="5"/>
        <v>46</v>
      </c>
      <c r="B147" s="227">
        <f t="shared" si="7"/>
        <v>43745</v>
      </c>
      <c r="D147" s="230"/>
      <c r="E147" s="230"/>
      <c r="F147" s="267"/>
      <c r="G147" s="264">
        <f t="shared" si="8"/>
        <v>0</v>
      </c>
      <c r="H147" s="264"/>
      <c r="I147" s="230">
        <f t="shared" si="1"/>
        <v>0</v>
      </c>
      <c r="J147" s="266">
        <f t="shared" si="2"/>
        <v>0</v>
      </c>
    </row>
    <row r="148" spans="1:10" ht="13.15" hidden="1" customHeight="1" outlineLevel="1" x14ac:dyDescent="0.25">
      <c r="A148" s="253">
        <f t="shared" si="5"/>
        <v>47</v>
      </c>
      <c r="B148" s="227">
        <f t="shared" si="7"/>
        <v>43776</v>
      </c>
      <c r="C148" s="250" t="s">
        <v>205</v>
      </c>
      <c r="D148" s="230"/>
      <c r="E148" s="230"/>
      <c r="F148" s="267"/>
      <c r="G148" s="264">
        <f t="shared" si="8"/>
        <v>0</v>
      </c>
      <c r="H148" s="264"/>
      <c r="I148" s="230">
        <f t="shared" si="1"/>
        <v>0</v>
      </c>
      <c r="J148" s="266">
        <f t="shared" si="2"/>
        <v>0</v>
      </c>
    </row>
    <row r="149" spans="1:10" hidden="1" outlineLevel="1" collapsed="1" x14ac:dyDescent="0.25">
      <c r="A149" s="253">
        <f t="shared" si="5"/>
        <v>48</v>
      </c>
      <c r="B149" s="227">
        <v>43776</v>
      </c>
      <c r="C149" s="250" t="s">
        <v>186</v>
      </c>
      <c r="D149" s="230"/>
      <c r="E149" s="230"/>
      <c r="F149" s="267"/>
      <c r="G149" s="264">
        <f t="shared" si="8"/>
        <v>0</v>
      </c>
      <c r="H149" s="264"/>
      <c r="I149" s="230">
        <f t="shared" si="1"/>
        <v>0</v>
      </c>
      <c r="J149" s="266">
        <f t="shared" si="2"/>
        <v>0</v>
      </c>
    </row>
    <row r="150" spans="1:10" hidden="1" outlineLevel="1" x14ac:dyDescent="0.25">
      <c r="A150" s="253">
        <f t="shared" si="5"/>
        <v>49</v>
      </c>
      <c r="B150" s="227">
        <v>43800</v>
      </c>
      <c r="D150" s="230"/>
      <c r="E150" s="230"/>
      <c r="F150" s="267"/>
      <c r="G150" s="264">
        <f t="shared" si="8"/>
        <v>0</v>
      </c>
      <c r="H150" s="264"/>
      <c r="I150" s="230">
        <f t="shared" si="1"/>
        <v>0</v>
      </c>
      <c r="J150" s="266">
        <f t="shared" si="2"/>
        <v>0</v>
      </c>
    </row>
    <row r="151" spans="1:10" hidden="1" outlineLevel="1" x14ac:dyDescent="0.25">
      <c r="A151" s="253">
        <f t="shared" si="5"/>
        <v>50</v>
      </c>
      <c r="B151" s="227">
        <v>43831</v>
      </c>
      <c r="D151" s="230"/>
      <c r="E151" s="230"/>
      <c r="F151" s="267"/>
      <c r="G151" s="264">
        <f t="shared" si="8"/>
        <v>0</v>
      </c>
      <c r="H151" s="264"/>
      <c r="I151" s="230">
        <f t="shared" si="1"/>
        <v>0</v>
      </c>
      <c r="J151" s="266">
        <f t="shared" si="2"/>
        <v>0</v>
      </c>
    </row>
    <row r="152" spans="1:10" hidden="1" outlineLevel="1" x14ac:dyDescent="0.25">
      <c r="A152" s="253">
        <f t="shared" si="5"/>
        <v>51</v>
      </c>
      <c r="B152" s="227">
        <v>43862</v>
      </c>
      <c r="D152" s="230"/>
      <c r="E152" s="230"/>
      <c r="F152" s="267"/>
      <c r="G152" s="264">
        <f t="shared" si="8"/>
        <v>0</v>
      </c>
      <c r="H152" s="264"/>
      <c r="I152" s="230">
        <f t="shared" si="1"/>
        <v>0</v>
      </c>
      <c r="J152" s="266">
        <f t="shared" si="2"/>
        <v>0</v>
      </c>
    </row>
    <row r="153" spans="1:10" hidden="1" outlineLevel="1" x14ac:dyDescent="0.25">
      <c r="A153" s="253">
        <f t="shared" si="5"/>
        <v>52</v>
      </c>
      <c r="B153" s="227">
        <v>43891</v>
      </c>
      <c r="D153" s="230"/>
      <c r="E153" s="230"/>
      <c r="F153" s="267"/>
      <c r="G153" s="264">
        <f t="shared" si="8"/>
        <v>0</v>
      </c>
      <c r="H153" s="268"/>
      <c r="I153" s="230">
        <f t="shared" si="1"/>
        <v>0</v>
      </c>
      <c r="J153" s="266">
        <f t="shared" si="2"/>
        <v>0</v>
      </c>
    </row>
    <row r="154" spans="1:10" hidden="1" outlineLevel="1" x14ac:dyDescent="0.25">
      <c r="A154" s="253">
        <f t="shared" si="5"/>
        <v>53</v>
      </c>
      <c r="B154" s="227">
        <v>43922</v>
      </c>
      <c r="D154" s="230"/>
      <c r="E154" s="230"/>
      <c r="F154" s="267"/>
      <c r="G154" s="264">
        <f t="shared" si="8"/>
        <v>0</v>
      </c>
      <c r="H154" s="268"/>
      <c r="I154" s="230">
        <f t="shared" si="1"/>
        <v>0</v>
      </c>
      <c r="J154" s="266">
        <f t="shared" si="2"/>
        <v>0</v>
      </c>
    </row>
    <row r="155" spans="1:10" hidden="1" outlineLevel="1" x14ac:dyDescent="0.25">
      <c r="A155" s="253">
        <f t="shared" si="5"/>
        <v>54</v>
      </c>
      <c r="B155" s="227">
        <v>43952</v>
      </c>
      <c r="D155" s="230"/>
      <c r="E155" s="230"/>
      <c r="F155" s="267"/>
      <c r="G155" s="264">
        <f t="shared" si="8"/>
        <v>0</v>
      </c>
      <c r="H155" s="268"/>
      <c r="I155" s="230">
        <f t="shared" si="1"/>
        <v>0</v>
      </c>
      <c r="J155" s="266">
        <f t="shared" si="2"/>
        <v>0</v>
      </c>
    </row>
    <row r="156" spans="1:10" hidden="1" outlineLevel="1" x14ac:dyDescent="0.25">
      <c r="A156" s="253">
        <f t="shared" si="5"/>
        <v>55</v>
      </c>
      <c r="B156" s="227">
        <v>43983</v>
      </c>
      <c r="D156" s="230"/>
      <c r="E156" s="230"/>
      <c r="F156" s="267"/>
      <c r="G156" s="264">
        <f t="shared" si="8"/>
        <v>0</v>
      </c>
      <c r="H156" s="268"/>
      <c r="I156" s="230">
        <f t="shared" si="1"/>
        <v>0</v>
      </c>
      <c r="J156" s="266">
        <f t="shared" si="2"/>
        <v>0</v>
      </c>
    </row>
    <row r="157" spans="1:10" hidden="1" outlineLevel="1" x14ac:dyDescent="0.25">
      <c r="A157" s="253">
        <f t="shared" si="5"/>
        <v>56</v>
      </c>
      <c r="B157" s="227">
        <v>44013</v>
      </c>
      <c r="D157" s="230"/>
      <c r="E157" s="230"/>
      <c r="F157" s="267"/>
      <c r="G157" s="264">
        <f t="shared" si="8"/>
        <v>0</v>
      </c>
      <c r="H157" s="268"/>
      <c r="I157" s="230">
        <f t="shared" si="1"/>
        <v>0</v>
      </c>
      <c r="J157" s="266">
        <f t="shared" si="2"/>
        <v>0</v>
      </c>
    </row>
    <row r="158" spans="1:10" hidden="1" outlineLevel="1" x14ac:dyDescent="0.25">
      <c r="A158" s="253">
        <f t="shared" si="5"/>
        <v>57</v>
      </c>
      <c r="B158" s="227">
        <v>44044</v>
      </c>
      <c r="D158" s="230"/>
      <c r="E158" s="230"/>
      <c r="F158" s="267"/>
      <c r="G158" s="264">
        <f t="shared" si="8"/>
        <v>0</v>
      </c>
      <c r="H158" s="268"/>
      <c r="I158" s="230">
        <f t="shared" si="1"/>
        <v>0</v>
      </c>
      <c r="J158" s="266">
        <f t="shared" si="2"/>
        <v>0</v>
      </c>
    </row>
    <row r="159" spans="1:10" hidden="1" outlineLevel="1" x14ac:dyDescent="0.25">
      <c r="A159" s="253">
        <f t="shared" si="5"/>
        <v>58</v>
      </c>
      <c r="B159" s="227">
        <v>44075</v>
      </c>
      <c r="D159" s="230"/>
      <c r="E159" s="230"/>
      <c r="F159" s="267"/>
      <c r="G159" s="264">
        <f t="shared" si="8"/>
        <v>0</v>
      </c>
      <c r="H159" s="268"/>
      <c r="I159" s="230">
        <f t="shared" si="1"/>
        <v>0</v>
      </c>
      <c r="J159" s="266">
        <f t="shared" si="2"/>
        <v>0</v>
      </c>
    </row>
    <row r="160" spans="1:10" hidden="1" outlineLevel="1" x14ac:dyDescent="0.25">
      <c r="A160" s="253">
        <f t="shared" si="5"/>
        <v>59</v>
      </c>
      <c r="B160" s="227">
        <v>44105</v>
      </c>
      <c r="D160" s="230"/>
      <c r="E160" s="230"/>
      <c r="F160" s="267"/>
      <c r="G160" s="264">
        <f t="shared" si="8"/>
        <v>0</v>
      </c>
      <c r="H160" s="268"/>
      <c r="I160" s="230">
        <f t="shared" si="1"/>
        <v>0</v>
      </c>
      <c r="J160" s="266">
        <f t="shared" si="2"/>
        <v>0</v>
      </c>
    </row>
    <row r="161" spans="1:10" hidden="1" outlineLevel="1" x14ac:dyDescent="0.25">
      <c r="A161" s="253">
        <f t="shared" si="5"/>
        <v>60</v>
      </c>
      <c r="B161" s="227">
        <v>44136</v>
      </c>
      <c r="C161" s="250" t="s">
        <v>185</v>
      </c>
      <c r="D161" s="230"/>
      <c r="E161" s="230"/>
      <c r="F161" s="267"/>
      <c r="G161" s="264">
        <v>0</v>
      </c>
      <c r="H161" s="268"/>
      <c r="I161" s="230">
        <f t="shared" si="1"/>
        <v>0</v>
      </c>
      <c r="J161" s="266">
        <f t="shared" si="2"/>
        <v>0</v>
      </c>
    </row>
    <row r="162" spans="1:10" hidden="1" outlineLevel="1" collapsed="1" x14ac:dyDescent="0.25">
      <c r="A162" s="253">
        <f t="shared" si="5"/>
        <v>61</v>
      </c>
      <c r="B162" s="227">
        <v>44136</v>
      </c>
      <c r="C162" s="250" t="s">
        <v>186</v>
      </c>
      <c r="D162" s="230"/>
      <c r="E162" s="230"/>
      <c r="F162" s="267"/>
      <c r="G162" s="264">
        <f t="shared" si="8"/>
        <v>0</v>
      </c>
      <c r="H162" s="268"/>
      <c r="I162" s="230">
        <f t="shared" si="1"/>
        <v>0</v>
      </c>
      <c r="J162" s="266">
        <f t="shared" si="2"/>
        <v>0</v>
      </c>
    </row>
    <row r="163" spans="1:10" hidden="1" outlineLevel="1" x14ac:dyDescent="0.25">
      <c r="A163" s="253">
        <f t="shared" si="5"/>
        <v>62</v>
      </c>
      <c r="B163" s="227">
        <v>44166</v>
      </c>
      <c r="D163" s="230"/>
      <c r="E163" s="230"/>
      <c r="F163" s="267"/>
      <c r="G163" s="264">
        <f t="shared" si="8"/>
        <v>0</v>
      </c>
      <c r="H163" s="268"/>
      <c r="I163" s="230">
        <f t="shared" si="1"/>
        <v>0</v>
      </c>
      <c r="J163" s="266">
        <f t="shared" si="2"/>
        <v>0</v>
      </c>
    </row>
    <row r="164" spans="1:10" hidden="1" outlineLevel="1" x14ac:dyDescent="0.25">
      <c r="A164" s="253">
        <f t="shared" si="5"/>
        <v>63</v>
      </c>
      <c r="B164" s="227">
        <v>44197</v>
      </c>
      <c r="D164" s="230"/>
      <c r="E164" s="230"/>
      <c r="F164" s="267"/>
      <c r="G164" s="264">
        <f t="shared" si="8"/>
        <v>0</v>
      </c>
      <c r="H164" s="268"/>
      <c r="I164" s="230">
        <f t="shared" si="1"/>
        <v>0</v>
      </c>
      <c r="J164" s="266">
        <f t="shared" si="2"/>
        <v>0</v>
      </c>
    </row>
    <row r="165" spans="1:10" hidden="1" outlineLevel="1" x14ac:dyDescent="0.25">
      <c r="A165" s="253">
        <f t="shared" si="5"/>
        <v>64</v>
      </c>
      <c r="B165" s="227">
        <v>44228</v>
      </c>
      <c r="D165" s="230"/>
      <c r="E165" s="230"/>
      <c r="F165" s="267"/>
      <c r="G165" s="264">
        <f t="shared" si="8"/>
        <v>0</v>
      </c>
      <c r="H165" s="268"/>
      <c r="I165" s="230">
        <f t="shared" si="1"/>
        <v>0</v>
      </c>
      <c r="J165" s="266">
        <f t="shared" si="2"/>
        <v>0</v>
      </c>
    </row>
    <row r="166" spans="1:10" hidden="1" outlineLevel="1" x14ac:dyDescent="0.25">
      <c r="A166" s="253">
        <f t="shared" si="5"/>
        <v>65</v>
      </c>
      <c r="B166" s="227">
        <v>44256</v>
      </c>
      <c r="D166" s="230"/>
      <c r="E166" s="230"/>
      <c r="F166" s="267"/>
      <c r="G166" s="264">
        <f t="shared" si="8"/>
        <v>0</v>
      </c>
      <c r="H166" s="268"/>
      <c r="I166" s="230">
        <f t="shared" si="1"/>
        <v>0</v>
      </c>
      <c r="J166" s="266">
        <f t="shared" si="2"/>
        <v>0</v>
      </c>
    </row>
    <row r="167" spans="1:10" hidden="1" outlineLevel="1" x14ac:dyDescent="0.25">
      <c r="A167" s="253">
        <f t="shared" si="5"/>
        <v>66</v>
      </c>
      <c r="B167" s="227">
        <v>44287</v>
      </c>
      <c r="D167" s="230">
        <v>0</v>
      </c>
      <c r="E167" s="230"/>
      <c r="F167" s="267"/>
      <c r="G167" s="264">
        <f t="shared" si="8"/>
        <v>0</v>
      </c>
      <c r="H167" s="268"/>
      <c r="I167" s="230">
        <f t="shared" ref="I167:I173" si="9">+D167+E167+G167</f>
        <v>0</v>
      </c>
      <c r="J167" s="266">
        <f t="shared" ref="J167:J187" si="10">+J166+I167</f>
        <v>0</v>
      </c>
    </row>
    <row r="168" spans="1:10" hidden="1" outlineLevel="1" x14ac:dyDescent="0.25">
      <c r="A168" s="253">
        <f t="shared" si="5"/>
        <v>67</v>
      </c>
      <c r="B168" s="227">
        <v>44317</v>
      </c>
      <c r="D168" s="230">
        <v>0</v>
      </c>
      <c r="E168" s="230"/>
      <c r="F168" s="267"/>
      <c r="G168" s="264">
        <f t="shared" si="8"/>
        <v>0</v>
      </c>
      <c r="H168" s="268"/>
      <c r="I168" s="230">
        <f t="shared" si="9"/>
        <v>0</v>
      </c>
      <c r="J168" s="266">
        <f t="shared" si="10"/>
        <v>0</v>
      </c>
    </row>
    <row r="169" spans="1:10" hidden="1" outlineLevel="1" x14ac:dyDescent="0.25">
      <c r="A169" s="253">
        <f t="shared" si="5"/>
        <v>68</v>
      </c>
      <c r="B169" s="227">
        <v>44348</v>
      </c>
      <c r="D169" s="230">
        <v>0</v>
      </c>
      <c r="E169" s="230"/>
      <c r="F169" s="267"/>
      <c r="G169" s="264">
        <f t="shared" si="8"/>
        <v>0</v>
      </c>
      <c r="I169" s="230">
        <f t="shared" si="9"/>
        <v>0</v>
      </c>
      <c r="J169" s="266">
        <f t="shared" si="10"/>
        <v>0</v>
      </c>
    </row>
    <row r="170" spans="1:10" hidden="1" outlineLevel="1" x14ac:dyDescent="0.25">
      <c r="A170" s="253">
        <f t="shared" si="5"/>
        <v>69</v>
      </c>
      <c r="B170" s="227">
        <v>44378</v>
      </c>
      <c r="D170" s="230">
        <v>0</v>
      </c>
      <c r="E170" s="264"/>
      <c r="F170" s="267"/>
      <c r="G170" s="264">
        <f t="shared" si="8"/>
        <v>0</v>
      </c>
      <c r="I170" s="230">
        <f t="shared" si="9"/>
        <v>0</v>
      </c>
      <c r="J170" s="266">
        <f t="shared" si="10"/>
        <v>0</v>
      </c>
    </row>
    <row r="171" spans="1:10" hidden="1" outlineLevel="1" x14ac:dyDescent="0.25">
      <c r="A171" s="253">
        <f t="shared" si="5"/>
        <v>70</v>
      </c>
      <c r="B171" s="227">
        <v>44409</v>
      </c>
      <c r="D171" s="230">
        <v>0</v>
      </c>
      <c r="E171" s="230"/>
      <c r="F171" s="267"/>
      <c r="G171" s="264">
        <f t="shared" si="8"/>
        <v>0</v>
      </c>
      <c r="I171" s="230">
        <f t="shared" si="9"/>
        <v>0</v>
      </c>
      <c r="J171" s="266">
        <f t="shared" si="10"/>
        <v>0</v>
      </c>
    </row>
    <row r="172" spans="1:10" hidden="1" outlineLevel="1" x14ac:dyDescent="0.25">
      <c r="A172" s="253">
        <f t="shared" si="5"/>
        <v>71</v>
      </c>
      <c r="B172" s="227">
        <v>44440</v>
      </c>
      <c r="D172" s="230">
        <v>0</v>
      </c>
      <c r="E172" s="230"/>
      <c r="F172" s="267"/>
      <c r="G172" s="264">
        <f t="shared" si="8"/>
        <v>0</v>
      </c>
      <c r="I172" s="230">
        <f t="shared" si="9"/>
        <v>0</v>
      </c>
      <c r="J172" s="266">
        <f t="shared" si="10"/>
        <v>0</v>
      </c>
    </row>
    <row r="173" spans="1:10" hidden="1" outlineLevel="1" x14ac:dyDescent="0.25">
      <c r="A173" s="253">
        <f t="shared" si="5"/>
        <v>72</v>
      </c>
      <c r="B173" s="227">
        <v>44470</v>
      </c>
      <c r="D173" s="230">
        <v>0</v>
      </c>
      <c r="E173" s="230"/>
      <c r="F173" s="267"/>
      <c r="G173" s="264">
        <f t="shared" si="8"/>
        <v>0</v>
      </c>
      <c r="H173" s="268"/>
      <c r="I173" s="230">
        <f t="shared" si="9"/>
        <v>0</v>
      </c>
      <c r="J173" s="266">
        <f t="shared" si="10"/>
        <v>0</v>
      </c>
    </row>
    <row r="174" spans="1:10" hidden="1" outlineLevel="1" x14ac:dyDescent="0.25">
      <c r="A174" s="253">
        <f t="shared" si="5"/>
        <v>73</v>
      </c>
      <c r="B174" s="227">
        <v>44501</v>
      </c>
      <c r="C174" s="250" t="s">
        <v>185</v>
      </c>
      <c r="D174" s="230">
        <v>0</v>
      </c>
      <c r="E174" s="269"/>
      <c r="F174" s="267"/>
      <c r="G174" s="270">
        <v>0</v>
      </c>
      <c r="H174" s="271"/>
      <c r="I174" s="270">
        <f t="shared" ref="I174:I192" si="11">D174+E174+G174</f>
        <v>0</v>
      </c>
      <c r="J174" s="266">
        <f t="shared" si="10"/>
        <v>0</v>
      </c>
    </row>
    <row r="175" spans="1:10" hidden="1" outlineLevel="1" collapsed="1" x14ac:dyDescent="0.25">
      <c r="A175" s="253">
        <f t="shared" si="5"/>
        <v>74</v>
      </c>
      <c r="B175" s="227">
        <v>44501</v>
      </c>
      <c r="D175" s="230">
        <v>0</v>
      </c>
      <c r="E175" s="269"/>
      <c r="F175" s="267"/>
      <c r="G175" s="270">
        <f t="shared" ref="G175:G176" si="12">ROUND((+J174+E175+(D175/2))*F175/12,2)</f>
        <v>0</v>
      </c>
      <c r="H175" s="271"/>
      <c r="I175" s="270">
        <f t="shared" si="11"/>
        <v>0</v>
      </c>
      <c r="J175" s="266">
        <f t="shared" si="10"/>
        <v>0</v>
      </c>
    </row>
    <row r="176" spans="1:10" hidden="1" outlineLevel="1" x14ac:dyDescent="0.25">
      <c r="A176" s="253">
        <f t="shared" si="5"/>
        <v>75</v>
      </c>
      <c r="B176" s="227">
        <v>44531</v>
      </c>
      <c r="D176" s="230">
        <v>0</v>
      </c>
      <c r="E176" s="269"/>
      <c r="F176" s="267"/>
      <c r="G176" s="270">
        <f t="shared" si="12"/>
        <v>0</v>
      </c>
      <c r="H176" s="271"/>
      <c r="I176" s="270">
        <f t="shared" si="11"/>
        <v>0</v>
      </c>
      <c r="J176" s="266">
        <f t="shared" si="10"/>
        <v>0</v>
      </c>
    </row>
    <row r="177" spans="1:10" hidden="1" outlineLevel="1" x14ac:dyDescent="0.25">
      <c r="A177" s="253">
        <f t="shared" si="5"/>
        <v>76</v>
      </c>
      <c r="B177" s="227">
        <v>44562</v>
      </c>
      <c r="D177" s="230">
        <v>0</v>
      </c>
      <c r="E177" s="269"/>
      <c r="F177" s="267"/>
      <c r="G177" s="270">
        <v>0</v>
      </c>
      <c r="H177" s="271"/>
      <c r="I177" s="270">
        <f t="shared" si="11"/>
        <v>0</v>
      </c>
      <c r="J177" s="266">
        <f t="shared" si="10"/>
        <v>0</v>
      </c>
    </row>
    <row r="178" spans="1:10" hidden="1" outlineLevel="1" x14ac:dyDescent="0.25">
      <c r="A178" s="253">
        <f t="shared" si="5"/>
        <v>77</v>
      </c>
      <c r="B178" s="227">
        <v>44593</v>
      </c>
      <c r="D178" s="230">
        <v>0</v>
      </c>
      <c r="E178" s="269"/>
      <c r="F178" s="267"/>
      <c r="G178" s="270">
        <v>0</v>
      </c>
      <c r="H178" s="271"/>
      <c r="I178" s="270">
        <f t="shared" si="11"/>
        <v>0</v>
      </c>
      <c r="J178" s="266">
        <f t="shared" si="10"/>
        <v>0</v>
      </c>
    </row>
    <row r="179" spans="1:10" hidden="1" outlineLevel="1" x14ac:dyDescent="0.25">
      <c r="A179" s="253">
        <f t="shared" si="5"/>
        <v>78</v>
      </c>
      <c r="B179" s="227">
        <v>44621</v>
      </c>
      <c r="D179" s="230">
        <v>0</v>
      </c>
      <c r="E179" s="269"/>
      <c r="F179" s="267"/>
      <c r="G179" s="264">
        <f>ROUND((+J178+E179+(D179/2))*F179/12,2)</f>
        <v>0</v>
      </c>
      <c r="H179" s="271"/>
      <c r="I179" s="270">
        <f t="shared" si="11"/>
        <v>0</v>
      </c>
      <c r="J179" s="266">
        <f t="shared" si="10"/>
        <v>0</v>
      </c>
    </row>
    <row r="180" spans="1:10" hidden="1" outlineLevel="1" x14ac:dyDescent="0.25">
      <c r="A180" s="253">
        <f t="shared" si="5"/>
        <v>79</v>
      </c>
      <c r="B180" s="227">
        <v>44652</v>
      </c>
      <c r="D180" s="230">
        <v>0</v>
      </c>
      <c r="E180" s="269"/>
      <c r="F180" s="267"/>
      <c r="G180" s="264">
        <f t="shared" ref="G180:G186" si="13">ROUND((+J179+E180+(D180/2))*F180/12,2)</f>
        <v>0</v>
      </c>
      <c r="H180" s="271"/>
      <c r="I180" s="270">
        <f t="shared" si="11"/>
        <v>0</v>
      </c>
      <c r="J180" s="266">
        <f t="shared" si="10"/>
        <v>0</v>
      </c>
    </row>
    <row r="181" spans="1:10" hidden="1" outlineLevel="1" x14ac:dyDescent="0.25">
      <c r="A181" s="253">
        <f t="shared" si="5"/>
        <v>80</v>
      </c>
      <c r="B181" s="227">
        <v>44682</v>
      </c>
      <c r="D181" s="230">
        <v>0</v>
      </c>
      <c r="E181" s="269"/>
      <c r="F181" s="267"/>
      <c r="G181" s="264">
        <f t="shared" si="13"/>
        <v>0</v>
      </c>
      <c r="H181" s="271"/>
      <c r="I181" s="270">
        <f t="shared" si="11"/>
        <v>0</v>
      </c>
      <c r="J181" s="266">
        <f t="shared" si="10"/>
        <v>0</v>
      </c>
    </row>
    <row r="182" spans="1:10" hidden="1" outlineLevel="1" x14ac:dyDescent="0.25">
      <c r="A182" s="253">
        <f t="shared" si="5"/>
        <v>81</v>
      </c>
      <c r="B182" s="227">
        <v>44713</v>
      </c>
      <c r="D182" s="230">
        <v>0</v>
      </c>
      <c r="E182" s="269"/>
      <c r="F182" s="267"/>
      <c r="G182" s="264">
        <f t="shared" si="13"/>
        <v>0</v>
      </c>
      <c r="H182" s="271"/>
      <c r="I182" s="270">
        <f t="shared" si="11"/>
        <v>0</v>
      </c>
      <c r="J182" s="266">
        <f t="shared" si="10"/>
        <v>0</v>
      </c>
    </row>
    <row r="183" spans="1:10" hidden="1" outlineLevel="1" x14ac:dyDescent="0.25">
      <c r="A183" s="253">
        <f t="shared" si="5"/>
        <v>82</v>
      </c>
      <c r="B183" s="227">
        <v>44743</v>
      </c>
      <c r="D183" s="230">
        <v>0</v>
      </c>
      <c r="E183" s="269"/>
      <c r="F183" s="267"/>
      <c r="G183" s="264">
        <f t="shared" si="13"/>
        <v>0</v>
      </c>
      <c r="H183" s="271"/>
      <c r="I183" s="270">
        <f t="shared" si="11"/>
        <v>0</v>
      </c>
      <c r="J183" s="266">
        <f t="shared" si="10"/>
        <v>0</v>
      </c>
    </row>
    <row r="184" spans="1:10" hidden="1" outlineLevel="1" x14ac:dyDescent="0.25">
      <c r="A184" s="253">
        <f t="shared" si="5"/>
        <v>83</v>
      </c>
      <c r="B184" s="227">
        <v>44774</v>
      </c>
      <c r="D184" s="230">
        <v>0</v>
      </c>
      <c r="E184" s="269"/>
      <c r="F184" s="267"/>
      <c r="G184" s="264">
        <f t="shared" si="13"/>
        <v>0</v>
      </c>
      <c r="H184" s="271"/>
      <c r="I184" s="270">
        <f t="shared" si="11"/>
        <v>0</v>
      </c>
      <c r="J184" s="266">
        <f t="shared" si="10"/>
        <v>0</v>
      </c>
    </row>
    <row r="185" spans="1:10" hidden="1" outlineLevel="1" x14ac:dyDescent="0.25">
      <c r="A185" s="253">
        <f t="shared" si="5"/>
        <v>84</v>
      </c>
      <c r="B185" s="227">
        <v>44805</v>
      </c>
      <c r="D185" s="230">
        <v>0</v>
      </c>
      <c r="E185" s="269"/>
      <c r="F185" s="267"/>
      <c r="G185" s="264">
        <f t="shared" si="13"/>
        <v>0</v>
      </c>
      <c r="H185" s="271"/>
      <c r="I185" s="270">
        <f t="shared" si="11"/>
        <v>0</v>
      </c>
      <c r="J185" s="266">
        <f t="shared" si="10"/>
        <v>0</v>
      </c>
    </row>
    <row r="186" spans="1:10" hidden="1" outlineLevel="1" x14ac:dyDescent="0.25">
      <c r="A186" s="253">
        <f t="shared" si="5"/>
        <v>85</v>
      </c>
      <c r="B186" s="227">
        <v>44835</v>
      </c>
      <c r="D186" s="230">
        <v>0</v>
      </c>
      <c r="E186" s="269"/>
      <c r="F186" s="267"/>
      <c r="G186" s="264">
        <f t="shared" si="13"/>
        <v>0</v>
      </c>
      <c r="H186" s="271"/>
      <c r="I186" s="270">
        <f t="shared" si="11"/>
        <v>0</v>
      </c>
      <c r="J186" s="266">
        <f t="shared" si="10"/>
        <v>0</v>
      </c>
    </row>
    <row r="187" spans="1:10" hidden="1" outlineLevel="1" x14ac:dyDescent="0.25">
      <c r="A187" s="253">
        <f t="shared" si="5"/>
        <v>86</v>
      </c>
      <c r="B187" s="227">
        <v>44866</v>
      </c>
      <c r="D187" s="230">
        <v>0</v>
      </c>
      <c r="E187" s="269"/>
      <c r="F187" s="267"/>
      <c r="G187" s="264"/>
      <c r="H187" s="271"/>
      <c r="I187" s="270">
        <f t="shared" si="11"/>
        <v>0</v>
      </c>
      <c r="J187" s="266">
        <f t="shared" si="10"/>
        <v>0</v>
      </c>
    </row>
    <row r="188" spans="1:10" hidden="1" outlineLevel="1" x14ac:dyDescent="0.25">
      <c r="A188" s="253">
        <f t="shared" ref="A188:A227" si="14">+A187+1</f>
        <v>87</v>
      </c>
      <c r="B188" s="227">
        <v>44866</v>
      </c>
      <c r="D188" s="230">
        <v>0</v>
      </c>
      <c r="E188" s="269"/>
      <c r="F188" s="267"/>
      <c r="G188" s="264">
        <f>ROUND((+J187+E188+(D188/2))*F188/12,2)</f>
        <v>0</v>
      </c>
      <c r="I188" s="270">
        <f t="shared" si="11"/>
        <v>0</v>
      </c>
      <c r="J188" s="266">
        <f>+J187+I188</f>
        <v>0</v>
      </c>
    </row>
    <row r="189" spans="1:10" hidden="1" outlineLevel="1" collapsed="1" x14ac:dyDescent="0.25">
      <c r="A189" s="253">
        <f t="shared" si="14"/>
        <v>88</v>
      </c>
      <c r="B189" s="227">
        <v>44897</v>
      </c>
      <c r="D189" s="230">
        <v>0</v>
      </c>
      <c r="E189" s="269"/>
      <c r="F189" s="267">
        <v>0</v>
      </c>
      <c r="G189" s="264">
        <f t="shared" ref="G189:G192" si="15">ROUND((+J188+E189+(D189/2))*F189/12,2)</f>
        <v>0</v>
      </c>
      <c r="I189" s="270">
        <f t="shared" si="11"/>
        <v>0</v>
      </c>
      <c r="J189" s="266">
        <f t="shared" ref="J189:J192" si="16">+J188+I189</f>
        <v>0</v>
      </c>
    </row>
    <row r="190" spans="1:10" hidden="1" outlineLevel="1" x14ac:dyDescent="0.25">
      <c r="A190" s="253">
        <f t="shared" si="14"/>
        <v>89</v>
      </c>
      <c r="B190" s="227">
        <v>44928</v>
      </c>
      <c r="D190" s="230">
        <v>0</v>
      </c>
      <c r="E190" s="269"/>
      <c r="F190" s="267">
        <v>0</v>
      </c>
      <c r="G190" s="264">
        <f t="shared" si="15"/>
        <v>0</v>
      </c>
      <c r="I190" s="270">
        <f t="shared" si="11"/>
        <v>0</v>
      </c>
      <c r="J190" s="266">
        <f t="shared" si="16"/>
        <v>0</v>
      </c>
    </row>
    <row r="191" spans="1:10" hidden="1" outlineLevel="1" x14ac:dyDescent="0.25">
      <c r="A191" s="253">
        <f t="shared" si="14"/>
        <v>90</v>
      </c>
      <c r="B191" s="227">
        <v>44959</v>
      </c>
      <c r="D191" s="230">
        <v>0</v>
      </c>
      <c r="E191" s="269"/>
      <c r="F191" s="267">
        <v>0</v>
      </c>
      <c r="G191" s="264">
        <f t="shared" si="15"/>
        <v>0</v>
      </c>
      <c r="I191" s="270">
        <f t="shared" si="11"/>
        <v>0</v>
      </c>
      <c r="J191" s="266">
        <f t="shared" si="16"/>
        <v>0</v>
      </c>
    </row>
    <row r="192" spans="1:10" hidden="1" outlineLevel="1" x14ac:dyDescent="0.25">
      <c r="A192" s="253">
        <f t="shared" si="14"/>
        <v>91</v>
      </c>
      <c r="B192" s="227">
        <v>44990</v>
      </c>
      <c r="D192" s="230">
        <v>0</v>
      </c>
      <c r="E192" s="269"/>
      <c r="F192" s="267">
        <v>0</v>
      </c>
      <c r="G192" s="264">
        <f t="shared" si="15"/>
        <v>0</v>
      </c>
      <c r="H192" s="271"/>
      <c r="I192" s="270">
        <f t="shared" si="11"/>
        <v>0</v>
      </c>
      <c r="J192" s="266">
        <f t="shared" si="16"/>
        <v>0</v>
      </c>
    </row>
    <row r="193" spans="1:10" hidden="1" outlineLevel="1" x14ac:dyDescent="0.25">
      <c r="A193" s="253">
        <f t="shared" si="14"/>
        <v>92</v>
      </c>
      <c r="B193" s="227">
        <v>45017</v>
      </c>
      <c r="D193" s="230">
        <f>'[57]151845 - Accrual Account'!D193</f>
        <v>210823.5</v>
      </c>
      <c r="E193" s="269"/>
      <c r="F193" s="267">
        <v>4.478E-2</v>
      </c>
      <c r="G193" s="264">
        <f>ROUND((+J192+E193+(D193/2))*F193/12,2)</f>
        <v>393.36</v>
      </c>
      <c r="H193" s="271"/>
      <c r="I193" s="270">
        <f>D193+E193+G193</f>
        <v>211216.86</v>
      </c>
      <c r="J193" s="266">
        <f>+J192+I193</f>
        <v>211216.86</v>
      </c>
    </row>
    <row r="194" spans="1:10" hidden="1" outlineLevel="1" x14ac:dyDescent="0.25">
      <c r="A194" s="253">
        <f t="shared" si="14"/>
        <v>93</v>
      </c>
      <c r="B194" s="227">
        <v>45047</v>
      </c>
      <c r="D194" s="230">
        <v>0</v>
      </c>
      <c r="E194" s="269"/>
      <c r="F194" s="267">
        <v>4.478E-2</v>
      </c>
      <c r="G194" s="264">
        <f>ROUND((+J193+E194+(D194/2))*F194/12,2)</f>
        <v>788.19</v>
      </c>
      <c r="H194" s="271"/>
      <c r="I194" s="270">
        <f>D194+E194+G194</f>
        <v>788.19</v>
      </c>
      <c r="J194" s="266">
        <f>+J193+I194</f>
        <v>212005.05</v>
      </c>
    </row>
    <row r="195" spans="1:10" hidden="1" outlineLevel="1" x14ac:dyDescent="0.25">
      <c r="A195" s="253">
        <f t="shared" si="14"/>
        <v>94</v>
      </c>
      <c r="B195" s="227">
        <v>45078</v>
      </c>
      <c r="D195" s="230">
        <v>0</v>
      </c>
      <c r="E195" s="269"/>
      <c r="F195" s="267">
        <v>4.478E-2</v>
      </c>
      <c r="G195" s="264">
        <f>ROUND((+J194+E195+(D195/2))*F195/12,2)</f>
        <v>791.13</v>
      </c>
      <c r="H195" s="271"/>
      <c r="I195" s="270">
        <f>D195+E195+G195</f>
        <v>791.13</v>
      </c>
      <c r="J195" s="266">
        <f>+J194+I195</f>
        <v>212796.18</v>
      </c>
    </row>
    <row r="196" spans="1:10" hidden="1" outlineLevel="1" x14ac:dyDescent="0.25">
      <c r="A196" s="253">
        <f t="shared" si="14"/>
        <v>95</v>
      </c>
      <c r="B196" s="227">
        <v>45108</v>
      </c>
      <c r="D196" s="230">
        <v>0</v>
      </c>
      <c r="E196" s="269"/>
      <c r="F196" s="267">
        <v>4.6550000000000001E-2</v>
      </c>
      <c r="G196" s="264">
        <f>ROUND((+J195+E196+(D196/2))*F196/12,2)</f>
        <v>825.47</v>
      </c>
      <c r="H196" s="271"/>
      <c r="I196" s="270">
        <f>D196+E196+G196</f>
        <v>825.47</v>
      </c>
      <c r="J196" s="266">
        <f>+J195+I196</f>
        <v>213621.65</v>
      </c>
    </row>
    <row r="197" spans="1:10" hidden="1" outlineLevel="1" x14ac:dyDescent="0.25">
      <c r="A197" s="253">
        <f t="shared" si="14"/>
        <v>96</v>
      </c>
      <c r="B197" s="227">
        <v>45139</v>
      </c>
      <c r="D197" s="230">
        <v>0</v>
      </c>
      <c r="E197" s="269"/>
      <c r="F197" s="267">
        <v>4.6550000000000001E-2</v>
      </c>
      <c r="G197" s="264">
        <f t="shared" ref="G197:G199" si="17">ROUND((+J196+E197+(D197/2))*F197/12,2)</f>
        <v>828.67</v>
      </c>
      <c r="H197" s="271"/>
      <c r="I197" s="270">
        <f t="shared" ref="I197:I223" si="18">D197+E197+G197</f>
        <v>828.67</v>
      </c>
      <c r="J197" s="266">
        <f t="shared" ref="J197:J198" si="19">+J196+I197</f>
        <v>214450.32</v>
      </c>
    </row>
    <row r="198" spans="1:10" hidden="1" outlineLevel="1" x14ac:dyDescent="0.25">
      <c r="A198" s="253">
        <f t="shared" si="14"/>
        <v>97</v>
      </c>
      <c r="B198" s="227">
        <v>45170</v>
      </c>
      <c r="D198" s="230">
        <v>0</v>
      </c>
      <c r="E198" s="269"/>
      <c r="F198" s="267">
        <v>4.6550000000000001E-2</v>
      </c>
      <c r="G198" s="264">
        <f t="shared" si="17"/>
        <v>831.89</v>
      </c>
      <c r="H198" s="271"/>
      <c r="I198" s="270">
        <f t="shared" si="18"/>
        <v>831.89</v>
      </c>
      <c r="J198" s="266">
        <f t="shared" si="19"/>
        <v>215282.21000000002</v>
      </c>
    </row>
    <row r="199" spans="1:10" hidden="1" outlineLevel="1" x14ac:dyDescent="0.25">
      <c r="A199" s="253">
        <f t="shared" si="14"/>
        <v>98</v>
      </c>
      <c r="B199" s="227">
        <v>45200</v>
      </c>
      <c r="D199" s="230">
        <v>0</v>
      </c>
      <c r="E199" s="269"/>
      <c r="F199" s="267">
        <v>4.6550000000000001E-2</v>
      </c>
      <c r="G199" s="264">
        <f t="shared" si="17"/>
        <v>835.12</v>
      </c>
      <c r="H199" s="271"/>
      <c r="I199" s="270">
        <f t="shared" si="18"/>
        <v>835.12</v>
      </c>
      <c r="J199" s="266">
        <v>216117.08</v>
      </c>
    </row>
    <row r="200" spans="1:10" hidden="1" outlineLevel="1" collapsed="1" x14ac:dyDescent="0.25">
      <c r="A200" s="253">
        <f t="shared" si="14"/>
        <v>99</v>
      </c>
      <c r="B200" s="227">
        <v>45231</v>
      </c>
      <c r="D200" s="230">
        <v>0</v>
      </c>
      <c r="E200" s="269">
        <v>-216117.08</v>
      </c>
      <c r="F200" s="267">
        <v>4.6550000000000001E-2</v>
      </c>
      <c r="G200" s="264"/>
      <c r="H200" s="271"/>
      <c r="I200" s="270">
        <f t="shared" si="18"/>
        <v>-216117.08</v>
      </c>
      <c r="J200" s="266">
        <f t="shared" ref="J200:J223" si="20">+J199+I200</f>
        <v>0</v>
      </c>
    </row>
    <row r="201" spans="1:10" hidden="1" outlineLevel="1" x14ac:dyDescent="0.25">
      <c r="A201" s="253">
        <f t="shared" si="14"/>
        <v>100</v>
      </c>
      <c r="B201" s="227">
        <v>45261</v>
      </c>
      <c r="D201" s="230">
        <v>0</v>
      </c>
      <c r="E201" s="269"/>
      <c r="F201" s="267">
        <v>4.6550000000000001E-2</v>
      </c>
      <c r="G201" s="264">
        <f>ROUND((+J200+E201+(D201/2))*F201/12,2)</f>
        <v>0</v>
      </c>
      <c r="H201" s="271"/>
      <c r="I201" s="270">
        <f t="shared" si="18"/>
        <v>0</v>
      </c>
      <c r="J201" s="266">
        <f t="shared" si="20"/>
        <v>0</v>
      </c>
    </row>
    <row r="202" spans="1:10" hidden="1" outlineLevel="1" x14ac:dyDescent="0.25">
      <c r="A202" s="253">
        <f t="shared" si="14"/>
        <v>101</v>
      </c>
      <c r="B202" s="227">
        <v>45292</v>
      </c>
      <c r="D202" s="230">
        <v>0</v>
      </c>
      <c r="E202" s="269"/>
      <c r="F202" s="267">
        <v>4.6550000000000001E-2</v>
      </c>
      <c r="G202" s="264">
        <f t="shared" ref="G202:G223" si="21">ROUND((+J201+E202+(D202/2))*F202/12,2)</f>
        <v>0</v>
      </c>
      <c r="H202" s="271"/>
      <c r="I202" s="270">
        <f t="shared" si="18"/>
        <v>0</v>
      </c>
      <c r="J202" s="266">
        <f t="shared" si="20"/>
        <v>0</v>
      </c>
    </row>
    <row r="203" spans="1:10" hidden="1" outlineLevel="1" x14ac:dyDescent="0.25">
      <c r="A203" s="253">
        <f t="shared" si="14"/>
        <v>102</v>
      </c>
      <c r="B203" s="227">
        <v>45323</v>
      </c>
      <c r="D203" s="230">
        <v>0</v>
      </c>
      <c r="E203" s="269"/>
      <c r="F203" s="267">
        <v>4.6969999999999998E-2</v>
      </c>
      <c r="G203" s="264">
        <f t="shared" si="21"/>
        <v>0</v>
      </c>
      <c r="H203" s="271"/>
      <c r="I203" s="270">
        <f t="shared" si="18"/>
        <v>0</v>
      </c>
      <c r="J203" s="266">
        <f t="shared" si="20"/>
        <v>0</v>
      </c>
    </row>
    <row r="204" spans="1:10" hidden="1" outlineLevel="1" x14ac:dyDescent="0.25">
      <c r="A204" s="253">
        <f t="shared" si="14"/>
        <v>103</v>
      </c>
      <c r="B204" s="227">
        <v>45352</v>
      </c>
      <c r="D204" s="230">
        <v>0</v>
      </c>
      <c r="E204" s="269"/>
      <c r="F204" s="267">
        <v>4.6969999999999998E-2</v>
      </c>
      <c r="G204" s="264">
        <f t="shared" si="21"/>
        <v>0</v>
      </c>
      <c r="H204" s="271"/>
      <c r="I204" s="270">
        <f t="shared" si="18"/>
        <v>0</v>
      </c>
      <c r="J204" s="266">
        <f t="shared" si="20"/>
        <v>0</v>
      </c>
    </row>
    <row r="205" spans="1:10" hidden="1" outlineLevel="1" x14ac:dyDescent="0.25">
      <c r="A205" s="253">
        <f t="shared" si="14"/>
        <v>104</v>
      </c>
      <c r="B205" s="227">
        <v>45383</v>
      </c>
      <c r="D205" s="230">
        <v>0</v>
      </c>
      <c r="E205" s="269"/>
      <c r="F205" s="267">
        <v>4.6969999999999998E-2</v>
      </c>
      <c r="G205" s="264">
        <f t="shared" si="21"/>
        <v>0</v>
      </c>
      <c r="H205" s="271"/>
      <c r="I205" s="270">
        <f t="shared" si="18"/>
        <v>0</v>
      </c>
      <c r="J205" s="266">
        <f t="shared" si="20"/>
        <v>0</v>
      </c>
    </row>
    <row r="206" spans="1:10" hidden="1" outlineLevel="1" x14ac:dyDescent="0.25">
      <c r="A206" s="253">
        <f t="shared" si="14"/>
        <v>105</v>
      </c>
      <c r="B206" s="227">
        <v>45413</v>
      </c>
      <c r="D206" s="230">
        <v>0</v>
      </c>
      <c r="E206" s="269"/>
      <c r="F206" s="267">
        <v>4.6969999999999998E-2</v>
      </c>
      <c r="G206" s="264">
        <f t="shared" si="21"/>
        <v>0</v>
      </c>
      <c r="H206" s="271"/>
      <c r="I206" s="270">
        <f t="shared" si="18"/>
        <v>0</v>
      </c>
      <c r="J206" s="266">
        <f t="shared" si="20"/>
        <v>0</v>
      </c>
    </row>
    <row r="207" spans="1:10" hidden="1" outlineLevel="1" x14ac:dyDescent="0.25">
      <c r="A207" s="253">
        <f t="shared" si="14"/>
        <v>106</v>
      </c>
      <c r="B207" s="227">
        <v>45444</v>
      </c>
      <c r="D207" s="230">
        <v>0</v>
      </c>
      <c r="E207" s="269"/>
      <c r="F207" s="267">
        <v>4.6969999999999998E-2</v>
      </c>
      <c r="G207" s="264">
        <f t="shared" si="21"/>
        <v>0</v>
      </c>
      <c r="H207" s="271"/>
      <c r="I207" s="270">
        <f t="shared" si="18"/>
        <v>0</v>
      </c>
      <c r="J207" s="266">
        <f t="shared" si="20"/>
        <v>0</v>
      </c>
    </row>
    <row r="208" spans="1:10" hidden="1" outlineLevel="1" x14ac:dyDescent="0.25">
      <c r="A208" s="253">
        <f t="shared" si="14"/>
        <v>107</v>
      </c>
      <c r="B208" s="227">
        <v>45474</v>
      </c>
      <c r="D208" s="230">
        <v>0</v>
      </c>
      <c r="E208" s="269"/>
      <c r="F208" s="267">
        <v>4.6969999999999998E-2</v>
      </c>
      <c r="G208" s="264">
        <f t="shared" si="21"/>
        <v>0</v>
      </c>
      <c r="H208" s="271"/>
      <c r="I208" s="270">
        <f t="shared" si="18"/>
        <v>0</v>
      </c>
      <c r="J208" s="266">
        <f t="shared" si="20"/>
        <v>0</v>
      </c>
    </row>
    <row r="209" spans="1:10" hidden="1" outlineLevel="1" x14ac:dyDescent="0.25">
      <c r="A209" s="253">
        <f t="shared" si="14"/>
        <v>108</v>
      </c>
      <c r="B209" s="227">
        <v>45505</v>
      </c>
      <c r="D209" s="230">
        <v>0</v>
      </c>
      <c r="E209" s="269"/>
      <c r="F209" s="267">
        <v>4.6969999999999998E-2</v>
      </c>
      <c r="G209" s="264">
        <f t="shared" si="21"/>
        <v>0</v>
      </c>
      <c r="H209" s="271"/>
      <c r="I209" s="270">
        <f t="shared" si="18"/>
        <v>0</v>
      </c>
      <c r="J209" s="266">
        <f t="shared" si="20"/>
        <v>0</v>
      </c>
    </row>
    <row r="210" spans="1:10" hidden="1" outlineLevel="1" x14ac:dyDescent="0.25">
      <c r="A210" s="253">
        <f t="shared" si="14"/>
        <v>109</v>
      </c>
      <c r="B210" s="227">
        <v>45536</v>
      </c>
      <c r="D210" s="230">
        <v>0</v>
      </c>
      <c r="E210" s="269"/>
      <c r="F210" s="267">
        <v>4.6969999999999998E-2</v>
      </c>
      <c r="G210" s="264">
        <f t="shared" si="21"/>
        <v>0</v>
      </c>
      <c r="H210" s="271"/>
      <c r="I210" s="270">
        <f t="shared" si="18"/>
        <v>0</v>
      </c>
      <c r="J210" s="266">
        <f t="shared" si="20"/>
        <v>0</v>
      </c>
    </row>
    <row r="211" spans="1:10" hidden="1" outlineLevel="1" x14ac:dyDescent="0.25">
      <c r="A211" s="253">
        <f t="shared" si="14"/>
        <v>110</v>
      </c>
      <c r="B211" s="227">
        <v>45566</v>
      </c>
      <c r="C211" s="272"/>
      <c r="D211" s="230">
        <v>0</v>
      </c>
      <c r="E211" s="269"/>
      <c r="F211" s="267">
        <v>4.6969999999999998E-2</v>
      </c>
      <c r="G211" s="264">
        <f t="shared" si="21"/>
        <v>0</v>
      </c>
      <c r="H211" s="271"/>
      <c r="I211" s="270">
        <f t="shared" si="18"/>
        <v>0</v>
      </c>
      <c r="J211" s="266">
        <f t="shared" si="20"/>
        <v>0</v>
      </c>
    </row>
    <row r="212" spans="1:10" collapsed="1" x14ac:dyDescent="0.25">
      <c r="A212" s="253">
        <f t="shared" si="14"/>
        <v>111</v>
      </c>
      <c r="B212" s="227">
        <v>45597</v>
      </c>
      <c r="C212" s="272"/>
      <c r="D212" s="230">
        <v>0</v>
      </c>
      <c r="E212" s="269"/>
      <c r="F212" s="267">
        <v>4.6969999999999998E-2</v>
      </c>
      <c r="G212" s="264">
        <f t="shared" si="21"/>
        <v>0</v>
      </c>
      <c r="H212" s="271"/>
      <c r="I212" s="270">
        <f t="shared" si="18"/>
        <v>0</v>
      </c>
      <c r="J212" s="266">
        <f t="shared" si="20"/>
        <v>0</v>
      </c>
    </row>
    <row r="213" spans="1:10" x14ac:dyDescent="0.25">
      <c r="A213" s="253">
        <f t="shared" si="14"/>
        <v>112</v>
      </c>
      <c r="B213" s="227">
        <v>45627</v>
      </c>
      <c r="C213" s="272"/>
      <c r="D213" s="230">
        <v>0</v>
      </c>
      <c r="E213" s="269"/>
      <c r="F213" s="267">
        <v>4.6969999999999998E-2</v>
      </c>
      <c r="G213" s="264">
        <f t="shared" si="21"/>
        <v>0</v>
      </c>
      <c r="H213" s="271"/>
      <c r="I213" s="270">
        <f t="shared" si="18"/>
        <v>0</v>
      </c>
      <c r="J213" s="266">
        <f t="shared" si="20"/>
        <v>0</v>
      </c>
    </row>
    <row r="214" spans="1:10" x14ac:dyDescent="0.25">
      <c r="A214" s="253">
        <f t="shared" si="14"/>
        <v>113</v>
      </c>
      <c r="B214" s="227">
        <v>45658</v>
      </c>
      <c r="C214" s="272"/>
      <c r="D214" s="230">
        <v>0</v>
      </c>
      <c r="E214" s="269"/>
      <c r="F214" s="267">
        <v>4.6969999999999998E-2</v>
      </c>
      <c r="G214" s="264">
        <f t="shared" si="21"/>
        <v>0</v>
      </c>
      <c r="H214" s="271"/>
      <c r="I214" s="270">
        <f t="shared" si="18"/>
        <v>0</v>
      </c>
      <c r="J214" s="266">
        <f t="shared" si="20"/>
        <v>0</v>
      </c>
    </row>
    <row r="215" spans="1:10" x14ac:dyDescent="0.25">
      <c r="A215" s="253">
        <f t="shared" si="14"/>
        <v>114</v>
      </c>
      <c r="B215" s="227">
        <v>45689</v>
      </c>
      <c r="C215" s="272"/>
      <c r="D215" s="230">
        <v>0</v>
      </c>
      <c r="E215" s="269"/>
      <c r="F215" s="267">
        <v>4.6969999999999998E-2</v>
      </c>
      <c r="G215" s="264">
        <f t="shared" si="21"/>
        <v>0</v>
      </c>
      <c r="H215" s="271"/>
      <c r="I215" s="270">
        <f t="shared" si="18"/>
        <v>0</v>
      </c>
      <c r="J215" s="266">
        <f t="shared" si="20"/>
        <v>0</v>
      </c>
    </row>
    <row r="216" spans="1:10" x14ac:dyDescent="0.25">
      <c r="A216" s="253">
        <f t="shared" si="14"/>
        <v>115</v>
      </c>
      <c r="B216" s="227">
        <v>45717</v>
      </c>
      <c r="C216" s="272"/>
      <c r="D216" s="230">
        <v>0</v>
      </c>
      <c r="E216" s="269"/>
      <c r="F216" s="267">
        <v>4.6969999999999998E-2</v>
      </c>
      <c r="G216" s="264">
        <f t="shared" si="21"/>
        <v>0</v>
      </c>
      <c r="H216" s="271"/>
      <c r="I216" s="270">
        <f t="shared" si="18"/>
        <v>0</v>
      </c>
      <c r="J216" s="266">
        <f t="shared" si="20"/>
        <v>0</v>
      </c>
    </row>
    <row r="217" spans="1:10" x14ac:dyDescent="0.25">
      <c r="A217" s="253">
        <f t="shared" si="14"/>
        <v>116</v>
      </c>
      <c r="B217" s="227">
        <v>45748</v>
      </c>
      <c r="C217" s="272"/>
      <c r="D217" s="230">
        <v>0</v>
      </c>
      <c r="E217" s="269"/>
      <c r="F217" s="267">
        <v>4.6969999999999998E-2</v>
      </c>
      <c r="G217" s="264">
        <f t="shared" si="21"/>
        <v>0</v>
      </c>
      <c r="H217" s="271"/>
      <c r="I217" s="270">
        <f t="shared" si="18"/>
        <v>0</v>
      </c>
      <c r="J217" s="266">
        <f t="shared" si="20"/>
        <v>0</v>
      </c>
    </row>
    <row r="218" spans="1:10" x14ac:dyDescent="0.25">
      <c r="A218" s="253">
        <f t="shared" si="14"/>
        <v>117</v>
      </c>
      <c r="B218" s="227">
        <v>45778</v>
      </c>
      <c r="C218" s="272"/>
      <c r="D218" s="230">
        <v>0</v>
      </c>
      <c r="E218" s="269"/>
      <c r="F218" s="267">
        <v>4.6969999999999998E-2</v>
      </c>
      <c r="G218" s="264">
        <f t="shared" si="21"/>
        <v>0</v>
      </c>
      <c r="H218" s="271"/>
      <c r="I218" s="270">
        <f t="shared" si="18"/>
        <v>0</v>
      </c>
      <c r="J218" s="266">
        <f t="shared" si="20"/>
        <v>0</v>
      </c>
    </row>
    <row r="219" spans="1:10" x14ac:dyDescent="0.25">
      <c r="A219" s="253">
        <f t="shared" si="14"/>
        <v>118</v>
      </c>
      <c r="B219" s="227">
        <v>45809</v>
      </c>
      <c r="C219" s="272"/>
      <c r="D219" s="230">
        <v>0</v>
      </c>
      <c r="E219" s="269"/>
      <c r="F219" s="267">
        <v>4.6969999999999998E-2</v>
      </c>
      <c r="G219" s="264">
        <f t="shared" si="21"/>
        <v>0</v>
      </c>
      <c r="H219" s="271"/>
      <c r="I219" s="270">
        <f t="shared" si="18"/>
        <v>0</v>
      </c>
      <c r="J219" s="266">
        <f t="shared" si="20"/>
        <v>0</v>
      </c>
    </row>
    <row r="220" spans="1:10" x14ac:dyDescent="0.25">
      <c r="A220" s="253">
        <f t="shared" si="14"/>
        <v>119</v>
      </c>
      <c r="B220" s="227">
        <v>45839</v>
      </c>
      <c r="C220" s="272"/>
      <c r="D220" s="230">
        <v>0</v>
      </c>
      <c r="E220" s="269"/>
      <c r="F220" s="267">
        <v>4.6969999999999998E-2</v>
      </c>
      <c r="G220" s="264">
        <f t="shared" si="21"/>
        <v>0</v>
      </c>
      <c r="H220" s="271"/>
      <c r="I220" s="270">
        <f t="shared" si="18"/>
        <v>0</v>
      </c>
      <c r="J220" s="266">
        <f t="shared" si="20"/>
        <v>0</v>
      </c>
    </row>
    <row r="221" spans="1:10" x14ac:dyDescent="0.25">
      <c r="A221" s="253">
        <f t="shared" si="14"/>
        <v>120</v>
      </c>
      <c r="B221" s="227">
        <v>45870</v>
      </c>
      <c r="C221" s="272"/>
      <c r="D221" s="230">
        <v>0</v>
      </c>
      <c r="E221" s="269"/>
      <c r="F221" s="267">
        <v>4.6969999999999998E-2</v>
      </c>
      <c r="G221" s="264">
        <f t="shared" si="21"/>
        <v>0</v>
      </c>
      <c r="H221" s="271"/>
      <c r="I221" s="270">
        <f t="shared" si="18"/>
        <v>0</v>
      </c>
      <c r="J221" s="266">
        <f t="shared" si="20"/>
        <v>0</v>
      </c>
    </row>
    <row r="222" spans="1:10" x14ac:dyDescent="0.25">
      <c r="A222" s="253">
        <f t="shared" si="14"/>
        <v>121</v>
      </c>
      <c r="B222" s="227">
        <v>45901</v>
      </c>
      <c r="C222" s="272"/>
      <c r="D222" s="230">
        <v>0</v>
      </c>
      <c r="E222" s="269"/>
      <c r="F222" s="267">
        <v>4.6969999999999998E-2</v>
      </c>
      <c r="G222" s="264">
        <f t="shared" si="21"/>
        <v>0</v>
      </c>
      <c r="H222" s="271"/>
      <c r="I222" s="270">
        <f t="shared" si="18"/>
        <v>0</v>
      </c>
      <c r="J222" s="266">
        <f t="shared" si="20"/>
        <v>0</v>
      </c>
    </row>
    <row r="223" spans="1:10" x14ac:dyDescent="0.25">
      <c r="A223" s="253">
        <f t="shared" si="14"/>
        <v>122</v>
      </c>
      <c r="B223" s="227">
        <v>45931</v>
      </c>
      <c r="C223" s="272"/>
      <c r="D223" s="230">
        <v>0</v>
      </c>
      <c r="E223" s="269"/>
      <c r="F223" s="267">
        <v>4.6969999999999998E-2</v>
      </c>
      <c r="G223" s="264">
        <f t="shared" si="21"/>
        <v>0</v>
      </c>
      <c r="H223" s="271"/>
      <c r="I223" s="270">
        <f t="shared" si="18"/>
        <v>0</v>
      </c>
      <c r="J223" s="266">
        <f t="shared" si="20"/>
        <v>0</v>
      </c>
    </row>
    <row r="224" spans="1:10" x14ac:dyDescent="0.25">
      <c r="A224" s="253">
        <f>+A223+1</f>
        <v>123</v>
      </c>
      <c r="B224" s="227"/>
      <c r="C224" s="272"/>
      <c r="D224" s="230"/>
      <c r="E224" s="269"/>
      <c r="F224" s="267"/>
      <c r="G224" s="264"/>
      <c r="H224" s="271"/>
      <c r="I224" s="270"/>
      <c r="J224" s="266"/>
    </row>
    <row r="225" spans="1:6" x14ac:dyDescent="0.25">
      <c r="A225" s="253">
        <f t="shared" si="14"/>
        <v>124</v>
      </c>
      <c r="B225" s="273"/>
      <c r="C225" s="272"/>
      <c r="D225" s="274"/>
      <c r="E225" s="275"/>
      <c r="F225" s="276"/>
    </row>
    <row r="226" spans="1:6" x14ac:dyDescent="0.25">
      <c r="A226" s="253">
        <f t="shared" si="14"/>
        <v>125</v>
      </c>
      <c r="B226" s="277" t="s">
        <v>189</v>
      </c>
      <c r="C226" s="272"/>
      <c r="D226" s="274"/>
      <c r="E226" s="275"/>
      <c r="F226" s="276"/>
    </row>
    <row r="227" spans="1:6" x14ac:dyDescent="0.25">
      <c r="A227" s="253">
        <f t="shared" si="14"/>
        <v>126</v>
      </c>
      <c r="B227" s="273"/>
      <c r="C227" s="272"/>
      <c r="D227" s="274"/>
      <c r="E227" s="275"/>
      <c r="F227" s="276"/>
    </row>
    <row r="228" spans="1:6" x14ac:dyDescent="0.25">
      <c r="B228" s="273"/>
      <c r="C228" s="272"/>
      <c r="D228" s="274"/>
      <c r="E228" s="275"/>
      <c r="F228" s="276"/>
    </row>
    <row r="229" spans="1:6" x14ac:dyDescent="0.25">
      <c r="B229" s="273"/>
      <c r="C229" s="272"/>
      <c r="D229" s="274"/>
      <c r="E229" s="275"/>
      <c r="F229" s="276"/>
    </row>
    <row r="230" spans="1:6" x14ac:dyDescent="0.25">
      <c r="B230" s="273"/>
      <c r="C230" s="272"/>
      <c r="D230" s="274"/>
      <c r="E230" s="275"/>
      <c r="F230" s="276"/>
    </row>
    <row r="231" spans="1:6" x14ac:dyDescent="0.25">
      <c r="B231" s="278"/>
      <c r="C231" s="278"/>
      <c r="D231" s="276"/>
      <c r="E231" s="276"/>
      <c r="F231" s="276"/>
    </row>
    <row r="232" spans="1:6" x14ac:dyDescent="0.25">
      <c r="B232" s="278"/>
      <c r="C232" s="279"/>
      <c r="D232" s="276"/>
      <c r="E232" s="276"/>
      <c r="F232" s="276"/>
    </row>
    <row r="233" spans="1:6" x14ac:dyDescent="0.25">
      <c r="B233" s="278"/>
      <c r="C233" s="279"/>
      <c r="D233" s="276"/>
      <c r="E233" s="276"/>
      <c r="F233" s="276"/>
    </row>
  </sheetData>
  <mergeCells count="1">
    <mergeCell ref="L93:L96"/>
  </mergeCells>
  <pageMargins left="0.5" right="0.5" top="0.5" bottom="0.25" header="0.25" footer="0.25"/>
  <pageSetup scale="98" orientation="landscape" r:id="rId1"/>
  <headerFooter alignWithMargins="0">
    <oddHeader xml:space="preserve">&amp;RUG-250711 - NWN WUTC Advice No. 25-06A
Exhibit A - Supporting Materials
Page &amp;P of 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959D-1023-42E8-8663-8229E8285A70}">
  <sheetPr>
    <tabColor theme="0" tint="-0.14999847407452621"/>
    <pageSetUpPr fitToPage="1"/>
  </sheetPr>
  <dimension ref="A1:M374"/>
  <sheetViews>
    <sheetView view="pageBreakPreview" zoomScaleNormal="100" zoomScaleSheetLayoutView="100" workbookViewId="0">
      <selection activeCell="F38" sqref="F38"/>
    </sheetView>
  </sheetViews>
  <sheetFormatPr defaultColWidth="8.453125" defaultRowHeight="12.5" outlineLevelRow="2" x14ac:dyDescent="0.25"/>
  <cols>
    <col min="1" max="1" width="4.26953125" style="249" customWidth="1"/>
    <col min="2" max="2" width="14.26953125" style="250" customWidth="1"/>
    <col min="3" max="3" width="13.81640625" style="250" customWidth="1"/>
    <col min="4" max="4" width="22.26953125" style="250" customWidth="1"/>
    <col min="5" max="5" width="14.26953125" style="250" customWidth="1"/>
    <col min="6" max="6" width="15.7265625" style="250" bestFit="1" customWidth="1"/>
    <col min="7" max="7" width="14.26953125" style="250" customWidth="1"/>
    <col min="8" max="8" width="3.1796875" style="250" customWidth="1"/>
    <col min="9" max="20" width="14.26953125" style="250" customWidth="1"/>
    <col min="21" max="16384" width="8.453125" style="250"/>
  </cols>
  <sheetData>
    <row r="1" spans="1:10" x14ac:dyDescent="0.25">
      <c r="B1" s="250" t="s">
        <v>161</v>
      </c>
      <c r="D1" s="250" t="s">
        <v>162</v>
      </c>
    </row>
    <row r="2" spans="1:10" x14ac:dyDescent="0.25">
      <c r="B2" s="250" t="s">
        <v>163</v>
      </c>
      <c r="D2" s="250" t="s">
        <v>129</v>
      </c>
    </row>
    <row r="3" spans="1:10" x14ac:dyDescent="0.25">
      <c r="B3" s="250" t="s">
        <v>164</v>
      </c>
      <c r="D3" s="231" t="s">
        <v>206</v>
      </c>
    </row>
    <row r="4" spans="1:10" x14ac:dyDescent="0.25">
      <c r="B4" s="250" t="s">
        <v>166</v>
      </c>
      <c r="D4" s="252">
        <v>151829</v>
      </c>
    </row>
    <row r="6" spans="1:10" x14ac:dyDescent="0.25">
      <c r="A6" s="253"/>
      <c r="B6" s="250" t="s">
        <v>167</v>
      </c>
      <c r="G6" s="254"/>
      <c r="H6" s="254"/>
    </row>
    <row r="7" spans="1:10" ht="13.15" hidden="1" customHeight="1" x14ac:dyDescent="0.25">
      <c r="A7" s="253"/>
      <c r="B7" s="255"/>
      <c r="C7" s="255"/>
      <c r="D7" s="256"/>
      <c r="E7" s="255"/>
      <c r="F7" s="255"/>
      <c r="G7" s="257"/>
      <c r="H7" s="257"/>
      <c r="I7" s="255"/>
      <c r="J7" s="255"/>
    </row>
    <row r="8" spans="1:10" ht="13.15" hidden="1" customHeight="1" x14ac:dyDescent="0.25">
      <c r="A8" s="253"/>
      <c r="B8" s="255"/>
      <c r="C8" s="255"/>
      <c r="D8" s="256"/>
      <c r="E8" s="255"/>
      <c r="F8" s="255"/>
      <c r="G8" s="257"/>
      <c r="H8" s="257"/>
      <c r="I8" s="255"/>
      <c r="J8" s="255"/>
    </row>
    <row r="9" spans="1:10" ht="13.15" hidden="1" customHeight="1" x14ac:dyDescent="0.25">
      <c r="A9" s="253"/>
      <c r="B9" s="255"/>
      <c r="C9" s="255"/>
      <c r="D9" s="256"/>
      <c r="E9" s="255"/>
      <c r="F9" s="255"/>
      <c r="G9" s="257"/>
      <c r="H9" s="257"/>
      <c r="I9" s="255"/>
      <c r="J9" s="255"/>
    </row>
    <row r="10" spans="1:10" ht="13.15" hidden="1" customHeight="1" x14ac:dyDescent="0.25">
      <c r="A10" s="253"/>
      <c r="B10" s="255"/>
      <c r="C10" s="255"/>
      <c r="D10" s="256"/>
      <c r="E10" s="255"/>
      <c r="F10" s="255"/>
      <c r="G10" s="257"/>
      <c r="H10" s="257"/>
      <c r="I10" s="255"/>
      <c r="J10" s="255"/>
    </row>
    <row r="11" spans="1:10" ht="13.15" hidden="1" customHeight="1" x14ac:dyDescent="0.25">
      <c r="A11" s="253"/>
      <c r="B11" s="255"/>
      <c r="C11" s="255"/>
      <c r="D11" s="256"/>
      <c r="E11" s="255"/>
      <c r="F11" s="255"/>
      <c r="G11" s="257"/>
      <c r="H11" s="257"/>
      <c r="I11" s="255"/>
      <c r="J11" s="255"/>
    </row>
    <row r="12" spans="1:10" ht="13.15" hidden="1" customHeight="1" x14ac:dyDescent="0.25">
      <c r="A12" s="253"/>
      <c r="B12" s="255"/>
      <c r="C12" s="255"/>
      <c r="D12" s="256"/>
      <c r="E12" s="255"/>
      <c r="F12" s="255"/>
      <c r="G12" s="257"/>
      <c r="H12" s="257"/>
      <c r="I12" s="255"/>
      <c r="J12" s="255"/>
    </row>
    <row r="13" spans="1:10" ht="13.15" hidden="1" customHeight="1" x14ac:dyDescent="0.25">
      <c r="A13" s="253"/>
      <c r="B13" s="255"/>
      <c r="C13" s="255"/>
      <c r="D13" s="256"/>
      <c r="E13" s="255"/>
      <c r="F13" s="255"/>
      <c r="G13" s="257"/>
      <c r="H13" s="257"/>
      <c r="I13" s="255"/>
      <c r="J13" s="255"/>
    </row>
    <row r="14" spans="1:10" ht="13.15" hidden="1" customHeight="1" x14ac:dyDescent="0.25">
      <c r="A14" s="253"/>
      <c r="B14" s="258" t="s">
        <v>203</v>
      </c>
      <c r="C14" s="255"/>
      <c r="D14" s="256"/>
      <c r="E14" s="255"/>
      <c r="F14" s="255"/>
      <c r="G14" s="257"/>
      <c r="H14" s="257"/>
      <c r="I14" s="255"/>
      <c r="J14" s="255"/>
    </row>
    <row r="15" spans="1:10" ht="13.15" hidden="1" customHeight="1" x14ac:dyDescent="0.25">
      <c r="A15" s="253"/>
      <c r="B15" s="255"/>
      <c r="C15" s="255"/>
      <c r="D15" s="256"/>
      <c r="E15" s="255"/>
      <c r="F15" s="255"/>
      <c r="G15" s="257"/>
      <c r="H15" s="257"/>
      <c r="I15" s="255"/>
      <c r="J15" s="255"/>
    </row>
    <row r="16" spans="1:10" ht="13.15" hidden="1" customHeight="1" x14ac:dyDescent="0.25">
      <c r="A16" s="253"/>
      <c r="B16" s="255"/>
      <c r="C16" s="255"/>
      <c r="D16" s="256"/>
      <c r="E16" s="255"/>
      <c r="F16" s="255"/>
      <c r="G16" s="257"/>
      <c r="H16" s="257"/>
      <c r="I16" s="255"/>
      <c r="J16" s="255"/>
    </row>
    <row r="17" spans="1:10" ht="13.15" hidden="1" customHeight="1" x14ac:dyDescent="0.25">
      <c r="A17" s="253"/>
      <c r="B17" s="255"/>
      <c r="C17" s="255"/>
      <c r="D17" s="256"/>
      <c r="E17" s="255"/>
      <c r="F17" s="255"/>
      <c r="G17" s="257"/>
      <c r="H17" s="257"/>
      <c r="I17" s="255"/>
      <c r="J17" s="255"/>
    </row>
    <row r="18" spans="1:10" ht="13.15" hidden="1" customHeight="1" x14ac:dyDescent="0.25">
      <c r="A18" s="253"/>
      <c r="B18" s="255"/>
      <c r="C18" s="255"/>
      <c r="D18" s="256"/>
      <c r="E18" s="255"/>
      <c r="F18" s="255"/>
      <c r="G18" s="257"/>
      <c r="H18" s="257"/>
      <c r="I18" s="255"/>
      <c r="J18" s="255"/>
    </row>
    <row r="19" spans="1:10" ht="13.15" hidden="1" customHeight="1" x14ac:dyDescent="0.25">
      <c r="A19" s="253"/>
      <c r="B19" s="255"/>
      <c r="C19" s="255"/>
      <c r="D19" s="256"/>
      <c r="E19" s="255"/>
      <c r="F19" s="255"/>
      <c r="G19" s="257"/>
      <c r="H19" s="257"/>
      <c r="I19" s="255"/>
      <c r="J19" s="255"/>
    </row>
    <row r="20" spans="1:10" ht="13.15" hidden="1" customHeight="1" x14ac:dyDescent="0.25">
      <c r="A20" s="253"/>
      <c r="B20" s="255"/>
      <c r="C20" s="255"/>
      <c r="D20" s="256"/>
      <c r="E20" s="255"/>
      <c r="F20" s="255"/>
      <c r="G20" s="257"/>
      <c r="H20" s="257"/>
      <c r="I20" s="255"/>
      <c r="J20" s="255"/>
    </row>
    <row r="21" spans="1:10" ht="13.15" hidden="1" customHeight="1" x14ac:dyDescent="0.25">
      <c r="A21" s="253"/>
      <c r="B21" s="255"/>
      <c r="C21" s="255"/>
      <c r="D21" s="256"/>
      <c r="E21" s="255"/>
      <c r="F21" s="255"/>
      <c r="G21" s="257"/>
      <c r="H21" s="257"/>
      <c r="I21" s="255"/>
      <c r="J21" s="255"/>
    </row>
    <row r="22" spans="1:10" ht="13.15" hidden="1" customHeight="1" x14ac:dyDescent="0.25">
      <c r="A22" s="253"/>
      <c r="B22" s="255"/>
      <c r="C22" s="255"/>
      <c r="D22" s="256"/>
      <c r="E22" s="255"/>
      <c r="F22" s="255"/>
      <c r="G22" s="257"/>
      <c r="H22" s="257"/>
      <c r="I22" s="255"/>
      <c r="J22" s="255"/>
    </row>
    <row r="23" spans="1:10" ht="13.15" hidden="1" customHeight="1" x14ac:dyDescent="0.25">
      <c r="A23" s="253"/>
      <c r="B23" s="255"/>
      <c r="C23" s="255"/>
      <c r="D23" s="256"/>
      <c r="E23" s="255"/>
      <c r="F23" s="255"/>
      <c r="G23" s="257"/>
      <c r="H23" s="257"/>
      <c r="I23" s="255"/>
      <c r="J23" s="255"/>
    </row>
    <row r="24" spans="1:10" ht="13.15" hidden="1" customHeight="1" x14ac:dyDescent="0.25">
      <c r="A24" s="253"/>
      <c r="B24" s="255"/>
      <c r="C24" s="255"/>
      <c r="D24" s="256"/>
      <c r="E24" s="255"/>
      <c r="F24" s="255"/>
      <c r="G24" s="257"/>
      <c r="H24" s="257"/>
      <c r="I24" s="255"/>
      <c r="J24" s="255"/>
    </row>
    <row r="25" spans="1:10" ht="13.15" hidden="1" customHeight="1" x14ac:dyDescent="0.25">
      <c r="A25" s="253"/>
      <c r="B25" s="255"/>
      <c r="C25" s="255"/>
      <c r="D25" s="256"/>
      <c r="E25" s="255"/>
      <c r="F25" s="255"/>
      <c r="G25" s="257"/>
      <c r="H25" s="257"/>
      <c r="I25" s="255"/>
      <c r="J25" s="255"/>
    </row>
    <row r="26" spans="1:10" ht="13.15" hidden="1" customHeight="1" x14ac:dyDescent="0.25">
      <c r="A26" s="253"/>
      <c r="B26" s="257"/>
      <c r="C26" s="257"/>
      <c r="D26" s="259"/>
      <c r="E26" s="257"/>
      <c r="F26" s="257"/>
      <c r="G26" s="257"/>
      <c r="H26" s="257"/>
      <c r="I26" s="257"/>
      <c r="J26" s="257"/>
    </row>
    <row r="27" spans="1:10" x14ac:dyDescent="0.25">
      <c r="A27" s="253"/>
      <c r="B27" s="254"/>
      <c r="C27" s="254"/>
      <c r="D27" s="254"/>
      <c r="E27" s="254"/>
      <c r="F27" s="254"/>
      <c r="G27" s="254"/>
      <c r="H27" s="254"/>
      <c r="I27" s="254"/>
      <c r="J27" s="254"/>
    </row>
    <row r="28" spans="1:10" x14ac:dyDescent="0.25">
      <c r="A28" s="253"/>
      <c r="B28" s="260" t="s">
        <v>168</v>
      </c>
      <c r="C28" s="260" t="s">
        <v>169</v>
      </c>
      <c r="D28" s="260" t="s">
        <v>195</v>
      </c>
      <c r="E28" s="260" t="s">
        <v>171</v>
      </c>
      <c r="F28" s="260" t="s">
        <v>172</v>
      </c>
      <c r="G28" s="260" t="s">
        <v>173</v>
      </c>
      <c r="H28" s="260"/>
      <c r="I28" s="260" t="s">
        <v>174</v>
      </c>
      <c r="J28" s="260" t="s">
        <v>175</v>
      </c>
    </row>
    <row r="29" spans="1:10" x14ac:dyDescent="0.25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/>
      <c r="I29" s="254" t="s">
        <v>182</v>
      </c>
      <c r="J29" s="254" t="s">
        <v>183</v>
      </c>
    </row>
    <row r="30" spans="1:10" ht="13.15" hidden="1" customHeight="1" outlineLevel="1" x14ac:dyDescent="0.25">
      <c r="A30" s="253"/>
      <c r="B30" s="227"/>
      <c r="D30" s="230"/>
      <c r="F30" s="280"/>
      <c r="G30" s="245"/>
      <c r="H30" s="245"/>
      <c r="I30" s="230"/>
      <c r="J30" s="229"/>
    </row>
    <row r="31" spans="1:10" collapsed="1" x14ac:dyDescent="0.25">
      <c r="A31" s="253">
        <v>1</v>
      </c>
      <c r="B31" s="251" t="s">
        <v>184</v>
      </c>
      <c r="D31" s="230"/>
      <c r="E31" s="230"/>
      <c r="F31" s="230"/>
      <c r="G31" s="230"/>
      <c r="H31" s="230"/>
      <c r="I31" s="230"/>
      <c r="J31" s="230">
        <v>0</v>
      </c>
    </row>
    <row r="32" spans="1:10" hidden="1" outlineLevel="1" x14ac:dyDescent="0.25">
      <c r="A32" s="253"/>
      <c r="B32" s="251"/>
      <c r="D32" s="230"/>
      <c r="E32" s="230"/>
      <c r="F32" s="230"/>
      <c r="G32" s="230"/>
      <c r="H32" s="230"/>
      <c r="I32" s="230"/>
      <c r="J32" s="230"/>
    </row>
    <row r="33" spans="1:10" hidden="1" outlineLevel="1" x14ac:dyDescent="0.25">
      <c r="A33" s="253"/>
      <c r="B33" s="251"/>
      <c r="D33" s="230"/>
      <c r="E33" s="230"/>
      <c r="F33" s="230"/>
      <c r="G33" s="230"/>
      <c r="H33" s="230"/>
      <c r="I33" s="230"/>
      <c r="J33" s="230"/>
    </row>
    <row r="34" spans="1:10" hidden="1" outlineLevel="1" x14ac:dyDescent="0.25">
      <c r="A34" s="253"/>
      <c r="B34" s="251"/>
      <c r="D34" s="230"/>
      <c r="E34" s="230"/>
      <c r="F34" s="230"/>
      <c r="G34" s="230"/>
      <c r="H34" s="230"/>
      <c r="I34" s="230"/>
      <c r="J34" s="230"/>
    </row>
    <row r="35" spans="1:10" hidden="1" outlineLevel="1" x14ac:dyDescent="0.25">
      <c r="A35" s="253"/>
      <c r="B35" s="251"/>
      <c r="D35" s="230"/>
      <c r="E35" s="230"/>
      <c r="F35" s="230"/>
      <c r="G35" s="230"/>
      <c r="H35" s="230"/>
      <c r="I35" s="230"/>
      <c r="J35" s="230"/>
    </row>
    <row r="36" spans="1:10" hidden="1" outlineLevel="1" x14ac:dyDescent="0.25">
      <c r="A36" s="253"/>
      <c r="B36" s="251"/>
      <c r="D36" s="230"/>
      <c r="E36" s="230"/>
      <c r="F36" s="230"/>
      <c r="G36" s="230"/>
      <c r="H36" s="230"/>
      <c r="I36" s="230"/>
      <c r="J36" s="230"/>
    </row>
    <row r="37" spans="1:10" hidden="1" outlineLevel="1" x14ac:dyDescent="0.25">
      <c r="A37" s="253"/>
      <c r="B37" s="251"/>
      <c r="D37" s="230"/>
      <c r="E37" s="230"/>
      <c r="F37" s="230"/>
      <c r="G37" s="230"/>
      <c r="H37" s="230"/>
      <c r="I37" s="230"/>
      <c r="J37" s="230"/>
    </row>
    <row r="38" spans="1:10" hidden="1" outlineLevel="1" x14ac:dyDescent="0.25">
      <c r="A38" s="253"/>
      <c r="B38" s="251"/>
      <c r="D38" s="230"/>
      <c r="E38" s="230"/>
      <c r="F38" s="230"/>
      <c r="G38" s="230"/>
      <c r="H38" s="230"/>
      <c r="I38" s="230"/>
      <c r="J38" s="230"/>
    </row>
    <row r="39" spans="1:10" hidden="1" outlineLevel="1" x14ac:dyDescent="0.25">
      <c r="A39" s="253"/>
      <c r="B39" s="251"/>
      <c r="D39" s="230"/>
      <c r="E39" s="230"/>
      <c r="F39" s="230"/>
      <c r="G39" s="230"/>
      <c r="H39" s="230"/>
      <c r="I39" s="230"/>
      <c r="J39" s="230"/>
    </row>
    <row r="40" spans="1:10" hidden="1" outlineLevel="1" x14ac:dyDescent="0.25">
      <c r="A40" s="253"/>
      <c r="B40" s="251"/>
      <c r="D40" s="230"/>
      <c r="E40" s="230"/>
      <c r="F40" s="230"/>
      <c r="G40" s="230"/>
      <c r="H40" s="230"/>
      <c r="I40" s="230"/>
      <c r="J40" s="230"/>
    </row>
    <row r="41" spans="1:10" hidden="1" outlineLevel="1" x14ac:dyDescent="0.25">
      <c r="A41" s="253"/>
      <c r="B41" s="251"/>
      <c r="D41" s="230"/>
      <c r="E41" s="230"/>
      <c r="F41" s="230"/>
      <c r="G41" s="230"/>
      <c r="H41" s="230"/>
      <c r="I41" s="230"/>
      <c r="J41" s="230"/>
    </row>
    <row r="42" spans="1:10" hidden="1" outlineLevel="1" x14ac:dyDescent="0.25">
      <c r="A42" s="253"/>
      <c r="B42" s="251"/>
      <c r="D42" s="230"/>
      <c r="E42" s="230"/>
      <c r="F42" s="230"/>
      <c r="G42" s="230"/>
      <c r="H42" s="230"/>
      <c r="I42" s="230"/>
      <c r="J42" s="230"/>
    </row>
    <row r="43" spans="1:10" hidden="1" outlineLevel="1" x14ac:dyDescent="0.25">
      <c r="A43" s="253"/>
      <c r="B43" s="251"/>
      <c r="D43" s="230"/>
      <c r="E43" s="230"/>
      <c r="F43" s="230"/>
      <c r="G43" s="230"/>
      <c r="H43" s="230"/>
      <c r="I43" s="230"/>
      <c r="J43" s="230"/>
    </row>
    <row r="44" spans="1:10" hidden="1" outlineLevel="1" x14ac:dyDescent="0.25">
      <c r="A44" s="253"/>
      <c r="B44" s="251"/>
      <c r="D44" s="230"/>
      <c r="E44" s="230"/>
      <c r="F44" s="230"/>
      <c r="G44" s="230"/>
      <c r="H44" s="230"/>
      <c r="I44" s="230"/>
      <c r="J44" s="230"/>
    </row>
    <row r="45" spans="1:10" hidden="1" outlineLevel="1" x14ac:dyDescent="0.25">
      <c r="A45" s="253"/>
      <c r="B45" s="251"/>
      <c r="D45" s="230"/>
      <c r="E45" s="230"/>
      <c r="F45" s="230"/>
      <c r="G45" s="230"/>
      <c r="H45" s="230"/>
      <c r="I45" s="230"/>
      <c r="J45" s="230"/>
    </row>
    <row r="46" spans="1:10" hidden="1" outlineLevel="1" x14ac:dyDescent="0.25">
      <c r="A46" s="253"/>
      <c r="B46" s="251"/>
      <c r="D46" s="230"/>
      <c r="E46" s="230"/>
      <c r="F46" s="230"/>
      <c r="G46" s="230"/>
      <c r="H46" s="230"/>
      <c r="I46" s="230"/>
      <c r="J46" s="230"/>
    </row>
    <row r="47" spans="1:10" hidden="1" outlineLevel="1" x14ac:dyDescent="0.25">
      <c r="A47" s="253"/>
      <c r="B47" s="251"/>
      <c r="D47" s="230"/>
      <c r="E47" s="230"/>
      <c r="F47" s="230"/>
      <c r="G47" s="230"/>
      <c r="H47" s="230"/>
      <c r="I47" s="230"/>
      <c r="J47" s="230"/>
    </row>
    <row r="48" spans="1:10" hidden="1" outlineLevel="1" x14ac:dyDescent="0.25">
      <c r="A48" s="253"/>
      <c r="B48" s="251"/>
      <c r="D48" s="230"/>
      <c r="E48" s="230"/>
      <c r="F48" s="230"/>
      <c r="G48" s="230"/>
      <c r="H48" s="230"/>
      <c r="I48" s="230"/>
      <c r="J48" s="230"/>
    </row>
    <row r="49" spans="1:10" hidden="1" outlineLevel="1" x14ac:dyDescent="0.25">
      <c r="A49" s="253"/>
      <c r="B49" s="251"/>
      <c r="D49" s="230"/>
      <c r="E49" s="230"/>
      <c r="F49" s="230"/>
      <c r="G49" s="230"/>
      <c r="H49" s="230"/>
      <c r="I49" s="230"/>
      <c r="J49" s="230"/>
    </row>
    <row r="50" spans="1:10" hidden="1" outlineLevel="1" x14ac:dyDescent="0.25">
      <c r="A50" s="253"/>
      <c r="B50" s="251"/>
      <c r="D50" s="230"/>
      <c r="E50" s="230"/>
      <c r="F50" s="230"/>
      <c r="G50" s="230"/>
      <c r="H50" s="230"/>
      <c r="I50" s="230"/>
      <c r="J50" s="230"/>
    </row>
    <row r="51" spans="1:10" hidden="1" outlineLevel="1" x14ac:dyDescent="0.25">
      <c r="A51" s="253"/>
      <c r="B51" s="251"/>
      <c r="D51" s="230"/>
      <c r="E51" s="230"/>
      <c r="F51" s="230"/>
      <c r="G51" s="230"/>
      <c r="H51" s="230"/>
      <c r="I51" s="230"/>
      <c r="J51" s="230"/>
    </row>
    <row r="52" spans="1:10" hidden="1" outlineLevel="1" x14ac:dyDescent="0.25">
      <c r="A52" s="253"/>
      <c r="B52" s="251"/>
      <c r="D52" s="230"/>
      <c r="E52" s="230"/>
      <c r="F52" s="230"/>
      <c r="G52" s="230"/>
      <c r="H52" s="230"/>
      <c r="I52" s="230"/>
      <c r="J52" s="230"/>
    </row>
    <row r="53" spans="1:10" hidden="1" outlineLevel="1" x14ac:dyDescent="0.25">
      <c r="A53" s="253"/>
      <c r="B53" s="251"/>
      <c r="D53" s="230"/>
      <c r="E53" s="230"/>
      <c r="F53" s="230"/>
      <c r="G53" s="230"/>
      <c r="H53" s="230"/>
      <c r="I53" s="230"/>
      <c r="J53" s="230"/>
    </row>
    <row r="54" spans="1:10" hidden="1" outlineLevel="1" x14ac:dyDescent="0.25">
      <c r="A54" s="253"/>
      <c r="B54" s="251"/>
      <c r="D54" s="230"/>
      <c r="E54" s="230"/>
      <c r="F54" s="230"/>
      <c r="G54" s="230"/>
      <c r="H54" s="230"/>
      <c r="I54" s="230"/>
      <c r="J54" s="230"/>
    </row>
    <row r="55" spans="1:10" hidden="1" outlineLevel="1" x14ac:dyDescent="0.25">
      <c r="A55" s="253"/>
      <c r="B55" s="251"/>
      <c r="D55" s="230"/>
      <c r="E55" s="230"/>
      <c r="F55" s="230"/>
      <c r="G55" s="230"/>
      <c r="H55" s="230"/>
      <c r="I55" s="230"/>
      <c r="J55" s="230"/>
    </row>
    <row r="56" spans="1:10" hidden="1" outlineLevel="1" x14ac:dyDescent="0.25">
      <c r="A56" s="253"/>
      <c r="B56" s="251"/>
      <c r="D56" s="230"/>
      <c r="E56" s="230"/>
      <c r="F56" s="230"/>
      <c r="G56" s="230"/>
      <c r="H56" s="230"/>
      <c r="I56" s="230"/>
      <c r="J56" s="230"/>
    </row>
    <row r="57" spans="1:10" hidden="1" outlineLevel="1" x14ac:dyDescent="0.25">
      <c r="A57" s="253"/>
      <c r="B57" s="251"/>
      <c r="D57" s="230"/>
      <c r="E57" s="230"/>
      <c r="F57" s="230"/>
      <c r="G57" s="230"/>
      <c r="H57" s="230"/>
      <c r="I57" s="230"/>
      <c r="J57" s="230"/>
    </row>
    <row r="58" spans="1:10" hidden="1" outlineLevel="1" x14ac:dyDescent="0.25">
      <c r="A58" s="253"/>
      <c r="B58" s="251"/>
      <c r="D58" s="230"/>
      <c r="E58" s="230"/>
      <c r="F58" s="230"/>
      <c r="G58" s="230"/>
      <c r="H58" s="230"/>
      <c r="I58" s="230"/>
      <c r="J58" s="230"/>
    </row>
    <row r="59" spans="1:10" hidden="1" outlineLevel="1" x14ac:dyDescent="0.25">
      <c r="A59" s="253"/>
      <c r="B59" s="251"/>
      <c r="D59" s="230"/>
      <c r="E59" s="230"/>
      <c r="F59" s="230"/>
      <c r="G59" s="230"/>
      <c r="H59" s="230"/>
      <c r="I59" s="230"/>
      <c r="J59" s="230"/>
    </row>
    <row r="60" spans="1:10" hidden="1" outlineLevel="1" x14ac:dyDescent="0.25">
      <c r="A60" s="253"/>
      <c r="B60" s="251"/>
      <c r="D60" s="230"/>
      <c r="E60" s="230"/>
      <c r="F60" s="230"/>
      <c r="G60" s="230"/>
      <c r="H60" s="230"/>
      <c r="I60" s="230"/>
      <c r="J60" s="230"/>
    </row>
    <row r="61" spans="1:10" hidden="1" outlineLevel="1" x14ac:dyDescent="0.25">
      <c r="A61" s="253"/>
      <c r="B61" s="251"/>
      <c r="D61" s="230"/>
      <c r="E61" s="230"/>
      <c r="F61" s="230"/>
      <c r="G61" s="230"/>
      <c r="H61" s="230"/>
      <c r="I61" s="230"/>
      <c r="J61" s="230"/>
    </row>
    <row r="62" spans="1:10" hidden="1" outlineLevel="1" x14ac:dyDescent="0.25">
      <c r="A62" s="253"/>
      <c r="B62" s="251"/>
      <c r="D62" s="230"/>
      <c r="E62" s="230"/>
      <c r="F62" s="230"/>
      <c r="G62" s="230"/>
      <c r="H62" s="230"/>
      <c r="I62" s="230"/>
      <c r="J62" s="230"/>
    </row>
    <row r="63" spans="1:10" hidden="1" outlineLevel="1" x14ac:dyDescent="0.25">
      <c r="A63" s="253"/>
      <c r="B63" s="251"/>
      <c r="D63" s="230"/>
      <c r="E63" s="230"/>
      <c r="F63" s="230"/>
      <c r="G63" s="230"/>
      <c r="H63" s="230"/>
      <c r="I63" s="230"/>
      <c r="J63" s="230"/>
    </row>
    <row r="64" spans="1:10" hidden="1" outlineLevel="1" x14ac:dyDescent="0.25">
      <c r="A64" s="253"/>
      <c r="B64" s="251"/>
      <c r="D64" s="230"/>
      <c r="E64" s="230"/>
      <c r="F64" s="230"/>
      <c r="G64" s="230"/>
      <c r="H64" s="230"/>
      <c r="I64" s="230"/>
      <c r="J64" s="230"/>
    </row>
    <row r="65" spans="1:10" hidden="1" outlineLevel="1" x14ac:dyDescent="0.25">
      <c r="A65" s="253"/>
      <c r="B65" s="251"/>
      <c r="D65" s="230"/>
      <c r="E65" s="230"/>
      <c r="F65" s="230"/>
      <c r="G65" s="230"/>
      <c r="H65" s="230"/>
      <c r="I65" s="230"/>
      <c r="J65" s="230"/>
    </row>
    <row r="66" spans="1:10" hidden="1" outlineLevel="1" x14ac:dyDescent="0.25">
      <c r="A66" s="253"/>
      <c r="B66" s="251"/>
      <c r="D66" s="230"/>
      <c r="E66" s="230"/>
      <c r="F66" s="230"/>
      <c r="G66" s="230"/>
      <c r="H66" s="230"/>
      <c r="I66" s="230"/>
      <c r="J66" s="230"/>
    </row>
    <row r="67" spans="1:10" hidden="1" outlineLevel="1" x14ac:dyDescent="0.25">
      <c r="A67" s="253"/>
      <c r="B67" s="251"/>
      <c r="D67" s="230"/>
      <c r="E67" s="230"/>
      <c r="F67" s="230"/>
      <c r="G67" s="230"/>
      <c r="H67" s="230"/>
      <c r="I67" s="230"/>
      <c r="J67" s="230"/>
    </row>
    <row r="68" spans="1:10" hidden="1" outlineLevel="1" x14ac:dyDescent="0.25">
      <c r="A68" s="253"/>
      <c r="B68" s="251"/>
      <c r="D68" s="230"/>
      <c r="E68" s="230"/>
      <c r="F68" s="230"/>
      <c r="G68" s="230"/>
      <c r="H68" s="230"/>
      <c r="I68" s="230"/>
      <c r="J68" s="230"/>
    </row>
    <row r="69" spans="1:10" hidden="1" outlineLevel="1" x14ac:dyDescent="0.25">
      <c r="A69" s="253"/>
      <c r="B69" s="251"/>
      <c r="D69" s="230"/>
      <c r="E69" s="230"/>
      <c r="F69" s="230"/>
      <c r="G69" s="230"/>
      <c r="H69" s="230"/>
      <c r="I69" s="230"/>
      <c r="J69" s="230"/>
    </row>
    <row r="70" spans="1:10" hidden="1" outlineLevel="1" x14ac:dyDescent="0.25">
      <c r="A70" s="253"/>
      <c r="B70" s="251"/>
      <c r="D70" s="230"/>
      <c r="E70" s="230"/>
      <c r="F70" s="230"/>
      <c r="G70" s="230"/>
      <c r="H70" s="230"/>
      <c r="I70" s="230"/>
      <c r="J70" s="230"/>
    </row>
    <row r="71" spans="1:10" hidden="1" outlineLevel="1" x14ac:dyDescent="0.25">
      <c r="A71" s="253"/>
      <c r="B71" s="251"/>
      <c r="D71" s="230"/>
      <c r="E71" s="230"/>
      <c r="F71" s="230"/>
      <c r="G71" s="230"/>
      <c r="H71" s="230"/>
      <c r="I71" s="230"/>
      <c r="J71" s="230"/>
    </row>
    <row r="72" spans="1:10" hidden="1" outlineLevel="1" x14ac:dyDescent="0.25">
      <c r="A72" s="253"/>
      <c r="B72" s="251"/>
      <c r="D72" s="230"/>
      <c r="E72" s="230"/>
      <c r="F72" s="230"/>
      <c r="G72" s="230"/>
      <c r="H72" s="230"/>
      <c r="I72" s="230"/>
      <c r="J72" s="230"/>
    </row>
    <row r="73" spans="1:10" hidden="1" outlineLevel="1" x14ac:dyDescent="0.25">
      <c r="A73" s="253"/>
      <c r="B73" s="251"/>
      <c r="D73" s="230"/>
      <c r="E73" s="230"/>
      <c r="F73" s="230"/>
      <c r="G73" s="230"/>
      <c r="H73" s="230"/>
      <c r="I73" s="230"/>
      <c r="J73" s="230"/>
    </row>
    <row r="74" spans="1:10" hidden="1" outlineLevel="1" x14ac:dyDescent="0.25">
      <c r="A74" s="253"/>
      <c r="B74" s="251"/>
      <c r="D74" s="230"/>
      <c r="E74" s="230"/>
      <c r="F74" s="230"/>
      <c r="G74" s="230"/>
      <c r="H74" s="230"/>
      <c r="I74" s="230"/>
      <c r="J74" s="230"/>
    </row>
    <row r="75" spans="1:10" hidden="1" outlineLevel="1" x14ac:dyDescent="0.25">
      <c r="A75" s="253"/>
      <c r="B75" s="251"/>
      <c r="D75" s="230"/>
      <c r="E75" s="230"/>
      <c r="F75" s="230"/>
      <c r="G75" s="230"/>
      <c r="H75" s="230"/>
      <c r="I75" s="230"/>
      <c r="J75" s="230"/>
    </row>
    <row r="76" spans="1:10" hidden="1" outlineLevel="1" x14ac:dyDescent="0.25">
      <c r="A76" s="253"/>
      <c r="B76" s="251"/>
      <c r="D76" s="230"/>
      <c r="E76" s="230"/>
      <c r="F76" s="230"/>
      <c r="G76" s="230"/>
      <c r="H76" s="230"/>
      <c r="I76" s="230"/>
      <c r="J76" s="230"/>
    </row>
    <row r="77" spans="1:10" hidden="1" outlineLevel="1" x14ac:dyDescent="0.25">
      <c r="A77" s="253"/>
      <c r="B77" s="251"/>
      <c r="D77" s="230"/>
      <c r="E77" s="230"/>
      <c r="F77" s="230"/>
      <c r="G77" s="230"/>
      <c r="H77" s="230"/>
      <c r="I77" s="230"/>
      <c r="J77" s="230"/>
    </row>
    <row r="78" spans="1:10" hidden="1" outlineLevel="1" x14ac:dyDescent="0.25">
      <c r="A78" s="253"/>
      <c r="B78" s="251"/>
      <c r="D78" s="230"/>
      <c r="E78" s="230"/>
      <c r="F78" s="230"/>
      <c r="G78" s="230"/>
      <c r="H78" s="230"/>
      <c r="I78" s="230"/>
      <c r="J78" s="230"/>
    </row>
    <row r="79" spans="1:10" hidden="1" outlineLevel="1" x14ac:dyDescent="0.25">
      <c r="A79" s="253"/>
      <c r="B79" s="251"/>
      <c r="D79" s="230"/>
      <c r="E79" s="230"/>
      <c r="F79" s="230"/>
      <c r="G79" s="230"/>
      <c r="H79" s="230"/>
      <c r="I79" s="230"/>
      <c r="J79" s="230"/>
    </row>
    <row r="80" spans="1:10" hidden="1" outlineLevel="1" x14ac:dyDescent="0.25">
      <c r="A80" s="253"/>
      <c r="B80" s="251"/>
      <c r="D80" s="230"/>
      <c r="E80" s="230"/>
      <c r="F80" s="230"/>
      <c r="G80" s="230"/>
      <c r="H80" s="230"/>
      <c r="I80" s="230"/>
      <c r="J80" s="230"/>
    </row>
    <row r="81" spans="1:10" hidden="1" outlineLevel="1" x14ac:dyDescent="0.25">
      <c r="A81" s="253"/>
      <c r="B81" s="251"/>
      <c r="D81" s="230"/>
      <c r="E81" s="230"/>
      <c r="F81" s="230"/>
      <c r="G81" s="230"/>
      <c r="H81" s="230"/>
      <c r="I81" s="230"/>
      <c r="J81" s="230"/>
    </row>
    <row r="82" spans="1:10" hidden="1" outlineLevel="1" x14ac:dyDescent="0.25">
      <c r="A82" s="253"/>
      <c r="B82" s="251"/>
      <c r="D82" s="230"/>
      <c r="E82" s="230"/>
      <c r="F82" s="230"/>
      <c r="G82" s="230"/>
      <c r="H82" s="230"/>
      <c r="I82" s="230"/>
      <c r="J82" s="230"/>
    </row>
    <row r="83" spans="1:10" hidden="1" outlineLevel="1" x14ac:dyDescent="0.25">
      <c r="A83" s="253"/>
      <c r="B83" s="251"/>
      <c r="D83" s="230"/>
      <c r="E83" s="230"/>
      <c r="F83" s="230"/>
      <c r="G83" s="230"/>
      <c r="H83" s="230"/>
      <c r="I83" s="230"/>
      <c r="J83" s="230"/>
    </row>
    <row r="84" spans="1:10" hidden="1" outlineLevel="1" x14ac:dyDescent="0.25">
      <c r="A84" s="253"/>
      <c r="B84" s="251"/>
      <c r="D84" s="230"/>
      <c r="E84" s="230"/>
      <c r="F84" s="230"/>
      <c r="G84" s="230"/>
      <c r="H84" s="230"/>
      <c r="I84" s="230"/>
      <c r="J84" s="230"/>
    </row>
    <row r="85" spans="1:10" hidden="1" outlineLevel="1" x14ac:dyDescent="0.25">
      <c r="A85" s="253"/>
      <c r="B85" s="251"/>
      <c r="D85" s="230"/>
      <c r="E85" s="230"/>
      <c r="F85" s="230"/>
      <c r="G85" s="230"/>
      <c r="H85" s="230"/>
      <c r="I85" s="230"/>
      <c r="J85" s="230"/>
    </row>
    <row r="86" spans="1:10" hidden="1" outlineLevel="1" x14ac:dyDescent="0.25">
      <c r="A86" s="253"/>
      <c r="B86" s="251"/>
      <c r="D86" s="230"/>
      <c r="E86" s="230"/>
      <c r="F86" s="230"/>
      <c r="G86" s="230"/>
      <c r="H86" s="230"/>
      <c r="I86" s="230"/>
      <c r="J86" s="230"/>
    </row>
    <row r="87" spans="1:10" hidden="1" outlineLevel="1" x14ac:dyDescent="0.25">
      <c r="A87" s="253"/>
      <c r="B87" s="251"/>
      <c r="D87" s="230"/>
      <c r="E87" s="230"/>
      <c r="F87" s="230"/>
      <c r="G87" s="230"/>
      <c r="H87" s="230"/>
      <c r="I87" s="230"/>
      <c r="J87" s="230"/>
    </row>
    <row r="88" spans="1:10" hidden="1" outlineLevel="1" x14ac:dyDescent="0.25">
      <c r="A88" s="253"/>
      <c r="B88" s="251"/>
      <c r="D88" s="230"/>
      <c r="E88" s="230"/>
      <c r="F88" s="230"/>
      <c r="G88" s="230"/>
      <c r="H88" s="230"/>
      <c r="I88" s="230"/>
      <c r="J88" s="230"/>
    </row>
    <row r="89" spans="1:10" hidden="1" outlineLevel="1" x14ac:dyDescent="0.25">
      <c r="A89" s="253"/>
      <c r="B89" s="251"/>
      <c r="D89" s="230"/>
      <c r="E89" s="230"/>
      <c r="F89" s="230"/>
      <c r="G89" s="230"/>
      <c r="H89" s="230"/>
      <c r="I89" s="230"/>
      <c r="J89" s="230"/>
    </row>
    <row r="90" spans="1:10" hidden="1" outlineLevel="1" x14ac:dyDescent="0.25">
      <c r="A90" s="253"/>
      <c r="B90" s="251"/>
      <c r="D90" s="230"/>
      <c r="E90" s="230"/>
      <c r="F90" s="230"/>
      <c r="G90" s="230"/>
      <c r="H90" s="230"/>
      <c r="I90" s="230"/>
      <c r="J90" s="230"/>
    </row>
    <row r="91" spans="1:10" hidden="1" outlineLevel="1" x14ac:dyDescent="0.25">
      <c r="A91" s="253"/>
      <c r="B91" s="251"/>
      <c r="D91" s="230"/>
      <c r="E91" s="230"/>
      <c r="F91" s="230"/>
      <c r="G91" s="230"/>
      <c r="H91" s="230"/>
      <c r="I91" s="230"/>
      <c r="J91" s="230"/>
    </row>
    <row r="92" spans="1:10" hidden="1" outlineLevel="1" x14ac:dyDescent="0.25">
      <c r="A92" s="253"/>
      <c r="B92" s="251"/>
      <c r="D92" s="230"/>
      <c r="E92" s="230"/>
      <c r="F92" s="230"/>
      <c r="G92" s="230"/>
      <c r="H92" s="230"/>
      <c r="I92" s="230"/>
      <c r="J92" s="230"/>
    </row>
    <row r="93" spans="1:10" hidden="1" outlineLevel="1" x14ac:dyDescent="0.25">
      <c r="A93" s="253"/>
      <c r="B93" s="251"/>
      <c r="D93" s="230"/>
      <c r="E93" s="230"/>
      <c r="F93" s="230"/>
      <c r="G93" s="230"/>
      <c r="H93" s="230"/>
      <c r="I93" s="230"/>
      <c r="J93" s="230"/>
    </row>
    <row r="94" spans="1:10" hidden="1" outlineLevel="1" x14ac:dyDescent="0.25">
      <c r="A94" s="253"/>
      <c r="B94" s="251"/>
      <c r="D94" s="230"/>
      <c r="E94" s="230"/>
      <c r="F94" s="230"/>
      <c r="G94" s="230"/>
      <c r="H94" s="230"/>
      <c r="I94" s="230"/>
      <c r="J94" s="230"/>
    </row>
    <row r="95" spans="1:10" hidden="1" outlineLevel="1" x14ac:dyDescent="0.25">
      <c r="A95" s="253"/>
      <c r="B95" s="251"/>
      <c r="D95" s="230"/>
      <c r="E95" s="230"/>
      <c r="F95" s="230"/>
      <c r="G95" s="230"/>
      <c r="H95" s="230"/>
      <c r="I95" s="230"/>
      <c r="J95" s="230"/>
    </row>
    <row r="96" spans="1:10" hidden="1" outlineLevel="1" x14ac:dyDescent="0.25">
      <c r="A96" s="253"/>
      <c r="B96" s="251"/>
      <c r="D96" s="230"/>
      <c r="E96" s="230"/>
      <c r="F96" s="230"/>
      <c r="G96" s="230"/>
      <c r="H96" s="230"/>
      <c r="I96" s="230"/>
      <c r="J96" s="230"/>
    </row>
    <row r="97" spans="1:10" hidden="1" outlineLevel="1" x14ac:dyDescent="0.25">
      <c r="A97" s="253"/>
      <c r="B97" s="251"/>
      <c r="D97" s="230"/>
      <c r="E97" s="230"/>
      <c r="F97" s="230"/>
      <c r="G97" s="230"/>
      <c r="H97" s="230"/>
      <c r="I97" s="230"/>
      <c r="J97" s="230"/>
    </row>
    <row r="98" spans="1:10" hidden="1" outlineLevel="1" x14ac:dyDescent="0.25">
      <c r="A98" s="253"/>
      <c r="B98" s="251"/>
      <c r="D98" s="230"/>
      <c r="E98" s="230"/>
      <c r="F98" s="230"/>
      <c r="G98" s="230"/>
      <c r="H98" s="230"/>
      <c r="I98" s="230"/>
      <c r="J98" s="230"/>
    </row>
    <row r="99" spans="1:10" hidden="1" outlineLevel="1" x14ac:dyDescent="0.25">
      <c r="A99" s="253"/>
      <c r="B99" s="251"/>
      <c r="D99" s="230"/>
      <c r="E99" s="230"/>
      <c r="F99" s="230"/>
      <c r="G99" s="230"/>
      <c r="H99" s="230"/>
      <c r="I99" s="230"/>
      <c r="J99" s="230"/>
    </row>
    <row r="100" spans="1:10" hidden="1" outlineLevel="1" x14ac:dyDescent="0.25">
      <c r="A100" s="253"/>
      <c r="B100" s="251"/>
      <c r="D100" s="230"/>
      <c r="E100" s="230"/>
      <c r="F100" s="230"/>
      <c r="G100" s="230"/>
      <c r="H100" s="230"/>
      <c r="I100" s="230"/>
      <c r="J100" s="230"/>
    </row>
    <row r="101" spans="1:10" hidden="1" outlineLevel="1" x14ac:dyDescent="0.25">
      <c r="A101" s="253"/>
      <c r="B101" s="251"/>
      <c r="D101" s="230"/>
      <c r="E101" s="230"/>
      <c r="F101" s="230"/>
      <c r="G101" s="230"/>
      <c r="H101" s="230"/>
      <c r="I101" s="230"/>
      <c r="J101" s="230"/>
    </row>
    <row r="102" spans="1:10" hidden="1" outlineLevel="1" x14ac:dyDescent="0.25">
      <c r="A102" s="253"/>
      <c r="B102" s="251"/>
      <c r="D102" s="230"/>
      <c r="E102" s="230"/>
      <c r="F102" s="230"/>
      <c r="G102" s="230"/>
      <c r="H102" s="230"/>
      <c r="I102" s="230"/>
      <c r="J102" s="230"/>
    </row>
    <row r="103" spans="1:10" hidden="1" outlineLevel="1" x14ac:dyDescent="0.25">
      <c r="A103" s="253"/>
      <c r="B103" s="251"/>
      <c r="D103" s="230"/>
      <c r="E103" s="230"/>
      <c r="F103" s="230"/>
      <c r="G103" s="230"/>
      <c r="H103" s="230"/>
      <c r="I103" s="230"/>
      <c r="J103" s="230"/>
    </row>
    <row r="104" spans="1:10" hidden="1" outlineLevel="1" x14ac:dyDescent="0.25">
      <c r="A104" s="253"/>
      <c r="B104" s="251"/>
      <c r="D104" s="230"/>
      <c r="E104" s="230"/>
      <c r="F104" s="230"/>
      <c r="G104" s="230"/>
      <c r="H104" s="230"/>
      <c r="I104" s="230"/>
      <c r="J104" s="230"/>
    </row>
    <row r="105" spans="1:10" hidden="1" outlineLevel="1" x14ac:dyDescent="0.25">
      <c r="A105" s="253"/>
      <c r="B105" s="251"/>
      <c r="D105" s="230"/>
      <c r="E105" s="230"/>
      <c r="F105" s="230"/>
      <c r="G105" s="230"/>
      <c r="H105" s="230"/>
      <c r="I105" s="230"/>
      <c r="J105" s="230"/>
    </row>
    <row r="106" spans="1:10" hidden="1" outlineLevel="1" x14ac:dyDescent="0.25">
      <c r="A106" s="253"/>
      <c r="B106" s="251"/>
      <c r="D106" s="230"/>
      <c r="E106" s="230"/>
      <c r="F106" s="230"/>
      <c r="G106" s="230"/>
      <c r="H106" s="230"/>
      <c r="I106" s="230"/>
      <c r="J106" s="230"/>
    </row>
    <row r="107" spans="1:10" hidden="1" outlineLevel="1" x14ac:dyDescent="0.25">
      <c r="A107" s="253"/>
      <c r="B107" s="251"/>
      <c r="D107" s="230"/>
      <c r="E107" s="230"/>
      <c r="F107" s="230"/>
      <c r="G107" s="230"/>
      <c r="H107" s="230"/>
      <c r="I107" s="230"/>
      <c r="J107" s="230"/>
    </row>
    <row r="108" spans="1:10" hidden="1" outlineLevel="1" x14ac:dyDescent="0.25">
      <c r="A108" s="253"/>
      <c r="B108" s="251"/>
      <c r="D108" s="230"/>
      <c r="E108" s="230"/>
      <c r="F108" s="230"/>
      <c r="G108" s="230"/>
      <c r="H108" s="230"/>
      <c r="I108" s="230"/>
      <c r="J108" s="230"/>
    </row>
    <row r="109" spans="1:10" hidden="1" outlineLevel="1" x14ac:dyDescent="0.25">
      <c r="A109" s="253"/>
      <c r="B109" s="251"/>
      <c r="D109" s="230"/>
      <c r="E109" s="230"/>
      <c r="F109" s="230"/>
      <c r="G109" s="230"/>
      <c r="H109" s="230"/>
      <c r="I109" s="230"/>
      <c r="J109" s="230"/>
    </row>
    <row r="110" spans="1:10" hidden="1" outlineLevel="1" x14ac:dyDescent="0.25">
      <c r="A110" s="253"/>
      <c r="B110" s="251"/>
      <c r="D110" s="230"/>
      <c r="E110" s="230"/>
      <c r="F110" s="230"/>
      <c r="G110" s="230"/>
      <c r="H110" s="230"/>
      <c r="I110" s="230"/>
      <c r="J110" s="230"/>
    </row>
    <row r="111" spans="1:10" hidden="1" outlineLevel="1" x14ac:dyDescent="0.25">
      <c r="A111" s="253"/>
      <c r="B111" s="251"/>
      <c r="D111" s="230"/>
      <c r="E111" s="230"/>
      <c r="F111" s="230"/>
      <c r="G111" s="230"/>
      <c r="H111" s="230"/>
      <c r="I111" s="230"/>
      <c r="J111" s="230"/>
    </row>
    <row r="112" spans="1:10" hidden="1" outlineLevel="1" x14ac:dyDescent="0.25">
      <c r="A112" s="253"/>
      <c r="B112" s="251"/>
      <c r="D112" s="230"/>
      <c r="E112" s="230"/>
      <c r="F112" s="230"/>
      <c r="G112" s="230"/>
      <c r="H112" s="230"/>
      <c r="I112" s="230"/>
      <c r="J112" s="230"/>
    </row>
    <row r="113" spans="1:10" hidden="1" outlineLevel="1" x14ac:dyDescent="0.25">
      <c r="A113" s="253"/>
      <c r="B113" s="251"/>
      <c r="D113" s="230"/>
      <c r="E113" s="230"/>
      <c r="F113" s="230"/>
      <c r="G113" s="230"/>
      <c r="H113" s="230"/>
      <c r="I113" s="230"/>
      <c r="J113" s="230"/>
    </row>
    <row r="114" spans="1:10" hidden="1" outlineLevel="1" x14ac:dyDescent="0.25">
      <c r="A114" s="253"/>
      <c r="B114" s="251"/>
      <c r="D114" s="230"/>
      <c r="E114" s="230"/>
      <c r="F114" s="230"/>
      <c r="G114" s="230"/>
      <c r="H114" s="230"/>
      <c r="I114" s="230"/>
      <c r="J114" s="230"/>
    </row>
    <row r="115" spans="1:10" hidden="1" outlineLevel="1" x14ac:dyDescent="0.25">
      <c r="A115" s="253"/>
      <c r="B115" s="251"/>
      <c r="D115" s="230"/>
      <c r="E115" s="230"/>
      <c r="F115" s="230"/>
      <c r="G115" s="230"/>
      <c r="H115" s="230"/>
      <c r="I115" s="230"/>
      <c r="J115" s="230"/>
    </row>
    <row r="116" spans="1:10" hidden="1" outlineLevel="1" x14ac:dyDescent="0.25">
      <c r="A116" s="253"/>
      <c r="B116" s="251"/>
      <c r="D116" s="230"/>
      <c r="E116" s="230"/>
      <c r="F116" s="230"/>
      <c r="G116" s="230"/>
      <c r="H116" s="230"/>
      <c r="I116" s="230"/>
      <c r="J116" s="230"/>
    </row>
    <row r="117" spans="1:10" hidden="1" outlineLevel="1" x14ac:dyDescent="0.25">
      <c r="A117" s="253"/>
      <c r="B117" s="251"/>
      <c r="D117" s="230"/>
      <c r="E117" s="230"/>
      <c r="F117" s="230"/>
      <c r="G117" s="230"/>
      <c r="H117" s="230"/>
      <c r="I117" s="230"/>
      <c r="J117" s="230"/>
    </row>
    <row r="118" spans="1:10" hidden="1" outlineLevel="1" x14ac:dyDescent="0.25">
      <c r="A118" s="253"/>
      <c r="B118" s="251"/>
      <c r="D118" s="230"/>
      <c r="E118" s="230"/>
      <c r="F118" s="230"/>
      <c r="G118" s="230"/>
      <c r="H118" s="230"/>
      <c r="I118" s="230"/>
      <c r="J118" s="230"/>
    </row>
    <row r="119" spans="1:10" hidden="1" outlineLevel="1" x14ac:dyDescent="0.25">
      <c r="A119" s="253"/>
      <c r="B119" s="251"/>
      <c r="D119" s="230"/>
      <c r="E119" s="230"/>
      <c r="F119" s="230"/>
      <c r="G119" s="230"/>
      <c r="H119" s="230"/>
      <c r="I119" s="230"/>
      <c r="J119" s="230"/>
    </row>
    <row r="120" spans="1:10" hidden="1" outlineLevel="1" x14ac:dyDescent="0.25">
      <c r="A120" s="253"/>
      <c r="B120" s="251"/>
      <c r="D120" s="230"/>
      <c r="E120" s="230"/>
      <c r="F120" s="230"/>
      <c r="G120" s="230"/>
      <c r="H120" s="230"/>
      <c r="I120" s="230"/>
      <c r="J120" s="230"/>
    </row>
    <row r="121" spans="1:10" hidden="1" outlineLevel="1" x14ac:dyDescent="0.25">
      <c r="A121" s="253"/>
      <c r="B121" s="251"/>
      <c r="D121" s="230"/>
      <c r="E121" s="230"/>
      <c r="F121" s="230"/>
      <c r="G121" s="230"/>
      <c r="H121" s="230"/>
      <c r="I121" s="230"/>
      <c r="J121" s="230"/>
    </row>
    <row r="122" spans="1:10" hidden="1" outlineLevel="1" x14ac:dyDescent="0.25">
      <c r="A122" s="253"/>
      <c r="B122" s="251"/>
      <c r="D122" s="230"/>
      <c r="E122" s="230"/>
      <c r="F122" s="230"/>
      <c r="G122" s="230"/>
      <c r="H122" s="230"/>
      <c r="I122" s="230"/>
      <c r="J122" s="230"/>
    </row>
    <row r="123" spans="1:10" hidden="1" outlineLevel="1" x14ac:dyDescent="0.25">
      <c r="A123" s="253"/>
      <c r="B123" s="251"/>
      <c r="D123" s="230"/>
      <c r="E123" s="230"/>
      <c r="F123" s="230"/>
      <c r="G123" s="230"/>
      <c r="H123" s="230"/>
      <c r="I123" s="230"/>
      <c r="J123" s="230"/>
    </row>
    <row r="124" spans="1:10" hidden="1" outlineLevel="1" x14ac:dyDescent="0.25">
      <c r="A124" s="253"/>
      <c r="B124" s="251"/>
      <c r="D124" s="230"/>
      <c r="E124" s="230"/>
      <c r="F124" s="230"/>
      <c r="G124" s="230"/>
      <c r="H124" s="230"/>
      <c r="I124" s="230"/>
      <c r="J124" s="230"/>
    </row>
    <row r="125" spans="1:10" hidden="1" outlineLevel="1" x14ac:dyDescent="0.25">
      <c r="A125" s="253"/>
      <c r="B125" s="251"/>
      <c r="D125" s="230"/>
      <c r="E125" s="230"/>
      <c r="F125" s="230"/>
      <c r="G125" s="230"/>
      <c r="H125" s="230"/>
      <c r="I125" s="230"/>
      <c r="J125" s="230"/>
    </row>
    <row r="126" spans="1:10" hidden="1" outlineLevel="1" x14ac:dyDescent="0.25">
      <c r="A126" s="253"/>
      <c r="B126" s="251"/>
      <c r="D126" s="230"/>
      <c r="E126" s="230"/>
      <c r="F126" s="230"/>
      <c r="G126" s="230"/>
      <c r="H126" s="230"/>
      <c r="I126" s="230"/>
      <c r="J126" s="230"/>
    </row>
    <row r="127" spans="1:10" hidden="1" outlineLevel="1" x14ac:dyDescent="0.25">
      <c r="A127" s="253"/>
      <c r="B127" s="251"/>
      <c r="D127" s="230"/>
      <c r="E127" s="230"/>
      <c r="F127" s="230"/>
      <c r="G127" s="230"/>
      <c r="H127" s="230"/>
      <c r="I127" s="230"/>
      <c r="J127" s="230"/>
    </row>
    <row r="128" spans="1:10" hidden="1" outlineLevel="1" x14ac:dyDescent="0.25">
      <c r="A128" s="253"/>
      <c r="B128" s="251"/>
      <c r="D128" s="230"/>
      <c r="E128" s="230"/>
      <c r="F128" s="230"/>
      <c r="G128" s="230"/>
      <c r="H128" s="230"/>
      <c r="I128" s="230"/>
      <c r="J128" s="230"/>
    </row>
    <row r="129" spans="1:10" hidden="1" outlineLevel="1" x14ac:dyDescent="0.25">
      <c r="A129" s="253"/>
      <c r="B129" s="251"/>
      <c r="D129" s="230"/>
      <c r="E129" s="230"/>
      <c r="F129" s="230"/>
      <c r="G129" s="230"/>
      <c r="H129" s="230"/>
      <c r="I129" s="230"/>
      <c r="J129" s="230"/>
    </row>
    <row r="130" spans="1:10" hidden="1" outlineLevel="1" x14ac:dyDescent="0.25">
      <c r="A130" s="253"/>
      <c r="B130" s="251"/>
      <c r="D130" s="230"/>
      <c r="E130" s="230"/>
      <c r="F130" s="230"/>
      <c r="G130" s="230"/>
      <c r="H130" s="230"/>
      <c r="I130" s="230"/>
      <c r="J130" s="230"/>
    </row>
    <row r="131" spans="1:10" hidden="1" outlineLevel="1" x14ac:dyDescent="0.25">
      <c r="A131" s="253"/>
      <c r="B131" s="251"/>
      <c r="D131" s="230"/>
      <c r="E131" s="230"/>
      <c r="F131" s="230"/>
      <c r="G131" s="230"/>
      <c r="H131" s="230"/>
      <c r="I131" s="230"/>
      <c r="J131" s="230"/>
    </row>
    <row r="132" spans="1:10" hidden="1" outlineLevel="1" x14ac:dyDescent="0.25">
      <c r="A132" s="253"/>
      <c r="B132" s="251"/>
      <c r="D132" s="230"/>
      <c r="E132" s="230"/>
      <c r="F132" s="230"/>
      <c r="G132" s="230"/>
      <c r="H132" s="230"/>
      <c r="I132" s="230"/>
      <c r="J132" s="230"/>
    </row>
    <row r="133" spans="1:10" hidden="1" outlineLevel="1" x14ac:dyDescent="0.25">
      <c r="A133" s="253"/>
      <c r="B133" s="251"/>
      <c r="D133" s="230"/>
      <c r="E133" s="230"/>
      <c r="F133" s="230"/>
      <c r="G133" s="230"/>
      <c r="H133" s="230"/>
      <c r="I133" s="230"/>
      <c r="J133" s="230"/>
    </row>
    <row r="134" spans="1:10" hidden="1" outlineLevel="1" x14ac:dyDescent="0.25">
      <c r="A134" s="253"/>
      <c r="B134" s="251"/>
      <c r="D134" s="230"/>
      <c r="E134" s="230"/>
      <c r="F134" s="230"/>
      <c r="G134" s="230"/>
      <c r="H134" s="230"/>
      <c r="I134" s="230"/>
      <c r="J134" s="230"/>
    </row>
    <row r="135" spans="1:10" hidden="1" outlineLevel="1" x14ac:dyDescent="0.25">
      <c r="A135" s="253"/>
      <c r="B135" s="251"/>
      <c r="D135" s="230"/>
      <c r="E135" s="230"/>
      <c r="F135" s="230"/>
      <c r="G135" s="230"/>
      <c r="H135" s="230"/>
      <c r="I135" s="230"/>
      <c r="J135" s="230"/>
    </row>
    <row r="136" spans="1:10" hidden="1" outlineLevel="1" x14ac:dyDescent="0.25">
      <c r="A136" s="253"/>
      <c r="B136" s="251"/>
      <c r="D136" s="230"/>
      <c r="E136" s="230"/>
      <c r="F136" s="230"/>
      <c r="G136" s="230"/>
      <c r="H136" s="230"/>
      <c r="I136" s="230"/>
      <c r="J136" s="230"/>
    </row>
    <row r="137" spans="1:10" hidden="1" outlineLevel="1" x14ac:dyDescent="0.25">
      <c r="A137" s="253"/>
      <c r="B137" s="251"/>
      <c r="D137" s="230"/>
      <c r="E137" s="230"/>
      <c r="F137" s="230"/>
      <c r="G137" s="230"/>
      <c r="H137" s="230"/>
      <c r="I137" s="230"/>
      <c r="J137" s="230"/>
    </row>
    <row r="138" spans="1:10" hidden="1" outlineLevel="1" x14ac:dyDescent="0.25">
      <c r="A138" s="253"/>
      <c r="B138" s="251"/>
      <c r="D138" s="230"/>
      <c r="E138" s="230"/>
      <c r="F138" s="230"/>
      <c r="G138" s="230"/>
      <c r="H138" s="230"/>
      <c r="I138" s="230"/>
      <c r="J138" s="230"/>
    </row>
    <row r="139" spans="1:10" hidden="1" outlineLevel="1" x14ac:dyDescent="0.25">
      <c r="A139" s="253"/>
      <c r="B139" s="251"/>
      <c r="D139" s="230"/>
      <c r="E139" s="230"/>
      <c r="F139" s="230"/>
      <c r="G139" s="230"/>
      <c r="H139" s="230"/>
      <c r="I139" s="230"/>
      <c r="J139" s="230"/>
    </row>
    <row r="140" spans="1:10" hidden="1" outlineLevel="1" x14ac:dyDescent="0.25">
      <c r="A140" s="253"/>
      <c r="B140" s="251"/>
      <c r="D140" s="230"/>
      <c r="E140" s="230"/>
      <c r="F140" s="230"/>
      <c r="G140" s="230"/>
      <c r="H140" s="230"/>
      <c r="I140" s="230"/>
      <c r="J140" s="230"/>
    </row>
    <row r="141" spans="1:10" hidden="1" outlineLevel="1" x14ac:dyDescent="0.25">
      <c r="A141" s="253"/>
      <c r="B141" s="251"/>
      <c r="D141" s="230"/>
      <c r="E141" s="230"/>
      <c r="F141" s="230"/>
      <c r="G141" s="230"/>
      <c r="H141" s="230"/>
      <c r="I141" s="230"/>
      <c r="J141" s="230"/>
    </row>
    <row r="142" spans="1:10" hidden="1" outlineLevel="1" x14ac:dyDescent="0.25">
      <c r="A142" s="253"/>
      <c r="B142" s="251"/>
      <c r="D142" s="230"/>
      <c r="E142" s="230"/>
      <c r="F142" s="230"/>
      <c r="G142" s="230"/>
      <c r="H142" s="230"/>
      <c r="I142" s="230"/>
      <c r="J142" s="230"/>
    </row>
    <row r="143" spans="1:10" hidden="1" outlineLevel="1" x14ac:dyDescent="0.25">
      <c r="A143" s="253"/>
      <c r="B143" s="251"/>
      <c r="D143" s="230"/>
      <c r="E143" s="230"/>
      <c r="F143" s="230"/>
      <c r="G143" s="230"/>
      <c r="H143" s="230"/>
      <c r="I143" s="230"/>
      <c r="J143" s="230"/>
    </row>
    <row r="144" spans="1:10" hidden="1" outlineLevel="1" x14ac:dyDescent="0.25">
      <c r="A144" s="253"/>
      <c r="B144" s="251"/>
      <c r="D144" s="230"/>
      <c r="E144" s="230"/>
      <c r="F144" s="230"/>
      <c r="G144" s="230"/>
      <c r="H144" s="230"/>
      <c r="I144" s="230"/>
      <c r="J144" s="230"/>
    </row>
    <row r="145" spans="1:10" hidden="1" outlineLevel="1" x14ac:dyDescent="0.25">
      <c r="A145" s="253"/>
      <c r="B145" s="251"/>
      <c r="D145" s="230"/>
      <c r="E145" s="230"/>
      <c r="F145" s="230"/>
      <c r="G145" s="230"/>
      <c r="H145" s="230"/>
      <c r="I145" s="230"/>
      <c r="J145" s="230"/>
    </row>
    <row r="146" spans="1:10" hidden="1" outlineLevel="1" x14ac:dyDescent="0.25">
      <c r="A146" s="253"/>
      <c r="B146" s="251"/>
      <c r="D146" s="230"/>
      <c r="E146" s="230"/>
      <c r="F146" s="230"/>
      <c r="G146" s="230"/>
      <c r="H146" s="230"/>
      <c r="I146" s="230"/>
      <c r="J146" s="230"/>
    </row>
    <row r="147" spans="1:10" hidden="1" outlineLevel="1" x14ac:dyDescent="0.25">
      <c r="A147" s="253"/>
      <c r="B147" s="251"/>
      <c r="D147" s="230"/>
      <c r="E147" s="230"/>
      <c r="F147" s="230"/>
      <c r="G147" s="230"/>
      <c r="H147" s="230"/>
      <c r="I147" s="230"/>
      <c r="J147" s="230"/>
    </row>
    <row r="148" spans="1:10" hidden="1" outlineLevel="1" x14ac:dyDescent="0.25">
      <c r="A148" s="253"/>
      <c r="B148" s="251"/>
      <c r="D148" s="230"/>
      <c r="E148" s="230"/>
      <c r="F148" s="230"/>
      <c r="G148" s="230"/>
      <c r="H148" s="230"/>
      <c r="I148" s="230"/>
      <c r="J148" s="230"/>
    </row>
    <row r="149" spans="1:10" hidden="1" outlineLevel="1" x14ac:dyDescent="0.25">
      <c r="A149" s="253"/>
      <c r="B149" s="251"/>
      <c r="D149" s="230"/>
      <c r="E149" s="230"/>
      <c r="F149" s="230"/>
      <c r="G149" s="230"/>
      <c r="H149" s="230"/>
      <c r="I149" s="230"/>
      <c r="J149" s="230"/>
    </row>
    <row r="150" spans="1:10" hidden="1" outlineLevel="1" x14ac:dyDescent="0.25">
      <c r="A150" s="253"/>
      <c r="B150" s="251"/>
      <c r="D150" s="230"/>
      <c r="E150" s="230"/>
      <c r="F150" s="230"/>
      <c r="G150" s="230"/>
      <c r="H150" s="230"/>
      <c r="I150" s="230"/>
      <c r="J150" s="230"/>
    </row>
    <row r="151" spans="1:10" hidden="1" outlineLevel="1" x14ac:dyDescent="0.25">
      <c r="A151" s="253"/>
      <c r="B151" s="251"/>
      <c r="D151" s="230"/>
      <c r="E151" s="230"/>
      <c r="F151" s="230"/>
      <c r="G151" s="230"/>
      <c r="H151" s="230"/>
      <c r="I151" s="230"/>
      <c r="J151" s="230"/>
    </row>
    <row r="152" spans="1:10" hidden="1" outlineLevel="1" x14ac:dyDescent="0.25">
      <c r="A152" s="253"/>
      <c r="B152" s="251"/>
      <c r="D152" s="230"/>
      <c r="E152" s="230"/>
      <c r="F152" s="230"/>
      <c r="G152" s="230"/>
      <c r="H152" s="230"/>
      <c r="I152" s="230"/>
      <c r="J152" s="230"/>
    </row>
    <row r="153" spans="1:10" hidden="1" outlineLevel="1" x14ac:dyDescent="0.25">
      <c r="A153" s="253"/>
      <c r="B153" s="251"/>
      <c r="D153" s="230"/>
      <c r="E153" s="230"/>
      <c r="F153" s="230"/>
      <c r="G153" s="230"/>
      <c r="H153" s="230"/>
      <c r="I153" s="230"/>
      <c r="J153" s="230"/>
    </row>
    <row r="154" spans="1:10" hidden="1" outlineLevel="1" x14ac:dyDescent="0.25">
      <c r="A154" s="253"/>
      <c r="B154" s="251"/>
      <c r="D154" s="230"/>
      <c r="E154" s="230"/>
      <c r="F154" s="230"/>
      <c r="G154" s="230"/>
      <c r="H154" s="230"/>
      <c r="I154" s="230"/>
      <c r="J154" s="230"/>
    </row>
    <row r="155" spans="1:10" hidden="1" outlineLevel="1" x14ac:dyDescent="0.25">
      <c r="A155" s="253"/>
      <c r="B155" s="251"/>
      <c r="D155" s="230"/>
      <c r="E155" s="230"/>
      <c r="F155" s="230"/>
      <c r="G155" s="230"/>
      <c r="H155" s="230"/>
      <c r="I155" s="230"/>
      <c r="J155" s="230"/>
    </row>
    <row r="156" spans="1:10" hidden="1" outlineLevel="1" x14ac:dyDescent="0.25">
      <c r="A156" s="253"/>
      <c r="B156" s="251"/>
      <c r="D156" s="230"/>
      <c r="E156" s="230"/>
      <c r="F156" s="230"/>
      <c r="G156" s="230"/>
      <c r="H156" s="230"/>
      <c r="I156" s="230"/>
      <c r="J156" s="230"/>
    </row>
    <row r="157" spans="1:10" hidden="1" outlineLevel="1" x14ac:dyDescent="0.25">
      <c r="A157" s="253"/>
      <c r="B157" s="251"/>
      <c r="D157" s="230"/>
      <c r="E157" s="230"/>
      <c r="F157" s="230"/>
      <c r="G157" s="230"/>
      <c r="H157" s="230"/>
      <c r="I157" s="230"/>
      <c r="J157" s="230"/>
    </row>
    <row r="158" spans="1:10" hidden="1" outlineLevel="1" x14ac:dyDescent="0.25">
      <c r="A158" s="253"/>
      <c r="B158" s="251"/>
      <c r="D158" s="230"/>
      <c r="E158" s="230"/>
      <c r="F158" s="230"/>
      <c r="G158" s="230"/>
      <c r="H158" s="230"/>
      <c r="I158" s="230"/>
      <c r="J158" s="230"/>
    </row>
    <row r="159" spans="1:10" hidden="1" outlineLevel="1" x14ac:dyDescent="0.25">
      <c r="A159" s="253"/>
      <c r="B159" s="251"/>
      <c r="D159" s="230"/>
      <c r="E159" s="230"/>
      <c r="F159" s="230"/>
      <c r="G159" s="230"/>
      <c r="H159" s="230"/>
      <c r="I159" s="230"/>
      <c r="J159" s="230"/>
    </row>
    <row r="160" spans="1:10" hidden="1" outlineLevel="1" x14ac:dyDescent="0.25">
      <c r="A160" s="253"/>
      <c r="B160" s="251"/>
      <c r="D160" s="230"/>
      <c r="E160" s="230"/>
      <c r="F160" s="230"/>
      <c r="G160" s="230"/>
      <c r="H160" s="230"/>
      <c r="I160" s="230"/>
      <c r="J160" s="230"/>
    </row>
    <row r="161" spans="1:10" hidden="1" outlineLevel="1" x14ac:dyDescent="0.25">
      <c r="A161" s="253"/>
      <c r="B161" s="251"/>
      <c r="D161" s="230"/>
      <c r="E161" s="230"/>
      <c r="F161" s="230"/>
      <c r="G161" s="230"/>
      <c r="H161" s="230"/>
      <c r="I161" s="230"/>
      <c r="J161" s="230"/>
    </row>
    <row r="162" spans="1:10" hidden="1" outlineLevel="1" x14ac:dyDescent="0.25">
      <c r="A162" s="253"/>
      <c r="B162" s="251"/>
      <c r="D162" s="230"/>
      <c r="E162" s="230"/>
      <c r="F162" s="230"/>
      <c r="G162" s="230"/>
      <c r="H162" s="230"/>
      <c r="I162" s="230"/>
      <c r="J162" s="230"/>
    </row>
    <row r="163" spans="1:10" hidden="1" outlineLevel="1" x14ac:dyDescent="0.25">
      <c r="A163" s="253"/>
      <c r="B163" s="251"/>
      <c r="D163" s="230"/>
      <c r="E163" s="230"/>
      <c r="F163" s="230"/>
      <c r="G163" s="230"/>
      <c r="H163" s="230"/>
      <c r="I163" s="230"/>
      <c r="J163" s="230"/>
    </row>
    <row r="164" spans="1:10" hidden="1" outlineLevel="2" x14ac:dyDescent="0.25">
      <c r="A164" s="253">
        <v>2</v>
      </c>
      <c r="B164" s="227">
        <v>44197</v>
      </c>
      <c r="D164" s="230">
        <v>0</v>
      </c>
      <c r="E164" s="230"/>
      <c r="F164" s="281">
        <v>0</v>
      </c>
      <c r="G164" s="245">
        <f>0</f>
        <v>0</v>
      </c>
      <c r="H164" s="282"/>
      <c r="I164" s="230">
        <f t="shared" ref="I164:I225" si="0">+D164+E164+G164</f>
        <v>0</v>
      </c>
      <c r="J164" s="229">
        <v>0</v>
      </c>
    </row>
    <row r="165" spans="1:10" hidden="1" outlineLevel="2" x14ac:dyDescent="0.25">
      <c r="A165" s="253">
        <f t="shared" ref="A165:A225" si="1">+A164+1</f>
        <v>3</v>
      </c>
      <c r="B165" s="227">
        <v>44228</v>
      </c>
      <c r="D165" s="230">
        <v>0</v>
      </c>
      <c r="E165" s="230"/>
      <c r="F165" s="281">
        <v>0</v>
      </c>
      <c r="G165" s="245">
        <f>0</f>
        <v>0</v>
      </c>
      <c r="H165" s="282"/>
      <c r="I165" s="230">
        <f t="shared" si="0"/>
        <v>0</v>
      </c>
      <c r="J165" s="229">
        <v>0</v>
      </c>
    </row>
    <row r="166" spans="1:10" hidden="1" outlineLevel="2" x14ac:dyDescent="0.25">
      <c r="A166" s="253">
        <f t="shared" si="1"/>
        <v>4</v>
      </c>
      <c r="B166" s="227">
        <v>44256</v>
      </c>
      <c r="D166" s="230">
        <v>0</v>
      </c>
      <c r="E166" s="230"/>
      <c r="F166" s="281">
        <v>0</v>
      </c>
      <c r="G166" s="245">
        <f>0</f>
        <v>0</v>
      </c>
      <c r="H166" s="282"/>
      <c r="I166" s="230">
        <f t="shared" si="0"/>
        <v>0</v>
      </c>
      <c r="J166" s="229">
        <v>0</v>
      </c>
    </row>
    <row r="167" spans="1:10" hidden="1" outlineLevel="2" x14ac:dyDescent="0.25">
      <c r="A167" s="253">
        <f t="shared" si="1"/>
        <v>5</v>
      </c>
      <c r="B167" s="227">
        <v>44287</v>
      </c>
      <c r="D167" s="230">
        <v>0</v>
      </c>
      <c r="E167" s="230"/>
      <c r="F167" s="281">
        <v>0</v>
      </c>
      <c r="G167" s="245">
        <f>0</f>
        <v>0</v>
      </c>
      <c r="H167" s="282"/>
      <c r="I167" s="230">
        <f t="shared" si="0"/>
        <v>0</v>
      </c>
      <c r="J167" s="229">
        <v>0</v>
      </c>
    </row>
    <row r="168" spans="1:10" hidden="1" outlineLevel="2" x14ac:dyDescent="0.25">
      <c r="A168" s="253">
        <f t="shared" si="1"/>
        <v>6</v>
      </c>
      <c r="B168" s="227">
        <v>44317</v>
      </c>
      <c r="D168" s="230">
        <v>0</v>
      </c>
      <c r="E168" s="230"/>
      <c r="F168" s="281">
        <v>0</v>
      </c>
      <c r="G168" s="245">
        <f>0</f>
        <v>0</v>
      </c>
      <c r="H168" s="282"/>
      <c r="I168" s="230">
        <f t="shared" si="0"/>
        <v>0</v>
      </c>
      <c r="J168" s="229">
        <f t="shared" ref="J168:J200" si="2">+J167+I168</f>
        <v>0</v>
      </c>
    </row>
    <row r="169" spans="1:10" hidden="1" outlineLevel="2" x14ac:dyDescent="0.25">
      <c r="A169" s="253">
        <f t="shared" si="1"/>
        <v>7</v>
      </c>
      <c r="B169" s="227">
        <v>44348</v>
      </c>
      <c r="D169" s="230">
        <v>0</v>
      </c>
      <c r="E169" s="230"/>
      <c r="F169" s="281">
        <v>0</v>
      </c>
      <c r="G169" s="245">
        <f t="shared" ref="G169:G174" si="3">ROUND((+J168+E169+(D169/2))*F169/12,2)</f>
        <v>0</v>
      </c>
      <c r="I169" s="230">
        <f t="shared" si="0"/>
        <v>0</v>
      </c>
      <c r="J169" s="229">
        <f t="shared" si="2"/>
        <v>0</v>
      </c>
    </row>
    <row r="170" spans="1:10" hidden="1" outlineLevel="2" x14ac:dyDescent="0.25">
      <c r="A170" s="253">
        <f t="shared" si="1"/>
        <v>8</v>
      </c>
      <c r="B170" s="227">
        <v>44378</v>
      </c>
      <c r="D170" s="230">
        <v>0</v>
      </c>
      <c r="E170" s="230"/>
      <c r="F170" s="281">
        <v>0</v>
      </c>
      <c r="G170" s="245">
        <f t="shared" si="3"/>
        <v>0</v>
      </c>
      <c r="I170" s="230">
        <f t="shared" si="0"/>
        <v>0</v>
      </c>
      <c r="J170" s="229">
        <f t="shared" si="2"/>
        <v>0</v>
      </c>
    </row>
    <row r="171" spans="1:10" hidden="1" outlineLevel="2" x14ac:dyDescent="0.25">
      <c r="A171" s="253">
        <f t="shared" si="1"/>
        <v>9</v>
      </c>
      <c r="B171" s="227">
        <v>44409</v>
      </c>
      <c r="D171" s="230">
        <v>0</v>
      </c>
      <c r="E171" s="230"/>
      <c r="F171" s="281">
        <v>0</v>
      </c>
      <c r="G171" s="245">
        <f t="shared" si="3"/>
        <v>0</v>
      </c>
      <c r="I171" s="230">
        <f t="shared" si="0"/>
        <v>0</v>
      </c>
      <c r="J171" s="229">
        <f t="shared" si="2"/>
        <v>0</v>
      </c>
    </row>
    <row r="172" spans="1:10" hidden="1" outlineLevel="2" x14ac:dyDescent="0.25">
      <c r="A172" s="253">
        <f t="shared" si="1"/>
        <v>10</v>
      </c>
      <c r="B172" s="227">
        <v>44440</v>
      </c>
      <c r="D172" s="230">
        <v>0</v>
      </c>
      <c r="E172" s="230"/>
      <c r="F172" s="281">
        <v>0</v>
      </c>
      <c r="G172" s="245">
        <f t="shared" si="3"/>
        <v>0</v>
      </c>
      <c r="I172" s="230">
        <f t="shared" si="0"/>
        <v>0</v>
      </c>
      <c r="J172" s="229">
        <f t="shared" si="2"/>
        <v>0</v>
      </c>
    </row>
    <row r="173" spans="1:10" hidden="1" outlineLevel="2" x14ac:dyDescent="0.25">
      <c r="A173" s="253">
        <f t="shared" si="1"/>
        <v>11</v>
      </c>
      <c r="B173" s="227">
        <v>44470</v>
      </c>
      <c r="D173" s="230">
        <v>0</v>
      </c>
      <c r="E173" s="230"/>
      <c r="F173" s="281">
        <v>0</v>
      </c>
      <c r="G173" s="245">
        <f t="shared" si="3"/>
        <v>0</v>
      </c>
      <c r="H173" s="282"/>
      <c r="I173" s="230">
        <f t="shared" si="0"/>
        <v>0</v>
      </c>
      <c r="J173" s="229">
        <f t="shared" si="2"/>
        <v>0</v>
      </c>
    </row>
    <row r="174" spans="1:10" hidden="1" outlineLevel="2" x14ac:dyDescent="0.25">
      <c r="A174" s="253">
        <f t="shared" si="1"/>
        <v>12</v>
      </c>
      <c r="B174" s="227">
        <v>44501</v>
      </c>
      <c r="C174" s="250" t="s">
        <v>186</v>
      </c>
      <c r="D174" s="230">
        <v>0</v>
      </c>
      <c r="E174" s="230"/>
      <c r="F174" s="281">
        <v>0</v>
      </c>
      <c r="G174" s="245">
        <f t="shared" si="3"/>
        <v>0</v>
      </c>
      <c r="H174" s="282"/>
      <c r="I174" s="230">
        <f t="shared" si="0"/>
        <v>0</v>
      </c>
      <c r="J174" s="229">
        <f t="shared" si="2"/>
        <v>0</v>
      </c>
    </row>
    <row r="175" spans="1:10" hidden="1" outlineLevel="1" collapsed="1" x14ac:dyDescent="0.25">
      <c r="A175" s="253">
        <f t="shared" si="1"/>
        <v>13</v>
      </c>
      <c r="B175" s="227">
        <v>44501</v>
      </c>
      <c r="C175" s="250" t="s">
        <v>185</v>
      </c>
      <c r="D175" s="230">
        <v>0</v>
      </c>
      <c r="E175" s="230"/>
      <c r="F175" s="281"/>
      <c r="G175" s="245">
        <f>ROUND((+E175+(D175/2))*F175/12,2)</f>
        <v>0</v>
      </c>
      <c r="H175" s="282"/>
      <c r="I175" s="230">
        <f t="shared" si="0"/>
        <v>0</v>
      </c>
      <c r="J175" s="229">
        <f t="shared" si="2"/>
        <v>0</v>
      </c>
    </row>
    <row r="176" spans="1:10" hidden="1" outlineLevel="1" collapsed="1" x14ac:dyDescent="0.25">
      <c r="A176" s="253">
        <f t="shared" si="1"/>
        <v>14</v>
      </c>
      <c r="B176" s="227">
        <v>44531</v>
      </c>
      <c r="D176" s="230">
        <v>0</v>
      </c>
      <c r="E176" s="230"/>
      <c r="F176" s="281"/>
      <c r="G176" s="245">
        <f t="shared" ref="G176:G200" si="4">ROUND((+J175+E176+(D176/2))*F176/12,2)</f>
        <v>0</v>
      </c>
      <c r="H176" s="282"/>
      <c r="I176" s="230">
        <f t="shared" si="0"/>
        <v>0</v>
      </c>
      <c r="J176" s="229">
        <f t="shared" si="2"/>
        <v>0</v>
      </c>
    </row>
    <row r="177" spans="1:10" hidden="1" outlineLevel="1" x14ac:dyDescent="0.25">
      <c r="A177" s="253">
        <f t="shared" si="1"/>
        <v>15</v>
      </c>
      <c r="B177" s="227">
        <v>44562</v>
      </c>
      <c r="D177" s="230">
        <v>0</v>
      </c>
      <c r="E177" s="230"/>
      <c r="F177" s="281"/>
      <c r="G177" s="245">
        <f t="shared" si="4"/>
        <v>0</v>
      </c>
      <c r="H177" s="282"/>
      <c r="I177" s="230">
        <f t="shared" si="0"/>
        <v>0</v>
      </c>
      <c r="J177" s="229">
        <f t="shared" si="2"/>
        <v>0</v>
      </c>
    </row>
    <row r="178" spans="1:10" hidden="1" outlineLevel="1" x14ac:dyDescent="0.25">
      <c r="A178" s="253">
        <f t="shared" si="1"/>
        <v>16</v>
      </c>
      <c r="B178" s="227">
        <v>44593</v>
      </c>
      <c r="D178" s="230">
        <v>0</v>
      </c>
      <c r="E178" s="230"/>
      <c r="F178" s="281"/>
      <c r="G178" s="245">
        <f t="shared" si="4"/>
        <v>0</v>
      </c>
      <c r="H178" s="282"/>
      <c r="I178" s="230">
        <f t="shared" si="0"/>
        <v>0</v>
      </c>
      <c r="J178" s="229">
        <f t="shared" si="2"/>
        <v>0</v>
      </c>
    </row>
    <row r="179" spans="1:10" hidden="1" outlineLevel="1" x14ac:dyDescent="0.25">
      <c r="A179" s="253">
        <f t="shared" si="1"/>
        <v>17</v>
      </c>
      <c r="B179" s="227">
        <v>44621</v>
      </c>
      <c r="D179" s="230">
        <v>0</v>
      </c>
      <c r="E179" s="230"/>
      <c r="F179" s="281"/>
      <c r="G179" s="245">
        <f t="shared" si="4"/>
        <v>0</v>
      </c>
      <c r="H179" s="282"/>
      <c r="I179" s="230">
        <f t="shared" si="0"/>
        <v>0</v>
      </c>
      <c r="J179" s="229">
        <f t="shared" si="2"/>
        <v>0</v>
      </c>
    </row>
    <row r="180" spans="1:10" hidden="1" outlineLevel="1" x14ac:dyDescent="0.25">
      <c r="A180" s="253">
        <f t="shared" si="1"/>
        <v>18</v>
      </c>
      <c r="B180" s="227">
        <v>44652</v>
      </c>
      <c r="D180" s="230">
        <v>0</v>
      </c>
      <c r="E180" s="230"/>
      <c r="F180" s="281"/>
      <c r="G180" s="245">
        <f t="shared" si="4"/>
        <v>0</v>
      </c>
      <c r="H180" s="282"/>
      <c r="I180" s="230">
        <f t="shared" si="0"/>
        <v>0</v>
      </c>
      <c r="J180" s="229">
        <f t="shared" si="2"/>
        <v>0</v>
      </c>
    </row>
    <row r="181" spans="1:10" hidden="1" outlineLevel="1" x14ac:dyDescent="0.25">
      <c r="A181" s="253">
        <f t="shared" si="1"/>
        <v>19</v>
      </c>
      <c r="B181" s="227">
        <v>44682</v>
      </c>
      <c r="D181" s="230">
        <v>0</v>
      </c>
      <c r="E181" s="230"/>
      <c r="F181" s="281"/>
      <c r="G181" s="245">
        <f t="shared" si="4"/>
        <v>0</v>
      </c>
      <c r="H181" s="282"/>
      <c r="I181" s="230">
        <f t="shared" si="0"/>
        <v>0</v>
      </c>
      <c r="J181" s="229">
        <f t="shared" si="2"/>
        <v>0</v>
      </c>
    </row>
    <row r="182" spans="1:10" hidden="1" outlineLevel="1" x14ac:dyDescent="0.25">
      <c r="A182" s="253">
        <f t="shared" si="1"/>
        <v>20</v>
      </c>
      <c r="B182" s="227">
        <v>44713</v>
      </c>
      <c r="D182" s="230">
        <v>0</v>
      </c>
      <c r="E182" s="230"/>
      <c r="F182" s="281"/>
      <c r="G182" s="245">
        <f t="shared" si="4"/>
        <v>0</v>
      </c>
      <c r="H182" s="282"/>
      <c r="I182" s="230">
        <f t="shared" si="0"/>
        <v>0</v>
      </c>
      <c r="J182" s="229">
        <f t="shared" si="2"/>
        <v>0</v>
      </c>
    </row>
    <row r="183" spans="1:10" hidden="1" outlineLevel="1" x14ac:dyDescent="0.25">
      <c r="A183" s="253">
        <f t="shared" si="1"/>
        <v>21</v>
      </c>
      <c r="B183" s="227">
        <v>44743</v>
      </c>
      <c r="D183" s="230">
        <v>0</v>
      </c>
      <c r="E183" s="230"/>
      <c r="F183" s="281"/>
      <c r="G183" s="245">
        <f t="shared" si="4"/>
        <v>0</v>
      </c>
      <c r="H183" s="282"/>
      <c r="I183" s="230">
        <f t="shared" si="0"/>
        <v>0</v>
      </c>
      <c r="J183" s="229">
        <f t="shared" si="2"/>
        <v>0</v>
      </c>
    </row>
    <row r="184" spans="1:10" hidden="1" outlineLevel="1" x14ac:dyDescent="0.25">
      <c r="A184" s="253">
        <f t="shared" si="1"/>
        <v>22</v>
      </c>
      <c r="B184" s="227">
        <v>44774</v>
      </c>
      <c r="D184" s="230">
        <v>0</v>
      </c>
      <c r="E184" s="230"/>
      <c r="F184" s="281"/>
      <c r="G184" s="245">
        <f t="shared" si="4"/>
        <v>0</v>
      </c>
      <c r="H184" s="282"/>
      <c r="I184" s="230">
        <f t="shared" si="0"/>
        <v>0</v>
      </c>
      <c r="J184" s="229">
        <f t="shared" si="2"/>
        <v>0</v>
      </c>
    </row>
    <row r="185" spans="1:10" hidden="1" outlineLevel="1" x14ac:dyDescent="0.25">
      <c r="A185" s="253">
        <f t="shared" si="1"/>
        <v>23</v>
      </c>
      <c r="B185" s="227">
        <v>44805</v>
      </c>
      <c r="D185" s="230">
        <v>0</v>
      </c>
      <c r="E185" s="230"/>
      <c r="F185" s="281"/>
      <c r="G185" s="245">
        <f t="shared" si="4"/>
        <v>0</v>
      </c>
      <c r="H185" s="282"/>
      <c r="I185" s="230">
        <f t="shared" si="0"/>
        <v>0</v>
      </c>
      <c r="J185" s="229">
        <f t="shared" si="2"/>
        <v>0</v>
      </c>
    </row>
    <row r="186" spans="1:10" hidden="1" outlineLevel="1" x14ac:dyDescent="0.25">
      <c r="A186" s="253">
        <f t="shared" si="1"/>
        <v>24</v>
      </c>
      <c r="B186" s="227">
        <v>44835</v>
      </c>
      <c r="D186" s="230">
        <v>0</v>
      </c>
      <c r="E186" s="230"/>
      <c r="F186" s="281"/>
      <c r="G186" s="245">
        <f t="shared" si="4"/>
        <v>0</v>
      </c>
      <c r="I186" s="230">
        <f t="shared" si="0"/>
        <v>0</v>
      </c>
      <c r="J186" s="229">
        <f t="shared" si="2"/>
        <v>0</v>
      </c>
    </row>
    <row r="187" spans="1:10" hidden="1" outlineLevel="1" x14ac:dyDescent="0.25">
      <c r="A187" s="253">
        <f t="shared" si="1"/>
        <v>25</v>
      </c>
      <c r="B187" s="227">
        <v>44866</v>
      </c>
      <c r="C187" s="250" t="s">
        <v>185</v>
      </c>
      <c r="D187" s="230">
        <v>0</v>
      </c>
      <c r="E187" s="230"/>
      <c r="F187" s="281"/>
      <c r="G187" s="245">
        <f t="shared" si="4"/>
        <v>0</v>
      </c>
      <c r="I187" s="230">
        <f t="shared" si="0"/>
        <v>0</v>
      </c>
      <c r="J187" s="229">
        <f t="shared" si="2"/>
        <v>0</v>
      </c>
    </row>
    <row r="188" spans="1:10" hidden="1" outlineLevel="1" collapsed="1" x14ac:dyDescent="0.25">
      <c r="A188" s="253">
        <f t="shared" si="1"/>
        <v>26</v>
      </c>
      <c r="B188" s="227">
        <v>44866</v>
      </c>
      <c r="C188" s="250" t="s">
        <v>186</v>
      </c>
      <c r="D188" s="230">
        <v>0</v>
      </c>
      <c r="E188" s="230"/>
      <c r="F188" s="281"/>
      <c r="G188" s="245">
        <f t="shared" si="4"/>
        <v>0</v>
      </c>
      <c r="I188" s="230">
        <f t="shared" si="0"/>
        <v>0</v>
      </c>
      <c r="J188" s="229">
        <f t="shared" si="2"/>
        <v>0</v>
      </c>
    </row>
    <row r="189" spans="1:10" hidden="1" outlineLevel="1" x14ac:dyDescent="0.25">
      <c r="A189" s="253">
        <f t="shared" si="1"/>
        <v>27</v>
      </c>
      <c r="B189" s="227">
        <v>44896</v>
      </c>
      <c r="D189" s="230">
        <v>0</v>
      </c>
      <c r="E189" s="230"/>
      <c r="F189" s="281"/>
      <c r="G189" s="245">
        <f t="shared" si="4"/>
        <v>0</v>
      </c>
      <c r="I189" s="230">
        <f t="shared" si="0"/>
        <v>0</v>
      </c>
      <c r="J189" s="229">
        <f t="shared" si="2"/>
        <v>0</v>
      </c>
    </row>
    <row r="190" spans="1:10" hidden="1" outlineLevel="1" x14ac:dyDescent="0.25">
      <c r="A190" s="253">
        <f t="shared" si="1"/>
        <v>28</v>
      </c>
      <c r="B190" s="227">
        <v>44927</v>
      </c>
      <c r="D190" s="230">
        <v>0</v>
      </c>
      <c r="E190" s="230"/>
      <c r="F190" s="281"/>
      <c r="G190" s="245">
        <f t="shared" si="4"/>
        <v>0</v>
      </c>
      <c r="I190" s="230">
        <f t="shared" si="0"/>
        <v>0</v>
      </c>
      <c r="J190" s="229">
        <f t="shared" si="2"/>
        <v>0</v>
      </c>
    </row>
    <row r="191" spans="1:10" hidden="1" outlineLevel="1" x14ac:dyDescent="0.25">
      <c r="A191" s="253">
        <f t="shared" si="1"/>
        <v>29</v>
      </c>
      <c r="B191" s="227">
        <v>44958</v>
      </c>
      <c r="D191" s="230">
        <v>0</v>
      </c>
      <c r="E191" s="230"/>
      <c r="F191" s="281"/>
      <c r="G191" s="245">
        <f t="shared" si="4"/>
        <v>0</v>
      </c>
      <c r="I191" s="230">
        <f t="shared" si="0"/>
        <v>0</v>
      </c>
      <c r="J191" s="229">
        <f t="shared" si="2"/>
        <v>0</v>
      </c>
    </row>
    <row r="192" spans="1:10" hidden="1" outlineLevel="1" x14ac:dyDescent="0.25">
      <c r="A192" s="253">
        <f t="shared" si="1"/>
        <v>30</v>
      </c>
      <c r="B192" s="227">
        <v>44986</v>
      </c>
      <c r="D192" s="230">
        <v>0</v>
      </c>
      <c r="E192" s="230"/>
      <c r="F192" s="281"/>
      <c r="G192" s="245">
        <f t="shared" si="4"/>
        <v>0</v>
      </c>
      <c r="I192" s="230">
        <f t="shared" si="0"/>
        <v>0</v>
      </c>
      <c r="J192" s="229">
        <f t="shared" si="2"/>
        <v>0</v>
      </c>
    </row>
    <row r="193" spans="1:10" hidden="1" outlineLevel="1" x14ac:dyDescent="0.25">
      <c r="A193" s="253">
        <f t="shared" si="1"/>
        <v>31</v>
      </c>
      <c r="B193" s="227">
        <v>45017</v>
      </c>
      <c r="D193" s="230">
        <v>0</v>
      </c>
      <c r="E193" s="230"/>
      <c r="F193" s="267"/>
      <c r="G193" s="245">
        <f t="shared" si="4"/>
        <v>0</v>
      </c>
      <c r="I193" s="230">
        <f t="shared" si="0"/>
        <v>0</v>
      </c>
      <c r="J193" s="229">
        <f t="shared" si="2"/>
        <v>0</v>
      </c>
    </row>
    <row r="194" spans="1:10" hidden="1" outlineLevel="1" x14ac:dyDescent="0.25">
      <c r="A194" s="253">
        <f t="shared" si="1"/>
        <v>32</v>
      </c>
      <c r="B194" s="227">
        <v>45047</v>
      </c>
      <c r="D194" s="230">
        <v>0</v>
      </c>
      <c r="E194" s="230"/>
      <c r="F194" s="267"/>
      <c r="G194" s="245">
        <f t="shared" si="4"/>
        <v>0</v>
      </c>
      <c r="I194" s="230">
        <f t="shared" si="0"/>
        <v>0</v>
      </c>
      <c r="J194" s="229">
        <f t="shared" si="2"/>
        <v>0</v>
      </c>
    </row>
    <row r="195" spans="1:10" hidden="1" outlineLevel="1" x14ac:dyDescent="0.25">
      <c r="A195" s="253">
        <f t="shared" si="1"/>
        <v>33</v>
      </c>
      <c r="B195" s="227">
        <v>45078</v>
      </c>
      <c r="D195" s="230">
        <v>0</v>
      </c>
      <c r="E195" s="230"/>
      <c r="F195" s="267"/>
      <c r="G195" s="245">
        <f t="shared" si="4"/>
        <v>0</v>
      </c>
      <c r="H195" s="283"/>
      <c r="I195" s="230">
        <f t="shared" si="0"/>
        <v>0</v>
      </c>
      <c r="J195" s="229">
        <f t="shared" si="2"/>
        <v>0</v>
      </c>
    </row>
    <row r="196" spans="1:10" hidden="1" outlineLevel="1" x14ac:dyDescent="0.25">
      <c r="A196" s="253">
        <f t="shared" si="1"/>
        <v>34</v>
      </c>
      <c r="B196" s="227">
        <v>45108</v>
      </c>
      <c r="D196" s="230">
        <v>0</v>
      </c>
      <c r="E196" s="230"/>
      <c r="F196" s="267"/>
      <c r="G196" s="245">
        <f t="shared" si="4"/>
        <v>0</v>
      </c>
      <c r="H196" s="283"/>
      <c r="I196" s="230">
        <f t="shared" si="0"/>
        <v>0</v>
      </c>
      <c r="J196" s="229">
        <f t="shared" si="2"/>
        <v>0</v>
      </c>
    </row>
    <row r="197" spans="1:10" hidden="1" outlineLevel="1" x14ac:dyDescent="0.25">
      <c r="A197" s="253">
        <f t="shared" si="1"/>
        <v>35</v>
      </c>
      <c r="B197" s="227">
        <v>45139</v>
      </c>
      <c r="D197" s="230">
        <v>0</v>
      </c>
      <c r="E197" s="230"/>
      <c r="F197" s="267"/>
      <c r="G197" s="245">
        <f t="shared" si="4"/>
        <v>0</v>
      </c>
      <c r="H197" s="283"/>
      <c r="I197" s="230">
        <f t="shared" si="0"/>
        <v>0</v>
      </c>
      <c r="J197" s="229">
        <f t="shared" si="2"/>
        <v>0</v>
      </c>
    </row>
    <row r="198" spans="1:10" hidden="1" outlineLevel="1" x14ac:dyDescent="0.25">
      <c r="A198" s="253">
        <f t="shared" si="1"/>
        <v>36</v>
      </c>
      <c r="B198" s="227">
        <v>45170</v>
      </c>
      <c r="D198" s="230">
        <v>0</v>
      </c>
      <c r="E198" s="230"/>
      <c r="F198" s="267"/>
      <c r="G198" s="245">
        <f t="shared" si="4"/>
        <v>0</v>
      </c>
      <c r="H198" s="283"/>
      <c r="I198" s="230">
        <f t="shared" si="0"/>
        <v>0</v>
      </c>
      <c r="J198" s="229">
        <f t="shared" si="2"/>
        <v>0</v>
      </c>
    </row>
    <row r="199" spans="1:10" hidden="1" outlineLevel="1" x14ac:dyDescent="0.25">
      <c r="A199" s="253">
        <f t="shared" si="1"/>
        <v>37</v>
      </c>
      <c r="B199" s="227">
        <v>45200</v>
      </c>
      <c r="D199" s="230">
        <v>0</v>
      </c>
      <c r="E199" s="230"/>
      <c r="F199" s="267"/>
      <c r="G199" s="245">
        <f t="shared" si="4"/>
        <v>0</v>
      </c>
      <c r="H199" s="283"/>
      <c r="I199" s="230">
        <f t="shared" si="0"/>
        <v>0</v>
      </c>
      <c r="J199" s="229">
        <f t="shared" si="2"/>
        <v>0</v>
      </c>
    </row>
    <row r="200" spans="1:10" hidden="1" outlineLevel="1" x14ac:dyDescent="0.25">
      <c r="A200" s="253">
        <f t="shared" si="1"/>
        <v>38</v>
      </c>
      <c r="B200" s="227">
        <v>45231</v>
      </c>
      <c r="C200" s="250" t="s">
        <v>185</v>
      </c>
      <c r="D200" s="230">
        <v>0</v>
      </c>
      <c r="E200" s="230"/>
      <c r="F200" s="267"/>
      <c r="G200" s="245">
        <f t="shared" si="4"/>
        <v>0</v>
      </c>
      <c r="H200" s="283"/>
      <c r="I200" s="230">
        <f t="shared" si="0"/>
        <v>0</v>
      </c>
      <c r="J200" s="229">
        <f t="shared" si="2"/>
        <v>0</v>
      </c>
    </row>
    <row r="201" spans="1:10" hidden="1" outlineLevel="1" collapsed="1" x14ac:dyDescent="0.25">
      <c r="A201" s="253">
        <f t="shared" si="1"/>
        <v>39</v>
      </c>
      <c r="B201" s="227">
        <v>45231</v>
      </c>
      <c r="C201" s="250" t="s">
        <v>186</v>
      </c>
      <c r="D201" s="230">
        <v>-6757.47</v>
      </c>
      <c r="E201" s="230">
        <v>216117.08</v>
      </c>
      <c r="F201" s="228">
        <v>8.3500000000000005E-2</v>
      </c>
      <c r="G201" s="245">
        <f>ROUND((+E201+(D201/2))*F201/12,2)</f>
        <v>1480.3</v>
      </c>
      <c r="H201" s="283"/>
      <c r="I201" s="230">
        <f t="shared" si="0"/>
        <v>210839.90999999997</v>
      </c>
      <c r="J201" s="229">
        <f t="shared" ref="J201" si="5">+J197+I201</f>
        <v>210839.90999999997</v>
      </c>
    </row>
    <row r="202" spans="1:10" hidden="1" outlineLevel="1" x14ac:dyDescent="0.25">
      <c r="A202" s="253">
        <f t="shared" si="1"/>
        <v>40</v>
      </c>
      <c r="B202" s="227">
        <v>45261</v>
      </c>
      <c r="D202" s="230">
        <v>-28177.930000000008</v>
      </c>
      <c r="E202" s="230"/>
      <c r="F202" s="228">
        <v>8.3500000000000005E-2</v>
      </c>
      <c r="G202" s="245">
        <f t="shared" ref="G202:G225" si="6">ROUND((+J201+E202+(D202/2))*F202/12,2)</f>
        <v>1369.06</v>
      </c>
      <c r="H202" s="283"/>
      <c r="I202" s="230">
        <f t="shared" si="0"/>
        <v>-26808.870000000006</v>
      </c>
      <c r="J202" s="229">
        <f t="shared" ref="J202:J225" si="7">+J201+I202</f>
        <v>184031.03999999998</v>
      </c>
    </row>
    <row r="203" spans="1:10" hidden="1" outlineLevel="1" x14ac:dyDescent="0.25">
      <c r="A203" s="253">
        <f t="shared" si="1"/>
        <v>41</v>
      </c>
      <c r="B203" s="227">
        <v>45292</v>
      </c>
      <c r="D203" s="230">
        <v>-34867.609999999993</v>
      </c>
      <c r="E203" s="230"/>
      <c r="F203" s="228">
        <v>8.5000000000000006E-2</v>
      </c>
      <c r="G203" s="245">
        <f t="shared" si="6"/>
        <v>1180.06</v>
      </c>
      <c r="H203" s="283"/>
      <c r="I203" s="230">
        <f t="shared" si="0"/>
        <v>-33687.549999999996</v>
      </c>
      <c r="J203" s="229">
        <f t="shared" si="7"/>
        <v>150343.49</v>
      </c>
    </row>
    <row r="204" spans="1:10" hidden="1" outlineLevel="1" x14ac:dyDescent="0.25">
      <c r="A204" s="253">
        <f t="shared" si="1"/>
        <v>42</v>
      </c>
      <c r="B204" s="227">
        <v>45323</v>
      </c>
      <c r="D204" s="230">
        <v>-30693.850000000009</v>
      </c>
      <c r="E204" s="230"/>
      <c r="F204" s="228">
        <v>8.5000000000000006E-2</v>
      </c>
      <c r="G204" s="245">
        <f t="shared" si="6"/>
        <v>956.23</v>
      </c>
      <c r="H204" s="283"/>
      <c r="I204" s="230">
        <f t="shared" si="0"/>
        <v>-29737.62000000001</v>
      </c>
      <c r="J204" s="229">
        <f t="shared" si="7"/>
        <v>120605.86999999998</v>
      </c>
    </row>
    <row r="205" spans="1:10" hidden="1" outlineLevel="1" x14ac:dyDescent="0.25">
      <c r="A205" s="253">
        <f t="shared" si="1"/>
        <v>43</v>
      </c>
      <c r="B205" s="227">
        <v>45352</v>
      </c>
      <c r="D205" s="230">
        <v>-26136.300000000003</v>
      </c>
      <c r="E205" s="230"/>
      <c r="F205" s="228">
        <v>8.5000000000000006E-2</v>
      </c>
      <c r="G205" s="245">
        <f t="shared" si="6"/>
        <v>761.73</v>
      </c>
      <c r="H205" s="283"/>
      <c r="I205" s="230">
        <f t="shared" si="0"/>
        <v>-25374.570000000003</v>
      </c>
      <c r="J205" s="229">
        <f t="shared" si="7"/>
        <v>95231.299999999974</v>
      </c>
    </row>
    <row r="206" spans="1:10" hidden="1" outlineLevel="1" x14ac:dyDescent="0.25">
      <c r="A206" s="253">
        <f t="shared" si="1"/>
        <v>44</v>
      </c>
      <c r="B206" s="227">
        <v>45383</v>
      </c>
      <c r="D206" s="230">
        <v>-17372.359999999997</v>
      </c>
      <c r="E206" s="230"/>
      <c r="F206" s="228">
        <v>8.5000000000000006E-2</v>
      </c>
      <c r="G206" s="245">
        <f t="shared" si="6"/>
        <v>613.03</v>
      </c>
      <c r="H206" s="283"/>
      <c r="I206" s="230">
        <f t="shared" si="0"/>
        <v>-16759.329999999998</v>
      </c>
      <c r="J206" s="229">
        <f t="shared" si="7"/>
        <v>78471.969999999972</v>
      </c>
    </row>
    <row r="207" spans="1:10" hidden="1" outlineLevel="1" x14ac:dyDescent="0.25">
      <c r="A207" s="253">
        <f t="shared" si="1"/>
        <v>45</v>
      </c>
      <c r="B207" s="227">
        <v>45413</v>
      </c>
      <c r="D207" s="230">
        <v>-13466.970000000008</v>
      </c>
      <c r="E207" s="230"/>
      <c r="F207" s="228">
        <v>8.5000000000000006E-2</v>
      </c>
      <c r="G207" s="245">
        <f t="shared" si="6"/>
        <v>508.15</v>
      </c>
      <c r="H207" s="283"/>
      <c r="I207" s="230">
        <f t="shared" si="0"/>
        <v>-12958.820000000009</v>
      </c>
      <c r="J207" s="229">
        <f t="shared" si="7"/>
        <v>65513.149999999965</v>
      </c>
    </row>
    <row r="208" spans="1:10" hidden="1" outlineLevel="1" x14ac:dyDescent="0.25">
      <c r="A208" s="253">
        <f t="shared" si="1"/>
        <v>46</v>
      </c>
      <c r="B208" s="227">
        <v>45444</v>
      </c>
      <c r="D208" s="230">
        <f>'[23]WA AMORT'!$AC$137</f>
        <v>-9221.8900000000012</v>
      </c>
      <c r="E208" s="230"/>
      <c r="F208" s="228">
        <v>8.5000000000000006E-2</v>
      </c>
      <c r="G208" s="245">
        <f t="shared" si="6"/>
        <v>431.39</v>
      </c>
      <c r="H208" s="283"/>
      <c r="I208" s="230">
        <f t="shared" si="0"/>
        <v>-8790.5000000000018</v>
      </c>
      <c r="J208" s="229">
        <f t="shared" si="7"/>
        <v>56722.649999999965</v>
      </c>
    </row>
    <row r="209" spans="1:10" hidden="1" outlineLevel="1" x14ac:dyDescent="0.25">
      <c r="A209" s="253">
        <f t="shared" si="1"/>
        <v>47</v>
      </c>
      <c r="B209" s="227">
        <v>45474</v>
      </c>
      <c r="D209" s="230">
        <v>-6237.4399999999987</v>
      </c>
      <c r="E209" s="230"/>
      <c r="F209" s="228">
        <v>8.5000000000000006E-2</v>
      </c>
      <c r="G209" s="245">
        <f t="shared" si="6"/>
        <v>379.69</v>
      </c>
      <c r="H209" s="283"/>
      <c r="I209" s="230">
        <f t="shared" si="0"/>
        <v>-5857.7499999999991</v>
      </c>
      <c r="J209" s="229">
        <f t="shared" si="7"/>
        <v>50864.899999999965</v>
      </c>
    </row>
    <row r="210" spans="1:10" hidden="1" outlineLevel="1" x14ac:dyDescent="0.25">
      <c r="A210" s="253">
        <f t="shared" si="1"/>
        <v>48</v>
      </c>
      <c r="B210" s="227">
        <v>45505</v>
      </c>
      <c r="D210" s="230">
        <v>-5386.71</v>
      </c>
      <c r="E210" s="230"/>
      <c r="F210" s="228">
        <v>8.5000000000000006E-2</v>
      </c>
      <c r="G210" s="245">
        <f t="shared" si="6"/>
        <v>341.22</v>
      </c>
      <c r="H210" s="283"/>
      <c r="I210" s="230">
        <f t="shared" si="0"/>
        <v>-5045.49</v>
      </c>
      <c r="J210" s="229">
        <f t="shared" si="7"/>
        <v>45819.409999999967</v>
      </c>
    </row>
    <row r="211" spans="1:10" hidden="1" outlineLevel="1" x14ac:dyDescent="0.25">
      <c r="A211" s="253">
        <f t="shared" si="1"/>
        <v>49</v>
      </c>
      <c r="B211" s="227">
        <v>45536</v>
      </c>
      <c r="D211" s="230">
        <v>-5865.51</v>
      </c>
      <c r="E211" s="230"/>
      <c r="F211" s="228">
        <v>8.5000000000000006E-2</v>
      </c>
      <c r="G211" s="245">
        <f t="shared" si="6"/>
        <v>303.77999999999997</v>
      </c>
      <c r="H211" s="283"/>
      <c r="I211" s="230">
        <f t="shared" si="0"/>
        <v>-5561.7300000000005</v>
      </c>
      <c r="J211" s="229">
        <f t="shared" si="7"/>
        <v>40257.679999999964</v>
      </c>
    </row>
    <row r="212" spans="1:10" hidden="1" outlineLevel="1" x14ac:dyDescent="0.25">
      <c r="A212" s="253">
        <f t="shared" si="1"/>
        <v>50</v>
      </c>
      <c r="B212" s="227">
        <v>45566</v>
      </c>
      <c r="D212" s="230">
        <v>-7552.4</v>
      </c>
      <c r="E212" s="230"/>
      <c r="F212" s="228">
        <v>8.5000000000000006E-2</v>
      </c>
      <c r="G212" s="245">
        <f t="shared" si="6"/>
        <v>258.41000000000003</v>
      </c>
      <c r="H212" s="283"/>
      <c r="I212" s="230">
        <f t="shared" si="0"/>
        <v>-7293.99</v>
      </c>
      <c r="J212" s="229">
        <f t="shared" si="7"/>
        <v>32963.689999999966</v>
      </c>
    </row>
    <row r="213" spans="1:10" hidden="1" outlineLevel="1" x14ac:dyDescent="0.25">
      <c r="A213" s="253">
        <f t="shared" si="1"/>
        <v>51</v>
      </c>
      <c r="B213" s="227">
        <v>45597</v>
      </c>
      <c r="C213" s="250" t="s">
        <v>185</v>
      </c>
      <c r="D213" s="230">
        <v>-9216.52</v>
      </c>
      <c r="E213" s="230"/>
      <c r="F213" s="228">
        <v>8.5000000000000006E-2</v>
      </c>
      <c r="G213" s="245">
        <f t="shared" si="6"/>
        <v>200.85</v>
      </c>
      <c r="H213" s="283"/>
      <c r="I213" s="230">
        <f t="shared" si="0"/>
        <v>-9015.67</v>
      </c>
      <c r="J213" s="229">
        <f t="shared" si="7"/>
        <v>23948.019999999968</v>
      </c>
    </row>
    <row r="214" spans="1:10" collapsed="1" x14ac:dyDescent="0.25">
      <c r="A214" s="253">
        <f t="shared" si="1"/>
        <v>52</v>
      </c>
      <c r="B214" s="227">
        <v>45597</v>
      </c>
      <c r="C214" s="250" t="s">
        <v>186</v>
      </c>
      <c r="D214" s="230">
        <v>-856.50000000000011</v>
      </c>
      <c r="E214" s="230"/>
      <c r="F214" s="228">
        <v>8.5000000000000006E-2</v>
      </c>
      <c r="G214" s="245">
        <f>ROUND((+E214+(D214/2))*F214/12,2)</f>
        <v>-3.03</v>
      </c>
      <c r="H214" s="283"/>
      <c r="I214" s="230">
        <f t="shared" si="0"/>
        <v>-859.53000000000009</v>
      </c>
      <c r="J214" s="229">
        <f t="shared" si="7"/>
        <v>23088.489999999969</v>
      </c>
    </row>
    <row r="215" spans="1:10" x14ac:dyDescent="0.25">
      <c r="A215" s="253">
        <f t="shared" si="1"/>
        <v>53</v>
      </c>
      <c r="B215" s="227">
        <v>45627</v>
      </c>
      <c r="D215" s="230">
        <v>-3659.369999999999</v>
      </c>
      <c r="E215" s="230"/>
      <c r="F215" s="228">
        <v>8.5000000000000006E-2</v>
      </c>
      <c r="G215" s="245">
        <f t="shared" si="6"/>
        <v>150.58000000000001</v>
      </c>
      <c r="H215" s="283"/>
      <c r="I215" s="230">
        <f t="shared" si="0"/>
        <v>-3508.7899999999991</v>
      </c>
      <c r="J215" s="229">
        <f t="shared" si="7"/>
        <v>19579.699999999968</v>
      </c>
    </row>
    <row r="216" spans="1:10" x14ac:dyDescent="0.25">
      <c r="A216" s="253">
        <f t="shared" si="1"/>
        <v>54</v>
      </c>
      <c r="B216" s="227">
        <v>45658</v>
      </c>
      <c r="D216" s="230">
        <v>-3956.41</v>
      </c>
      <c r="E216" s="230"/>
      <c r="F216" s="228">
        <v>8.0399999999999999E-2</v>
      </c>
      <c r="G216" s="245">
        <f t="shared" si="6"/>
        <v>117.93</v>
      </c>
      <c r="H216" s="283"/>
      <c r="I216" s="230">
        <f t="shared" si="0"/>
        <v>-3838.48</v>
      </c>
      <c r="J216" s="229">
        <f t="shared" si="7"/>
        <v>15741.219999999968</v>
      </c>
    </row>
    <row r="217" spans="1:10" x14ac:dyDescent="0.25">
      <c r="A217" s="253">
        <f t="shared" si="1"/>
        <v>55</v>
      </c>
      <c r="B217" s="227">
        <v>45689</v>
      </c>
      <c r="D217" s="230">
        <v>-4338.18</v>
      </c>
      <c r="E217" s="230"/>
      <c r="F217" s="228">
        <v>8.0399999999999999E-2</v>
      </c>
      <c r="G217" s="245">
        <f t="shared" si="6"/>
        <v>90.93</v>
      </c>
      <c r="H217" s="283"/>
      <c r="I217" s="230">
        <f t="shared" si="0"/>
        <v>-4247.25</v>
      </c>
      <c r="J217" s="229">
        <f t="shared" si="7"/>
        <v>11493.969999999968</v>
      </c>
    </row>
    <row r="218" spans="1:10" x14ac:dyDescent="0.25">
      <c r="A218" s="253">
        <f t="shared" si="1"/>
        <v>56</v>
      </c>
      <c r="B218" s="227">
        <v>45717</v>
      </c>
      <c r="D218" s="230">
        <v>-3006.53</v>
      </c>
      <c r="E218" s="230"/>
      <c r="F218" s="228">
        <v>8.0399999999999999E-2</v>
      </c>
      <c r="G218" s="245">
        <f t="shared" si="6"/>
        <v>66.94</v>
      </c>
      <c r="H218" s="283"/>
      <c r="I218" s="230">
        <f t="shared" si="0"/>
        <v>-2939.59</v>
      </c>
      <c r="J218" s="229">
        <f t="shared" si="7"/>
        <v>8554.3799999999683</v>
      </c>
    </row>
    <row r="219" spans="1:10" x14ac:dyDescent="0.25">
      <c r="A219" s="253">
        <f t="shared" si="1"/>
        <v>57</v>
      </c>
      <c r="B219" s="227">
        <v>45748</v>
      </c>
      <c r="D219" s="230">
        <f>'[58]WA AMORT'!$AC$137</f>
        <v>-2101.8500000000004</v>
      </c>
      <c r="E219" s="230"/>
      <c r="F219" s="228">
        <v>7.5499999999999998E-2</v>
      </c>
      <c r="G219" s="245">
        <f t="shared" si="6"/>
        <v>47.21</v>
      </c>
      <c r="H219" s="283"/>
      <c r="I219" s="230">
        <f t="shared" si="0"/>
        <v>-2054.6400000000003</v>
      </c>
      <c r="J219" s="229">
        <f t="shared" si="7"/>
        <v>6499.7399999999679</v>
      </c>
    </row>
    <row r="220" spans="1:10" x14ac:dyDescent="0.25">
      <c r="A220" s="253">
        <f t="shared" si="1"/>
        <v>58</v>
      </c>
      <c r="B220" s="227">
        <v>45778</v>
      </c>
      <c r="C220" s="284"/>
      <c r="D220" s="230">
        <v>-1325.2</v>
      </c>
      <c r="E220" s="230"/>
      <c r="F220" s="228">
        <v>7.5499999999999998E-2</v>
      </c>
      <c r="G220" s="245">
        <f t="shared" si="6"/>
        <v>36.729999999999997</v>
      </c>
      <c r="H220" s="283"/>
      <c r="I220" s="230">
        <f t="shared" si="0"/>
        <v>-1288.47</v>
      </c>
      <c r="J220" s="229">
        <f t="shared" si="7"/>
        <v>5211.2699999999677</v>
      </c>
    </row>
    <row r="221" spans="1:10" x14ac:dyDescent="0.25">
      <c r="A221" s="253">
        <f t="shared" si="1"/>
        <v>59</v>
      </c>
      <c r="B221" s="227">
        <v>45809</v>
      </c>
      <c r="C221" s="284"/>
      <c r="D221" s="230">
        <v>-1007.6900000000002</v>
      </c>
      <c r="E221" s="230"/>
      <c r="F221" s="228">
        <v>7.5499999999999998E-2</v>
      </c>
      <c r="G221" s="245">
        <f t="shared" si="6"/>
        <v>29.62</v>
      </c>
      <c r="H221" s="283"/>
      <c r="I221" s="230">
        <f t="shared" si="0"/>
        <v>-978.07000000000016</v>
      </c>
      <c r="J221" s="229">
        <f t="shared" si="7"/>
        <v>4233.199999999968</v>
      </c>
    </row>
    <row r="222" spans="1:10" x14ac:dyDescent="0.25">
      <c r="A222" s="253">
        <f t="shared" si="1"/>
        <v>60</v>
      </c>
      <c r="B222" s="227">
        <v>45839</v>
      </c>
      <c r="C222" s="284"/>
      <c r="D222" s="230">
        <v>-806.27999999999986</v>
      </c>
      <c r="E222" s="230"/>
      <c r="F222" s="237">
        <v>7.4999999999999997E-2</v>
      </c>
      <c r="G222" s="245">
        <f t="shared" si="6"/>
        <v>23.94</v>
      </c>
      <c r="H222" s="283"/>
      <c r="I222" s="230">
        <f t="shared" si="0"/>
        <v>-782.3399999999998</v>
      </c>
      <c r="J222" s="229">
        <f t="shared" si="7"/>
        <v>3450.8599999999683</v>
      </c>
    </row>
    <row r="223" spans="1:10" x14ac:dyDescent="0.25">
      <c r="A223" s="253">
        <f t="shared" si="1"/>
        <v>61</v>
      </c>
      <c r="B223" s="227">
        <v>45870</v>
      </c>
      <c r="C223" s="284"/>
      <c r="D223" s="230">
        <v>-687.48000000000013</v>
      </c>
      <c r="E223" s="230"/>
      <c r="F223" s="228">
        <v>7.4999999999999997E-2</v>
      </c>
      <c r="G223" s="245">
        <f t="shared" si="6"/>
        <v>19.420000000000002</v>
      </c>
      <c r="H223" s="283"/>
      <c r="I223" s="230">
        <f t="shared" si="0"/>
        <v>-668.06000000000017</v>
      </c>
      <c r="J223" s="229">
        <f t="shared" si="7"/>
        <v>2782.7999999999683</v>
      </c>
    </row>
    <row r="224" spans="1:10" x14ac:dyDescent="0.25">
      <c r="A224" s="253">
        <f t="shared" si="1"/>
        <v>62</v>
      </c>
      <c r="B224" s="227">
        <v>45901</v>
      </c>
      <c r="C224" s="284" t="s">
        <v>188</v>
      </c>
      <c r="D224" s="285">
        <f>'[53]WA AMORT 2024-25'!AH82</f>
        <v>-816.13</v>
      </c>
      <c r="E224" s="230"/>
      <c r="F224" s="228">
        <v>7.4999999999999997E-2</v>
      </c>
      <c r="G224" s="245">
        <f t="shared" si="6"/>
        <v>14.84</v>
      </c>
      <c r="H224" s="283"/>
      <c r="I224" s="230">
        <f t="shared" si="0"/>
        <v>-801.29</v>
      </c>
      <c r="J224" s="229">
        <f t="shared" si="7"/>
        <v>1981.5099999999684</v>
      </c>
    </row>
    <row r="225" spans="1:12" x14ac:dyDescent="0.25">
      <c r="A225" s="253">
        <f t="shared" si="1"/>
        <v>63</v>
      </c>
      <c r="B225" s="227">
        <v>45931</v>
      </c>
      <c r="C225" s="284" t="s">
        <v>188</v>
      </c>
      <c r="D225" s="285">
        <f>'[53]WA AMORT 2024-25'!AT82</f>
        <v>-436.51</v>
      </c>
      <c r="E225" s="230"/>
      <c r="F225" s="228">
        <v>7.4999999999999997E-2</v>
      </c>
      <c r="G225" s="245">
        <f t="shared" si="6"/>
        <v>11.02</v>
      </c>
      <c r="H225" s="283"/>
      <c r="I225" s="230">
        <f t="shared" si="0"/>
        <v>-425.49</v>
      </c>
      <c r="J225" s="229">
        <f t="shared" si="7"/>
        <v>1556.0199999999684</v>
      </c>
    </row>
    <row r="226" spans="1:12" x14ac:dyDescent="0.25">
      <c r="A226" s="253"/>
      <c r="B226" s="227"/>
      <c r="C226" s="284"/>
      <c r="D226" s="285"/>
      <c r="E226" s="230"/>
      <c r="F226" s="228"/>
      <c r="G226" s="245"/>
      <c r="H226" s="283"/>
      <c r="I226" s="230"/>
      <c r="J226" s="229"/>
    </row>
    <row r="227" spans="1:12" x14ac:dyDescent="0.25">
      <c r="A227" s="253"/>
      <c r="B227" s="227"/>
      <c r="C227" s="284"/>
      <c r="D227" s="285"/>
      <c r="E227" s="230"/>
      <c r="F227" s="228"/>
      <c r="G227" s="245"/>
      <c r="H227" s="283"/>
      <c r="I227" s="230"/>
      <c r="J227" s="229"/>
    </row>
    <row r="228" spans="1:12" x14ac:dyDescent="0.25">
      <c r="A228" s="253">
        <f>+A212+1</f>
        <v>51</v>
      </c>
      <c r="B228" s="227"/>
      <c r="D228" s="230"/>
      <c r="E228" s="230"/>
      <c r="F228" s="228"/>
      <c r="G228" s="245"/>
      <c r="H228" s="283"/>
      <c r="I228" s="230"/>
      <c r="J228" s="229"/>
    </row>
    <row r="229" spans="1:12" x14ac:dyDescent="0.25">
      <c r="A229" s="253">
        <f t="shared" ref="A229:A230" si="8">+A228+1</f>
        <v>52</v>
      </c>
      <c r="B229" s="277" t="s">
        <v>189</v>
      </c>
      <c r="D229" s="230"/>
      <c r="E229" s="230"/>
      <c r="F229" s="267"/>
      <c r="G229" s="245"/>
      <c r="H229" s="283"/>
      <c r="I229" s="230"/>
      <c r="J229" s="229"/>
    </row>
    <row r="230" spans="1:12" x14ac:dyDescent="0.25">
      <c r="A230" s="253">
        <f t="shared" si="8"/>
        <v>53</v>
      </c>
      <c r="B230" s="227"/>
      <c r="D230" s="230"/>
      <c r="E230" s="230"/>
      <c r="F230" s="281"/>
      <c r="G230" s="245"/>
      <c r="I230" s="230"/>
      <c r="J230" s="229"/>
    </row>
    <row r="231" spans="1:12" x14ac:dyDescent="0.25">
      <c r="B231" s="227"/>
      <c r="D231" s="230"/>
      <c r="E231" s="230"/>
      <c r="F231" s="281"/>
      <c r="G231" s="245"/>
      <c r="H231" s="282"/>
      <c r="I231" s="230"/>
      <c r="J231" s="229"/>
    </row>
    <row r="232" spans="1:12" x14ac:dyDescent="0.25">
      <c r="A232" s="286"/>
      <c r="B232" s="277"/>
      <c r="F232" s="287"/>
      <c r="H232" s="287"/>
      <c r="I232" s="287"/>
      <c r="J232" s="287"/>
    </row>
    <row r="233" spans="1:12" x14ac:dyDescent="0.25">
      <c r="A233" s="288"/>
      <c r="B233" s="286"/>
      <c r="F233" s="287"/>
      <c r="G233" s="287"/>
      <c r="H233" s="287"/>
      <c r="I233" s="287"/>
      <c r="J233" s="287"/>
    </row>
    <row r="234" spans="1:12" x14ac:dyDescent="0.25">
      <c r="A234" s="289"/>
      <c r="F234" s="287"/>
      <c r="G234" s="287"/>
      <c r="H234" s="287"/>
      <c r="I234" s="287"/>
      <c r="J234" s="287"/>
    </row>
    <row r="235" spans="1:12" x14ac:dyDescent="0.25">
      <c r="A235" s="250"/>
      <c r="D235" s="230"/>
      <c r="F235" s="287"/>
      <c r="G235" s="287"/>
      <c r="H235" s="287"/>
      <c r="I235" s="287"/>
      <c r="J235" s="287"/>
    </row>
    <row r="237" spans="1:12" x14ac:dyDescent="0.25">
      <c r="A237" s="250"/>
    </row>
    <row r="238" spans="1:12" x14ac:dyDescent="0.25">
      <c r="A238" s="250"/>
    </row>
    <row r="240" spans="1:12" x14ac:dyDescent="0.25">
      <c r="L240" s="290"/>
    </row>
    <row r="241" spans="2:13" x14ac:dyDescent="0.25">
      <c r="L241" s="290"/>
    </row>
    <row r="242" spans="2:13" x14ac:dyDescent="0.25">
      <c r="L242" s="290"/>
      <c r="M242" s="282"/>
    </row>
    <row r="246" spans="2:13" x14ac:dyDescent="0.25">
      <c r="B246" s="291"/>
      <c r="C246" s="272"/>
      <c r="D246" s="292"/>
      <c r="E246" s="293"/>
      <c r="F246" s="294"/>
    </row>
    <row r="247" spans="2:13" x14ac:dyDescent="0.25">
      <c r="B247" s="295"/>
      <c r="C247" s="295"/>
      <c r="D247" s="294"/>
      <c r="E247" s="294"/>
      <c r="F247" s="294"/>
    </row>
    <row r="248" spans="2:13" x14ac:dyDescent="0.25">
      <c r="B248" s="295"/>
      <c r="C248" s="231"/>
      <c r="D248" s="294"/>
      <c r="E248" s="294"/>
      <c r="F248" s="294"/>
    </row>
    <row r="249" spans="2:13" x14ac:dyDescent="0.25">
      <c r="B249" s="296"/>
      <c r="C249" s="295"/>
      <c r="D249" s="295"/>
      <c r="E249" s="295"/>
      <c r="F249" s="295"/>
    </row>
    <row r="250" spans="2:13" x14ac:dyDescent="0.25">
      <c r="B250" s="296"/>
      <c r="C250" s="295"/>
      <c r="D250" s="297"/>
      <c r="E250" s="295"/>
      <c r="F250" s="295"/>
    </row>
    <row r="251" spans="2:13" x14ac:dyDescent="0.25">
      <c r="B251" s="296"/>
      <c r="C251" s="295"/>
      <c r="D251" s="298"/>
      <c r="E251" s="295"/>
      <c r="F251" s="295"/>
    </row>
    <row r="252" spans="2:13" x14ac:dyDescent="0.25">
      <c r="B252" s="296"/>
      <c r="C252" s="295"/>
      <c r="D252" s="299"/>
      <c r="E252" s="300"/>
      <c r="F252" s="301"/>
    </row>
    <row r="253" spans="2:13" x14ac:dyDescent="0.25">
      <c r="B253" s="295"/>
      <c r="C253" s="295"/>
      <c r="D253" s="295"/>
      <c r="E253" s="295"/>
      <c r="F253" s="295"/>
    </row>
    <row r="254" spans="2:13" x14ac:dyDescent="0.25">
      <c r="B254" s="728"/>
      <c r="C254" s="728"/>
      <c r="D254" s="728"/>
      <c r="E254" s="728"/>
      <c r="F254" s="728"/>
    </row>
    <row r="255" spans="2:13" x14ac:dyDescent="0.25">
      <c r="B255" s="728"/>
      <c r="C255" s="728"/>
      <c r="D255" s="728"/>
      <c r="E255" s="728"/>
      <c r="F255" s="728"/>
    </row>
    <row r="256" spans="2:13" x14ac:dyDescent="0.25">
      <c r="B256" s="295"/>
      <c r="C256" s="295"/>
      <c r="D256" s="295"/>
      <c r="E256" s="295"/>
      <c r="F256" s="295"/>
      <c r="G256" s="295"/>
    </row>
    <row r="257" spans="2:7" x14ac:dyDescent="0.25">
      <c r="B257" s="295"/>
      <c r="C257" s="295"/>
      <c r="D257" s="302"/>
      <c r="E257" s="302"/>
      <c r="F257" s="302"/>
      <c r="G257" s="302"/>
    </row>
    <row r="258" spans="2:7" x14ac:dyDescent="0.25">
      <c r="B258" s="296"/>
      <c r="C258" s="295"/>
      <c r="D258" s="294"/>
      <c r="E258" s="294"/>
      <c r="F258" s="294"/>
      <c r="G258" s="294"/>
    </row>
    <row r="259" spans="2:7" x14ac:dyDescent="0.25">
      <c r="B259" s="295"/>
      <c r="C259" s="295"/>
      <c r="D259" s="303"/>
      <c r="E259" s="303"/>
      <c r="F259" s="303"/>
      <c r="G259" s="294"/>
    </row>
    <row r="260" spans="2:7" x14ac:dyDescent="0.25">
      <c r="B260" s="295"/>
      <c r="C260" s="295"/>
      <c r="D260" s="303"/>
      <c r="E260" s="303"/>
      <c r="F260" s="303"/>
      <c r="G260" s="294"/>
    </row>
    <row r="261" spans="2:7" x14ac:dyDescent="0.25">
      <c r="B261" s="295"/>
      <c r="C261" s="295"/>
      <c r="D261" s="303"/>
      <c r="E261" s="303"/>
      <c r="F261" s="303"/>
      <c r="G261" s="303"/>
    </row>
    <row r="262" spans="2:7" x14ac:dyDescent="0.25">
      <c r="B262" s="295"/>
      <c r="C262" s="295"/>
      <c r="D262" s="303"/>
      <c r="E262" s="303"/>
      <c r="F262" s="303"/>
      <c r="G262" s="294"/>
    </row>
    <row r="263" spans="2:7" x14ac:dyDescent="0.25">
      <c r="B263" s="295"/>
      <c r="C263" s="295"/>
      <c r="D263" s="303"/>
      <c r="E263" s="303"/>
      <c r="F263" s="303"/>
      <c r="G263" s="294"/>
    </row>
    <row r="264" spans="2:7" x14ac:dyDescent="0.25">
      <c r="B264" s="295"/>
      <c r="C264" s="231"/>
      <c r="D264" s="303"/>
      <c r="E264" s="303"/>
      <c r="F264" s="303"/>
      <c r="G264" s="303"/>
    </row>
    <row r="265" spans="2:7" x14ac:dyDescent="0.25">
      <c r="B265" s="295"/>
      <c r="C265" s="295"/>
      <c r="D265" s="297"/>
      <c r="E265" s="297"/>
      <c r="F265" s="297"/>
      <c r="G265" s="294"/>
    </row>
    <row r="266" spans="2:7" x14ac:dyDescent="0.25">
      <c r="B266" s="296"/>
      <c r="C266" s="295"/>
      <c r="D266" s="297"/>
      <c r="E266" s="297"/>
      <c r="F266" s="297"/>
      <c r="G266" s="294"/>
    </row>
    <row r="267" spans="2:7" x14ac:dyDescent="0.25">
      <c r="B267" s="295"/>
      <c r="C267" s="295"/>
      <c r="D267" s="298"/>
      <c r="E267" s="298"/>
      <c r="F267" s="298"/>
      <c r="G267" s="294"/>
    </row>
    <row r="268" spans="2:7" x14ac:dyDescent="0.25">
      <c r="B268" s="295"/>
      <c r="C268" s="295"/>
      <c r="D268" s="298"/>
      <c r="E268" s="298"/>
      <c r="F268" s="298"/>
      <c r="G268" s="294"/>
    </row>
    <row r="269" spans="2:7" x14ac:dyDescent="0.25">
      <c r="B269" s="295"/>
      <c r="C269" s="295"/>
      <c r="D269" s="298"/>
      <c r="E269" s="298"/>
      <c r="F269" s="298"/>
      <c r="G269" s="303"/>
    </row>
    <row r="270" spans="2:7" x14ac:dyDescent="0.25">
      <c r="B270" s="295"/>
      <c r="C270" s="295"/>
      <c r="D270" s="298"/>
      <c r="E270" s="298"/>
      <c r="F270" s="298"/>
      <c r="G270" s="294"/>
    </row>
    <row r="271" spans="2:7" x14ac:dyDescent="0.25">
      <c r="B271" s="295"/>
      <c r="C271" s="295"/>
      <c r="D271" s="298"/>
      <c r="E271" s="298"/>
      <c r="F271" s="298"/>
      <c r="G271" s="294"/>
    </row>
    <row r="272" spans="2:7" ht="13" x14ac:dyDescent="0.3">
      <c r="B272" s="295"/>
      <c r="C272" s="231"/>
      <c r="D272" s="304"/>
      <c r="E272" s="304"/>
      <c r="F272" s="304"/>
      <c r="G272" s="303"/>
    </row>
    <row r="273" spans="2:12" x14ac:dyDescent="0.25">
      <c r="B273" s="295"/>
      <c r="C273" s="295"/>
      <c r="D273" s="298"/>
      <c r="E273" s="298"/>
      <c r="F273" s="298"/>
      <c r="G273" s="298"/>
    </row>
    <row r="274" spans="2:12" x14ac:dyDescent="0.25">
      <c r="B274" s="296"/>
      <c r="C274" s="295"/>
      <c r="D274" s="298"/>
      <c r="E274" s="298"/>
      <c r="F274" s="298"/>
      <c r="G274" s="298"/>
    </row>
    <row r="275" spans="2:12" x14ac:dyDescent="0.25">
      <c r="B275" s="295"/>
      <c r="C275" s="295"/>
      <c r="D275" s="298"/>
      <c r="E275" s="298"/>
      <c r="F275" s="298"/>
      <c r="G275" s="294"/>
    </row>
    <row r="276" spans="2:12" x14ac:dyDescent="0.25">
      <c r="B276" s="295"/>
      <c r="C276" s="295"/>
      <c r="D276" s="298"/>
      <c r="E276" s="298"/>
      <c r="F276" s="298"/>
      <c r="G276" s="294"/>
    </row>
    <row r="277" spans="2:12" x14ac:dyDescent="0.25">
      <c r="B277" s="295"/>
      <c r="C277" s="295"/>
      <c r="D277" s="298"/>
      <c r="E277" s="298"/>
      <c r="F277" s="298"/>
      <c r="G277" s="303"/>
    </row>
    <row r="278" spans="2:12" x14ac:dyDescent="0.25">
      <c r="B278" s="295"/>
      <c r="C278" s="295"/>
      <c r="D278" s="298"/>
      <c r="E278" s="298"/>
      <c r="F278" s="298"/>
      <c r="G278" s="294"/>
    </row>
    <row r="279" spans="2:12" x14ac:dyDescent="0.25">
      <c r="B279" s="295"/>
      <c r="C279" s="295"/>
      <c r="D279" s="298"/>
      <c r="E279" s="298"/>
      <c r="F279" s="298"/>
      <c r="G279" s="294"/>
    </row>
    <row r="280" spans="2:12" x14ac:dyDescent="0.25">
      <c r="B280" s="295"/>
      <c r="C280" s="231"/>
      <c r="D280" s="303"/>
      <c r="E280" s="303"/>
      <c r="F280" s="303"/>
      <c r="G280" s="303"/>
    </row>
    <row r="281" spans="2:12" x14ac:dyDescent="0.25">
      <c r="B281" s="295"/>
      <c r="C281" s="295"/>
      <c r="D281" s="297"/>
      <c r="E281" s="297"/>
      <c r="F281" s="297"/>
      <c r="G281" s="294"/>
      <c r="L281" s="727"/>
    </row>
    <row r="282" spans="2:12" x14ac:dyDescent="0.25">
      <c r="B282" s="295"/>
      <c r="C282" s="295"/>
      <c r="D282" s="297"/>
      <c r="E282" s="297"/>
      <c r="F282" s="297"/>
      <c r="G282" s="294"/>
      <c r="L282" s="727"/>
    </row>
    <row r="283" spans="2:12" x14ac:dyDescent="0.25">
      <c r="B283" s="295"/>
      <c r="C283" s="231"/>
      <c r="D283" s="305"/>
      <c r="E283" s="305"/>
      <c r="F283" s="294"/>
      <c r="G283" s="294"/>
      <c r="L283" s="727"/>
    </row>
    <row r="284" spans="2:12" x14ac:dyDescent="0.25">
      <c r="B284" s="295"/>
      <c r="C284" s="231"/>
      <c r="D284" s="303"/>
      <c r="E284" s="303"/>
      <c r="F284" s="294"/>
      <c r="G284" s="294"/>
      <c r="L284" s="727"/>
    </row>
    <row r="285" spans="2:12" ht="13.15" hidden="1" customHeight="1" x14ac:dyDescent="0.25">
      <c r="B285" s="306"/>
      <c r="C285" s="294"/>
      <c r="D285" s="294"/>
      <c r="E285" s="294"/>
      <c r="F285" s="294"/>
      <c r="G285" s="294"/>
    </row>
    <row r="286" spans="2:12" ht="13.15" hidden="1" customHeight="1" x14ac:dyDescent="0.25">
      <c r="B286" s="291"/>
      <c r="C286" s="307"/>
      <c r="D286" s="292"/>
      <c r="E286" s="292"/>
      <c r="F286" s="293"/>
      <c r="G286" s="294"/>
    </row>
    <row r="287" spans="2:12" ht="13.15" hidden="1" customHeight="1" x14ac:dyDescent="0.25">
      <c r="B287" s="291"/>
      <c r="C287" s="272"/>
      <c r="D287" s="292"/>
      <c r="E287" s="292"/>
      <c r="F287" s="293"/>
      <c r="G287" s="294"/>
    </row>
    <row r="288" spans="2:12" ht="13.15" hidden="1" customHeight="1" x14ac:dyDescent="0.25">
      <c r="B288" s="291"/>
      <c r="C288" s="272"/>
      <c r="D288" s="292"/>
      <c r="E288" s="292"/>
      <c r="F288" s="308"/>
      <c r="G288" s="294"/>
    </row>
    <row r="289" spans="2:7" ht="13.15" hidden="1" customHeight="1" x14ac:dyDescent="0.25">
      <c r="B289" s="291"/>
      <c r="C289" s="309"/>
      <c r="D289" s="309"/>
      <c r="E289" s="309"/>
      <c r="F289" s="309"/>
      <c r="G289" s="294"/>
    </row>
    <row r="290" spans="2:7" ht="13.15" hidden="1" customHeight="1" x14ac:dyDescent="0.25">
      <c r="B290" s="291"/>
      <c r="C290" s="310"/>
      <c r="D290" s="309"/>
      <c r="E290" s="309"/>
      <c r="F290" s="307"/>
      <c r="G290" s="294"/>
    </row>
    <row r="291" spans="2:7" ht="13.15" hidden="1" customHeight="1" x14ac:dyDescent="0.25">
      <c r="B291" s="291"/>
      <c r="C291" s="272"/>
      <c r="D291" s="292"/>
      <c r="E291" s="292"/>
      <c r="F291" s="293"/>
      <c r="G291" s="294"/>
    </row>
    <row r="292" spans="2:7" ht="13.15" hidden="1" customHeight="1" x14ac:dyDescent="0.25">
      <c r="B292" s="311"/>
      <c r="C292" s="272"/>
      <c r="D292" s="292"/>
      <c r="E292" s="292"/>
      <c r="F292" s="293"/>
      <c r="G292" s="294"/>
    </row>
    <row r="293" spans="2:7" ht="13.15" hidden="1" customHeight="1" x14ac:dyDescent="0.25">
      <c r="B293" s="291"/>
      <c r="C293" s="309"/>
      <c r="D293" s="309"/>
      <c r="E293" s="309"/>
      <c r="F293" s="309"/>
      <c r="G293" s="294"/>
    </row>
    <row r="294" spans="2:7" ht="13.15" hidden="1" customHeight="1" x14ac:dyDescent="0.25">
      <c r="B294" s="291"/>
      <c r="C294" s="272"/>
      <c r="D294" s="292"/>
      <c r="E294" s="292"/>
      <c r="F294" s="293"/>
      <c r="G294" s="294"/>
    </row>
    <row r="295" spans="2:7" x14ac:dyDescent="0.25">
      <c r="B295" s="295"/>
      <c r="C295" s="295"/>
      <c r="D295" s="294"/>
      <c r="E295" s="294"/>
      <c r="F295" s="294"/>
      <c r="G295" s="294"/>
    </row>
    <row r="296" spans="2:7" x14ac:dyDescent="0.25">
      <c r="B296" s="295"/>
      <c r="C296" s="231"/>
      <c r="D296" s="294"/>
      <c r="E296" s="294"/>
      <c r="F296" s="294"/>
      <c r="G296" s="294"/>
    </row>
    <row r="297" spans="2:7" x14ac:dyDescent="0.25">
      <c r="B297" s="295"/>
      <c r="C297" s="231"/>
      <c r="D297" s="294"/>
      <c r="E297" s="294"/>
      <c r="F297" s="294"/>
      <c r="G297" s="294"/>
    </row>
    <row r="298" spans="2:7" x14ac:dyDescent="0.25">
      <c r="B298" s="295"/>
      <c r="C298" s="231"/>
      <c r="D298" s="294"/>
      <c r="E298" s="294"/>
      <c r="F298" s="294"/>
      <c r="G298" s="294"/>
    </row>
    <row r="299" spans="2:7" x14ac:dyDescent="0.25">
      <c r="B299" s="295"/>
      <c r="C299" s="295"/>
      <c r="D299" s="294"/>
      <c r="E299" s="294"/>
      <c r="F299" s="294"/>
      <c r="G299" s="294"/>
    </row>
    <row r="300" spans="2:7" x14ac:dyDescent="0.25">
      <c r="B300" s="295"/>
      <c r="C300" s="296"/>
      <c r="D300" s="294"/>
      <c r="E300" s="312"/>
      <c r="F300" s="312"/>
      <c r="G300" s="294"/>
    </row>
    <row r="322" spans="8:8" x14ac:dyDescent="0.25">
      <c r="H322" s="245"/>
    </row>
    <row r="353" spans="2:7" x14ac:dyDescent="0.25">
      <c r="G353" s="313"/>
    </row>
    <row r="358" spans="2:7" x14ac:dyDescent="0.25">
      <c r="E358" s="245"/>
    </row>
    <row r="363" spans="2:7" x14ac:dyDescent="0.25">
      <c r="B363" s="227"/>
    </row>
    <row r="364" spans="2:7" x14ac:dyDescent="0.25">
      <c r="B364" s="227"/>
      <c r="D364" s="290"/>
    </row>
    <row r="365" spans="2:7" x14ac:dyDescent="0.25">
      <c r="B365" s="227"/>
    </row>
    <row r="366" spans="2:7" x14ac:dyDescent="0.25">
      <c r="B366" s="227"/>
    </row>
    <row r="367" spans="2:7" x14ac:dyDescent="0.25">
      <c r="B367" s="227"/>
    </row>
    <row r="368" spans="2:7" x14ac:dyDescent="0.25">
      <c r="B368" s="227"/>
    </row>
    <row r="369" spans="2:2" x14ac:dyDescent="0.25">
      <c r="B369" s="227"/>
    </row>
    <row r="370" spans="2:2" x14ac:dyDescent="0.25">
      <c r="B370" s="227"/>
    </row>
    <row r="371" spans="2:2" x14ac:dyDescent="0.25">
      <c r="B371" s="227"/>
    </row>
    <row r="372" spans="2:2" x14ac:dyDescent="0.25">
      <c r="B372" s="227"/>
    </row>
    <row r="373" spans="2:2" x14ac:dyDescent="0.25">
      <c r="B373" s="227"/>
    </row>
    <row r="374" spans="2:2" x14ac:dyDescent="0.25">
      <c r="B374" s="227"/>
    </row>
  </sheetData>
  <mergeCells count="2">
    <mergeCell ref="B254:F255"/>
    <mergeCell ref="L281:L284"/>
  </mergeCells>
  <pageMargins left="0.5" right="0.5" top="0.5" bottom="0.25" header="0.25" footer="0.25"/>
  <pageSetup scale="97" orientation="landscape" r:id="rId1"/>
  <headerFooter alignWithMargins="0">
    <oddHeader xml:space="preserve">&amp;RUG-250711 - NWN WUTC Advice No. 25-06A
Exhibit A - Supporting Materials
Page &amp;P of &amp;N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799F-139D-4FA5-811B-3B14794F9EF6}">
  <sheetPr>
    <tabColor theme="0" tint="-0.14999847407452621"/>
    <pageSetUpPr fitToPage="1"/>
  </sheetPr>
  <dimension ref="A1:K227"/>
  <sheetViews>
    <sheetView view="pageBreakPreview" zoomScale="90" zoomScaleNormal="100" zoomScaleSheetLayoutView="90" workbookViewId="0">
      <selection activeCell="F38" sqref="F38"/>
    </sheetView>
  </sheetViews>
  <sheetFormatPr defaultColWidth="8.453125" defaultRowHeight="12.5" outlineLevelRow="1" x14ac:dyDescent="0.25"/>
  <cols>
    <col min="1" max="1" width="4.26953125" style="249" customWidth="1"/>
    <col min="2" max="2" width="14.26953125" style="250" customWidth="1"/>
    <col min="3" max="3" width="13.81640625" style="250" customWidth="1"/>
    <col min="4" max="4" width="22.26953125" style="250" customWidth="1"/>
    <col min="5" max="19" width="14.26953125" style="250" customWidth="1"/>
    <col min="20" max="16384" width="8.453125" style="250"/>
  </cols>
  <sheetData>
    <row r="1" spans="1:9" x14ac:dyDescent="0.25">
      <c r="B1" s="250" t="s">
        <v>161</v>
      </c>
      <c r="D1" s="250" t="s">
        <v>162</v>
      </c>
    </row>
    <row r="2" spans="1:9" x14ac:dyDescent="0.25">
      <c r="B2" s="250" t="s">
        <v>163</v>
      </c>
      <c r="D2" s="250" t="s">
        <v>201</v>
      </c>
    </row>
    <row r="3" spans="1:9" x14ac:dyDescent="0.25">
      <c r="B3" s="250" t="s">
        <v>164</v>
      </c>
      <c r="D3" s="251" t="s">
        <v>207</v>
      </c>
    </row>
    <row r="4" spans="1:9" x14ac:dyDescent="0.25">
      <c r="B4" s="250" t="s">
        <v>166</v>
      </c>
      <c r="D4" s="252">
        <v>151887</v>
      </c>
    </row>
    <row r="6" spans="1:9" x14ac:dyDescent="0.25">
      <c r="A6" s="253"/>
      <c r="B6" s="250" t="s">
        <v>167</v>
      </c>
      <c r="G6" s="254"/>
    </row>
    <row r="7" spans="1:9" ht="13.15" hidden="1" customHeight="1" x14ac:dyDescent="0.25">
      <c r="A7" s="253"/>
      <c r="B7" s="255"/>
      <c r="C7" s="255"/>
      <c r="D7" s="256"/>
      <c r="E7" s="255"/>
      <c r="F7" s="255"/>
      <c r="G7" s="257"/>
      <c r="H7" s="255"/>
      <c r="I7" s="255"/>
    </row>
    <row r="8" spans="1:9" ht="13.15" hidden="1" customHeight="1" x14ac:dyDescent="0.25">
      <c r="A8" s="253"/>
      <c r="B8" s="255"/>
      <c r="C8" s="255"/>
      <c r="D8" s="256"/>
      <c r="E8" s="255"/>
      <c r="F8" s="255"/>
      <c r="G8" s="257"/>
      <c r="H8" s="255"/>
      <c r="I8" s="255"/>
    </row>
    <row r="9" spans="1:9" ht="13.15" hidden="1" customHeight="1" x14ac:dyDescent="0.25">
      <c r="A9" s="253"/>
      <c r="B9" s="255"/>
      <c r="C9" s="255"/>
      <c r="D9" s="256"/>
      <c r="E9" s="255"/>
      <c r="F9" s="255"/>
      <c r="G9" s="257"/>
      <c r="H9" s="255"/>
      <c r="I9" s="255"/>
    </row>
    <row r="10" spans="1:9" ht="13.15" hidden="1" customHeight="1" x14ac:dyDescent="0.25">
      <c r="A10" s="253"/>
      <c r="B10" s="255"/>
      <c r="C10" s="255"/>
      <c r="D10" s="256"/>
      <c r="E10" s="255"/>
      <c r="F10" s="255"/>
      <c r="G10" s="257"/>
      <c r="H10" s="255"/>
      <c r="I10" s="255"/>
    </row>
    <row r="11" spans="1:9" ht="13.15" hidden="1" customHeight="1" x14ac:dyDescent="0.25">
      <c r="A11" s="253"/>
      <c r="B11" s="255"/>
      <c r="C11" s="255"/>
      <c r="D11" s="256"/>
      <c r="E11" s="255"/>
      <c r="F11" s="255"/>
      <c r="G11" s="257"/>
      <c r="H11" s="255"/>
      <c r="I11" s="255"/>
    </row>
    <row r="12" spans="1:9" ht="13.15" hidden="1" customHeight="1" x14ac:dyDescent="0.25">
      <c r="A12" s="253"/>
      <c r="B12" s="255"/>
      <c r="C12" s="255"/>
      <c r="D12" s="256"/>
      <c r="E12" s="255"/>
      <c r="F12" s="255"/>
      <c r="G12" s="257"/>
      <c r="H12" s="255"/>
      <c r="I12" s="255"/>
    </row>
    <row r="13" spans="1:9" ht="13.15" hidden="1" customHeight="1" x14ac:dyDescent="0.25">
      <c r="A13" s="253"/>
      <c r="B13" s="255"/>
      <c r="C13" s="255"/>
      <c r="D13" s="256"/>
      <c r="E13" s="255"/>
      <c r="F13" s="255"/>
      <c r="G13" s="257"/>
      <c r="H13" s="255"/>
      <c r="I13" s="255"/>
    </row>
    <row r="14" spans="1:9" ht="13.15" hidden="1" customHeight="1" x14ac:dyDescent="0.25">
      <c r="A14" s="253"/>
      <c r="B14" s="258" t="s">
        <v>203</v>
      </c>
      <c r="C14" s="255"/>
      <c r="D14" s="256"/>
      <c r="E14" s="255"/>
      <c r="F14" s="255"/>
      <c r="G14" s="257"/>
      <c r="H14" s="255"/>
      <c r="I14" s="255"/>
    </row>
    <row r="15" spans="1:9" ht="13.15" hidden="1" customHeight="1" x14ac:dyDescent="0.25">
      <c r="A15" s="253"/>
      <c r="B15" s="255"/>
      <c r="C15" s="255"/>
      <c r="D15" s="256"/>
      <c r="E15" s="255"/>
      <c r="F15" s="255"/>
      <c r="G15" s="257"/>
      <c r="H15" s="255"/>
      <c r="I15" s="255"/>
    </row>
    <row r="16" spans="1:9" ht="13.15" hidden="1" customHeight="1" x14ac:dyDescent="0.25">
      <c r="A16" s="253"/>
      <c r="B16" s="255"/>
      <c r="C16" s="255"/>
      <c r="D16" s="256"/>
      <c r="E16" s="255"/>
      <c r="F16" s="255"/>
      <c r="G16" s="257"/>
      <c r="H16" s="255"/>
      <c r="I16" s="255"/>
    </row>
    <row r="17" spans="1:9" ht="13.15" hidden="1" customHeight="1" x14ac:dyDescent="0.25">
      <c r="A17" s="253"/>
      <c r="B17" s="255"/>
      <c r="C17" s="255"/>
      <c r="D17" s="256"/>
      <c r="E17" s="255"/>
      <c r="F17" s="255"/>
      <c r="G17" s="257"/>
      <c r="H17" s="255"/>
      <c r="I17" s="255"/>
    </row>
    <row r="18" spans="1:9" ht="13.15" hidden="1" customHeight="1" x14ac:dyDescent="0.25">
      <c r="A18" s="253"/>
      <c r="B18" s="255"/>
      <c r="C18" s="255"/>
      <c r="D18" s="256"/>
      <c r="E18" s="255"/>
      <c r="F18" s="255"/>
      <c r="G18" s="257"/>
      <c r="H18" s="255"/>
      <c r="I18" s="255"/>
    </row>
    <row r="19" spans="1:9" ht="13.15" hidden="1" customHeight="1" x14ac:dyDescent="0.25">
      <c r="A19" s="253"/>
      <c r="B19" s="255"/>
      <c r="C19" s="255"/>
      <c r="D19" s="256"/>
      <c r="E19" s="255"/>
      <c r="F19" s="255"/>
      <c r="G19" s="257"/>
      <c r="H19" s="255"/>
      <c r="I19" s="255"/>
    </row>
    <row r="20" spans="1:9" ht="13.15" hidden="1" customHeight="1" x14ac:dyDescent="0.25">
      <c r="A20" s="253"/>
      <c r="B20" s="255"/>
      <c r="C20" s="255"/>
      <c r="D20" s="256"/>
      <c r="E20" s="255"/>
      <c r="F20" s="255"/>
      <c r="G20" s="257"/>
      <c r="H20" s="255"/>
      <c r="I20" s="255"/>
    </row>
    <row r="21" spans="1:9" ht="13.15" hidden="1" customHeight="1" x14ac:dyDescent="0.25">
      <c r="A21" s="253"/>
      <c r="B21" s="255"/>
      <c r="C21" s="255"/>
      <c r="D21" s="256"/>
      <c r="E21" s="255"/>
      <c r="F21" s="255"/>
      <c r="G21" s="257"/>
      <c r="H21" s="255"/>
      <c r="I21" s="255"/>
    </row>
    <row r="22" spans="1:9" ht="13.15" hidden="1" customHeight="1" x14ac:dyDescent="0.25">
      <c r="A22" s="253"/>
      <c r="B22" s="255"/>
      <c r="C22" s="255"/>
      <c r="D22" s="256"/>
      <c r="E22" s="255"/>
      <c r="F22" s="255"/>
      <c r="G22" s="257"/>
      <c r="H22" s="255"/>
      <c r="I22" s="255"/>
    </row>
    <row r="23" spans="1:9" ht="13.15" hidden="1" customHeight="1" x14ac:dyDescent="0.25">
      <c r="A23" s="253"/>
      <c r="B23" s="255"/>
      <c r="C23" s="255"/>
      <c r="D23" s="256"/>
      <c r="E23" s="255"/>
      <c r="F23" s="255"/>
      <c r="G23" s="257"/>
      <c r="H23" s="255"/>
      <c r="I23" s="255"/>
    </row>
    <row r="24" spans="1:9" ht="13.15" hidden="1" customHeight="1" x14ac:dyDescent="0.25">
      <c r="A24" s="253"/>
      <c r="B24" s="255"/>
      <c r="C24" s="255"/>
      <c r="D24" s="256"/>
      <c r="E24" s="255"/>
      <c r="F24" s="255"/>
      <c r="G24" s="257"/>
      <c r="H24" s="255"/>
      <c r="I24" s="255"/>
    </row>
    <row r="25" spans="1:9" ht="13.15" hidden="1" customHeight="1" x14ac:dyDescent="0.25">
      <c r="A25" s="253"/>
      <c r="B25" s="255"/>
      <c r="C25" s="255"/>
      <c r="D25" s="256"/>
      <c r="E25" s="255"/>
      <c r="F25" s="255"/>
      <c r="G25" s="257"/>
      <c r="H25" s="255"/>
      <c r="I25" s="255"/>
    </row>
    <row r="26" spans="1:9" ht="13.15" hidden="1" customHeight="1" x14ac:dyDescent="0.25">
      <c r="A26" s="253"/>
      <c r="B26" s="257"/>
      <c r="C26" s="257"/>
      <c r="D26" s="259"/>
      <c r="E26" s="257"/>
      <c r="F26" s="257"/>
      <c r="G26" s="257"/>
      <c r="H26" s="257"/>
      <c r="I26" s="257"/>
    </row>
    <row r="27" spans="1:9" x14ac:dyDescent="0.25">
      <c r="A27" s="253"/>
      <c r="B27" s="254"/>
      <c r="C27" s="254"/>
      <c r="D27" s="254"/>
      <c r="E27" s="254"/>
      <c r="F27" s="254"/>
      <c r="G27" s="254"/>
      <c r="H27" s="254"/>
      <c r="I27" s="254"/>
    </row>
    <row r="28" spans="1:9" x14ac:dyDescent="0.25">
      <c r="A28" s="253"/>
      <c r="B28" s="260" t="s">
        <v>168</v>
      </c>
      <c r="C28" s="260" t="s">
        <v>169</v>
      </c>
      <c r="D28" s="260" t="s">
        <v>195</v>
      </c>
      <c r="E28" s="260" t="s">
        <v>171</v>
      </c>
      <c r="F28" s="260" t="s">
        <v>172</v>
      </c>
      <c r="G28" s="260" t="s">
        <v>173</v>
      </c>
      <c r="H28" s="260" t="s">
        <v>174</v>
      </c>
      <c r="I28" s="260" t="s">
        <v>175</v>
      </c>
    </row>
    <row r="29" spans="1:9" x14ac:dyDescent="0.25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 t="s">
        <v>182</v>
      </c>
      <c r="I29" s="254" t="s">
        <v>183</v>
      </c>
    </row>
    <row r="30" spans="1:9" ht="13.15" hidden="1" customHeight="1" outlineLevel="1" x14ac:dyDescent="0.25">
      <c r="A30" s="253"/>
      <c r="B30" s="261"/>
      <c r="C30" s="261"/>
      <c r="D30" s="261"/>
      <c r="E30" s="261"/>
      <c r="F30" s="261"/>
      <c r="G30" s="261"/>
      <c r="H30" s="261"/>
      <c r="I30" s="261"/>
    </row>
    <row r="31" spans="1:9" ht="13.15" hidden="1" customHeight="1" outlineLevel="1" x14ac:dyDescent="0.25">
      <c r="A31" s="253"/>
      <c r="B31" s="262" t="s">
        <v>204</v>
      </c>
      <c r="C31" s="261"/>
      <c r="D31" s="261"/>
      <c r="E31" s="261"/>
      <c r="F31" s="261"/>
      <c r="G31" s="261"/>
      <c r="H31" s="261"/>
      <c r="I31" s="261"/>
    </row>
    <row r="32" spans="1:9" ht="13.15" hidden="1" customHeight="1" outlineLevel="1" x14ac:dyDescent="0.25">
      <c r="A32" s="253"/>
      <c r="B32" s="261"/>
      <c r="C32" s="261"/>
      <c r="D32" s="261"/>
      <c r="E32" s="261"/>
      <c r="F32" s="261"/>
      <c r="G32" s="261"/>
      <c r="H32" s="261"/>
      <c r="I32" s="261"/>
    </row>
    <row r="33" spans="1:9" ht="13.15" hidden="1" customHeight="1" outlineLevel="1" x14ac:dyDescent="0.25">
      <c r="A33" s="253"/>
      <c r="B33" s="261"/>
      <c r="C33" s="261"/>
      <c r="D33" s="261"/>
      <c r="E33" s="261"/>
      <c r="F33" s="261"/>
      <c r="G33" s="261"/>
      <c r="H33" s="261"/>
      <c r="I33" s="261"/>
    </row>
    <row r="34" spans="1:9" ht="13.15" hidden="1" customHeight="1" outlineLevel="1" x14ac:dyDescent="0.25">
      <c r="A34" s="253"/>
      <c r="B34" s="261"/>
      <c r="C34" s="261"/>
      <c r="D34" s="261"/>
      <c r="E34" s="261"/>
      <c r="F34" s="261"/>
      <c r="G34" s="261"/>
      <c r="H34" s="261"/>
      <c r="I34" s="261"/>
    </row>
    <row r="35" spans="1:9" ht="13.15" hidden="1" customHeight="1" outlineLevel="1" x14ac:dyDescent="0.25">
      <c r="A35" s="253"/>
      <c r="B35" s="261"/>
      <c r="C35" s="261"/>
      <c r="D35" s="261"/>
      <c r="E35" s="261"/>
      <c r="F35" s="261"/>
      <c r="G35" s="261"/>
      <c r="H35" s="261"/>
      <c r="I35" s="261"/>
    </row>
    <row r="36" spans="1:9" ht="13.15" hidden="1" customHeight="1" outlineLevel="1" x14ac:dyDescent="0.25">
      <c r="A36" s="253"/>
      <c r="B36" s="261"/>
      <c r="C36" s="261"/>
      <c r="D36" s="261"/>
      <c r="E36" s="261"/>
      <c r="F36" s="261"/>
      <c r="G36" s="261"/>
      <c r="H36" s="261"/>
      <c r="I36" s="261"/>
    </row>
    <row r="37" spans="1:9" ht="13.15" hidden="1" customHeight="1" outlineLevel="1" x14ac:dyDescent="0.25">
      <c r="A37" s="253"/>
      <c r="B37" s="261"/>
      <c r="C37" s="261"/>
      <c r="D37" s="261"/>
      <c r="E37" s="261"/>
      <c r="F37" s="261"/>
      <c r="G37" s="261"/>
      <c r="H37" s="261"/>
      <c r="I37" s="261"/>
    </row>
    <row r="38" spans="1:9" ht="13.15" hidden="1" customHeight="1" outlineLevel="1" x14ac:dyDescent="0.25">
      <c r="A38" s="253"/>
      <c r="B38" s="261"/>
      <c r="C38" s="261"/>
      <c r="D38" s="261"/>
      <c r="E38" s="261"/>
      <c r="F38" s="261"/>
      <c r="G38" s="261"/>
      <c r="H38" s="261"/>
      <c r="I38" s="261"/>
    </row>
    <row r="39" spans="1:9" ht="13.15" hidden="1" customHeight="1" outlineLevel="1" x14ac:dyDescent="0.25">
      <c r="A39" s="253"/>
      <c r="B39" s="261"/>
      <c r="C39" s="261"/>
      <c r="D39" s="261"/>
      <c r="E39" s="261"/>
      <c r="F39" s="261"/>
      <c r="G39" s="261"/>
      <c r="H39" s="261"/>
      <c r="I39" s="261"/>
    </row>
    <row r="40" spans="1:9" ht="13.15" hidden="1" customHeight="1" outlineLevel="1" x14ac:dyDescent="0.25">
      <c r="A40" s="253"/>
      <c r="B40" s="261"/>
      <c r="C40" s="261"/>
      <c r="D40" s="261"/>
      <c r="E40" s="261"/>
      <c r="F40" s="261"/>
      <c r="G40" s="261"/>
      <c r="H40" s="261"/>
      <c r="I40" s="261"/>
    </row>
    <row r="41" spans="1:9" ht="13.15" hidden="1" customHeight="1" outlineLevel="1" x14ac:dyDescent="0.25">
      <c r="A41" s="253"/>
      <c r="B41" s="261"/>
      <c r="C41" s="261"/>
      <c r="D41" s="261"/>
      <c r="E41" s="261"/>
      <c r="F41" s="261"/>
      <c r="G41" s="261"/>
      <c r="H41" s="261"/>
      <c r="I41" s="261"/>
    </row>
    <row r="42" spans="1:9" ht="13.15" hidden="1" customHeight="1" outlineLevel="1" x14ac:dyDescent="0.25">
      <c r="A42" s="253"/>
      <c r="B42" s="261"/>
      <c r="C42" s="261"/>
      <c r="D42" s="261"/>
      <c r="E42" s="261"/>
      <c r="F42" s="261"/>
      <c r="G42" s="261"/>
      <c r="H42" s="261"/>
      <c r="I42" s="261"/>
    </row>
    <row r="43" spans="1:9" ht="13.15" hidden="1" customHeight="1" outlineLevel="1" x14ac:dyDescent="0.25">
      <c r="A43" s="253"/>
      <c r="B43" s="261"/>
      <c r="C43" s="261"/>
      <c r="D43" s="261"/>
      <c r="E43" s="261"/>
      <c r="F43" s="261"/>
      <c r="G43" s="261"/>
      <c r="H43" s="261"/>
      <c r="I43" s="261"/>
    </row>
    <row r="44" spans="1:9" ht="13.15" hidden="1" customHeight="1" outlineLevel="1" x14ac:dyDescent="0.25">
      <c r="A44" s="253"/>
      <c r="B44" s="261"/>
      <c r="C44" s="261"/>
      <c r="D44" s="261"/>
      <c r="E44" s="261"/>
      <c r="F44" s="261"/>
      <c r="G44" s="261"/>
      <c r="H44" s="261"/>
      <c r="I44" s="261"/>
    </row>
    <row r="45" spans="1:9" ht="13.15" hidden="1" customHeight="1" outlineLevel="1" x14ac:dyDescent="0.25">
      <c r="A45" s="253"/>
      <c r="B45" s="261"/>
      <c r="C45" s="261"/>
      <c r="D45" s="261"/>
      <c r="E45" s="261"/>
      <c r="F45" s="261"/>
      <c r="G45" s="261"/>
      <c r="H45" s="261"/>
      <c r="I45" s="261"/>
    </row>
    <row r="46" spans="1:9" ht="13.15" hidden="1" customHeight="1" outlineLevel="1" x14ac:dyDescent="0.25">
      <c r="A46" s="253"/>
      <c r="B46" s="261"/>
      <c r="C46" s="261"/>
      <c r="D46" s="261"/>
      <c r="E46" s="261"/>
      <c r="F46" s="261"/>
      <c r="G46" s="261"/>
      <c r="H46" s="261"/>
      <c r="I46" s="261"/>
    </row>
    <row r="47" spans="1:9" ht="13.15" hidden="1" customHeight="1" outlineLevel="1" x14ac:dyDescent="0.25">
      <c r="A47" s="253"/>
      <c r="B47" s="261"/>
      <c r="C47" s="261"/>
      <c r="D47" s="261"/>
      <c r="E47" s="261"/>
      <c r="F47" s="261"/>
      <c r="G47" s="261"/>
      <c r="H47" s="261"/>
      <c r="I47" s="261"/>
    </row>
    <row r="48" spans="1:9" ht="13.15" hidden="1" customHeight="1" outlineLevel="1" x14ac:dyDescent="0.25">
      <c r="A48" s="253"/>
      <c r="B48" s="261"/>
      <c r="C48" s="261"/>
      <c r="D48" s="261"/>
      <c r="E48" s="261"/>
      <c r="F48" s="261"/>
      <c r="G48" s="261"/>
      <c r="H48" s="261"/>
      <c r="I48" s="261"/>
    </row>
    <row r="49" spans="1:9" ht="13.15" hidden="1" customHeight="1" outlineLevel="1" x14ac:dyDescent="0.25">
      <c r="A49" s="253"/>
      <c r="B49" s="261"/>
      <c r="C49" s="261"/>
      <c r="D49" s="261"/>
      <c r="E49" s="261"/>
      <c r="F49" s="261"/>
      <c r="G49" s="261"/>
      <c r="H49" s="261"/>
      <c r="I49" s="261"/>
    </row>
    <row r="50" spans="1:9" ht="13.15" hidden="1" customHeight="1" outlineLevel="1" x14ac:dyDescent="0.25">
      <c r="A50" s="253"/>
      <c r="B50" s="261"/>
      <c r="C50" s="261"/>
      <c r="D50" s="261"/>
      <c r="E50" s="261"/>
      <c r="F50" s="261"/>
      <c r="G50" s="261"/>
      <c r="H50" s="261"/>
      <c r="I50" s="261"/>
    </row>
    <row r="51" spans="1:9" ht="13.15" hidden="1" customHeight="1" outlineLevel="1" x14ac:dyDescent="0.25">
      <c r="A51" s="253"/>
      <c r="B51" s="261"/>
      <c r="C51" s="261"/>
      <c r="D51" s="261"/>
      <c r="E51" s="261"/>
      <c r="F51" s="261"/>
      <c r="G51" s="261"/>
      <c r="H51" s="261"/>
      <c r="I51" s="261"/>
    </row>
    <row r="52" spans="1:9" ht="13.15" hidden="1" customHeight="1" outlineLevel="1" x14ac:dyDescent="0.25">
      <c r="A52" s="253"/>
      <c r="B52" s="261"/>
      <c r="C52" s="261"/>
      <c r="D52" s="261"/>
      <c r="E52" s="261"/>
      <c r="F52" s="261"/>
      <c r="G52" s="261"/>
      <c r="H52" s="261"/>
      <c r="I52" s="261"/>
    </row>
    <row r="53" spans="1:9" ht="13.15" hidden="1" customHeight="1" outlineLevel="1" x14ac:dyDescent="0.25">
      <c r="A53" s="253"/>
      <c r="B53" s="261"/>
      <c r="C53" s="261"/>
      <c r="D53" s="261"/>
      <c r="E53" s="261"/>
      <c r="F53" s="261"/>
      <c r="G53" s="261"/>
      <c r="H53" s="261"/>
      <c r="I53" s="261"/>
    </row>
    <row r="54" spans="1:9" ht="13.15" hidden="1" customHeight="1" outlineLevel="1" x14ac:dyDescent="0.25">
      <c r="A54" s="253"/>
      <c r="B54" s="261"/>
      <c r="C54" s="261"/>
      <c r="D54" s="261"/>
      <c r="E54" s="261"/>
      <c r="F54" s="261"/>
      <c r="G54" s="261"/>
      <c r="H54" s="261"/>
      <c r="I54" s="261"/>
    </row>
    <row r="55" spans="1:9" ht="13.15" hidden="1" customHeight="1" outlineLevel="1" x14ac:dyDescent="0.25">
      <c r="A55" s="253"/>
      <c r="B55" s="261"/>
      <c r="C55" s="261"/>
      <c r="D55" s="261"/>
      <c r="E55" s="261"/>
      <c r="F55" s="261"/>
      <c r="G55" s="261"/>
      <c r="H55" s="261"/>
      <c r="I55" s="261"/>
    </row>
    <row r="56" spans="1:9" ht="13.15" hidden="1" customHeight="1" outlineLevel="1" x14ac:dyDescent="0.25">
      <c r="A56" s="253"/>
      <c r="B56" s="261"/>
      <c r="C56" s="261"/>
      <c r="D56" s="261"/>
      <c r="E56" s="261"/>
      <c r="F56" s="261"/>
      <c r="G56" s="261"/>
      <c r="H56" s="261"/>
      <c r="I56" s="261"/>
    </row>
    <row r="57" spans="1:9" ht="13.15" hidden="1" customHeight="1" outlineLevel="1" x14ac:dyDescent="0.25">
      <c r="A57" s="253"/>
      <c r="B57" s="261"/>
      <c r="C57" s="261"/>
      <c r="D57" s="261"/>
      <c r="E57" s="261"/>
      <c r="F57" s="261"/>
      <c r="G57" s="261"/>
      <c r="H57" s="261"/>
      <c r="I57" s="261"/>
    </row>
    <row r="58" spans="1:9" ht="13.15" hidden="1" customHeight="1" outlineLevel="1" x14ac:dyDescent="0.25">
      <c r="A58" s="253"/>
      <c r="B58" s="261"/>
      <c r="C58" s="261"/>
      <c r="D58" s="261"/>
      <c r="E58" s="261"/>
      <c r="F58" s="261"/>
      <c r="G58" s="261"/>
      <c r="H58" s="261"/>
      <c r="I58" s="261"/>
    </row>
    <row r="59" spans="1:9" ht="13.15" hidden="1" customHeight="1" outlineLevel="1" x14ac:dyDescent="0.25">
      <c r="A59" s="253"/>
      <c r="B59" s="261"/>
      <c r="C59" s="261"/>
      <c r="D59" s="261"/>
      <c r="E59" s="261"/>
      <c r="F59" s="261"/>
      <c r="G59" s="261"/>
      <c r="H59" s="261"/>
      <c r="I59" s="261"/>
    </row>
    <row r="60" spans="1:9" ht="13.15" hidden="1" customHeight="1" outlineLevel="1" x14ac:dyDescent="0.25">
      <c r="A60" s="253"/>
      <c r="B60" s="261"/>
      <c r="C60" s="261"/>
      <c r="D60" s="261"/>
      <c r="E60" s="261"/>
      <c r="F60" s="261"/>
      <c r="G60" s="261"/>
      <c r="H60" s="261"/>
      <c r="I60" s="261"/>
    </row>
    <row r="61" spans="1:9" ht="13.15" hidden="1" customHeight="1" outlineLevel="1" x14ac:dyDescent="0.25">
      <c r="A61" s="253"/>
      <c r="B61" s="261"/>
      <c r="C61" s="261"/>
      <c r="D61" s="261"/>
      <c r="E61" s="261"/>
      <c r="F61" s="261"/>
      <c r="G61" s="261"/>
      <c r="H61" s="261"/>
      <c r="I61" s="261"/>
    </row>
    <row r="62" spans="1:9" ht="13.15" hidden="1" customHeight="1" outlineLevel="1" x14ac:dyDescent="0.25">
      <c r="A62" s="253"/>
      <c r="B62" s="261"/>
      <c r="C62" s="261"/>
      <c r="D62" s="261"/>
      <c r="E62" s="261"/>
      <c r="F62" s="261"/>
      <c r="G62" s="261"/>
      <c r="H62" s="261"/>
      <c r="I62" s="261"/>
    </row>
    <row r="63" spans="1:9" ht="13.15" hidden="1" customHeight="1" outlineLevel="1" x14ac:dyDescent="0.25">
      <c r="A63" s="253"/>
      <c r="B63" s="261"/>
      <c r="C63" s="261"/>
      <c r="D63" s="261"/>
      <c r="E63" s="261"/>
      <c r="F63" s="261"/>
      <c r="G63" s="261"/>
      <c r="H63" s="261"/>
      <c r="I63" s="261"/>
    </row>
    <row r="64" spans="1:9" ht="13.15" hidden="1" customHeight="1" outlineLevel="1" x14ac:dyDescent="0.25">
      <c r="A64" s="253"/>
      <c r="B64" s="261"/>
      <c r="C64" s="261"/>
      <c r="D64" s="261"/>
      <c r="E64" s="261"/>
      <c r="F64" s="261"/>
      <c r="G64" s="261"/>
      <c r="H64" s="261"/>
      <c r="I64" s="261"/>
    </row>
    <row r="65" spans="1:9" ht="13.15" hidden="1" customHeight="1" outlineLevel="1" x14ac:dyDescent="0.25">
      <c r="A65" s="253"/>
      <c r="B65" s="261"/>
      <c r="C65" s="261"/>
      <c r="D65" s="261"/>
      <c r="E65" s="261"/>
      <c r="F65" s="261"/>
      <c r="G65" s="261"/>
      <c r="H65" s="261"/>
      <c r="I65" s="261"/>
    </row>
    <row r="66" spans="1:9" ht="13.15" hidden="1" customHeight="1" outlineLevel="1" x14ac:dyDescent="0.25">
      <c r="A66" s="253"/>
      <c r="B66" s="261"/>
      <c r="C66" s="261"/>
      <c r="D66" s="261"/>
      <c r="E66" s="261"/>
      <c r="F66" s="261"/>
      <c r="G66" s="261"/>
      <c r="H66" s="261"/>
      <c r="I66" s="261"/>
    </row>
    <row r="67" spans="1:9" ht="13.15" hidden="1" customHeight="1" outlineLevel="1" x14ac:dyDescent="0.25">
      <c r="A67" s="253"/>
      <c r="B67" s="261"/>
      <c r="C67" s="261"/>
      <c r="D67" s="261"/>
      <c r="E67" s="261"/>
      <c r="F67" s="261"/>
      <c r="G67" s="261"/>
      <c r="H67" s="261"/>
      <c r="I67" s="261"/>
    </row>
    <row r="68" spans="1:9" ht="13.15" hidden="1" customHeight="1" outlineLevel="1" x14ac:dyDescent="0.25">
      <c r="A68" s="253"/>
      <c r="B68" s="261"/>
      <c r="C68" s="261"/>
      <c r="D68" s="261"/>
      <c r="E68" s="261"/>
      <c r="F68" s="261"/>
      <c r="G68" s="261"/>
      <c r="H68" s="261"/>
      <c r="I68" s="261"/>
    </row>
    <row r="69" spans="1:9" ht="13.15" hidden="1" customHeight="1" outlineLevel="1" x14ac:dyDescent="0.25">
      <c r="A69" s="253"/>
      <c r="B69" s="261"/>
      <c r="C69" s="261"/>
      <c r="D69" s="261"/>
      <c r="E69" s="261"/>
      <c r="F69" s="261"/>
      <c r="G69" s="261"/>
      <c r="H69" s="261"/>
      <c r="I69" s="261"/>
    </row>
    <row r="70" spans="1:9" ht="13.15" hidden="1" customHeight="1" outlineLevel="1" x14ac:dyDescent="0.25">
      <c r="A70" s="253"/>
      <c r="B70" s="261"/>
      <c r="C70" s="261"/>
      <c r="D70" s="261"/>
      <c r="E70" s="261"/>
      <c r="F70" s="261"/>
      <c r="G70" s="261"/>
      <c r="H70" s="261"/>
      <c r="I70" s="261"/>
    </row>
    <row r="71" spans="1:9" ht="13.15" hidden="1" customHeight="1" outlineLevel="1" x14ac:dyDescent="0.25">
      <c r="A71" s="253"/>
      <c r="B71" s="261"/>
      <c r="C71" s="261"/>
      <c r="D71" s="261"/>
      <c r="E71" s="261"/>
      <c r="F71" s="261"/>
      <c r="G71" s="261"/>
      <c r="H71" s="261"/>
      <c r="I71" s="261"/>
    </row>
    <row r="72" spans="1:9" ht="13.15" hidden="1" customHeight="1" outlineLevel="1" x14ac:dyDescent="0.25">
      <c r="A72" s="253"/>
      <c r="B72" s="261"/>
      <c r="C72" s="261"/>
      <c r="D72" s="261"/>
      <c r="E72" s="261"/>
      <c r="F72" s="261"/>
      <c r="G72" s="261"/>
      <c r="H72" s="261"/>
      <c r="I72" s="261"/>
    </row>
    <row r="73" spans="1:9" ht="13.15" hidden="1" customHeight="1" outlineLevel="1" x14ac:dyDescent="0.25">
      <c r="A73" s="253"/>
      <c r="B73" s="261"/>
      <c r="C73" s="261"/>
      <c r="D73" s="261"/>
      <c r="E73" s="261"/>
      <c r="F73" s="261"/>
      <c r="G73" s="261"/>
      <c r="H73" s="261"/>
      <c r="I73" s="261"/>
    </row>
    <row r="74" spans="1:9" ht="13.15" hidden="1" customHeight="1" outlineLevel="1" x14ac:dyDescent="0.25">
      <c r="A74" s="253"/>
      <c r="B74" s="261"/>
      <c r="C74" s="261"/>
      <c r="D74" s="261"/>
      <c r="E74" s="261"/>
      <c r="F74" s="261"/>
      <c r="G74" s="261"/>
      <c r="H74" s="261"/>
      <c r="I74" s="261"/>
    </row>
    <row r="75" spans="1:9" ht="13.15" hidden="1" customHeight="1" outlineLevel="1" x14ac:dyDescent="0.25">
      <c r="A75" s="253"/>
      <c r="B75" s="261"/>
      <c r="C75" s="261"/>
      <c r="D75" s="261"/>
      <c r="E75" s="261"/>
      <c r="F75" s="261"/>
      <c r="G75" s="261"/>
      <c r="H75" s="261"/>
      <c r="I75" s="261"/>
    </row>
    <row r="76" spans="1:9" ht="13.15" hidden="1" customHeight="1" outlineLevel="1" x14ac:dyDescent="0.25">
      <c r="A76" s="253"/>
      <c r="B76" s="261"/>
      <c r="C76" s="261"/>
      <c r="D76" s="261"/>
      <c r="E76" s="261"/>
      <c r="F76" s="261"/>
      <c r="G76" s="261"/>
      <c r="H76" s="261"/>
      <c r="I76" s="261"/>
    </row>
    <row r="77" spans="1:9" ht="13.15" hidden="1" customHeight="1" outlineLevel="1" x14ac:dyDescent="0.25">
      <c r="A77" s="253"/>
      <c r="B77" s="261"/>
      <c r="C77" s="261"/>
      <c r="D77" s="261"/>
      <c r="E77" s="261"/>
      <c r="F77" s="261"/>
      <c r="G77" s="261"/>
      <c r="H77" s="261"/>
      <c r="I77" s="261"/>
    </row>
    <row r="78" spans="1:9" ht="13.15" hidden="1" customHeight="1" outlineLevel="1" x14ac:dyDescent="0.25">
      <c r="A78" s="253"/>
      <c r="B78" s="261"/>
      <c r="C78" s="261"/>
      <c r="D78" s="261"/>
      <c r="E78" s="261"/>
      <c r="F78" s="261"/>
      <c r="G78" s="261"/>
      <c r="H78" s="261"/>
      <c r="I78" s="261"/>
    </row>
    <row r="79" spans="1:9" ht="13.15" hidden="1" customHeight="1" outlineLevel="1" x14ac:dyDescent="0.25">
      <c r="A79" s="253"/>
      <c r="B79" s="261"/>
      <c r="C79" s="261"/>
      <c r="D79" s="261"/>
      <c r="E79" s="261"/>
      <c r="F79" s="261"/>
      <c r="G79" s="261"/>
      <c r="H79" s="261"/>
      <c r="I79" s="261"/>
    </row>
    <row r="80" spans="1:9" ht="13.15" hidden="1" customHeight="1" outlineLevel="1" x14ac:dyDescent="0.25">
      <c r="A80" s="253"/>
      <c r="B80" s="261"/>
      <c r="C80" s="261"/>
      <c r="D80" s="261"/>
      <c r="E80" s="261"/>
      <c r="F80" s="261"/>
      <c r="G80" s="261"/>
      <c r="H80" s="261"/>
      <c r="I80" s="261"/>
    </row>
    <row r="81" spans="1:11" ht="13.15" hidden="1" customHeight="1" outlineLevel="1" x14ac:dyDescent="0.25">
      <c r="A81" s="253"/>
      <c r="B81" s="261"/>
      <c r="C81" s="261"/>
      <c r="D81" s="261"/>
      <c r="E81" s="261"/>
      <c r="F81" s="261"/>
      <c r="G81" s="261"/>
      <c r="H81" s="261"/>
      <c r="I81" s="261"/>
    </row>
    <row r="82" spans="1:11" ht="13.15" hidden="1" customHeight="1" outlineLevel="1" x14ac:dyDescent="0.25">
      <c r="A82" s="253"/>
      <c r="B82" s="261"/>
      <c r="C82" s="261"/>
      <c r="D82" s="261"/>
      <c r="E82" s="261"/>
      <c r="F82" s="261"/>
      <c r="G82" s="261"/>
      <c r="H82" s="261"/>
      <c r="I82" s="261"/>
    </row>
    <row r="83" spans="1:11" ht="13.15" hidden="1" customHeight="1" outlineLevel="1" x14ac:dyDescent="0.25">
      <c r="A83" s="253"/>
      <c r="B83" s="261"/>
      <c r="C83" s="261"/>
      <c r="D83" s="261"/>
      <c r="E83" s="261"/>
      <c r="F83" s="261"/>
      <c r="G83" s="261"/>
      <c r="H83" s="261"/>
      <c r="I83" s="261"/>
    </row>
    <row r="84" spans="1:11" ht="13.15" hidden="1" customHeight="1" outlineLevel="1" x14ac:dyDescent="0.25">
      <c r="A84" s="253"/>
      <c r="B84" s="261"/>
      <c r="C84" s="261"/>
      <c r="D84" s="261"/>
      <c r="E84" s="261"/>
      <c r="F84" s="261"/>
      <c r="G84" s="261"/>
      <c r="H84" s="261"/>
      <c r="I84" s="261"/>
    </row>
    <row r="85" spans="1:11" ht="13.15" hidden="1" customHeight="1" outlineLevel="1" x14ac:dyDescent="0.25">
      <c r="A85" s="253"/>
      <c r="B85" s="261"/>
      <c r="C85" s="261"/>
      <c r="D85" s="261"/>
      <c r="E85" s="261"/>
      <c r="F85" s="261"/>
      <c r="G85" s="261"/>
      <c r="H85" s="261"/>
      <c r="I85" s="261"/>
    </row>
    <row r="86" spans="1:11" ht="13.15" hidden="1" customHeight="1" outlineLevel="1" x14ac:dyDescent="0.25">
      <c r="A86" s="253"/>
      <c r="B86" s="261"/>
      <c r="C86" s="261"/>
      <c r="D86" s="261"/>
      <c r="E86" s="261"/>
      <c r="F86" s="261"/>
      <c r="G86" s="261"/>
      <c r="H86" s="261"/>
      <c r="I86" s="261"/>
    </row>
    <row r="87" spans="1:11" ht="13.15" hidden="1" customHeight="1" outlineLevel="1" x14ac:dyDescent="0.25">
      <c r="A87" s="253"/>
      <c r="B87" s="261"/>
      <c r="C87" s="261"/>
      <c r="D87" s="261"/>
      <c r="E87" s="261"/>
      <c r="F87" s="261"/>
      <c r="G87" s="261"/>
      <c r="H87" s="261"/>
      <c r="I87" s="261"/>
    </row>
    <row r="88" spans="1:11" ht="13.15" hidden="1" customHeight="1" outlineLevel="1" x14ac:dyDescent="0.25">
      <c r="A88" s="253"/>
      <c r="B88" s="261"/>
      <c r="C88" s="261"/>
      <c r="D88" s="261"/>
      <c r="E88" s="261"/>
      <c r="F88" s="261"/>
      <c r="G88" s="261"/>
      <c r="H88" s="261"/>
      <c r="I88" s="261"/>
    </row>
    <row r="89" spans="1:11" ht="13.15" hidden="1" customHeight="1" outlineLevel="1" x14ac:dyDescent="0.25">
      <c r="A89" s="253"/>
      <c r="B89" s="261"/>
      <c r="C89" s="261"/>
      <c r="D89" s="261"/>
      <c r="E89" s="261"/>
      <c r="F89" s="261"/>
      <c r="G89" s="261"/>
      <c r="H89" s="261"/>
      <c r="I89" s="261"/>
    </row>
    <row r="90" spans="1:11" ht="13.15" hidden="1" customHeight="1" outlineLevel="1" x14ac:dyDescent="0.25">
      <c r="A90" s="253"/>
      <c r="B90" s="261"/>
      <c r="C90" s="261"/>
      <c r="D90" s="261"/>
      <c r="E90" s="261"/>
      <c r="F90" s="261"/>
      <c r="G90" s="261"/>
      <c r="H90" s="261"/>
      <c r="I90" s="261"/>
    </row>
    <row r="91" spans="1:11" ht="13.15" hidden="1" customHeight="1" outlineLevel="1" x14ac:dyDescent="0.25">
      <c r="A91" s="253"/>
      <c r="B91" s="261"/>
      <c r="C91" s="261"/>
      <c r="D91" s="261"/>
      <c r="E91" s="261"/>
      <c r="F91" s="261"/>
      <c r="G91" s="261"/>
      <c r="H91" s="261"/>
      <c r="I91" s="261"/>
    </row>
    <row r="92" spans="1:11" ht="13.15" hidden="1" customHeight="1" outlineLevel="1" x14ac:dyDescent="0.25">
      <c r="A92" s="253"/>
      <c r="B92" s="261"/>
      <c r="C92" s="261"/>
      <c r="D92" s="261"/>
      <c r="E92" s="261"/>
      <c r="F92" s="261"/>
      <c r="G92" s="261"/>
      <c r="H92" s="261"/>
      <c r="I92" s="261"/>
    </row>
    <row r="93" spans="1:11" ht="13.15" hidden="1" customHeight="1" outlineLevel="1" x14ac:dyDescent="0.25">
      <c r="A93" s="253"/>
      <c r="B93" s="261"/>
      <c r="C93" s="261"/>
      <c r="D93" s="261"/>
      <c r="E93" s="261"/>
      <c r="F93" s="261"/>
      <c r="G93" s="261"/>
      <c r="H93" s="261"/>
      <c r="I93" s="261"/>
      <c r="K93" s="727"/>
    </row>
    <row r="94" spans="1:11" ht="13.15" hidden="1" customHeight="1" outlineLevel="1" x14ac:dyDescent="0.25">
      <c r="A94" s="253"/>
      <c r="B94" s="261"/>
      <c r="C94" s="261"/>
      <c r="D94" s="261"/>
      <c r="E94" s="261"/>
      <c r="F94" s="261"/>
      <c r="G94" s="261"/>
      <c r="H94" s="261"/>
      <c r="I94" s="261"/>
      <c r="K94" s="727"/>
    </row>
    <row r="95" spans="1:11" ht="13.15" hidden="1" customHeight="1" outlineLevel="1" x14ac:dyDescent="0.25">
      <c r="A95" s="253"/>
      <c r="B95" s="263"/>
      <c r="C95" s="263"/>
      <c r="D95" s="263"/>
      <c r="E95" s="263"/>
      <c r="F95" s="263"/>
      <c r="G95" s="261"/>
      <c r="H95" s="263"/>
      <c r="I95" s="263"/>
      <c r="K95" s="727"/>
    </row>
    <row r="96" spans="1:11" ht="13.15" hidden="1" customHeight="1" outlineLevel="1" collapsed="1" x14ac:dyDescent="0.25">
      <c r="A96" s="253"/>
      <c r="K96" s="727"/>
    </row>
    <row r="97" spans="1:9" ht="13.75" hidden="1" customHeight="1" outlineLevel="1" x14ac:dyDescent="0.25">
      <c r="A97" s="253"/>
      <c r="B97" s="227"/>
      <c r="D97" s="230"/>
      <c r="E97" s="264"/>
      <c r="F97" s="265"/>
      <c r="G97" s="264"/>
      <c r="H97" s="230"/>
      <c r="I97" s="266"/>
    </row>
    <row r="98" spans="1:9" ht="13.15" hidden="1" customHeight="1" outlineLevel="1" x14ac:dyDescent="0.25">
      <c r="A98" s="253"/>
      <c r="B98" s="227"/>
      <c r="D98" s="230"/>
      <c r="F98" s="265"/>
      <c r="G98" s="264"/>
      <c r="H98" s="230"/>
      <c r="I98" s="266"/>
    </row>
    <row r="99" spans="1:9" ht="13.15" hidden="1" customHeight="1" outlineLevel="1" x14ac:dyDescent="0.25">
      <c r="A99" s="253"/>
      <c r="B99" s="227"/>
      <c r="D99" s="230"/>
      <c r="F99" s="265"/>
      <c r="G99" s="264"/>
      <c r="H99" s="230"/>
      <c r="I99" s="266"/>
    </row>
    <row r="100" spans="1:9" ht="13.15" hidden="1" customHeight="1" outlineLevel="1" x14ac:dyDescent="0.25">
      <c r="A100" s="253"/>
      <c r="B100" s="227"/>
      <c r="D100" s="230"/>
      <c r="F100" s="265"/>
      <c r="G100" s="264"/>
      <c r="H100" s="230"/>
      <c r="I100" s="266"/>
    </row>
    <row r="101" spans="1:9" ht="13.15" hidden="1" customHeight="1" outlineLevel="1" x14ac:dyDescent="0.25">
      <c r="A101" s="253"/>
      <c r="B101" s="227"/>
      <c r="D101" s="230"/>
      <c r="F101" s="265"/>
      <c r="G101" s="264"/>
      <c r="H101" s="230"/>
      <c r="I101" s="266"/>
    </row>
    <row r="102" spans="1:9" collapsed="1" x14ac:dyDescent="0.25">
      <c r="A102" s="253">
        <v>1</v>
      </c>
      <c r="B102" s="251" t="s">
        <v>184</v>
      </c>
      <c r="D102" s="230"/>
      <c r="E102" s="230"/>
      <c r="F102" s="230"/>
      <c r="G102" s="230"/>
      <c r="H102" s="230"/>
      <c r="I102" s="230">
        <v>0</v>
      </c>
    </row>
    <row r="103" spans="1:9" ht="13.15" hidden="1" customHeight="1" outlineLevel="1" x14ac:dyDescent="0.25">
      <c r="A103" s="253">
        <v>2</v>
      </c>
      <c r="B103" s="227">
        <v>42490</v>
      </c>
      <c r="D103" s="230"/>
      <c r="F103" s="265"/>
      <c r="G103" s="264">
        <f t="shared" ref="G103:G160" si="0">ROUND((+I102+E103+(D103/2))*F103/12,2)</f>
        <v>0</v>
      </c>
      <c r="H103" s="230">
        <f t="shared" ref="H103:H166" si="1">+D103+E103+G103</f>
        <v>0</v>
      </c>
      <c r="I103" s="266">
        <f t="shared" ref="I103:I166" si="2">+I102+H103</f>
        <v>0</v>
      </c>
    </row>
    <row r="104" spans="1:9" ht="13.15" hidden="1" customHeight="1" outlineLevel="1" x14ac:dyDescent="0.25">
      <c r="A104" s="253">
        <f t="shared" ref="A104:A119" si="3">+A103+1</f>
        <v>3</v>
      </c>
      <c r="B104" s="227">
        <f>B103+31</f>
        <v>42521</v>
      </c>
      <c r="D104" s="230"/>
      <c r="F104" s="265"/>
      <c r="G104" s="264">
        <f t="shared" si="0"/>
        <v>0</v>
      </c>
      <c r="H104" s="230">
        <f t="shared" si="1"/>
        <v>0</v>
      </c>
      <c r="I104" s="266">
        <f t="shared" si="2"/>
        <v>0</v>
      </c>
    </row>
    <row r="105" spans="1:9" ht="13.15" hidden="1" customHeight="1" outlineLevel="1" x14ac:dyDescent="0.25">
      <c r="A105" s="253">
        <f t="shared" si="3"/>
        <v>4</v>
      </c>
      <c r="B105" s="227">
        <f>B104+30</f>
        <v>42551</v>
      </c>
      <c r="D105" s="230"/>
      <c r="F105" s="265"/>
      <c r="G105" s="264">
        <f t="shared" si="0"/>
        <v>0</v>
      </c>
      <c r="H105" s="230">
        <f t="shared" si="1"/>
        <v>0</v>
      </c>
      <c r="I105" s="266">
        <f t="shared" si="2"/>
        <v>0</v>
      </c>
    </row>
    <row r="106" spans="1:9" ht="13.15" hidden="1" customHeight="1" outlineLevel="1" x14ac:dyDescent="0.25">
      <c r="A106" s="253">
        <f t="shared" si="3"/>
        <v>5</v>
      </c>
      <c r="B106" s="227">
        <f>B105+31</f>
        <v>42582</v>
      </c>
      <c r="D106" s="230"/>
      <c r="F106" s="265"/>
      <c r="G106" s="264">
        <f t="shared" si="0"/>
        <v>0</v>
      </c>
      <c r="H106" s="230">
        <f t="shared" si="1"/>
        <v>0</v>
      </c>
      <c r="I106" s="266">
        <f t="shared" si="2"/>
        <v>0</v>
      </c>
    </row>
    <row r="107" spans="1:9" ht="13.15" hidden="1" customHeight="1" outlineLevel="1" x14ac:dyDescent="0.25">
      <c r="A107" s="253">
        <f t="shared" si="3"/>
        <v>6</v>
      </c>
      <c r="B107" s="227">
        <f>B106+31</f>
        <v>42613</v>
      </c>
      <c r="D107" s="230"/>
      <c r="F107" s="265"/>
      <c r="G107" s="264">
        <f t="shared" si="0"/>
        <v>0</v>
      </c>
      <c r="H107" s="230">
        <f t="shared" si="1"/>
        <v>0</v>
      </c>
      <c r="I107" s="266">
        <f t="shared" si="2"/>
        <v>0</v>
      </c>
    </row>
    <row r="108" spans="1:9" ht="13.15" hidden="1" customHeight="1" outlineLevel="1" x14ac:dyDescent="0.25">
      <c r="A108" s="253">
        <f t="shared" si="3"/>
        <v>7</v>
      </c>
      <c r="B108" s="227">
        <f>B107+30</f>
        <v>42643</v>
      </c>
      <c r="D108" s="230"/>
      <c r="F108" s="265"/>
      <c r="G108" s="264">
        <f t="shared" si="0"/>
        <v>0</v>
      </c>
      <c r="H108" s="230">
        <f t="shared" si="1"/>
        <v>0</v>
      </c>
      <c r="I108" s="266">
        <f t="shared" si="2"/>
        <v>0</v>
      </c>
    </row>
    <row r="109" spans="1:9" ht="13.15" hidden="1" customHeight="1" outlineLevel="1" x14ac:dyDescent="0.25">
      <c r="A109" s="253">
        <f t="shared" si="3"/>
        <v>8</v>
      </c>
      <c r="B109" s="227">
        <f>B108+31</f>
        <v>42674</v>
      </c>
      <c r="D109" s="230"/>
      <c r="F109" s="265"/>
      <c r="G109" s="264">
        <f t="shared" si="0"/>
        <v>0</v>
      </c>
      <c r="H109" s="230">
        <f t="shared" si="1"/>
        <v>0</v>
      </c>
      <c r="I109" s="266">
        <f t="shared" si="2"/>
        <v>0</v>
      </c>
    </row>
    <row r="110" spans="1:9" ht="13.15" hidden="1" customHeight="1" outlineLevel="1" x14ac:dyDescent="0.25">
      <c r="A110" s="253">
        <f t="shared" si="3"/>
        <v>9</v>
      </c>
      <c r="B110" s="227">
        <f>B109+30</f>
        <v>42704</v>
      </c>
      <c r="C110" s="250" t="s">
        <v>185</v>
      </c>
      <c r="D110" s="230"/>
      <c r="E110" s="230"/>
      <c r="F110" s="265"/>
      <c r="G110" s="264">
        <f t="shared" si="0"/>
        <v>0</v>
      </c>
      <c r="H110" s="230">
        <f t="shared" si="1"/>
        <v>0</v>
      </c>
      <c r="I110" s="266">
        <f t="shared" si="2"/>
        <v>0</v>
      </c>
    </row>
    <row r="111" spans="1:9" ht="13.15" hidden="1" customHeight="1" outlineLevel="1" x14ac:dyDescent="0.25">
      <c r="A111" s="253">
        <f t="shared" si="3"/>
        <v>10</v>
      </c>
      <c r="B111" s="227">
        <f t="shared" ref="B111:B119" si="4">B110+30</f>
        <v>42734</v>
      </c>
      <c r="D111" s="230"/>
      <c r="E111" s="230"/>
      <c r="F111" s="265"/>
      <c r="G111" s="264">
        <f t="shared" si="0"/>
        <v>0</v>
      </c>
      <c r="H111" s="230">
        <f t="shared" si="1"/>
        <v>0</v>
      </c>
      <c r="I111" s="266">
        <f t="shared" si="2"/>
        <v>0</v>
      </c>
    </row>
    <row r="112" spans="1:9" ht="13.15" hidden="1" customHeight="1" outlineLevel="1" x14ac:dyDescent="0.25">
      <c r="A112" s="253">
        <f t="shared" si="3"/>
        <v>11</v>
      </c>
      <c r="B112" s="227">
        <f t="shared" si="4"/>
        <v>42764</v>
      </c>
      <c r="D112" s="230"/>
      <c r="E112" s="230"/>
      <c r="F112" s="265"/>
      <c r="G112" s="264">
        <f t="shared" si="0"/>
        <v>0</v>
      </c>
      <c r="H112" s="230">
        <f t="shared" si="1"/>
        <v>0</v>
      </c>
      <c r="I112" s="266">
        <f t="shared" si="2"/>
        <v>0</v>
      </c>
    </row>
    <row r="113" spans="1:9" ht="13.15" hidden="1" customHeight="1" outlineLevel="1" x14ac:dyDescent="0.25">
      <c r="A113" s="253">
        <f t="shared" si="3"/>
        <v>12</v>
      </c>
      <c r="B113" s="227">
        <f t="shared" si="4"/>
        <v>42794</v>
      </c>
      <c r="D113" s="230"/>
      <c r="E113" s="230"/>
      <c r="F113" s="265"/>
      <c r="G113" s="264">
        <f t="shared" si="0"/>
        <v>0</v>
      </c>
      <c r="H113" s="230">
        <f t="shared" si="1"/>
        <v>0</v>
      </c>
      <c r="I113" s="266">
        <f t="shared" si="2"/>
        <v>0</v>
      </c>
    </row>
    <row r="114" spans="1:9" ht="13.15" hidden="1" customHeight="1" outlineLevel="1" x14ac:dyDescent="0.25">
      <c r="A114" s="253">
        <f t="shared" si="3"/>
        <v>13</v>
      </c>
      <c r="B114" s="227">
        <f t="shared" si="4"/>
        <v>42824</v>
      </c>
      <c r="D114" s="230"/>
      <c r="E114" s="230"/>
      <c r="F114" s="265"/>
      <c r="G114" s="264">
        <f t="shared" si="0"/>
        <v>0</v>
      </c>
      <c r="H114" s="230">
        <f t="shared" si="1"/>
        <v>0</v>
      </c>
      <c r="I114" s="266">
        <f t="shared" si="2"/>
        <v>0</v>
      </c>
    </row>
    <row r="115" spans="1:9" ht="13.15" hidden="1" customHeight="1" outlineLevel="1" x14ac:dyDescent="0.25">
      <c r="A115" s="253">
        <f t="shared" si="3"/>
        <v>14</v>
      </c>
      <c r="B115" s="227">
        <f t="shared" si="4"/>
        <v>42854</v>
      </c>
      <c r="D115" s="230"/>
      <c r="E115" s="230"/>
      <c r="F115" s="265"/>
      <c r="G115" s="264">
        <f t="shared" si="0"/>
        <v>0</v>
      </c>
      <c r="H115" s="230">
        <f t="shared" si="1"/>
        <v>0</v>
      </c>
      <c r="I115" s="266">
        <f t="shared" si="2"/>
        <v>0</v>
      </c>
    </row>
    <row r="116" spans="1:9" ht="13.15" hidden="1" customHeight="1" outlineLevel="1" x14ac:dyDescent="0.25">
      <c r="A116" s="253">
        <f t="shared" si="3"/>
        <v>15</v>
      </c>
      <c r="B116" s="227">
        <f t="shared" si="4"/>
        <v>42884</v>
      </c>
      <c r="D116" s="230"/>
      <c r="E116" s="230"/>
      <c r="F116" s="265"/>
      <c r="G116" s="264">
        <f t="shared" si="0"/>
        <v>0</v>
      </c>
      <c r="H116" s="230">
        <f t="shared" si="1"/>
        <v>0</v>
      </c>
      <c r="I116" s="266">
        <f t="shared" si="2"/>
        <v>0</v>
      </c>
    </row>
    <row r="117" spans="1:9" ht="13.15" hidden="1" customHeight="1" outlineLevel="1" x14ac:dyDescent="0.25">
      <c r="A117" s="253">
        <f t="shared" si="3"/>
        <v>16</v>
      </c>
      <c r="B117" s="227">
        <f t="shared" si="4"/>
        <v>42914</v>
      </c>
      <c r="D117" s="230"/>
      <c r="E117" s="230"/>
      <c r="F117" s="265"/>
      <c r="G117" s="264">
        <f t="shared" si="0"/>
        <v>0</v>
      </c>
      <c r="H117" s="230">
        <f t="shared" si="1"/>
        <v>0</v>
      </c>
      <c r="I117" s="266">
        <f t="shared" si="2"/>
        <v>0</v>
      </c>
    </row>
    <row r="118" spans="1:9" ht="13.15" hidden="1" customHeight="1" outlineLevel="1" x14ac:dyDescent="0.25">
      <c r="A118" s="253">
        <f t="shared" si="3"/>
        <v>17</v>
      </c>
      <c r="B118" s="227">
        <f t="shared" si="4"/>
        <v>42944</v>
      </c>
      <c r="D118" s="230"/>
      <c r="E118" s="230"/>
      <c r="F118" s="265"/>
      <c r="G118" s="264">
        <f t="shared" si="0"/>
        <v>0</v>
      </c>
      <c r="H118" s="230">
        <f t="shared" si="1"/>
        <v>0</v>
      </c>
      <c r="I118" s="266">
        <f t="shared" si="2"/>
        <v>0</v>
      </c>
    </row>
    <row r="119" spans="1:9" ht="13.15" hidden="1" customHeight="1" outlineLevel="1" x14ac:dyDescent="0.25">
      <c r="A119" s="253">
        <f t="shared" si="3"/>
        <v>18</v>
      </c>
      <c r="B119" s="227">
        <f t="shared" si="4"/>
        <v>42974</v>
      </c>
      <c r="D119" s="230"/>
      <c r="E119" s="230"/>
      <c r="F119" s="265"/>
      <c r="G119" s="264">
        <f t="shared" si="0"/>
        <v>0</v>
      </c>
      <c r="H119" s="230">
        <f t="shared" si="1"/>
        <v>0</v>
      </c>
      <c r="I119" s="266">
        <f t="shared" si="2"/>
        <v>0</v>
      </c>
    </row>
    <row r="120" spans="1:9" ht="13.15" hidden="1" customHeight="1" outlineLevel="1" x14ac:dyDescent="0.25">
      <c r="A120" s="253">
        <f>+A119+1</f>
        <v>19</v>
      </c>
      <c r="B120" s="227">
        <f>B119+30</f>
        <v>43004</v>
      </c>
      <c r="D120" s="230"/>
      <c r="E120" s="230"/>
      <c r="F120" s="265"/>
      <c r="G120" s="264">
        <f t="shared" si="0"/>
        <v>0</v>
      </c>
      <c r="H120" s="230">
        <f t="shared" si="1"/>
        <v>0</v>
      </c>
      <c r="I120" s="266">
        <f t="shared" si="2"/>
        <v>0</v>
      </c>
    </row>
    <row r="121" spans="1:9" ht="13.15" hidden="1" customHeight="1" outlineLevel="1" x14ac:dyDescent="0.25">
      <c r="A121" s="253">
        <f>+A120+1</f>
        <v>20</v>
      </c>
      <c r="B121" s="227">
        <f>B120+30</f>
        <v>43034</v>
      </c>
      <c r="D121" s="230"/>
      <c r="E121" s="230"/>
      <c r="F121" s="265"/>
      <c r="G121" s="264">
        <f t="shared" si="0"/>
        <v>0</v>
      </c>
      <c r="H121" s="230">
        <f t="shared" si="1"/>
        <v>0</v>
      </c>
      <c r="I121" s="266">
        <f t="shared" si="2"/>
        <v>0</v>
      </c>
    </row>
    <row r="122" spans="1:9" ht="13.15" hidden="1" customHeight="1" outlineLevel="1" x14ac:dyDescent="0.25">
      <c r="A122" s="253">
        <f>+A121+1</f>
        <v>21</v>
      </c>
      <c r="B122" s="227">
        <f>B121+30</f>
        <v>43064</v>
      </c>
      <c r="C122" s="250" t="s">
        <v>205</v>
      </c>
      <c r="D122" s="230"/>
      <c r="E122" s="230"/>
      <c r="F122" s="265"/>
      <c r="G122" s="264">
        <f t="shared" si="0"/>
        <v>0</v>
      </c>
      <c r="H122" s="230">
        <f t="shared" si="1"/>
        <v>0</v>
      </c>
      <c r="I122" s="266">
        <f t="shared" si="2"/>
        <v>0</v>
      </c>
    </row>
    <row r="123" spans="1:9" ht="13.15" hidden="1" customHeight="1" outlineLevel="1" x14ac:dyDescent="0.25">
      <c r="A123" s="253">
        <f>+A122+1</f>
        <v>22</v>
      </c>
      <c r="B123" s="227">
        <v>43064</v>
      </c>
      <c r="C123" s="250" t="s">
        <v>186</v>
      </c>
      <c r="D123" s="230"/>
      <c r="E123" s="230"/>
      <c r="F123" s="265"/>
      <c r="G123" s="264">
        <f t="shared" si="0"/>
        <v>0</v>
      </c>
      <c r="H123" s="230">
        <f t="shared" si="1"/>
        <v>0</v>
      </c>
      <c r="I123" s="266">
        <f t="shared" si="2"/>
        <v>0</v>
      </c>
    </row>
    <row r="124" spans="1:9" ht="13.15" hidden="1" customHeight="1" outlineLevel="1" x14ac:dyDescent="0.25">
      <c r="A124" s="253">
        <f t="shared" ref="A124:A187" si="5">+A123+1</f>
        <v>23</v>
      </c>
      <c r="B124" s="227">
        <f t="shared" ref="B124:B135" si="6">B123+30</f>
        <v>43094</v>
      </c>
      <c r="D124" s="230"/>
      <c r="E124" s="230"/>
      <c r="F124" s="265"/>
      <c r="G124" s="264">
        <f t="shared" si="0"/>
        <v>0</v>
      </c>
      <c r="H124" s="230">
        <f t="shared" si="1"/>
        <v>0</v>
      </c>
      <c r="I124" s="266">
        <f t="shared" si="2"/>
        <v>0</v>
      </c>
    </row>
    <row r="125" spans="1:9" ht="13.15" hidden="1" customHeight="1" outlineLevel="1" x14ac:dyDescent="0.25">
      <c r="A125" s="253">
        <f t="shared" si="5"/>
        <v>24</v>
      </c>
      <c r="B125" s="227">
        <f t="shared" si="6"/>
        <v>43124</v>
      </c>
      <c r="D125" s="230"/>
      <c r="E125" s="230"/>
      <c r="F125" s="265"/>
      <c r="G125" s="264">
        <f t="shared" si="0"/>
        <v>0</v>
      </c>
      <c r="H125" s="230">
        <f t="shared" si="1"/>
        <v>0</v>
      </c>
      <c r="I125" s="266">
        <f t="shared" si="2"/>
        <v>0</v>
      </c>
    </row>
    <row r="126" spans="1:9" ht="13.15" hidden="1" customHeight="1" outlineLevel="1" x14ac:dyDescent="0.25">
      <c r="A126" s="253">
        <f t="shared" si="5"/>
        <v>25</v>
      </c>
      <c r="B126" s="227">
        <f t="shared" si="6"/>
        <v>43154</v>
      </c>
      <c r="D126" s="230"/>
      <c r="E126" s="230"/>
      <c r="F126" s="265"/>
      <c r="G126" s="264">
        <f t="shared" si="0"/>
        <v>0</v>
      </c>
      <c r="H126" s="230">
        <f t="shared" si="1"/>
        <v>0</v>
      </c>
      <c r="I126" s="266">
        <f t="shared" si="2"/>
        <v>0</v>
      </c>
    </row>
    <row r="127" spans="1:9" ht="13.15" hidden="1" customHeight="1" outlineLevel="1" x14ac:dyDescent="0.25">
      <c r="A127" s="253">
        <f t="shared" si="5"/>
        <v>26</v>
      </c>
      <c r="B127" s="227">
        <f t="shared" si="6"/>
        <v>43184</v>
      </c>
      <c r="D127" s="230"/>
      <c r="E127" s="230"/>
      <c r="F127" s="265"/>
      <c r="G127" s="264">
        <f t="shared" si="0"/>
        <v>0</v>
      </c>
      <c r="H127" s="230">
        <f t="shared" si="1"/>
        <v>0</v>
      </c>
      <c r="I127" s="266">
        <f t="shared" si="2"/>
        <v>0</v>
      </c>
    </row>
    <row r="128" spans="1:9" ht="13.15" hidden="1" customHeight="1" outlineLevel="1" x14ac:dyDescent="0.25">
      <c r="A128" s="253">
        <f t="shared" si="5"/>
        <v>27</v>
      </c>
      <c r="B128" s="227">
        <f t="shared" si="6"/>
        <v>43214</v>
      </c>
      <c r="D128" s="230"/>
      <c r="E128" s="230"/>
      <c r="F128" s="265"/>
      <c r="G128" s="264">
        <f t="shared" si="0"/>
        <v>0</v>
      </c>
      <c r="H128" s="230">
        <f t="shared" si="1"/>
        <v>0</v>
      </c>
      <c r="I128" s="266">
        <f t="shared" si="2"/>
        <v>0</v>
      </c>
    </row>
    <row r="129" spans="1:9" ht="13.15" hidden="1" customHeight="1" outlineLevel="1" x14ac:dyDescent="0.25">
      <c r="A129" s="253">
        <f t="shared" si="5"/>
        <v>28</v>
      </c>
      <c r="B129" s="227">
        <f t="shared" si="6"/>
        <v>43244</v>
      </c>
      <c r="D129" s="230"/>
      <c r="E129" s="230"/>
      <c r="F129" s="265"/>
      <c r="G129" s="264">
        <f t="shared" si="0"/>
        <v>0</v>
      </c>
      <c r="H129" s="230">
        <f t="shared" si="1"/>
        <v>0</v>
      </c>
      <c r="I129" s="266">
        <f t="shared" si="2"/>
        <v>0</v>
      </c>
    </row>
    <row r="130" spans="1:9" ht="13.15" hidden="1" customHeight="1" outlineLevel="1" x14ac:dyDescent="0.25">
      <c r="A130" s="253">
        <f t="shared" si="5"/>
        <v>29</v>
      </c>
      <c r="B130" s="227">
        <f t="shared" si="6"/>
        <v>43274</v>
      </c>
      <c r="D130" s="230"/>
      <c r="E130" s="230"/>
      <c r="F130" s="265"/>
      <c r="G130" s="264">
        <f t="shared" si="0"/>
        <v>0</v>
      </c>
      <c r="H130" s="230">
        <f t="shared" si="1"/>
        <v>0</v>
      </c>
      <c r="I130" s="266">
        <f t="shared" si="2"/>
        <v>0</v>
      </c>
    </row>
    <row r="131" spans="1:9" ht="13.15" hidden="1" customHeight="1" outlineLevel="1" x14ac:dyDescent="0.25">
      <c r="A131" s="253">
        <f t="shared" si="5"/>
        <v>30</v>
      </c>
      <c r="B131" s="227">
        <f t="shared" si="6"/>
        <v>43304</v>
      </c>
      <c r="D131" s="230"/>
      <c r="E131" s="230"/>
      <c r="F131" s="265"/>
      <c r="G131" s="264">
        <f t="shared" si="0"/>
        <v>0</v>
      </c>
      <c r="H131" s="230">
        <f t="shared" si="1"/>
        <v>0</v>
      </c>
      <c r="I131" s="266">
        <f t="shared" si="2"/>
        <v>0</v>
      </c>
    </row>
    <row r="132" spans="1:9" ht="13.15" hidden="1" customHeight="1" outlineLevel="1" x14ac:dyDescent="0.25">
      <c r="A132" s="253">
        <f t="shared" si="5"/>
        <v>31</v>
      </c>
      <c r="B132" s="227">
        <f t="shared" si="6"/>
        <v>43334</v>
      </c>
      <c r="D132" s="230"/>
      <c r="E132" s="230"/>
      <c r="F132" s="265"/>
      <c r="G132" s="264">
        <f t="shared" si="0"/>
        <v>0</v>
      </c>
      <c r="H132" s="230">
        <f t="shared" si="1"/>
        <v>0</v>
      </c>
      <c r="I132" s="266">
        <f t="shared" si="2"/>
        <v>0</v>
      </c>
    </row>
    <row r="133" spans="1:9" ht="13.15" hidden="1" customHeight="1" outlineLevel="1" x14ac:dyDescent="0.25">
      <c r="A133" s="253">
        <f t="shared" si="5"/>
        <v>32</v>
      </c>
      <c r="B133" s="227">
        <f t="shared" si="6"/>
        <v>43364</v>
      </c>
      <c r="D133" s="230"/>
      <c r="E133" s="230"/>
      <c r="F133" s="265"/>
      <c r="G133" s="264">
        <f t="shared" si="0"/>
        <v>0</v>
      </c>
      <c r="H133" s="230">
        <f t="shared" si="1"/>
        <v>0</v>
      </c>
      <c r="I133" s="266">
        <f t="shared" si="2"/>
        <v>0</v>
      </c>
    </row>
    <row r="134" spans="1:9" ht="13.15" hidden="1" customHeight="1" outlineLevel="1" x14ac:dyDescent="0.25">
      <c r="A134" s="253">
        <f t="shared" si="5"/>
        <v>33</v>
      </c>
      <c r="B134" s="227">
        <f t="shared" si="6"/>
        <v>43394</v>
      </c>
      <c r="D134" s="230"/>
      <c r="E134" s="230"/>
      <c r="F134" s="265"/>
      <c r="G134" s="264">
        <f t="shared" si="0"/>
        <v>0</v>
      </c>
      <c r="H134" s="230">
        <f t="shared" si="1"/>
        <v>0</v>
      </c>
      <c r="I134" s="266">
        <f t="shared" si="2"/>
        <v>0</v>
      </c>
    </row>
    <row r="135" spans="1:9" ht="13.15" hidden="1" customHeight="1" outlineLevel="1" x14ac:dyDescent="0.25">
      <c r="A135" s="253">
        <f t="shared" si="5"/>
        <v>34</v>
      </c>
      <c r="B135" s="227">
        <f t="shared" si="6"/>
        <v>43424</v>
      </c>
      <c r="C135" s="250" t="s">
        <v>205</v>
      </c>
      <c r="D135" s="230"/>
      <c r="E135" s="230"/>
      <c r="F135" s="265"/>
      <c r="G135" s="264">
        <f t="shared" si="0"/>
        <v>0</v>
      </c>
      <c r="H135" s="230">
        <f t="shared" si="1"/>
        <v>0</v>
      </c>
      <c r="I135" s="266">
        <f t="shared" si="2"/>
        <v>0</v>
      </c>
    </row>
    <row r="136" spans="1:9" ht="13.15" hidden="1" customHeight="1" outlineLevel="1" x14ac:dyDescent="0.25">
      <c r="A136" s="253">
        <f t="shared" si="5"/>
        <v>35</v>
      </c>
      <c r="B136" s="227">
        <v>43405</v>
      </c>
      <c r="C136" s="250" t="s">
        <v>186</v>
      </c>
      <c r="D136" s="230"/>
      <c r="E136" s="230"/>
      <c r="F136" s="267"/>
      <c r="G136" s="264">
        <f t="shared" si="0"/>
        <v>0</v>
      </c>
      <c r="H136" s="230">
        <f t="shared" si="1"/>
        <v>0</v>
      </c>
      <c r="I136" s="266">
        <f t="shared" si="2"/>
        <v>0</v>
      </c>
    </row>
    <row r="137" spans="1:9" ht="13.15" hidden="1" customHeight="1" outlineLevel="1" x14ac:dyDescent="0.25">
      <c r="A137" s="253">
        <f t="shared" si="5"/>
        <v>36</v>
      </c>
      <c r="B137" s="227">
        <f>B136+30</f>
        <v>43435</v>
      </c>
      <c r="D137" s="230"/>
      <c r="E137" s="230"/>
      <c r="F137" s="267"/>
      <c r="G137" s="264">
        <f t="shared" si="0"/>
        <v>0</v>
      </c>
      <c r="H137" s="230">
        <f t="shared" si="1"/>
        <v>0</v>
      </c>
      <c r="I137" s="266">
        <f t="shared" si="2"/>
        <v>0</v>
      </c>
    </row>
    <row r="138" spans="1:9" ht="13.15" hidden="1" customHeight="1" outlineLevel="1" x14ac:dyDescent="0.25">
      <c r="A138" s="253">
        <f t="shared" si="5"/>
        <v>37</v>
      </c>
      <c r="B138" s="227">
        <f t="shared" ref="B138:B148" si="7">B137+31</f>
        <v>43466</v>
      </c>
      <c r="D138" s="230"/>
      <c r="E138" s="230"/>
      <c r="F138" s="267"/>
      <c r="G138" s="264">
        <f t="shared" si="0"/>
        <v>0</v>
      </c>
      <c r="H138" s="230">
        <f t="shared" si="1"/>
        <v>0</v>
      </c>
      <c r="I138" s="266">
        <f t="shared" si="2"/>
        <v>0</v>
      </c>
    </row>
    <row r="139" spans="1:9" ht="13.15" hidden="1" customHeight="1" outlineLevel="1" x14ac:dyDescent="0.25">
      <c r="A139" s="253">
        <f t="shared" si="5"/>
        <v>38</v>
      </c>
      <c r="B139" s="227">
        <f t="shared" si="7"/>
        <v>43497</v>
      </c>
      <c r="D139" s="230"/>
      <c r="E139" s="230"/>
      <c r="F139" s="267"/>
      <c r="G139" s="264">
        <f t="shared" si="0"/>
        <v>0</v>
      </c>
      <c r="H139" s="230">
        <f t="shared" si="1"/>
        <v>0</v>
      </c>
      <c r="I139" s="266">
        <f t="shared" si="2"/>
        <v>0</v>
      </c>
    </row>
    <row r="140" spans="1:9" ht="13.15" hidden="1" customHeight="1" outlineLevel="1" x14ac:dyDescent="0.25">
      <c r="A140" s="253">
        <f t="shared" si="5"/>
        <v>39</v>
      </c>
      <c r="B140" s="227">
        <f t="shared" si="7"/>
        <v>43528</v>
      </c>
      <c r="D140" s="230"/>
      <c r="E140" s="230"/>
      <c r="F140" s="267"/>
      <c r="G140" s="264">
        <f t="shared" si="0"/>
        <v>0</v>
      </c>
      <c r="H140" s="230">
        <f t="shared" si="1"/>
        <v>0</v>
      </c>
      <c r="I140" s="266">
        <f t="shared" si="2"/>
        <v>0</v>
      </c>
    </row>
    <row r="141" spans="1:9" ht="13.15" hidden="1" customHeight="1" outlineLevel="1" x14ac:dyDescent="0.25">
      <c r="A141" s="253">
        <f t="shared" si="5"/>
        <v>40</v>
      </c>
      <c r="B141" s="227">
        <f t="shared" si="7"/>
        <v>43559</v>
      </c>
      <c r="D141" s="230"/>
      <c r="E141" s="230"/>
      <c r="F141" s="267"/>
      <c r="G141" s="264">
        <f t="shared" si="0"/>
        <v>0</v>
      </c>
      <c r="H141" s="230">
        <f t="shared" si="1"/>
        <v>0</v>
      </c>
      <c r="I141" s="266">
        <f t="shared" si="2"/>
        <v>0</v>
      </c>
    </row>
    <row r="142" spans="1:9" ht="13.15" hidden="1" customHeight="1" outlineLevel="1" x14ac:dyDescent="0.25">
      <c r="A142" s="253">
        <f t="shared" si="5"/>
        <v>41</v>
      </c>
      <c r="B142" s="227">
        <f t="shared" si="7"/>
        <v>43590</v>
      </c>
      <c r="D142" s="230"/>
      <c r="E142" s="230"/>
      <c r="F142" s="267"/>
      <c r="G142" s="264">
        <f t="shared" si="0"/>
        <v>0</v>
      </c>
      <c r="H142" s="230">
        <f t="shared" si="1"/>
        <v>0</v>
      </c>
      <c r="I142" s="266">
        <f t="shared" si="2"/>
        <v>0</v>
      </c>
    </row>
    <row r="143" spans="1:9" ht="13.15" hidden="1" customHeight="1" outlineLevel="1" x14ac:dyDescent="0.25">
      <c r="A143" s="253">
        <f t="shared" si="5"/>
        <v>42</v>
      </c>
      <c r="B143" s="227">
        <f t="shared" si="7"/>
        <v>43621</v>
      </c>
      <c r="D143" s="230"/>
      <c r="E143" s="230"/>
      <c r="F143" s="267"/>
      <c r="G143" s="264">
        <f t="shared" si="0"/>
        <v>0</v>
      </c>
      <c r="H143" s="230">
        <f t="shared" si="1"/>
        <v>0</v>
      </c>
      <c r="I143" s="266">
        <f t="shared" si="2"/>
        <v>0</v>
      </c>
    </row>
    <row r="144" spans="1:9" ht="13.15" hidden="1" customHeight="1" outlineLevel="1" x14ac:dyDescent="0.25">
      <c r="A144" s="253">
        <f t="shared" si="5"/>
        <v>43</v>
      </c>
      <c r="B144" s="227">
        <f t="shared" si="7"/>
        <v>43652</v>
      </c>
      <c r="D144" s="230"/>
      <c r="E144" s="230"/>
      <c r="F144" s="267"/>
      <c r="G144" s="264">
        <f t="shared" si="0"/>
        <v>0</v>
      </c>
      <c r="H144" s="230">
        <f t="shared" si="1"/>
        <v>0</v>
      </c>
      <c r="I144" s="266">
        <f t="shared" si="2"/>
        <v>0</v>
      </c>
    </row>
    <row r="145" spans="1:9" ht="13.15" hidden="1" customHeight="1" outlineLevel="1" x14ac:dyDescent="0.25">
      <c r="A145" s="253">
        <f t="shared" si="5"/>
        <v>44</v>
      </c>
      <c r="B145" s="227">
        <f t="shared" si="7"/>
        <v>43683</v>
      </c>
      <c r="D145" s="230"/>
      <c r="E145" s="230"/>
      <c r="F145" s="267"/>
      <c r="G145" s="264">
        <f t="shared" si="0"/>
        <v>0</v>
      </c>
      <c r="H145" s="230">
        <f t="shared" si="1"/>
        <v>0</v>
      </c>
      <c r="I145" s="266">
        <f t="shared" si="2"/>
        <v>0</v>
      </c>
    </row>
    <row r="146" spans="1:9" ht="13.15" hidden="1" customHeight="1" outlineLevel="1" x14ac:dyDescent="0.25">
      <c r="A146" s="253">
        <f t="shared" si="5"/>
        <v>45</v>
      </c>
      <c r="B146" s="227">
        <f t="shared" si="7"/>
        <v>43714</v>
      </c>
      <c r="D146" s="230"/>
      <c r="E146" s="230"/>
      <c r="F146" s="267"/>
      <c r="G146" s="264">
        <f t="shared" si="0"/>
        <v>0</v>
      </c>
      <c r="H146" s="230">
        <f t="shared" si="1"/>
        <v>0</v>
      </c>
      <c r="I146" s="266">
        <f t="shared" si="2"/>
        <v>0</v>
      </c>
    </row>
    <row r="147" spans="1:9" ht="13.15" hidden="1" customHeight="1" outlineLevel="1" x14ac:dyDescent="0.25">
      <c r="A147" s="253">
        <f t="shared" si="5"/>
        <v>46</v>
      </c>
      <c r="B147" s="227">
        <f t="shared" si="7"/>
        <v>43745</v>
      </c>
      <c r="D147" s="230"/>
      <c r="E147" s="230"/>
      <c r="F147" s="267"/>
      <c r="G147" s="264">
        <f t="shared" si="0"/>
        <v>0</v>
      </c>
      <c r="H147" s="230">
        <f t="shared" si="1"/>
        <v>0</v>
      </c>
      <c r="I147" s="266">
        <f t="shared" si="2"/>
        <v>0</v>
      </c>
    </row>
    <row r="148" spans="1:9" ht="13.15" hidden="1" customHeight="1" outlineLevel="1" x14ac:dyDescent="0.25">
      <c r="A148" s="253">
        <f t="shared" si="5"/>
        <v>47</v>
      </c>
      <c r="B148" s="227">
        <f t="shared" si="7"/>
        <v>43776</v>
      </c>
      <c r="C148" s="250" t="s">
        <v>205</v>
      </c>
      <c r="D148" s="230"/>
      <c r="E148" s="230"/>
      <c r="F148" s="267"/>
      <c r="G148" s="264">
        <f t="shared" si="0"/>
        <v>0</v>
      </c>
      <c r="H148" s="230">
        <f t="shared" si="1"/>
        <v>0</v>
      </c>
      <c r="I148" s="266">
        <f t="shared" si="2"/>
        <v>0</v>
      </c>
    </row>
    <row r="149" spans="1:9" hidden="1" outlineLevel="1" collapsed="1" x14ac:dyDescent="0.25">
      <c r="A149" s="253">
        <f t="shared" si="5"/>
        <v>48</v>
      </c>
      <c r="B149" s="227">
        <v>43776</v>
      </c>
      <c r="C149" s="250" t="s">
        <v>186</v>
      </c>
      <c r="D149" s="230"/>
      <c r="E149" s="230"/>
      <c r="F149" s="267"/>
      <c r="G149" s="264">
        <f t="shared" si="0"/>
        <v>0</v>
      </c>
      <c r="H149" s="230">
        <f t="shared" si="1"/>
        <v>0</v>
      </c>
      <c r="I149" s="266">
        <f t="shared" si="2"/>
        <v>0</v>
      </c>
    </row>
    <row r="150" spans="1:9" hidden="1" outlineLevel="1" x14ac:dyDescent="0.25">
      <c r="A150" s="253">
        <f t="shared" si="5"/>
        <v>49</v>
      </c>
      <c r="B150" s="227">
        <v>43800</v>
      </c>
      <c r="D150" s="230"/>
      <c r="E150" s="230"/>
      <c r="F150" s="267"/>
      <c r="G150" s="264">
        <f t="shared" si="0"/>
        <v>0</v>
      </c>
      <c r="H150" s="230">
        <f t="shared" si="1"/>
        <v>0</v>
      </c>
      <c r="I150" s="266">
        <f t="shared" si="2"/>
        <v>0</v>
      </c>
    </row>
    <row r="151" spans="1:9" hidden="1" outlineLevel="1" x14ac:dyDescent="0.25">
      <c r="A151" s="253">
        <f t="shared" si="5"/>
        <v>50</v>
      </c>
      <c r="B151" s="227">
        <v>43831</v>
      </c>
      <c r="D151" s="230"/>
      <c r="E151" s="230"/>
      <c r="F151" s="267"/>
      <c r="G151" s="264">
        <f t="shared" si="0"/>
        <v>0</v>
      </c>
      <c r="H151" s="230">
        <f t="shared" si="1"/>
        <v>0</v>
      </c>
      <c r="I151" s="266">
        <f t="shared" si="2"/>
        <v>0</v>
      </c>
    </row>
    <row r="152" spans="1:9" hidden="1" outlineLevel="1" x14ac:dyDescent="0.25">
      <c r="A152" s="253">
        <f t="shared" si="5"/>
        <v>51</v>
      </c>
      <c r="B152" s="227">
        <v>43862</v>
      </c>
      <c r="D152" s="230"/>
      <c r="E152" s="230"/>
      <c r="F152" s="267"/>
      <c r="G152" s="264">
        <f t="shared" si="0"/>
        <v>0</v>
      </c>
      <c r="H152" s="230">
        <f t="shared" si="1"/>
        <v>0</v>
      </c>
      <c r="I152" s="266">
        <f t="shared" si="2"/>
        <v>0</v>
      </c>
    </row>
    <row r="153" spans="1:9" hidden="1" outlineLevel="1" x14ac:dyDescent="0.25">
      <c r="A153" s="253">
        <f t="shared" si="5"/>
        <v>52</v>
      </c>
      <c r="B153" s="227">
        <v>43891</v>
      </c>
      <c r="D153" s="230"/>
      <c r="E153" s="230"/>
      <c r="F153" s="267"/>
      <c r="G153" s="264">
        <f t="shared" si="0"/>
        <v>0</v>
      </c>
      <c r="H153" s="230">
        <f t="shared" si="1"/>
        <v>0</v>
      </c>
      <c r="I153" s="266">
        <f t="shared" si="2"/>
        <v>0</v>
      </c>
    </row>
    <row r="154" spans="1:9" hidden="1" outlineLevel="1" x14ac:dyDescent="0.25">
      <c r="A154" s="253">
        <f t="shared" si="5"/>
        <v>53</v>
      </c>
      <c r="B154" s="227">
        <v>43922</v>
      </c>
      <c r="D154" s="230"/>
      <c r="E154" s="230"/>
      <c r="F154" s="267"/>
      <c r="G154" s="264">
        <f t="shared" si="0"/>
        <v>0</v>
      </c>
      <c r="H154" s="230">
        <f t="shared" si="1"/>
        <v>0</v>
      </c>
      <c r="I154" s="266">
        <f t="shared" si="2"/>
        <v>0</v>
      </c>
    </row>
    <row r="155" spans="1:9" hidden="1" outlineLevel="1" x14ac:dyDescent="0.25">
      <c r="A155" s="253">
        <f t="shared" si="5"/>
        <v>54</v>
      </c>
      <c r="B155" s="227">
        <v>43952</v>
      </c>
      <c r="D155" s="230"/>
      <c r="E155" s="230"/>
      <c r="F155" s="267"/>
      <c r="G155" s="264">
        <f t="shared" si="0"/>
        <v>0</v>
      </c>
      <c r="H155" s="230">
        <f t="shared" si="1"/>
        <v>0</v>
      </c>
      <c r="I155" s="266">
        <f t="shared" si="2"/>
        <v>0</v>
      </c>
    </row>
    <row r="156" spans="1:9" hidden="1" outlineLevel="1" x14ac:dyDescent="0.25">
      <c r="A156" s="253">
        <f t="shared" si="5"/>
        <v>55</v>
      </c>
      <c r="B156" s="227">
        <v>43983</v>
      </c>
      <c r="D156" s="230"/>
      <c r="E156" s="230"/>
      <c r="F156" s="267"/>
      <c r="G156" s="264">
        <f t="shared" si="0"/>
        <v>0</v>
      </c>
      <c r="H156" s="230">
        <f t="shared" si="1"/>
        <v>0</v>
      </c>
      <c r="I156" s="266">
        <f t="shared" si="2"/>
        <v>0</v>
      </c>
    </row>
    <row r="157" spans="1:9" hidden="1" outlineLevel="1" x14ac:dyDescent="0.25">
      <c r="A157" s="253">
        <f t="shared" si="5"/>
        <v>56</v>
      </c>
      <c r="B157" s="227">
        <v>44013</v>
      </c>
      <c r="D157" s="230"/>
      <c r="E157" s="230"/>
      <c r="F157" s="267"/>
      <c r="G157" s="264">
        <f t="shared" si="0"/>
        <v>0</v>
      </c>
      <c r="H157" s="230">
        <f t="shared" si="1"/>
        <v>0</v>
      </c>
      <c r="I157" s="266">
        <f t="shared" si="2"/>
        <v>0</v>
      </c>
    </row>
    <row r="158" spans="1:9" hidden="1" outlineLevel="1" x14ac:dyDescent="0.25">
      <c r="A158" s="253">
        <f t="shared" si="5"/>
        <v>57</v>
      </c>
      <c r="B158" s="227">
        <v>44044</v>
      </c>
      <c r="D158" s="230"/>
      <c r="E158" s="230"/>
      <c r="F158" s="267"/>
      <c r="G158" s="264">
        <f t="shared" si="0"/>
        <v>0</v>
      </c>
      <c r="H158" s="230">
        <f t="shared" si="1"/>
        <v>0</v>
      </c>
      <c r="I158" s="266">
        <f t="shared" si="2"/>
        <v>0</v>
      </c>
    </row>
    <row r="159" spans="1:9" hidden="1" outlineLevel="1" x14ac:dyDescent="0.25">
      <c r="A159" s="253">
        <f t="shared" si="5"/>
        <v>58</v>
      </c>
      <c r="B159" s="227">
        <v>44075</v>
      </c>
      <c r="D159" s="230"/>
      <c r="E159" s="230"/>
      <c r="F159" s="267"/>
      <c r="G159" s="264">
        <f t="shared" si="0"/>
        <v>0</v>
      </c>
      <c r="H159" s="230">
        <f t="shared" si="1"/>
        <v>0</v>
      </c>
      <c r="I159" s="266">
        <f t="shared" si="2"/>
        <v>0</v>
      </c>
    </row>
    <row r="160" spans="1:9" hidden="1" outlineLevel="1" x14ac:dyDescent="0.25">
      <c r="A160" s="253">
        <f t="shared" si="5"/>
        <v>59</v>
      </c>
      <c r="B160" s="227">
        <v>44105</v>
      </c>
      <c r="D160" s="230"/>
      <c r="E160" s="230"/>
      <c r="F160" s="267"/>
      <c r="G160" s="264">
        <f t="shared" si="0"/>
        <v>0</v>
      </c>
      <c r="H160" s="230">
        <f t="shared" si="1"/>
        <v>0</v>
      </c>
      <c r="I160" s="266">
        <f t="shared" si="2"/>
        <v>0</v>
      </c>
    </row>
    <row r="161" spans="1:9" hidden="1" outlineLevel="1" x14ac:dyDescent="0.25">
      <c r="A161" s="253">
        <f t="shared" si="5"/>
        <v>60</v>
      </c>
      <c r="B161" s="227">
        <v>44136</v>
      </c>
      <c r="C161" s="250" t="s">
        <v>185</v>
      </c>
      <c r="D161" s="230"/>
      <c r="E161" s="230"/>
      <c r="F161" s="267"/>
      <c r="G161" s="264">
        <v>0</v>
      </c>
      <c r="H161" s="230">
        <f t="shared" si="1"/>
        <v>0</v>
      </c>
      <c r="I161" s="266">
        <f t="shared" si="2"/>
        <v>0</v>
      </c>
    </row>
    <row r="162" spans="1:9" hidden="1" outlineLevel="1" collapsed="1" x14ac:dyDescent="0.25">
      <c r="A162" s="253">
        <f t="shared" si="5"/>
        <v>61</v>
      </c>
      <c r="B162" s="227">
        <v>44136</v>
      </c>
      <c r="C162" s="250" t="s">
        <v>186</v>
      </c>
      <c r="D162" s="230"/>
      <c r="E162" s="230"/>
      <c r="F162" s="267"/>
      <c r="G162" s="264">
        <f t="shared" ref="G162:G173" si="8">ROUND((+I161+E162+(D162/2))*F162/12,2)</f>
        <v>0</v>
      </c>
      <c r="H162" s="230">
        <f t="shared" si="1"/>
        <v>0</v>
      </c>
      <c r="I162" s="266">
        <f t="shared" si="2"/>
        <v>0</v>
      </c>
    </row>
    <row r="163" spans="1:9" hidden="1" outlineLevel="1" x14ac:dyDescent="0.25">
      <c r="A163" s="253">
        <f t="shared" si="5"/>
        <v>62</v>
      </c>
      <c r="B163" s="227">
        <v>44166</v>
      </c>
      <c r="D163" s="230"/>
      <c r="E163" s="230"/>
      <c r="F163" s="267"/>
      <c r="G163" s="264">
        <f t="shared" si="8"/>
        <v>0</v>
      </c>
      <c r="H163" s="230">
        <f t="shared" si="1"/>
        <v>0</v>
      </c>
      <c r="I163" s="266">
        <f t="shared" si="2"/>
        <v>0</v>
      </c>
    </row>
    <row r="164" spans="1:9" hidden="1" outlineLevel="1" x14ac:dyDescent="0.25">
      <c r="A164" s="253">
        <f t="shared" si="5"/>
        <v>63</v>
      </c>
      <c r="B164" s="227">
        <v>44197</v>
      </c>
      <c r="D164" s="230"/>
      <c r="E164" s="230"/>
      <c r="F164" s="267"/>
      <c r="G164" s="264">
        <f t="shared" si="8"/>
        <v>0</v>
      </c>
      <c r="H164" s="230">
        <f t="shared" si="1"/>
        <v>0</v>
      </c>
      <c r="I164" s="266">
        <f t="shared" si="2"/>
        <v>0</v>
      </c>
    </row>
    <row r="165" spans="1:9" hidden="1" outlineLevel="1" x14ac:dyDescent="0.25">
      <c r="A165" s="253">
        <f t="shared" si="5"/>
        <v>64</v>
      </c>
      <c r="B165" s="227">
        <v>44228</v>
      </c>
      <c r="D165" s="230"/>
      <c r="E165" s="230"/>
      <c r="F165" s="267"/>
      <c r="G165" s="264">
        <f t="shared" si="8"/>
        <v>0</v>
      </c>
      <c r="H165" s="230">
        <f t="shared" si="1"/>
        <v>0</v>
      </c>
      <c r="I165" s="266">
        <f t="shared" si="2"/>
        <v>0</v>
      </c>
    </row>
    <row r="166" spans="1:9" hidden="1" outlineLevel="1" x14ac:dyDescent="0.25">
      <c r="A166" s="253">
        <f t="shared" si="5"/>
        <v>65</v>
      </c>
      <c r="B166" s="227">
        <v>44256</v>
      </c>
      <c r="D166" s="230"/>
      <c r="E166" s="230"/>
      <c r="F166" s="267"/>
      <c r="G166" s="264">
        <f t="shared" si="8"/>
        <v>0</v>
      </c>
      <c r="H166" s="230">
        <f t="shared" si="1"/>
        <v>0</v>
      </c>
      <c r="I166" s="266">
        <f t="shared" si="2"/>
        <v>0</v>
      </c>
    </row>
    <row r="167" spans="1:9" hidden="1" outlineLevel="1" x14ac:dyDescent="0.25">
      <c r="A167" s="253">
        <f t="shared" si="5"/>
        <v>66</v>
      </c>
      <c r="B167" s="227">
        <v>44287</v>
      </c>
      <c r="D167" s="230">
        <v>0</v>
      </c>
      <c r="E167" s="230"/>
      <c r="F167" s="267"/>
      <c r="G167" s="264">
        <f t="shared" si="8"/>
        <v>0</v>
      </c>
      <c r="H167" s="230">
        <f t="shared" ref="H167:H173" si="9">+D167+E167+G167</f>
        <v>0</v>
      </c>
      <c r="I167" s="266">
        <f t="shared" ref="I167:I187" si="10">+I166+H167</f>
        <v>0</v>
      </c>
    </row>
    <row r="168" spans="1:9" hidden="1" outlineLevel="1" x14ac:dyDescent="0.25">
      <c r="A168" s="253">
        <f t="shared" si="5"/>
        <v>67</v>
      </c>
      <c r="B168" s="227">
        <v>44317</v>
      </c>
      <c r="D168" s="230">
        <v>0</v>
      </c>
      <c r="E168" s="230"/>
      <c r="F168" s="267"/>
      <c r="G168" s="264">
        <f t="shared" si="8"/>
        <v>0</v>
      </c>
      <c r="H168" s="230">
        <f t="shared" si="9"/>
        <v>0</v>
      </c>
      <c r="I168" s="266">
        <f t="shared" si="10"/>
        <v>0</v>
      </c>
    </row>
    <row r="169" spans="1:9" hidden="1" outlineLevel="1" x14ac:dyDescent="0.25">
      <c r="A169" s="253">
        <f t="shared" si="5"/>
        <v>68</v>
      </c>
      <c r="B169" s="227">
        <v>44348</v>
      </c>
      <c r="D169" s="230">
        <v>0</v>
      </c>
      <c r="E169" s="230"/>
      <c r="F169" s="267"/>
      <c r="G169" s="264">
        <f t="shared" si="8"/>
        <v>0</v>
      </c>
      <c r="H169" s="230">
        <f t="shared" si="9"/>
        <v>0</v>
      </c>
      <c r="I169" s="266">
        <f t="shared" si="10"/>
        <v>0</v>
      </c>
    </row>
    <row r="170" spans="1:9" hidden="1" outlineLevel="1" x14ac:dyDescent="0.25">
      <c r="A170" s="253">
        <f t="shared" si="5"/>
        <v>69</v>
      </c>
      <c r="B170" s="227">
        <v>44378</v>
      </c>
      <c r="D170" s="230">
        <v>0</v>
      </c>
      <c r="E170" s="264"/>
      <c r="F170" s="267"/>
      <c r="G170" s="264">
        <f t="shared" si="8"/>
        <v>0</v>
      </c>
      <c r="H170" s="230">
        <f t="shared" si="9"/>
        <v>0</v>
      </c>
      <c r="I170" s="266">
        <f t="shared" si="10"/>
        <v>0</v>
      </c>
    </row>
    <row r="171" spans="1:9" hidden="1" outlineLevel="1" x14ac:dyDescent="0.25">
      <c r="A171" s="253">
        <f t="shared" si="5"/>
        <v>70</v>
      </c>
      <c r="B171" s="227">
        <v>44409</v>
      </c>
      <c r="D171" s="230">
        <v>0</v>
      </c>
      <c r="E171" s="230"/>
      <c r="F171" s="267"/>
      <c r="G171" s="264">
        <f t="shared" si="8"/>
        <v>0</v>
      </c>
      <c r="H171" s="230">
        <f t="shared" si="9"/>
        <v>0</v>
      </c>
      <c r="I171" s="266">
        <f t="shared" si="10"/>
        <v>0</v>
      </c>
    </row>
    <row r="172" spans="1:9" hidden="1" outlineLevel="1" x14ac:dyDescent="0.25">
      <c r="A172" s="253">
        <f t="shared" si="5"/>
        <v>71</v>
      </c>
      <c r="B172" s="227">
        <v>44440</v>
      </c>
      <c r="D172" s="230">
        <v>0</v>
      </c>
      <c r="E172" s="230"/>
      <c r="F172" s="267"/>
      <c r="G172" s="264">
        <f t="shared" si="8"/>
        <v>0</v>
      </c>
      <c r="H172" s="230">
        <f t="shared" si="9"/>
        <v>0</v>
      </c>
      <c r="I172" s="266">
        <f t="shared" si="10"/>
        <v>0</v>
      </c>
    </row>
    <row r="173" spans="1:9" hidden="1" outlineLevel="1" x14ac:dyDescent="0.25">
      <c r="A173" s="253">
        <f t="shared" si="5"/>
        <v>72</v>
      </c>
      <c r="B173" s="227">
        <v>44470</v>
      </c>
      <c r="D173" s="230">
        <v>0</v>
      </c>
      <c r="E173" s="230"/>
      <c r="F173" s="267"/>
      <c r="G173" s="264">
        <f t="shared" si="8"/>
        <v>0</v>
      </c>
      <c r="H173" s="230">
        <f t="shared" si="9"/>
        <v>0</v>
      </c>
      <c r="I173" s="266">
        <f t="shared" si="10"/>
        <v>0</v>
      </c>
    </row>
    <row r="174" spans="1:9" hidden="1" outlineLevel="1" x14ac:dyDescent="0.25">
      <c r="A174" s="253">
        <f t="shared" si="5"/>
        <v>73</v>
      </c>
      <c r="B174" s="227">
        <v>44501</v>
      </c>
      <c r="C174" s="250" t="s">
        <v>185</v>
      </c>
      <c r="D174" s="230">
        <v>0</v>
      </c>
      <c r="E174" s="269"/>
      <c r="F174" s="267"/>
      <c r="G174" s="270">
        <v>0</v>
      </c>
      <c r="H174" s="270">
        <f t="shared" ref="H174:H223" si="11">D174+E174+G174</f>
        <v>0</v>
      </c>
      <c r="I174" s="266">
        <f t="shared" si="10"/>
        <v>0</v>
      </c>
    </row>
    <row r="175" spans="1:9" hidden="1" outlineLevel="1" collapsed="1" x14ac:dyDescent="0.25">
      <c r="A175" s="253">
        <f t="shared" si="5"/>
        <v>74</v>
      </c>
      <c r="B175" s="227">
        <v>44501</v>
      </c>
      <c r="D175" s="230">
        <v>0</v>
      </c>
      <c r="E175" s="269"/>
      <c r="F175" s="267"/>
      <c r="G175" s="270">
        <f>ROUND((+I174+E175+(D175/2))*F175/12,2)</f>
        <v>0</v>
      </c>
      <c r="H175" s="270">
        <f t="shared" si="11"/>
        <v>0</v>
      </c>
      <c r="I175" s="266">
        <f t="shared" si="10"/>
        <v>0</v>
      </c>
    </row>
    <row r="176" spans="1:9" hidden="1" outlineLevel="1" x14ac:dyDescent="0.25">
      <c r="A176" s="253">
        <f t="shared" si="5"/>
        <v>75</v>
      </c>
      <c r="B176" s="227">
        <v>44531</v>
      </c>
      <c r="D176" s="230">
        <v>0</v>
      </c>
      <c r="E176" s="269"/>
      <c r="F176" s="267"/>
      <c r="G176" s="270">
        <f>ROUND((+I175+E176+(D176/2))*F176/12,2)</f>
        <v>0</v>
      </c>
      <c r="H176" s="270">
        <f t="shared" si="11"/>
        <v>0</v>
      </c>
      <c r="I176" s="266">
        <f t="shared" si="10"/>
        <v>0</v>
      </c>
    </row>
    <row r="177" spans="1:9" hidden="1" outlineLevel="1" x14ac:dyDescent="0.25">
      <c r="A177" s="253">
        <f t="shared" si="5"/>
        <v>76</v>
      </c>
      <c r="B177" s="227">
        <v>44562</v>
      </c>
      <c r="D177" s="230">
        <v>0</v>
      </c>
      <c r="E177" s="269"/>
      <c r="F177" s="267"/>
      <c r="G177" s="270">
        <v>0</v>
      </c>
      <c r="H177" s="270">
        <f t="shared" si="11"/>
        <v>0</v>
      </c>
      <c r="I177" s="266">
        <f t="shared" si="10"/>
        <v>0</v>
      </c>
    </row>
    <row r="178" spans="1:9" hidden="1" outlineLevel="1" x14ac:dyDescent="0.25">
      <c r="A178" s="253">
        <f t="shared" si="5"/>
        <v>77</v>
      </c>
      <c r="B178" s="227">
        <v>44593</v>
      </c>
      <c r="D178" s="230">
        <v>0</v>
      </c>
      <c r="E178" s="269"/>
      <c r="F178" s="267"/>
      <c r="G178" s="270">
        <v>0</v>
      </c>
      <c r="H178" s="270">
        <f t="shared" si="11"/>
        <v>0</v>
      </c>
      <c r="I178" s="266">
        <f t="shared" si="10"/>
        <v>0</v>
      </c>
    </row>
    <row r="179" spans="1:9" hidden="1" outlineLevel="1" x14ac:dyDescent="0.25">
      <c r="A179" s="253">
        <f t="shared" si="5"/>
        <v>78</v>
      </c>
      <c r="B179" s="227">
        <v>44621</v>
      </c>
      <c r="D179" s="230">
        <v>0</v>
      </c>
      <c r="E179" s="269"/>
      <c r="F179" s="267"/>
      <c r="G179" s="264">
        <f t="shared" ref="G179:G186" si="12">ROUND((+I178+E179+(D179/2))*F179/12,2)</f>
        <v>0</v>
      </c>
      <c r="H179" s="270">
        <f t="shared" si="11"/>
        <v>0</v>
      </c>
      <c r="I179" s="266">
        <f t="shared" si="10"/>
        <v>0</v>
      </c>
    </row>
    <row r="180" spans="1:9" hidden="1" outlineLevel="1" x14ac:dyDescent="0.25">
      <c r="A180" s="253">
        <f t="shared" si="5"/>
        <v>79</v>
      </c>
      <c r="B180" s="227">
        <v>44652</v>
      </c>
      <c r="D180" s="230">
        <v>0</v>
      </c>
      <c r="E180" s="269"/>
      <c r="F180" s="267"/>
      <c r="G180" s="264">
        <f t="shared" si="12"/>
        <v>0</v>
      </c>
      <c r="H180" s="270">
        <f t="shared" si="11"/>
        <v>0</v>
      </c>
      <c r="I180" s="266">
        <f t="shared" si="10"/>
        <v>0</v>
      </c>
    </row>
    <row r="181" spans="1:9" hidden="1" outlineLevel="1" x14ac:dyDescent="0.25">
      <c r="A181" s="253">
        <f t="shared" si="5"/>
        <v>80</v>
      </c>
      <c r="B181" s="227">
        <v>44682</v>
      </c>
      <c r="D181" s="230">
        <v>0</v>
      </c>
      <c r="E181" s="269"/>
      <c r="F181" s="267"/>
      <c r="G181" s="264">
        <f t="shared" si="12"/>
        <v>0</v>
      </c>
      <c r="H181" s="270">
        <f t="shared" si="11"/>
        <v>0</v>
      </c>
      <c r="I181" s="266">
        <f t="shared" si="10"/>
        <v>0</v>
      </c>
    </row>
    <row r="182" spans="1:9" hidden="1" outlineLevel="1" x14ac:dyDescent="0.25">
      <c r="A182" s="253">
        <f t="shared" si="5"/>
        <v>81</v>
      </c>
      <c r="B182" s="227">
        <v>44713</v>
      </c>
      <c r="D182" s="230">
        <v>0</v>
      </c>
      <c r="E182" s="269"/>
      <c r="F182" s="267"/>
      <c r="G182" s="264">
        <f t="shared" si="12"/>
        <v>0</v>
      </c>
      <c r="H182" s="270">
        <f t="shared" si="11"/>
        <v>0</v>
      </c>
      <c r="I182" s="266">
        <f t="shared" si="10"/>
        <v>0</v>
      </c>
    </row>
    <row r="183" spans="1:9" hidden="1" outlineLevel="1" x14ac:dyDescent="0.25">
      <c r="A183" s="253">
        <f t="shared" si="5"/>
        <v>82</v>
      </c>
      <c r="B183" s="227">
        <v>44743</v>
      </c>
      <c r="D183" s="230">
        <v>0</v>
      </c>
      <c r="E183" s="269"/>
      <c r="F183" s="267"/>
      <c r="G183" s="264">
        <f t="shared" si="12"/>
        <v>0</v>
      </c>
      <c r="H183" s="270">
        <f t="shared" si="11"/>
        <v>0</v>
      </c>
      <c r="I183" s="266">
        <f t="shared" si="10"/>
        <v>0</v>
      </c>
    </row>
    <row r="184" spans="1:9" hidden="1" outlineLevel="1" x14ac:dyDescent="0.25">
      <c r="A184" s="253">
        <f t="shared" si="5"/>
        <v>83</v>
      </c>
      <c r="B184" s="227">
        <v>44774</v>
      </c>
      <c r="D184" s="230">
        <v>0</v>
      </c>
      <c r="E184" s="269"/>
      <c r="F184" s="267"/>
      <c r="G184" s="264">
        <f t="shared" si="12"/>
        <v>0</v>
      </c>
      <c r="H184" s="270">
        <f t="shared" si="11"/>
        <v>0</v>
      </c>
      <c r="I184" s="266">
        <f t="shared" si="10"/>
        <v>0</v>
      </c>
    </row>
    <row r="185" spans="1:9" hidden="1" outlineLevel="1" x14ac:dyDescent="0.25">
      <c r="A185" s="253">
        <f t="shared" si="5"/>
        <v>84</v>
      </c>
      <c r="B185" s="227">
        <v>44805</v>
      </c>
      <c r="D185" s="230">
        <v>0</v>
      </c>
      <c r="E185" s="269"/>
      <c r="F185" s="267"/>
      <c r="G185" s="264">
        <f t="shared" si="12"/>
        <v>0</v>
      </c>
      <c r="H185" s="270">
        <f t="shared" si="11"/>
        <v>0</v>
      </c>
      <c r="I185" s="266">
        <f t="shared" si="10"/>
        <v>0</v>
      </c>
    </row>
    <row r="186" spans="1:9" hidden="1" outlineLevel="1" collapsed="1" x14ac:dyDescent="0.25">
      <c r="A186" s="253">
        <f t="shared" si="5"/>
        <v>85</v>
      </c>
      <c r="B186" s="227">
        <v>44835</v>
      </c>
      <c r="D186" s="230">
        <v>378</v>
      </c>
      <c r="E186" s="269"/>
      <c r="F186" s="228">
        <v>4.9099999999999998E-2</v>
      </c>
      <c r="G186" s="264">
        <f t="shared" si="12"/>
        <v>0.77</v>
      </c>
      <c r="H186" s="270">
        <f t="shared" si="11"/>
        <v>378.77</v>
      </c>
      <c r="I186" s="266">
        <f t="shared" si="10"/>
        <v>378.77</v>
      </c>
    </row>
    <row r="187" spans="1:9" hidden="1" outlineLevel="1" x14ac:dyDescent="0.25">
      <c r="A187" s="253">
        <f t="shared" si="5"/>
        <v>86</v>
      </c>
      <c r="B187" s="227">
        <v>44866</v>
      </c>
      <c r="C187" s="250" t="s">
        <v>185</v>
      </c>
      <c r="D187" s="230">
        <v>0</v>
      </c>
      <c r="E187" s="269"/>
      <c r="F187" s="228">
        <v>0</v>
      </c>
      <c r="G187" s="264"/>
      <c r="H187" s="270">
        <f t="shared" si="11"/>
        <v>0</v>
      </c>
      <c r="I187" s="266">
        <f t="shared" si="10"/>
        <v>378.77</v>
      </c>
    </row>
    <row r="188" spans="1:9" hidden="1" outlineLevel="1" x14ac:dyDescent="0.25">
      <c r="A188" s="253">
        <f t="shared" ref="A188:A227" si="13">+A187+1</f>
        <v>87</v>
      </c>
      <c r="B188" s="227">
        <v>44866</v>
      </c>
      <c r="C188" s="250" t="s">
        <v>186</v>
      </c>
      <c r="D188" s="230">
        <v>0</v>
      </c>
      <c r="E188" s="269"/>
      <c r="F188" s="228">
        <v>4.9099999999999998E-2</v>
      </c>
      <c r="G188" s="264">
        <f t="shared" ref="G188:G223" si="14">ROUND((+I187+E188+(D188/2))*F188/12,2)</f>
        <v>1.55</v>
      </c>
      <c r="H188" s="270">
        <f t="shared" si="11"/>
        <v>1.55</v>
      </c>
      <c r="I188" s="266">
        <f>+I187+H188</f>
        <v>380.32</v>
      </c>
    </row>
    <row r="189" spans="1:9" hidden="1" outlineLevel="1" x14ac:dyDescent="0.25">
      <c r="A189" s="253">
        <f t="shared" si="13"/>
        <v>88</v>
      </c>
      <c r="B189" s="227">
        <v>44897</v>
      </c>
      <c r="D189" s="230">
        <v>0</v>
      </c>
      <c r="E189" s="269"/>
      <c r="F189" s="228">
        <v>4.9099999999999998E-2</v>
      </c>
      <c r="G189" s="264">
        <f t="shared" si="14"/>
        <v>1.56</v>
      </c>
      <c r="H189" s="270">
        <f t="shared" si="11"/>
        <v>1.56</v>
      </c>
      <c r="I189" s="266">
        <f t="shared" ref="I189:I192" si="15">+I188+H189</f>
        <v>381.88</v>
      </c>
    </row>
    <row r="190" spans="1:9" hidden="1" outlineLevel="1" x14ac:dyDescent="0.25">
      <c r="A190" s="253">
        <f t="shared" si="13"/>
        <v>89</v>
      </c>
      <c r="B190" s="227">
        <v>44928</v>
      </c>
      <c r="D190" s="230">
        <v>0</v>
      </c>
      <c r="E190" s="269"/>
      <c r="F190" s="228">
        <v>6.3100000000000003E-2</v>
      </c>
      <c r="G190" s="264">
        <f t="shared" si="14"/>
        <v>2.0099999999999998</v>
      </c>
      <c r="H190" s="270">
        <f t="shared" si="11"/>
        <v>2.0099999999999998</v>
      </c>
      <c r="I190" s="266">
        <f t="shared" si="15"/>
        <v>383.89</v>
      </c>
    </row>
    <row r="191" spans="1:9" hidden="1" outlineLevel="1" x14ac:dyDescent="0.25">
      <c r="A191" s="253">
        <f t="shared" si="13"/>
        <v>90</v>
      </c>
      <c r="B191" s="227">
        <v>44959</v>
      </c>
      <c r="D191" s="230">
        <v>0</v>
      </c>
      <c r="E191" s="269"/>
      <c r="F191" s="228">
        <v>6.3100000000000003E-2</v>
      </c>
      <c r="G191" s="264">
        <f t="shared" si="14"/>
        <v>2.02</v>
      </c>
      <c r="H191" s="270">
        <f t="shared" si="11"/>
        <v>2.02</v>
      </c>
      <c r="I191" s="266">
        <f t="shared" si="15"/>
        <v>385.90999999999997</v>
      </c>
    </row>
    <row r="192" spans="1:9" hidden="1" outlineLevel="1" x14ac:dyDescent="0.25">
      <c r="A192" s="253">
        <f t="shared" si="13"/>
        <v>91</v>
      </c>
      <c r="B192" s="227">
        <v>44990</v>
      </c>
      <c r="D192" s="230">
        <v>0</v>
      </c>
      <c r="E192" s="269"/>
      <c r="F192" s="228">
        <v>6.3100000000000003E-2</v>
      </c>
      <c r="G192" s="264">
        <f t="shared" si="14"/>
        <v>2.0299999999999998</v>
      </c>
      <c r="H192" s="270">
        <f t="shared" si="11"/>
        <v>2.0299999999999998</v>
      </c>
      <c r="I192" s="266">
        <f t="shared" si="15"/>
        <v>387.93999999999994</v>
      </c>
    </row>
    <row r="193" spans="1:9" hidden="1" outlineLevel="1" x14ac:dyDescent="0.25">
      <c r="A193" s="253">
        <f t="shared" si="13"/>
        <v>92</v>
      </c>
      <c r="B193" s="227">
        <v>45017</v>
      </c>
      <c r="D193" s="230">
        <v>0</v>
      </c>
      <c r="E193" s="269"/>
      <c r="F193" s="228">
        <v>7.4999999999999997E-2</v>
      </c>
      <c r="G193" s="264">
        <f t="shared" si="14"/>
        <v>2.42</v>
      </c>
      <c r="H193" s="270">
        <f t="shared" si="11"/>
        <v>2.42</v>
      </c>
      <c r="I193" s="266">
        <f>+I192+H193</f>
        <v>390.35999999999996</v>
      </c>
    </row>
    <row r="194" spans="1:9" hidden="1" outlineLevel="1" x14ac:dyDescent="0.25">
      <c r="A194" s="253">
        <f t="shared" si="13"/>
        <v>93</v>
      </c>
      <c r="B194" s="227">
        <v>45047</v>
      </c>
      <c r="D194" s="230">
        <v>0</v>
      </c>
      <c r="E194" s="269"/>
      <c r="F194" s="228">
        <v>7.4999999999999997E-2</v>
      </c>
      <c r="G194" s="264">
        <f t="shared" si="14"/>
        <v>2.44</v>
      </c>
      <c r="H194" s="270">
        <f t="shared" si="11"/>
        <v>2.44</v>
      </c>
      <c r="I194" s="266">
        <f>+I193+H194</f>
        <v>392.79999999999995</v>
      </c>
    </row>
    <row r="195" spans="1:9" hidden="1" outlineLevel="1" x14ac:dyDescent="0.25">
      <c r="A195" s="253">
        <f t="shared" si="13"/>
        <v>94</v>
      </c>
      <c r="B195" s="227">
        <v>45078</v>
      </c>
      <c r="D195" s="230">
        <v>12131.5</v>
      </c>
      <c r="E195" s="269"/>
      <c r="F195" s="228">
        <v>7.4999999999999997E-2</v>
      </c>
      <c r="G195" s="264">
        <f t="shared" si="14"/>
        <v>40.369999999999997</v>
      </c>
      <c r="H195" s="270">
        <f t="shared" si="11"/>
        <v>12171.87</v>
      </c>
      <c r="I195" s="266">
        <f>+I194+H195</f>
        <v>12564.67</v>
      </c>
    </row>
    <row r="196" spans="1:9" hidden="1" outlineLevel="1" x14ac:dyDescent="0.25">
      <c r="A196" s="253">
        <f t="shared" si="13"/>
        <v>95</v>
      </c>
      <c r="B196" s="227">
        <v>45108</v>
      </c>
      <c r="D196" s="230">
        <v>2931</v>
      </c>
      <c r="E196" s="269"/>
      <c r="F196" s="228">
        <v>8.0199999999999994E-2</v>
      </c>
      <c r="G196" s="264">
        <f t="shared" si="14"/>
        <v>93.77</v>
      </c>
      <c r="H196" s="270">
        <f t="shared" si="11"/>
        <v>3024.77</v>
      </c>
      <c r="I196" s="266">
        <f>+I195+H196</f>
        <v>15589.44</v>
      </c>
    </row>
    <row r="197" spans="1:9" hidden="1" outlineLevel="1" x14ac:dyDescent="0.25">
      <c r="A197" s="253">
        <f t="shared" si="13"/>
        <v>96</v>
      </c>
      <c r="B197" s="227">
        <v>45139</v>
      </c>
      <c r="D197" s="230">
        <v>0</v>
      </c>
      <c r="E197" s="269"/>
      <c r="F197" s="228">
        <v>8.0199999999999994E-2</v>
      </c>
      <c r="G197" s="264">
        <f t="shared" si="14"/>
        <v>104.19</v>
      </c>
      <c r="H197" s="270">
        <f t="shared" si="11"/>
        <v>104.19</v>
      </c>
      <c r="I197" s="266">
        <f>+I196+H197</f>
        <v>15693.630000000001</v>
      </c>
    </row>
    <row r="198" spans="1:9" hidden="1" outlineLevel="1" x14ac:dyDescent="0.25">
      <c r="A198" s="253">
        <f t="shared" si="13"/>
        <v>97</v>
      </c>
      <c r="B198" s="227">
        <v>45170</v>
      </c>
      <c r="D198" s="230">
        <v>0</v>
      </c>
      <c r="E198" s="269"/>
      <c r="F198" s="228">
        <v>8.0199999999999994E-2</v>
      </c>
      <c r="G198" s="264">
        <f t="shared" si="14"/>
        <v>104.89</v>
      </c>
      <c r="H198" s="270">
        <f t="shared" si="11"/>
        <v>104.89</v>
      </c>
      <c r="I198" s="266">
        <f t="shared" ref="I198:I223" si="16">+I197+H198</f>
        <v>15798.52</v>
      </c>
    </row>
    <row r="199" spans="1:9" hidden="1" outlineLevel="1" x14ac:dyDescent="0.25">
      <c r="A199" s="253">
        <f t="shared" si="13"/>
        <v>98</v>
      </c>
      <c r="B199" s="227">
        <v>45200</v>
      </c>
      <c r="D199" s="230">
        <v>945</v>
      </c>
      <c r="E199" s="269"/>
      <c r="F199" s="228">
        <v>8.3500000000000005E-2</v>
      </c>
      <c r="G199" s="264">
        <f t="shared" si="14"/>
        <v>113.22</v>
      </c>
      <c r="H199" s="270">
        <f t="shared" si="11"/>
        <v>1058.22</v>
      </c>
      <c r="I199" s="266">
        <f t="shared" si="16"/>
        <v>16856.740000000002</v>
      </c>
    </row>
    <row r="200" spans="1:9" collapsed="1" x14ac:dyDescent="0.25">
      <c r="A200" s="253">
        <f t="shared" si="13"/>
        <v>99</v>
      </c>
      <c r="B200" s="227">
        <v>45231</v>
      </c>
      <c r="D200" s="230">
        <v>0</v>
      </c>
      <c r="E200" s="269">
        <v>-16856.740000000002</v>
      </c>
      <c r="F200" s="267">
        <v>8.3500000000000005E-2</v>
      </c>
      <c r="G200" s="264">
        <f t="shared" si="14"/>
        <v>0</v>
      </c>
      <c r="H200" s="270">
        <f t="shared" si="11"/>
        <v>-16856.740000000002</v>
      </c>
      <c r="I200" s="266">
        <f t="shared" si="16"/>
        <v>0</v>
      </c>
    </row>
    <row r="201" spans="1:9" x14ac:dyDescent="0.25">
      <c r="A201" s="253">
        <f t="shared" si="13"/>
        <v>100</v>
      </c>
      <c r="B201" s="227">
        <v>45261</v>
      </c>
      <c r="D201" s="230">
        <v>0</v>
      </c>
      <c r="E201" s="269"/>
      <c r="F201" s="267">
        <v>8.3500000000000005E-2</v>
      </c>
      <c r="G201" s="264">
        <f t="shared" si="14"/>
        <v>0</v>
      </c>
      <c r="H201" s="270">
        <f t="shared" si="11"/>
        <v>0</v>
      </c>
      <c r="I201" s="266">
        <f t="shared" si="16"/>
        <v>0</v>
      </c>
    </row>
    <row r="202" spans="1:9" x14ac:dyDescent="0.25">
      <c r="A202" s="253">
        <f t="shared" si="13"/>
        <v>101</v>
      </c>
      <c r="B202" s="227">
        <v>45292</v>
      </c>
      <c r="D202" s="230">
        <v>0</v>
      </c>
      <c r="E202" s="269"/>
      <c r="F202" s="267">
        <v>8.5000000000000006E-2</v>
      </c>
      <c r="G202" s="264">
        <f t="shared" si="14"/>
        <v>0</v>
      </c>
      <c r="H202" s="270">
        <f t="shared" si="11"/>
        <v>0</v>
      </c>
      <c r="I202" s="266">
        <f t="shared" si="16"/>
        <v>0</v>
      </c>
    </row>
    <row r="203" spans="1:9" x14ac:dyDescent="0.25">
      <c r="A203" s="253">
        <f t="shared" si="13"/>
        <v>102</v>
      </c>
      <c r="B203" s="227">
        <v>45323</v>
      </c>
      <c r="D203" s="230">
        <v>0</v>
      </c>
      <c r="E203" s="269"/>
      <c r="F203" s="267">
        <v>8.5000000000000006E-2</v>
      </c>
      <c r="G203" s="264">
        <f t="shared" si="14"/>
        <v>0</v>
      </c>
      <c r="H203" s="270">
        <f t="shared" si="11"/>
        <v>0</v>
      </c>
      <c r="I203" s="266">
        <f t="shared" si="16"/>
        <v>0</v>
      </c>
    </row>
    <row r="204" spans="1:9" x14ac:dyDescent="0.25">
      <c r="A204" s="253">
        <f t="shared" si="13"/>
        <v>103</v>
      </c>
      <c r="B204" s="227">
        <v>45352</v>
      </c>
      <c r="D204" s="230">
        <v>0</v>
      </c>
      <c r="E204" s="269"/>
      <c r="F204" s="267">
        <v>8.5000000000000006E-2</v>
      </c>
      <c r="G204" s="264">
        <f t="shared" si="14"/>
        <v>0</v>
      </c>
      <c r="H204" s="270">
        <f t="shared" si="11"/>
        <v>0</v>
      </c>
      <c r="I204" s="266">
        <f t="shared" si="16"/>
        <v>0</v>
      </c>
    </row>
    <row r="205" spans="1:9" x14ac:dyDescent="0.25">
      <c r="A205" s="253">
        <f t="shared" si="13"/>
        <v>104</v>
      </c>
      <c r="B205" s="227">
        <v>45383</v>
      </c>
      <c r="D205" s="230">
        <v>0</v>
      </c>
      <c r="E205" s="269"/>
      <c r="F205" s="267">
        <v>8.5000000000000006E-2</v>
      </c>
      <c r="G205" s="264">
        <f t="shared" si="14"/>
        <v>0</v>
      </c>
      <c r="H205" s="270">
        <f t="shared" si="11"/>
        <v>0</v>
      </c>
      <c r="I205" s="266">
        <f t="shared" si="16"/>
        <v>0</v>
      </c>
    </row>
    <row r="206" spans="1:9" x14ac:dyDescent="0.25">
      <c r="A206" s="253">
        <f t="shared" si="13"/>
        <v>105</v>
      </c>
      <c r="B206" s="227">
        <v>45413</v>
      </c>
      <c r="D206" s="230">
        <v>0</v>
      </c>
      <c r="E206" s="269"/>
      <c r="F206" s="267">
        <v>8.5000000000000006E-2</v>
      </c>
      <c r="G206" s="264">
        <f t="shared" si="14"/>
        <v>0</v>
      </c>
      <c r="H206" s="270">
        <f t="shared" si="11"/>
        <v>0</v>
      </c>
      <c r="I206" s="266">
        <f t="shared" si="16"/>
        <v>0</v>
      </c>
    </row>
    <row r="207" spans="1:9" x14ac:dyDescent="0.25">
      <c r="A207" s="253">
        <f t="shared" si="13"/>
        <v>106</v>
      </c>
      <c r="B207" s="227">
        <v>45444</v>
      </c>
      <c r="D207" s="230">
        <v>0</v>
      </c>
      <c r="E207" s="269"/>
      <c r="F207" s="267">
        <v>8.5000000000000006E-2</v>
      </c>
      <c r="G207" s="264">
        <f t="shared" si="14"/>
        <v>0</v>
      </c>
      <c r="H207" s="270">
        <f t="shared" si="11"/>
        <v>0</v>
      </c>
      <c r="I207" s="266">
        <f t="shared" si="16"/>
        <v>0</v>
      </c>
    </row>
    <row r="208" spans="1:9" x14ac:dyDescent="0.25">
      <c r="A208" s="253">
        <f t="shared" si="13"/>
        <v>107</v>
      </c>
      <c r="B208" s="227">
        <v>45474</v>
      </c>
      <c r="D208" s="230">
        <v>0</v>
      </c>
      <c r="E208" s="269"/>
      <c r="F208" s="267">
        <v>8.5000000000000006E-2</v>
      </c>
      <c r="G208" s="264">
        <f t="shared" si="14"/>
        <v>0</v>
      </c>
      <c r="H208" s="270">
        <f t="shared" si="11"/>
        <v>0</v>
      </c>
      <c r="I208" s="266">
        <f t="shared" si="16"/>
        <v>0</v>
      </c>
    </row>
    <row r="209" spans="1:9" x14ac:dyDescent="0.25">
      <c r="A209" s="253">
        <f t="shared" si="13"/>
        <v>108</v>
      </c>
      <c r="B209" s="227">
        <v>45505</v>
      </c>
      <c r="D209" s="230">
        <v>20958.5</v>
      </c>
      <c r="E209" s="269"/>
      <c r="F209" s="267">
        <v>8.5000000000000006E-2</v>
      </c>
      <c r="G209" s="264">
        <f t="shared" si="14"/>
        <v>74.23</v>
      </c>
      <c r="H209" s="270">
        <f t="shared" si="11"/>
        <v>21032.73</v>
      </c>
      <c r="I209" s="266">
        <f t="shared" si="16"/>
        <v>21032.73</v>
      </c>
    </row>
    <row r="210" spans="1:9" x14ac:dyDescent="0.25">
      <c r="A210" s="253">
        <f t="shared" si="13"/>
        <v>109</v>
      </c>
      <c r="B210" s="227">
        <v>45536</v>
      </c>
      <c r="D210" s="230">
        <v>20958.5</v>
      </c>
      <c r="E210" s="269"/>
      <c r="F210" s="267">
        <v>8.5000000000000006E-2</v>
      </c>
      <c r="G210" s="264">
        <f t="shared" si="14"/>
        <v>223.21</v>
      </c>
      <c r="H210" s="270">
        <f t="shared" si="11"/>
        <v>21181.71</v>
      </c>
      <c r="I210" s="266">
        <f t="shared" si="16"/>
        <v>42214.44</v>
      </c>
    </row>
    <row r="211" spans="1:9" x14ac:dyDescent="0.25">
      <c r="A211" s="253">
        <f t="shared" si="13"/>
        <v>110</v>
      </c>
      <c r="B211" s="227">
        <v>45566</v>
      </c>
      <c r="D211" s="230">
        <v>0</v>
      </c>
      <c r="E211" s="269"/>
      <c r="F211" s="267">
        <v>8.5000000000000006E-2</v>
      </c>
      <c r="G211" s="264">
        <f t="shared" si="14"/>
        <v>299.02</v>
      </c>
      <c r="H211" s="270">
        <f t="shared" si="11"/>
        <v>299.02</v>
      </c>
      <c r="I211" s="266">
        <f t="shared" si="16"/>
        <v>42513.46</v>
      </c>
    </row>
    <row r="212" spans="1:9" x14ac:dyDescent="0.25">
      <c r="A212" s="253">
        <f t="shared" si="13"/>
        <v>111</v>
      </c>
      <c r="B212" s="227">
        <v>45597</v>
      </c>
      <c r="D212" s="230">
        <v>0</v>
      </c>
      <c r="E212" s="269">
        <v>-42513.46</v>
      </c>
      <c r="F212" s="267">
        <v>8.5000000000000006E-2</v>
      </c>
      <c r="G212" s="264">
        <f t="shared" si="14"/>
        <v>0</v>
      </c>
      <c r="H212" s="270">
        <f t="shared" si="11"/>
        <v>-42513.46</v>
      </c>
      <c r="I212" s="266">
        <f t="shared" si="16"/>
        <v>0</v>
      </c>
    </row>
    <row r="213" spans="1:9" x14ac:dyDescent="0.25">
      <c r="A213" s="253">
        <f t="shared" si="13"/>
        <v>112</v>
      </c>
      <c r="B213" s="227">
        <v>45627</v>
      </c>
      <c r="D213" s="230">
        <v>0</v>
      </c>
      <c r="E213" s="269"/>
      <c r="F213" s="267">
        <v>8.5000000000000006E-2</v>
      </c>
      <c r="G213" s="264">
        <f t="shared" si="14"/>
        <v>0</v>
      </c>
      <c r="H213" s="270">
        <f t="shared" si="11"/>
        <v>0</v>
      </c>
      <c r="I213" s="266">
        <f t="shared" si="16"/>
        <v>0</v>
      </c>
    </row>
    <row r="214" spans="1:9" x14ac:dyDescent="0.25">
      <c r="A214" s="253">
        <f t="shared" si="13"/>
        <v>113</v>
      </c>
      <c r="B214" s="227">
        <v>45658</v>
      </c>
      <c r="D214" s="230">
        <v>0</v>
      </c>
      <c r="E214" s="269"/>
      <c r="F214" s="267">
        <v>8.0399999999999999E-2</v>
      </c>
      <c r="G214" s="264">
        <f t="shared" si="14"/>
        <v>0</v>
      </c>
      <c r="H214" s="270">
        <f t="shared" si="11"/>
        <v>0</v>
      </c>
      <c r="I214" s="266">
        <f t="shared" si="16"/>
        <v>0</v>
      </c>
    </row>
    <row r="215" spans="1:9" x14ac:dyDescent="0.25">
      <c r="A215" s="253">
        <f t="shared" si="13"/>
        <v>114</v>
      </c>
      <c r="B215" s="227">
        <v>45689</v>
      </c>
      <c r="D215" s="230">
        <v>0</v>
      </c>
      <c r="E215" s="269"/>
      <c r="F215" s="267">
        <v>8.0399999999999999E-2</v>
      </c>
      <c r="G215" s="264">
        <f t="shared" si="14"/>
        <v>0</v>
      </c>
      <c r="H215" s="270">
        <f t="shared" si="11"/>
        <v>0</v>
      </c>
      <c r="I215" s="266">
        <f t="shared" si="16"/>
        <v>0</v>
      </c>
    </row>
    <row r="216" spans="1:9" x14ac:dyDescent="0.25">
      <c r="A216" s="253">
        <f t="shared" si="13"/>
        <v>115</v>
      </c>
      <c r="B216" s="227">
        <v>45717</v>
      </c>
      <c r="D216" s="230">
        <v>0</v>
      </c>
      <c r="E216" s="269"/>
      <c r="F216" s="267">
        <v>8.0399999999999999E-2</v>
      </c>
      <c r="G216" s="264">
        <f t="shared" si="14"/>
        <v>0</v>
      </c>
      <c r="H216" s="270">
        <f t="shared" si="11"/>
        <v>0</v>
      </c>
      <c r="I216" s="266">
        <f t="shared" si="16"/>
        <v>0</v>
      </c>
    </row>
    <row r="217" spans="1:9" x14ac:dyDescent="0.25">
      <c r="A217" s="253">
        <f t="shared" si="13"/>
        <v>116</v>
      </c>
      <c r="B217" s="227">
        <v>45748</v>
      </c>
      <c r="D217" s="230">
        <v>-20958.5</v>
      </c>
      <c r="E217" s="269"/>
      <c r="F217" s="267">
        <v>7.5499999999999998E-2</v>
      </c>
      <c r="G217" s="264">
        <f t="shared" si="14"/>
        <v>-65.930000000000007</v>
      </c>
      <c r="H217" s="270">
        <f t="shared" si="11"/>
        <v>-21024.43</v>
      </c>
      <c r="I217" s="266">
        <f t="shared" si="16"/>
        <v>-21024.43</v>
      </c>
    </row>
    <row r="218" spans="1:9" x14ac:dyDescent="0.25">
      <c r="A218" s="253">
        <f t="shared" si="13"/>
        <v>117</v>
      </c>
      <c r="B218" s="227">
        <v>45778</v>
      </c>
      <c r="D218" s="230">
        <v>0</v>
      </c>
      <c r="E218" s="269"/>
      <c r="F218" s="267">
        <v>7.5499999999999998E-2</v>
      </c>
      <c r="G218" s="264">
        <f t="shared" si="14"/>
        <v>-132.28</v>
      </c>
      <c r="H218" s="270">
        <f t="shared" si="11"/>
        <v>-132.28</v>
      </c>
      <c r="I218" s="266">
        <f t="shared" si="16"/>
        <v>-21156.71</v>
      </c>
    </row>
    <row r="219" spans="1:9" x14ac:dyDescent="0.25">
      <c r="A219" s="253">
        <f t="shared" si="13"/>
        <v>118</v>
      </c>
      <c r="B219" s="227">
        <v>45809</v>
      </c>
      <c r="D219" s="230">
        <v>0</v>
      </c>
      <c r="E219" s="269"/>
      <c r="F219" s="267">
        <v>7.5499999999999998E-2</v>
      </c>
      <c r="G219" s="264">
        <f t="shared" si="14"/>
        <v>-133.11000000000001</v>
      </c>
      <c r="H219" s="270">
        <f t="shared" si="11"/>
        <v>-133.11000000000001</v>
      </c>
      <c r="I219" s="266">
        <f t="shared" si="16"/>
        <v>-21289.82</v>
      </c>
    </row>
    <row r="220" spans="1:9" x14ac:dyDescent="0.25">
      <c r="A220" s="253">
        <f t="shared" si="13"/>
        <v>119</v>
      </c>
      <c r="B220" s="227">
        <v>45839</v>
      </c>
      <c r="D220" s="230">
        <v>0</v>
      </c>
      <c r="E220" s="269"/>
      <c r="F220" s="314">
        <v>7.4999999999999997E-2</v>
      </c>
      <c r="G220" s="264">
        <f t="shared" si="14"/>
        <v>-133.06</v>
      </c>
      <c r="H220" s="270">
        <f t="shared" si="11"/>
        <v>-133.06</v>
      </c>
      <c r="I220" s="266">
        <f t="shared" si="16"/>
        <v>-21422.880000000001</v>
      </c>
    </row>
    <row r="221" spans="1:9" x14ac:dyDescent="0.25">
      <c r="A221" s="253">
        <f t="shared" si="13"/>
        <v>120</v>
      </c>
      <c r="B221" s="227">
        <v>45870</v>
      </c>
      <c r="D221" s="230">
        <v>0</v>
      </c>
      <c r="E221" s="269"/>
      <c r="F221" s="267">
        <v>7.4999999999999997E-2</v>
      </c>
      <c r="G221" s="264">
        <f t="shared" si="14"/>
        <v>-133.88999999999999</v>
      </c>
      <c r="H221" s="270">
        <f t="shared" si="11"/>
        <v>-133.88999999999999</v>
      </c>
      <c r="I221" s="266">
        <f t="shared" si="16"/>
        <v>-21556.77</v>
      </c>
    </row>
    <row r="222" spans="1:9" x14ac:dyDescent="0.25">
      <c r="A222" s="253">
        <f t="shared" si="13"/>
        <v>121</v>
      </c>
      <c r="B222" s="227">
        <v>45901</v>
      </c>
      <c r="D222" s="230"/>
      <c r="E222" s="269"/>
      <c r="F222" s="267">
        <v>7.4999999999999997E-2</v>
      </c>
      <c r="G222" s="264">
        <f t="shared" si="14"/>
        <v>-134.72999999999999</v>
      </c>
      <c r="H222" s="270">
        <f t="shared" si="11"/>
        <v>-134.72999999999999</v>
      </c>
      <c r="I222" s="266">
        <f t="shared" si="16"/>
        <v>-21691.5</v>
      </c>
    </row>
    <row r="223" spans="1:9" x14ac:dyDescent="0.25">
      <c r="A223" s="253">
        <f t="shared" si="13"/>
        <v>122</v>
      </c>
      <c r="B223" s="227">
        <v>45931</v>
      </c>
      <c r="D223" s="230"/>
      <c r="E223" s="269"/>
      <c r="F223" s="267">
        <v>7.4999999999999997E-2</v>
      </c>
      <c r="G223" s="264">
        <f t="shared" si="14"/>
        <v>-135.57</v>
      </c>
      <c r="H223" s="270">
        <f t="shared" si="11"/>
        <v>-135.57</v>
      </c>
      <c r="I223" s="266">
        <f t="shared" si="16"/>
        <v>-21827.07</v>
      </c>
    </row>
    <row r="224" spans="1:9" x14ac:dyDescent="0.25">
      <c r="A224" s="253">
        <f t="shared" si="13"/>
        <v>123</v>
      </c>
      <c r="B224" s="227"/>
      <c r="D224" s="230"/>
      <c r="E224" s="269"/>
      <c r="F224" s="267"/>
      <c r="G224" s="264"/>
      <c r="H224" s="270"/>
      <c r="I224" s="266"/>
    </row>
    <row r="225" spans="1:6" x14ac:dyDescent="0.25">
      <c r="A225" s="253">
        <f t="shared" si="13"/>
        <v>124</v>
      </c>
      <c r="B225" s="273"/>
      <c r="C225" s="272"/>
      <c r="D225" s="274"/>
      <c r="E225" s="275"/>
      <c r="F225" s="276"/>
    </row>
    <row r="226" spans="1:6" x14ac:dyDescent="0.25">
      <c r="A226" s="253">
        <f t="shared" si="13"/>
        <v>125</v>
      </c>
      <c r="B226" s="277" t="s">
        <v>189</v>
      </c>
      <c r="C226" s="272"/>
      <c r="D226" s="274"/>
      <c r="E226" s="275"/>
      <c r="F226" s="276"/>
    </row>
    <row r="227" spans="1:6" x14ac:dyDescent="0.25">
      <c r="A227" s="253">
        <f t="shared" si="13"/>
        <v>126</v>
      </c>
      <c r="B227" s="273"/>
      <c r="C227" s="272"/>
      <c r="D227" s="274"/>
      <c r="E227" s="275"/>
      <c r="F227" s="276"/>
    </row>
  </sheetData>
  <mergeCells count="1">
    <mergeCell ref="K93:K96"/>
  </mergeCells>
  <pageMargins left="0.5" right="0.5" top="0.5" bottom="0.25" header="0.25" footer="0.25"/>
  <pageSetup orientation="landscape" r:id="rId1"/>
  <headerFooter alignWithMargins="0">
    <oddHeader xml:space="preserve">&amp;RUG-250711 - NWN WUTC Advice No. 25-06A
Exhibit A - Supporting Materials
Page &amp;P of &amp;N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F9BD-71A3-41BF-8728-49E78C9CDFA8}">
  <sheetPr>
    <tabColor theme="0" tint="-0.14999847407452621"/>
    <pageSetUpPr fitToPage="1"/>
  </sheetPr>
  <dimension ref="A1:L352"/>
  <sheetViews>
    <sheetView view="pageBreakPreview" zoomScaleNormal="100" zoomScaleSheetLayoutView="100" workbookViewId="0">
      <selection activeCell="F38" sqref="F38"/>
    </sheetView>
  </sheetViews>
  <sheetFormatPr defaultColWidth="8.453125" defaultRowHeight="12.5" outlineLevelRow="2" x14ac:dyDescent="0.25"/>
  <cols>
    <col min="1" max="1" width="4.26953125" style="249" customWidth="1"/>
    <col min="2" max="2" width="14.26953125" style="250" customWidth="1"/>
    <col min="3" max="3" width="13.81640625" style="250" customWidth="1"/>
    <col min="4" max="4" width="22.26953125" style="250" customWidth="1"/>
    <col min="5" max="5" width="14.26953125" style="250" customWidth="1"/>
    <col min="6" max="6" width="15.7265625" style="250" bestFit="1" customWidth="1"/>
    <col min="7" max="7" width="14.26953125" style="250" customWidth="1"/>
    <col min="8" max="8" width="3.1796875" style="250" customWidth="1"/>
    <col min="9" max="20" width="14.26953125" style="250" customWidth="1"/>
    <col min="21" max="16384" width="8.453125" style="250"/>
  </cols>
  <sheetData>
    <row r="1" spans="1:10" x14ac:dyDescent="0.25">
      <c r="B1" s="250" t="s">
        <v>161</v>
      </c>
      <c r="D1" s="250" t="s">
        <v>162</v>
      </c>
      <c r="F1" s="315"/>
    </row>
    <row r="2" spans="1:10" x14ac:dyDescent="0.25">
      <c r="B2" s="250" t="s">
        <v>163</v>
      </c>
      <c r="D2" s="250" t="s">
        <v>129</v>
      </c>
    </row>
    <row r="3" spans="1:10" x14ac:dyDescent="0.25">
      <c r="B3" s="250" t="s">
        <v>164</v>
      </c>
      <c r="D3" s="231" t="s">
        <v>208</v>
      </c>
    </row>
    <row r="4" spans="1:10" x14ac:dyDescent="0.25">
      <c r="B4" s="250" t="s">
        <v>166</v>
      </c>
      <c r="D4" s="252">
        <v>151889</v>
      </c>
    </row>
    <row r="6" spans="1:10" x14ac:dyDescent="0.25">
      <c r="A6" s="253"/>
      <c r="B6" s="250" t="s">
        <v>167</v>
      </c>
      <c r="G6" s="254"/>
      <c r="H6" s="254"/>
    </row>
    <row r="7" spans="1:10" ht="13.15" hidden="1" customHeight="1" x14ac:dyDescent="0.25">
      <c r="A7" s="253"/>
      <c r="B7" s="255"/>
      <c r="C7" s="255"/>
      <c r="D7" s="256"/>
      <c r="E7" s="255"/>
      <c r="F7" s="255"/>
      <c r="G7" s="257"/>
      <c r="H7" s="257"/>
      <c r="I7" s="255"/>
      <c r="J7" s="255"/>
    </row>
    <row r="8" spans="1:10" ht="13.15" hidden="1" customHeight="1" x14ac:dyDescent="0.25">
      <c r="A8" s="253"/>
      <c r="B8" s="255"/>
      <c r="C8" s="255"/>
      <c r="D8" s="256"/>
      <c r="E8" s="255"/>
      <c r="F8" s="255"/>
      <c r="G8" s="257"/>
      <c r="H8" s="257"/>
      <c r="I8" s="255"/>
      <c r="J8" s="255"/>
    </row>
    <row r="9" spans="1:10" ht="13.15" hidden="1" customHeight="1" x14ac:dyDescent="0.25">
      <c r="A9" s="253"/>
      <c r="B9" s="255"/>
      <c r="C9" s="255"/>
      <c r="D9" s="256"/>
      <c r="E9" s="255"/>
      <c r="F9" s="255"/>
      <c r="G9" s="257"/>
      <c r="H9" s="257"/>
      <c r="I9" s="255"/>
      <c r="J9" s="255"/>
    </row>
    <row r="10" spans="1:10" ht="13.15" hidden="1" customHeight="1" x14ac:dyDescent="0.25">
      <c r="A10" s="253"/>
      <c r="B10" s="255"/>
      <c r="C10" s="255"/>
      <c r="D10" s="256"/>
      <c r="E10" s="255"/>
      <c r="F10" s="255"/>
      <c r="G10" s="257"/>
      <c r="H10" s="257"/>
      <c r="I10" s="255"/>
      <c r="J10" s="255"/>
    </row>
    <row r="11" spans="1:10" ht="13.15" hidden="1" customHeight="1" x14ac:dyDescent="0.25">
      <c r="A11" s="253"/>
      <c r="B11" s="255"/>
      <c r="C11" s="255"/>
      <c r="D11" s="256"/>
      <c r="E11" s="255"/>
      <c r="F11" s="255"/>
      <c r="G11" s="257"/>
      <c r="H11" s="257"/>
      <c r="I11" s="255"/>
      <c r="J11" s="255"/>
    </row>
    <row r="12" spans="1:10" ht="13.15" hidden="1" customHeight="1" x14ac:dyDescent="0.25">
      <c r="A12" s="253"/>
      <c r="B12" s="255"/>
      <c r="C12" s="255"/>
      <c r="D12" s="256"/>
      <c r="E12" s="255"/>
      <c r="F12" s="255"/>
      <c r="G12" s="257"/>
      <c r="H12" s="257"/>
      <c r="I12" s="255"/>
      <c r="J12" s="255"/>
    </row>
    <row r="13" spans="1:10" ht="13.15" hidden="1" customHeight="1" x14ac:dyDescent="0.25">
      <c r="A13" s="253"/>
      <c r="B13" s="255"/>
      <c r="C13" s="255"/>
      <c r="D13" s="256"/>
      <c r="E13" s="255"/>
      <c r="F13" s="255"/>
      <c r="G13" s="257"/>
      <c r="H13" s="257"/>
      <c r="I13" s="255"/>
      <c r="J13" s="255"/>
    </row>
    <row r="14" spans="1:10" ht="13.15" hidden="1" customHeight="1" x14ac:dyDescent="0.25">
      <c r="A14" s="253"/>
      <c r="B14" s="258" t="s">
        <v>203</v>
      </c>
      <c r="C14" s="255"/>
      <c r="D14" s="256"/>
      <c r="E14" s="255"/>
      <c r="F14" s="255"/>
      <c r="G14" s="257"/>
      <c r="H14" s="257"/>
      <c r="I14" s="255"/>
      <c r="J14" s="255"/>
    </row>
    <row r="15" spans="1:10" ht="13.15" hidden="1" customHeight="1" x14ac:dyDescent="0.25">
      <c r="A15" s="253"/>
      <c r="B15" s="255"/>
      <c r="C15" s="255"/>
      <c r="D15" s="256"/>
      <c r="E15" s="255"/>
      <c r="F15" s="255"/>
      <c r="G15" s="257"/>
      <c r="H15" s="257"/>
      <c r="I15" s="255"/>
      <c r="J15" s="255"/>
    </row>
    <row r="16" spans="1:10" ht="13.15" hidden="1" customHeight="1" x14ac:dyDescent="0.25">
      <c r="A16" s="253"/>
      <c r="B16" s="255"/>
      <c r="C16" s="255"/>
      <c r="D16" s="256"/>
      <c r="E16" s="255"/>
      <c r="F16" s="255"/>
      <c r="G16" s="257"/>
      <c r="H16" s="257"/>
      <c r="I16" s="255"/>
      <c r="J16" s="255"/>
    </row>
    <row r="17" spans="1:10" ht="13.15" hidden="1" customHeight="1" x14ac:dyDescent="0.25">
      <c r="A17" s="253"/>
      <c r="B17" s="255"/>
      <c r="C17" s="255"/>
      <c r="D17" s="256"/>
      <c r="E17" s="255"/>
      <c r="F17" s="255"/>
      <c r="G17" s="257"/>
      <c r="H17" s="257"/>
      <c r="I17" s="255"/>
      <c r="J17" s="255"/>
    </row>
    <row r="18" spans="1:10" ht="13.15" hidden="1" customHeight="1" x14ac:dyDescent="0.25">
      <c r="A18" s="253"/>
      <c r="B18" s="255"/>
      <c r="C18" s="255"/>
      <c r="D18" s="256"/>
      <c r="E18" s="255"/>
      <c r="F18" s="255"/>
      <c r="G18" s="257"/>
      <c r="H18" s="257"/>
      <c r="I18" s="255"/>
      <c r="J18" s="255"/>
    </row>
    <row r="19" spans="1:10" ht="13.15" hidden="1" customHeight="1" x14ac:dyDescent="0.25">
      <c r="A19" s="253"/>
      <c r="B19" s="255"/>
      <c r="C19" s="255"/>
      <c r="D19" s="256"/>
      <c r="E19" s="255"/>
      <c r="F19" s="255"/>
      <c r="G19" s="257"/>
      <c r="H19" s="257"/>
      <c r="I19" s="255"/>
      <c r="J19" s="255"/>
    </row>
    <row r="20" spans="1:10" ht="13.15" hidden="1" customHeight="1" x14ac:dyDescent="0.25">
      <c r="A20" s="253"/>
      <c r="B20" s="255"/>
      <c r="C20" s="255"/>
      <c r="D20" s="256"/>
      <c r="E20" s="255"/>
      <c r="F20" s="255"/>
      <c r="G20" s="257"/>
      <c r="H20" s="257"/>
      <c r="I20" s="255"/>
      <c r="J20" s="255"/>
    </row>
    <row r="21" spans="1:10" ht="13.15" hidden="1" customHeight="1" x14ac:dyDescent="0.25">
      <c r="A21" s="253"/>
      <c r="B21" s="255"/>
      <c r="C21" s="255"/>
      <c r="D21" s="256"/>
      <c r="E21" s="255"/>
      <c r="F21" s="255"/>
      <c r="G21" s="257"/>
      <c r="H21" s="257"/>
      <c r="I21" s="255"/>
      <c r="J21" s="255"/>
    </row>
    <row r="22" spans="1:10" ht="13.15" hidden="1" customHeight="1" x14ac:dyDescent="0.25">
      <c r="A22" s="253"/>
      <c r="B22" s="255"/>
      <c r="C22" s="255"/>
      <c r="D22" s="256"/>
      <c r="E22" s="255"/>
      <c r="F22" s="255"/>
      <c r="G22" s="257"/>
      <c r="H22" s="257"/>
      <c r="I22" s="255"/>
      <c r="J22" s="255"/>
    </row>
    <row r="23" spans="1:10" ht="13.15" hidden="1" customHeight="1" x14ac:dyDescent="0.25">
      <c r="A23" s="253"/>
      <c r="B23" s="255"/>
      <c r="C23" s="255"/>
      <c r="D23" s="256"/>
      <c r="E23" s="255"/>
      <c r="F23" s="255"/>
      <c r="G23" s="257"/>
      <c r="H23" s="257"/>
      <c r="I23" s="255"/>
      <c r="J23" s="255"/>
    </row>
    <row r="24" spans="1:10" ht="13.15" hidden="1" customHeight="1" x14ac:dyDescent="0.25">
      <c r="A24" s="253"/>
      <c r="B24" s="255"/>
      <c r="C24" s="255"/>
      <c r="D24" s="256"/>
      <c r="E24" s="255"/>
      <c r="F24" s="255"/>
      <c r="G24" s="257"/>
      <c r="H24" s="257"/>
      <c r="I24" s="255"/>
      <c r="J24" s="255"/>
    </row>
    <row r="25" spans="1:10" ht="13.15" hidden="1" customHeight="1" x14ac:dyDescent="0.25">
      <c r="A25" s="253"/>
      <c r="B25" s="255"/>
      <c r="C25" s="255"/>
      <c r="D25" s="256"/>
      <c r="E25" s="255"/>
      <c r="F25" s="255"/>
      <c r="G25" s="257"/>
      <c r="H25" s="257"/>
      <c r="I25" s="255"/>
      <c r="J25" s="255"/>
    </row>
    <row r="26" spans="1:10" ht="13.15" hidden="1" customHeight="1" x14ac:dyDescent="0.25">
      <c r="A26" s="253"/>
      <c r="B26" s="257"/>
      <c r="C26" s="257"/>
      <c r="D26" s="259"/>
      <c r="E26" s="257"/>
      <c r="F26" s="257"/>
      <c r="G26" s="257"/>
      <c r="H26" s="257"/>
      <c r="I26" s="257"/>
      <c r="J26" s="257"/>
    </row>
    <row r="27" spans="1:10" x14ac:dyDescent="0.25">
      <c r="A27" s="253"/>
      <c r="B27" s="254"/>
      <c r="C27" s="254"/>
      <c r="D27" s="254"/>
      <c r="E27" s="254"/>
      <c r="F27" s="254"/>
      <c r="G27" s="254"/>
      <c r="H27" s="254"/>
      <c r="I27" s="254"/>
      <c r="J27" s="254"/>
    </row>
    <row r="28" spans="1:10" x14ac:dyDescent="0.25">
      <c r="A28" s="253"/>
      <c r="B28" s="260" t="s">
        <v>168</v>
      </c>
      <c r="C28" s="260" t="s">
        <v>169</v>
      </c>
      <c r="D28" s="260" t="s">
        <v>195</v>
      </c>
      <c r="E28" s="260" t="s">
        <v>171</v>
      </c>
      <c r="F28" s="260" t="s">
        <v>172</v>
      </c>
      <c r="G28" s="260" t="s">
        <v>173</v>
      </c>
      <c r="H28" s="260"/>
      <c r="I28" s="260" t="s">
        <v>174</v>
      </c>
      <c r="J28" s="260" t="s">
        <v>175</v>
      </c>
    </row>
    <row r="29" spans="1:10" x14ac:dyDescent="0.25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/>
      <c r="I29" s="254" t="s">
        <v>182</v>
      </c>
      <c r="J29" s="254" t="s">
        <v>183</v>
      </c>
    </row>
    <row r="30" spans="1:10" ht="13.15" hidden="1" customHeight="1" outlineLevel="1" x14ac:dyDescent="0.25">
      <c r="A30" s="253"/>
      <c r="B30" s="227"/>
      <c r="D30" s="230"/>
      <c r="F30" s="280"/>
      <c r="G30" s="245"/>
      <c r="H30" s="245"/>
      <c r="I30" s="230"/>
      <c r="J30" s="229"/>
    </row>
    <row r="31" spans="1:10" collapsed="1" x14ac:dyDescent="0.25">
      <c r="A31" s="253">
        <v>1</v>
      </c>
      <c r="B31" s="251" t="s">
        <v>184</v>
      </c>
      <c r="D31" s="230"/>
      <c r="E31" s="230"/>
      <c r="F31" s="230"/>
      <c r="G31" s="230"/>
      <c r="H31" s="230"/>
      <c r="I31" s="230"/>
      <c r="J31" s="230">
        <v>0</v>
      </c>
    </row>
    <row r="32" spans="1:10" hidden="1" outlineLevel="1" x14ac:dyDescent="0.25">
      <c r="A32" s="253"/>
      <c r="B32" s="251"/>
      <c r="D32" s="230"/>
      <c r="E32" s="230"/>
      <c r="F32" s="230"/>
      <c r="G32" s="230"/>
      <c r="H32" s="230"/>
      <c r="I32" s="230"/>
      <c r="J32" s="230"/>
    </row>
    <row r="33" spans="1:10" hidden="1" outlineLevel="1" x14ac:dyDescent="0.25">
      <c r="A33" s="253"/>
      <c r="B33" s="251"/>
      <c r="D33" s="230"/>
      <c r="E33" s="230"/>
      <c r="F33" s="230"/>
      <c r="G33" s="230"/>
      <c r="H33" s="230"/>
      <c r="I33" s="230"/>
      <c r="J33" s="230"/>
    </row>
    <row r="34" spans="1:10" hidden="1" outlineLevel="1" x14ac:dyDescent="0.25">
      <c r="A34" s="253"/>
      <c r="B34" s="251"/>
      <c r="D34" s="230"/>
      <c r="E34" s="230"/>
      <c r="F34" s="230"/>
      <c r="G34" s="230"/>
      <c r="H34" s="230"/>
      <c r="I34" s="230"/>
      <c r="J34" s="230"/>
    </row>
    <row r="35" spans="1:10" hidden="1" outlineLevel="1" x14ac:dyDescent="0.25">
      <c r="A35" s="253"/>
      <c r="B35" s="251"/>
      <c r="D35" s="230"/>
      <c r="E35" s="230"/>
      <c r="F35" s="230"/>
      <c r="G35" s="230"/>
      <c r="H35" s="230"/>
      <c r="I35" s="230"/>
      <c r="J35" s="230"/>
    </row>
    <row r="36" spans="1:10" hidden="1" outlineLevel="1" x14ac:dyDescent="0.25">
      <c r="A36" s="253"/>
      <c r="B36" s="251"/>
      <c r="D36" s="230"/>
      <c r="E36" s="230"/>
      <c r="F36" s="230"/>
      <c r="G36" s="230"/>
      <c r="H36" s="230"/>
      <c r="I36" s="230"/>
      <c r="J36" s="230"/>
    </row>
    <row r="37" spans="1:10" hidden="1" outlineLevel="1" x14ac:dyDescent="0.25">
      <c r="A37" s="253"/>
      <c r="B37" s="251"/>
      <c r="D37" s="230"/>
      <c r="E37" s="230"/>
      <c r="F37" s="230"/>
      <c r="G37" s="230"/>
      <c r="H37" s="230"/>
      <c r="I37" s="230"/>
      <c r="J37" s="230"/>
    </row>
    <row r="38" spans="1:10" hidden="1" outlineLevel="1" x14ac:dyDescent="0.25">
      <c r="A38" s="253"/>
      <c r="B38" s="251"/>
      <c r="D38" s="230"/>
      <c r="E38" s="230"/>
      <c r="F38" s="230"/>
      <c r="G38" s="230"/>
      <c r="H38" s="230"/>
      <c r="I38" s="230"/>
      <c r="J38" s="230"/>
    </row>
    <row r="39" spans="1:10" hidden="1" outlineLevel="1" x14ac:dyDescent="0.25">
      <c r="A39" s="253"/>
      <c r="B39" s="251"/>
      <c r="D39" s="230"/>
      <c r="E39" s="230"/>
      <c r="F39" s="230"/>
      <c r="G39" s="230"/>
      <c r="H39" s="230"/>
      <c r="I39" s="230"/>
      <c r="J39" s="230"/>
    </row>
    <row r="40" spans="1:10" hidden="1" outlineLevel="1" x14ac:dyDescent="0.25">
      <c r="A40" s="253"/>
      <c r="B40" s="251"/>
      <c r="D40" s="230"/>
      <c r="E40" s="230"/>
      <c r="F40" s="230"/>
      <c r="G40" s="230"/>
      <c r="H40" s="230"/>
      <c r="I40" s="230"/>
      <c r="J40" s="230"/>
    </row>
    <row r="41" spans="1:10" hidden="1" outlineLevel="1" x14ac:dyDescent="0.25">
      <c r="A41" s="253"/>
      <c r="B41" s="251"/>
      <c r="D41" s="230"/>
      <c r="E41" s="230"/>
      <c r="F41" s="230"/>
      <c r="G41" s="230"/>
      <c r="H41" s="230"/>
      <c r="I41" s="230"/>
      <c r="J41" s="230"/>
    </row>
    <row r="42" spans="1:10" hidden="1" outlineLevel="1" x14ac:dyDescent="0.25">
      <c r="A42" s="253"/>
      <c r="B42" s="251"/>
      <c r="D42" s="230"/>
      <c r="E42" s="230"/>
      <c r="F42" s="230"/>
      <c r="G42" s="230"/>
      <c r="H42" s="230"/>
      <c r="I42" s="230"/>
      <c r="J42" s="230"/>
    </row>
    <row r="43" spans="1:10" hidden="1" outlineLevel="1" x14ac:dyDescent="0.25">
      <c r="A43" s="253"/>
      <c r="B43" s="251"/>
      <c r="D43" s="230"/>
      <c r="E43" s="230"/>
      <c r="F43" s="230"/>
      <c r="G43" s="230"/>
      <c r="H43" s="230"/>
      <c r="I43" s="230"/>
      <c r="J43" s="230"/>
    </row>
    <row r="44" spans="1:10" hidden="1" outlineLevel="1" x14ac:dyDescent="0.25">
      <c r="A44" s="253"/>
      <c r="B44" s="251"/>
      <c r="D44" s="230"/>
      <c r="E44" s="230"/>
      <c r="F44" s="230"/>
      <c r="G44" s="230"/>
      <c r="H44" s="230"/>
      <c r="I44" s="230"/>
      <c r="J44" s="230"/>
    </row>
    <row r="45" spans="1:10" hidden="1" outlineLevel="1" x14ac:dyDescent="0.25">
      <c r="A45" s="253"/>
      <c r="B45" s="251"/>
      <c r="D45" s="230"/>
      <c r="E45" s="230"/>
      <c r="F45" s="230"/>
      <c r="G45" s="230"/>
      <c r="H45" s="230"/>
      <c r="I45" s="230"/>
      <c r="J45" s="230"/>
    </row>
    <row r="46" spans="1:10" hidden="1" outlineLevel="1" x14ac:dyDescent="0.25">
      <c r="A46" s="253"/>
      <c r="B46" s="251"/>
      <c r="D46" s="230"/>
      <c r="E46" s="230"/>
      <c r="F46" s="230"/>
      <c r="G46" s="230"/>
      <c r="H46" s="230"/>
      <c r="I46" s="230"/>
      <c r="J46" s="230"/>
    </row>
    <row r="47" spans="1:10" hidden="1" outlineLevel="1" x14ac:dyDescent="0.25">
      <c r="A47" s="253"/>
      <c r="B47" s="251"/>
      <c r="D47" s="230"/>
      <c r="E47" s="230"/>
      <c r="F47" s="230"/>
      <c r="G47" s="230"/>
      <c r="H47" s="230"/>
      <c r="I47" s="230"/>
      <c r="J47" s="230"/>
    </row>
    <row r="48" spans="1:10" hidden="1" outlineLevel="1" x14ac:dyDescent="0.25">
      <c r="A48" s="253"/>
      <c r="B48" s="251"/>
      <c r="D48" s="230"/>
      <c r="E48" s="230"/>
      <c r="F48" s="230"/>
      <c r="G48" s="230"/>
      <c r="H48" s="230"/>
      <c r="I48" s="230"/>
      <c r="J48" s="230"/>
    </row>
    <row r="49" spans="1:10" hidden="1" outlineLevel="1" x14ac:dyDescent="0.25">
      <c r="A49" s="253"/>
      <c r="B49" s="251"/>
      <c r="D49" s="230"/>
      <c r="E49" s="230"/>
      <c r="F49" s="230"/>
      <c r="G49" s="230"/>
      <c r="H49" s="230"/>
      <c r="I49" s="230"/>
      <c r="J49" s="230"/>
    </row>
    <row r="50" spans="1:10" hidden="1" outlineLevel="1" x14ac:dyDescent="0.25">
      <c r="A50" s="253"/>
      <c r="B50" s="251"/>
      <c r="D50" s="230"/>
      <c r="E50" s="230"/>
      <c r="F50" s="230"/>
      <c r="G50" s="230"/>
      <c r="H50" s="230"/>
      <c r="I50" s="230"/>
      <c r="J50" s="230"/>
    </row>
    <row r="51" spans="1:10" hidden="1" outlineLevel="1" x14ac:dyDescent="0.25">
      <c r="A51" s="253"/>
      <c r="B51" s="251"/>
      <c r="D51" s="230"/>
      <c r="E51" s="230"/>
      <c r="F51" s="230"/>
      <c r="G51" s="230"/>
      <c r="H51" s="230"/>
      <c r="I51" s="230"/>
      <c r="J51" s="230"/>
    </row>
    <row r="52" spans="1:10" hidden="1" outlineLevel="1" x14ac:dyDescent="0.25">
      <c r="A52" s="253"/>
      <c r="B52" s="251"/>
      <c r="D52" s="230"/>
      <c r="E52" s="230"/>
      <c r="F52" s="230"/>
      <c r="G52" s="230"/>
      <c r="H52" s="230"/>
      <c r="I52" s="230"/>
      <c r="J52" s="230"/>
    </row>
    <row r="53" spans="1:10" hidden="1" outlineLevel="1" x14ac:dyDescent="0.25">
      <c r="A53" s="253"/>
      <c r="B53" s="251"/>
      <c r="D53" s="230"/>
      <c r="E53" s="230"/>
      <c r="F53" s="230"/>
      <c r="G53" s="230"/>
      <c r="H53" s="230"/>
      <c r="I53" s="230"/>
      <c r="J53" s="230"/>
    </row>
    <row r="54" spans="1:10" hidden="1" outlineLevel="1" x14ac:dyDescent="0.25">
      <c r="A54" s="253"/>
      <c r="B54" s="251"/>
      <c r="D54" s="230"/>
      <c r="E54" s="230"/>
      <c r="F54" s="230"/>
      <c r="G54" s="230"/>
      <c r="H54" s="230"/>
      <c r="I54" s="230"/>
      <c r="J54" s="230"/>
    </row>
    <row r="55" spans="1:10" hidden="1" outlineLevel="1" x14ac:dyDescent="0.25">
      <c r="A55" s="253"/>
      <c r="B55" s="251"/>
      <c r="D55" s="230"/>
      <c r="E55" s="230"/>
      <c r="F55" s="230"/>
      <c r="G55" s="230"/>
      <c r="H55" s="230"/>
      <c r="I55" s="230"/>
      <c r="J55" s="230"/>
    </row>
    <row r="56" spans="1:10" hidden="1" outlineLevel="1" x14ac:dyDescent="0.25">
      <c r="A56" s="253"/>
      <c r="B56" s="251"/>
      <c r="D56" s="230"/>
      <c r="E56" s="230"/>
      <c r="F56" s="230"/>
      <c r="G56" s="230"/>
      <c r="H56" s="230"/>
      <c r="I56" s="230"/>
      <c r="J56" s="230"/>
    </row>
    <row r="57" spans="1:10" hidden="1" outlineLevel="1" x14ac:dyDescent="0.25">
      <c r="A57" s="253"/>
      <c r="B57" s="251"/>
      <c r="D57" s="230"/>
      <c r="E57" s="230"/>
      <c r="F57" s="230"/>
      <c r="G57" s="230"/>
      <c r="H57" s="230"/>
      <c r="I57" s="230"/>
      <c r="J57" s="230"/>
    </row>
    <row r="58" spans="1:10" hidden="1" outlineLevel="1" x14ac:dyDescent="0.25">
      <c r="A58" s="253"/>
      <c r="B58" s="251"/>
      <c r="D58" s="230"/>
      <c r="E58" s="230"/>
      <c r="F58" s="230"/>
      <c r="G58" s="230"/>
      <c r="H58" s="230"/>
      <c r="I58" s="230"/>
      <c r="J58" s="230"/>
    </row>
    <row r="59" spans="1:10" hidden="1" outlineLevel="1" x14ac:dyDescent="0.25">
      <c r="A59" s="253"/>
      <c r="B59" s="251"/>
      <c r="D59" s="230"/>
      <c r="E59" s="230"/>
      <c r="F59" s="230"/>
      <c r="G59" s="230"/>
      <c r="H59" s="230"/>
      <c r="I59" s="230"/>
      <c r="J59" s="230"/>
    </row>
    <row r="60" spans="1:10" hidden="1" outlineLevel="1" x14ac:dyDescent="0.25">
      <c r="A60" s="253"/>
      <c r="B60" s="251"/>
      <c r="D60" s="230"/>
      <c r="E60" s="230"/>
      <c r="F60" s="230"/>
      <c r="G60" s="230"/>
      <c r="H60" s="230"/>
      <c r="I60" s="230"/>
      <c r="J60" s="230"/>
    </row>
    <row r="61" spans="1:10" hidden="1" outlineLevel="1" x14ac:dyDescent="0.25">
      <c r="A61" s="253"/>
      <c r="B61" s="251"/>
      <c r="D61" s="230"/>
      <c r="E61" s="230"/>
      <c r="F61" s="230"/>
      <c r="G61" s="230"/>
      <c r="H61" s="230"/>
      <c r="I61" s="230"/>
      <c r="J61" s="230"/>
    </row>
    <row r="62" spans="1:10" hidden="1" outlineLevel="1" x14ac:dyDescent="0.25">
      <c r="A62" s="253"/>
      <c r="B62" s="251"/>
      <c r="D62" s="230"/>
      <c r="E62" s="230"/>
      <c r="F62" s="230"/>
      <c r="G62" s="230"/>
      <c r="H62" s="230"/>
      <c r="I62" s="230"/>
      <c r="J62" s="230"/>
    </row>
    <row r="63" spans="1:10" hidden="1" outlineLevel="1" x14ac:dyDescent="0.25">
      <c r="A63" s="253"/>
      <c r="B63" s="251"/>
      <c r="D63" s="230"/>
      <c r="E63" s="230"/>
      <c r="F63" s="230"/>
      <c r="G63" s="230"/>
      <c r="H63" s="230"/>
      <c r="I63" s="230"/>
      <c r="J63" s="230"/>
    </row>
    <row r="64" spans="1:10" hidden="1" outlineLevel="1" x14ac:dyDescent="0.25">
      <c r="A64" s="253"/>
      <c r="B64" s="251"/>
      <c r="D64" s="230"/>
      <c r="E64" s="230"/>
      <c r="F64" s="230"/>
      <c r="G64" s="230"/>
      <c r="H64" s="230"/>
      <c r="I64" s="230"/>
      <c r="J64" s="230"/>
    </row>
    <row r="65" spans="1:10" hidden="1" outlineLevel="1" x14ac:dyDescent="0.25">
      <c r="A65" s="253"/>
      <c r="B65" s="251"/>
      <c r="D65" s="230"/>
      <c r="E65" s="230"/>
      <c r="F65" s="230"/>
      <c r="G65" s="230"/>
      <c r="H65" s="230"/>
      <c r="I65" s="230"/>
      <c r="J65" s="230"/>
    </row>
    <row r="66" spans="1:10" hidden="1" outlineLevel="1" x14ac:dyDescent="0.25">
      <c r="A66" s="253"/>
      <c r="B66" s="251"/>
      <c r="D66" s="230"/>
      <c r="E66" s="230"/>
      <c r="F66" s="230"/>
      <c r="G66" s="230"/>
      <c r="H66" s="230"/>
      <c r="I66" s="230"/>
      <c r="J66" s="230"/>
    </row>
    <row r="67" spans="1:10" hidden="1" outlineLevel="1" x14ac:dyDescent="0.25">
      <c r="A67" s="253"/>
      <c r="B67" s="251"/>
      <c r="D67" s="230"/>
      <c r="E67" s="230"/>
      <c r="F67" s="230"/>
      <c r="G67" s="230"/>
      <c r="H67" s="230"/>
      <c r="I67" s="230"/>
      <c r="J67" s="230"/>
    </row>
    <row r="68" spans="1:10" hidden="1" outlineLevel="1" x14ac:dyDescent="0.25">
      <c r="A68" s="253"/>
      <c r="B68" s="251"/>
      <c r="D68" s="230"/>
      <c r="E68" s="230"/>
      <c r="F68" s="230"/>
      <c r="G68" s="230"/>
      <c r="H68" s="230"/>
      <c r="I68" s="230"/>
      <c r="J68" s="230"/>
    </row>
    <row r="69" spans="1:10" hidden="1" outlineLevel="1" x14ac:dyDescent="0.25">
      <c r="A69" s="253"/>
      <c r="B69" s="251"/>
      <c r="D69" s="230"/>
      <c r="E69" s="230"/>
      <c r="F69" s="230"/>
      <c r="G69" s="230"/>
      <c r="H69" s="230"/>
      <c r="I69" s="230"/>
      <c r="J69" s="230"/>
    </row>
    <row r="70" spans="1:10" hidden="1" outlineLevel="1" x14ac:dyDescent="0.25">
      <c r="A70" s="253"/>
      <c r="B70" s="251"/>
      <c r="D70" s="230"/>
      <c r="E70" s="230"/>
      <c r="F70" s="230"/>
      <c r="G70" s="230"/>
      <c r="H70" s="230"/>
      <c r="I70" s="230"/>
      <c r="J70" s="230"/>
    </row>
    <row r="71" spans="1:10" hidden="1" outlineLevel="1" x14ac:dyDescent="0.25">
      <c r="A71" s="253"/>
      <c r="B71" s="251"/>
      <c r="D71" s="230"/>
      <c r="E71" s="230"/>
      <c r="F71" s="230"/>
      <c r="G71" s="230"/>
      <c r="H71" s="230"/>
      <c r="I71" s="230"/>
      <c r="J71" s="230"/>
    </row>
    <row r="72" spans="1:10" hidden="1" outlineLevel="1" x14ac:dyDescent="0.25">
      <c r="A72" s="253"/>
      <c r="B72" s="251"/>
      <c r="D72" s="230"/>
      <c r="E72" s="230"/>
      <c r="F72" s="230"/>
      <c r="G72" s="230"/>
      <c r="H72" s="230"/>
      <c r="I72" s="230"/>
      <c r="J72" s="230"/>
    </row>
    <row r="73" spans="1:10" hidden="1" outlineLevel="1" x14ac:dyDescent="0.25">
      <c r="A73" s="253"/>
      <c r="B73" s="251"/>
      <c r="D73" s="230"/>
      <c r="E73" s="230"/>
      <c r="F73" s="230"/>
      <c r="G73" s="230"/>
      <c r="H73" s="230"/>
      <c r="I73" s="230"/>
      <c r="J73" s="230"/>
    </row>
    <row r="74" spans="1:10" hidden="1" outlineLevel="1" x14ac:dyDescent="0.25">
      <c r="A74" s="253"/>
      <c r="B74" s="251"/>
      <c r="D74" s="230"/>
      <c r="E74" s="230"/>
      <c r="F74" s="230"/>
      <c r="G74" s="230"/>
      <c r="H74" s="230"/>
      <c r="I74" s="230"/>
      <c r="J74" s="230"/>
    </row>
    <row r="75" spans="1:10" hidden="1" outlineLevel="1" x14ac:dyDescent="0.25">
      <c r="A75" s="253"/>
      <c r="B75" s="251"/>
      <c r="D75" s="230"/>
      <c r="E75" s="230"/>
      <c r="F75" s="230"/>
      <c r="G75" s="230"/>
      <c r="H75" s="230"/>
      <c r="I75" s="230"/>
      <c r="J75" s="230"/>
    </row>
    <row r="76" spans="1:10" hidden="1" outlineLevel="1" x14ac:dyDescent="0.25">
      <c r="A76" s="253"/>
      <c r="B76" s="251"/>
      <c r="D76" s="230"/>
      <c r="E76" s="230"/>
      <c r="F76" s="230"/>
      <c r="G76" s="230"/>
      <c r="H76" s="230"/>
      <c r="I76" s="230"/>
      <c r="J76" s="230"/>
    </row>
    <row r="77" spans="1:10" hidden="1" outlineLevel="1" x14ac:dyDescent="0.25">
      <c r="A77" s="253"/>
      <c r="B77" s="251"/>
      <c r="D77" s="230"/>
      <c r="E77" s="230"/>
      <c r="F77" s="230"/>
      <c r="G77" s="230"/>
      <c r="H77" s="230"/>
      <c r="I77" s="230"/>
      <c r="J77" s="230"/>
    </row>
    <row r="78" spans="1:10" hidden="1" outlineLevel="1" x14ac:dyDescent="0.25">
      <c r="A78" s="253"/>
      <c r="B78" s="251"/>
      <c r="D78" s="230"/>
      <c r="E78" s="230"/>
      <c r="F78" s="230"/>
      <c r="G78" s="230"/>
      <c r="H78" s="230"/>
      <c r="I78" s="230"/>
      <c r="J78" s="230"/>
    </row>
    <row r="79" spans="1:10" hidden="1" outlineLevel="1" x14ac:dyDescent="0.25">
      <c r="A79" s="253"/>
      <c r="B79" s="251"/>
      <c r="D79" s="230"/>
      <c r="E79" s="230"/>
      <c r="F79" s="230"/>
      <c r="G79" s="230"/>
      <c r="H79" s="230"/>
      <c r="I79" s="230"/>
      <c r="J79" s="230"/>
    </row>
    <row r="80" spans="1:10" hidden="1" outlineLevel="1" x14ac:dyDescent="0.25">
      <c r="A80" s="253"/>
      <c r="B80" s="251"/>
      <c r="D80" s="230"/>
      <c r="E80" s="230"/>
      <c r="F80" s="230"/>
      <c r="G80" s="230"/>
      <c r="H80" s="230"/>
      <c r="I80" s="230"/>
      <c r="J80" s="230"/>
    </row>
    <row r="81" spans="1:10" hidden="1" outlineLevel="1" x14ac:dyDescent="0.25">
      <c r="A81" s="253"/>
      <c r="B81" s="251"/>
      <c r="D81" s="230"/>
      <c r="E81" s="230"/>
      <c r="F81" s="230"/>
      <c r="G81" s="230"/>
      <c r="H81" s="230"/>
      <c r="I81" s="230"/>
      <c r="J81" s="230"/>
    </row>
    <row r="82" spans="1:10" hidden="1" outlineLevel="1" x14ac:dyDescent="0.25">
      <c r="A82" s="253"/>
      <c r="B82" s="251"/>
      <c r="D82" s="230"/>
      <c r="E82" s="230"/>
      <c r="F82" s="230"/>
      <c r="G82" s="230"/>
      <c r="H82" s="230"/>
      <c r="I82" s="230"/>
      <c r="J82" s="230"/>
    </row>
    <row r="83" spans="1:10" hidden="1" outlineLevel="1" x14ac:dyDescent="0.25">
      <c r="A83" s="253"/>
      <c r="B83" s="251"/>
      <c r="D83" s="230"/>
      <c r="E83" s="230"/>
      <c r="F83" s="230"/>
      <c r="G83" s="230"/>
      <c r="H83" s="230"/>
      <c r="I83" s="230"/>
      <c r="J83" s="230"/>
    </row>
    <row r="84" spans="1:10" hidden="1" outlineLevel="1" x14ac:dyDescent="0.25">
      <c r="A84" s="253"/>
      <c r="B84" s="251"/>
      <c r="D84" s="230"/>
      <c r="E84" s="230"/>
      <c r="F84" s="230"/>
      <c r="G84" s="230"/>
      <c r="H84" s="230"/>
      <c r="I84" s="230"/>
      <c r="J84" s="230"/>
    </row>
    <row r="85" spans="1:10" hidden="1" outlineLevel="1" x14ac:dyDescent="0.25">
      <c r="A85" s="253"/>
      <c r="B85" s="251"/>
      <c r="D85" s="230"/>
      <c r="E85" s="230"/>
      <c r="F85" s="230"/>
      <c r="G85" s="230"/>
      <c r="H85" s="230"/>
      <c r="I85" s="230"/>
      <c r="J85" s="230"/>
    </row>
    <row r="86" spans="1:10" hidden="1" outlineLevel="1" x14ac:dyDescent="0.25">
      <c r="A86" s="253"/>
      <c r="B86" s="251"/>
      <c r="D86" s="230"/>
      <c r="E86" s="230"/>
      <c r="F86" s="230"/>
      <c r="G86" s="230"/>
      <c r="H86" s="230"/>
      <c r="I86" s="230"/>
      <c r="J86" s="230"/>
    </row>
    <row r="87" spans="1:10" hidden="1" outlineLevel="1" x14ac:dyDescent="0.25">
      <c r="A87" s="253"/>
      <c r="B87" s="251"/>
      <c r="D87" s="230"/>
      <c r="E87" s="230"/>
      <c r="F87" s="230"/>
      <c r="G87" s="230"/>
      <c r="H87" s="230"/>
      <c r="I87" s="230"/>
      <c r="J87" s="230"/>
    </row>
    <row r="88" spans="1:10" hidden="1" outlineLevel="1" x14ac:dyDescent="0.25">
      <c r="A88" s="253"/>
      <c r="B88" s="251"/>
      <c r="D88" s="230"/>
      <c r="E88" s="230"/>
      <c r="F88" s="230"/>
      <c r="G88" s="230"/>
      <c r="H88" s="230"/>
      <c r="I88" s="230"/>
      <c r="J88" s="230"/>
    </row>
    <row r="89" spans="1:10" hidden="1" outlineLevel="1" x14ac:dyDescent="0.25">
      <c r="A89" s="253"/>
      <c r="B89" s="251"/>
      <c r="D89" s="230"/>
      <c r="E89" s="230"/>
      <c r="F89" s="230"/>
      <c r="G89" s="230"/>
      <c r="H89" s="230"/>
      <c r="I89" s="230"/>
      <c r="J89" s="230"/>
    </row>
    <row r="90" spans="1:10" hidden="1" outlineLevel="1" x14ac:dyDescent="0.25">
      <c r="A90" s="253"/>
      <c r="B90" s="251"/>
      <c r="D90" s="230"/>
      <c r="E90" s="230"/>
      <c r="F90" s="230"/>
      <c r="G90" s="230"/>
      <c r="H90" s="230"/>
      <c r="I90" s="230"/>
      <c r="J90" s="230"/>
    </row>
    <row r="91" spans="1:10" hidden="1" outlineLevel="1" x14ac:dyDescent="0.25">
      <c r="A91" s="253"/>
      <c r="B91" s="251"/>
      <c r="D91" s="230"/>
      <c r="E91" s="230"/>
      <c r="F91" s="230"/>
      <c r="G91" s="230"/>
      <c r="H91" s="230"/>
      <c r="I91" s="230"/>
      <c r="J91" s="230"/>
    </row>
    <row r="92" spans="1:10" hidden="1" outlineLevel="1" x14ac:dyDescent="0.25">
      <c r="A92" s="253"/>
      <c r="B92" s="251"/>
      <c r="D92" s="230"/>
      <c r="E92" s="230"/>
      <c r="F92" s="230"/>
      <c r="G92" s="230"/>
      <c r="H92" s="230"/>
      <c r="I92" s="230"/>
      <c r="J92" s="230"/>
    </row>
    <row r="93" spans="1:10" hidden="1" outlineLevel="1" x14ac:dyDescent="0.25">
      <c r="A93" s="253"/>
      <c r="B93" s="251"/>
      <c r="D93" s="230"/>
      <c r="E93" s="230"/>
      <c r="F93" s="230"/>
      <c r="G93" s="230"/>
      <c r="H93" s="230"/>
      <c r="I93" s="230"/>
      <c r="J93" s="230"/>
    </row>
    <row r="94" spans="1:10" hidden="1" outlineLevel="1" x14ac:dyDescent="0.25">
      <c r="A94" s="253"/>
      <c r="B94" s="251"/>
      <c r="D94" s="230"/>
      <c r="E94" s="230"/>
      <c r="F94" s="230"/>
      <c r="G94" s="230"/>
      <c r="H94" s="230"/>
      <c r="I94" s="230"/>
      <c r="J94" s="230"/>
    </row>
    <row r="95" spans="1:10" hidden="1" outlineLevel="1" x14ac:dyDescent="0.25">
      <c r="A95" s="253"/>
      <c r="B95" s="251"/>
      <c r="D95" s="230"/>
      <c r="E95" s="230"/>
      <c r="F95" s="230"/>
      <c r="G95" s="230"/>
      <c r="H95" s="230"/>
      <c r="I95" s="230"/>
      <c r="J95" s="230"/>
    </row>
    <row r="96" spans="1:10" hidden="1" outlineLevel="1" x14ac:dyDescent="0.25">
      <c r="A96" s="253"/>
      <c r="B96" s="251"/>
      <c r="D96" s="230"/>
      <c r="E96" s="230"/>
      <c r="F96" s="230"/>
      <c r="G96" s="230"/>
      <c r="H96" s="230"/>
      <c r="I96" s="230"/>
      <c r="J96" s="230"/>
    </row>
    <row r="97" spans="1:10" hidden="1" outlineLevel="1" x14ac:dyDescent="0.25">
      <c r="A97" s="253"/>
      <c r="B97" s="251"/>
      <c r="D97" s="230"/>
      <c r="E97" s="230"/>
      <c r="F97" s="230"/>
      <c r="G97" s="230"/>
      <c r="H97" s="230"/>
      <c r="I97" s="230"/>
      <c r="J97" s="230"/>
    </row>
    <row r="98" spans="1:10" hidden="1" outlineLevel="1" x14ac:dyDescent="0.25">
      <c r="A98" s="253"/>
      <c r="B98" s="251"/>
      <c r="D98" s="230"/>
      <c r="E98" s="230"/>
      <c r="F98" s="230"/>
      <c r="G98" s="230"/>
      <c r="H98" s="230"/>
      <c r="I98" s="230"/>
      <c r="J98" s="230"/>
    </row>
    <row r="99" spans="1:10" hidden="1" outlineLevel="1" x14ac:dyDescent="0.25">
      <c r="A99" s="253"/>
      <c r="B99" s="251"/>
      <c r="D99" s="230"/>
      <c r="E99" s="230"/>
      <c r="F99" s="230"/>
      <c r="G99" s="230"/>
      <c r="H99" s="230"/>
      <c r="I99" s="230"/>
      <c r="J99" s="230"/>
    </row>
    <row r="100" spans="1:10" hidden="1" outlineLevel="1" x14ac:dyDescent="0.25">
      <c r="A100" s="253"/>
      <c r="B100" s="251"/>
      <c r="D100" s="230"/>
      <c r="E100" s="230"/>
      <c r="F100" s="230"/>
      <c r="G100" s="230"/>
      <c r="H100" s="230"/>
      <c r="I100" s="230"/>
      <c r="J100" s="230"/>
    </row>
    <row r="101" spans="1:10" hidden="1" outlineLevel="1" x14ac:dyDescent="0.25">
      <c r="A101" s="253"/>
      <c r="B101" s="251"/>
      <c r="D101" s="230"/>
      <c r="E101" s="230"/>
      <c r="F101" s="230"/>
      <c r="G101" s="230"/>
      <c r="H101" s="230"/>
      <c r="I101" s="230"/>
      <c r="J101" s="230"/>
    </row>
    <row r="102" spans="1:10" hidden="1" outlineLevel="1" x14ac:dyDescent="0.25">
      <c r="A102" s="253"/>
      <c r="B102" s="251"/>
      <c r="D102" s="230"/>
      <c r="E102" s="230"/>
      <c r="F102" s="230"/>
      <c r="G102" s="230"/>
      <c r="H102" s="230"/>
      <c r="I102" s="230"/>
      <c r="J102" s="230"/>
    </row>
    <row r="103" spans="1:10" hidden="1" outlineLevel="1" x14ac:dyDescent="0.25">
      <c r="A103" s="253"/>
      <c r="B103" s="251"/>
      <c r="D103" s="230"/>
      <c r="E103" s="230"/>
      <c r="F103" s="230"/>
      <c r="G103" s="230"/>
      <c r="H103" s="230"/>
      <c r="I103" s="230"/>
      <c r="J103" s="230"/>
    </row>
    <row r="104" spans="1:10" hidden="1" outlineLevel="1" x14ac:dyDescent="0.25">
      <c r="A104" s="253"/>
      <c r="B104" s="251"/>
      <c r="D104" s="230"/>
      <c r="E104" s="230"/>
      <c r="F104" s="230"/>
      <c r="G104" s="230"/>
      <c r="H104" s="230"/>
      <c r="I104" s="230"/>
      <c r="J104" s="230"/>
    </row>
    <row r="105" spans="1:10" hidden="1" outlineLevel="1" x14ac:dyDescent="0.25">
      <c r="A105" s="253"/>
      <c r="B105" s="251"/>
      <c r="D105" s="230"/>
      <c r="E105" s="230"/>
      <c r="F105" s="230"/>
      <c r="G105" s="230"/>
      <c r="H105" s="230"/>
      <c r="I105" s="230"/>
      <c r="J105" s="230"/>
    </row>
    <row r="106" spans="1:10" hidden="1" outlineLevel="1" x14ac:dyDescent="0.25">
      <c r="A106" s="253"/>
      <c r="B106" s="251"/>
      <c r="D106" s="230"/>
      <c r="E106" s="230"/>
      <c r="F106" s="230"/>
      <c r="G106" s="230"/>
      <c r="H106" s="230"/>
      <c r="I106" s="230"/>
      <c r="J106" s="230"/>
    </row>
    <row r="107" spans="1:10" hidden="1" outlineLevel="1" x14ac:dyDescent="0.25">
      <c r="A107" s="253"/>
      <c r="B107" s="251"/>
      <c r="D107" s="230"/>
      <c r="E107" s="230"/>
      <c r="F107" s="230"/>
      <c r="G107" s="230"/>
      <c r="H107" s="230"/>
      <c r="I107" s="230"/>
      <c r="J107" s="230"/>
    </row>
    <row r="108" spans="1:10" hidden="1" outlineLevel="1" x14ac:dyDescent="0.25">
      <c r="A108" s="253"/>
      <c r="B108" s="251"/>
      <c r="D108" s="230"/>
      <c r="E108" s="230"/>
      <c r="F108" s="230"/>
      <c r="G108" s="230"/>
      <c r="H108" s="230"/>
      <c r="I108" s="230"/>
      <c r="J108" s="230"/>
    </row>
    <row r="109" spans="1:10" hidden="1" outlineLevel="1" x14ac:dyDescent="0.25">
      <c r="A109" s="253"/>
      <c r="B109" s="251"/>
      <c r="D109" s="230"/>
      <c r="E109" s="230"/>
      <c r="F109" s="230"/>
      <c r="G109" s="230"/>
      <c r="H109" s="230"/>
      <c r="I109" s="230"/>
      <c r="J109" s="230"/>
    </row>
    <row r="110" spans="1:10" hidden="1" outlineLevel="1" x14ac:dyDescent="0.25">
      <c r="A110" s="253"/>
      <c r="B110" s="251"/>
      <c r="D110" s="230"/>
      <c r="E110" s="230"/>
      <c r="F110" s="230"/>
      <c r="G110" s="230"/>
      <c r="H110" s="230"/>
      <c r="I110" s="230"/>
      <c r="J110" s="230"/>
    </row>
    <row r="111" spans="1:10" hidden="1" outlineLevel="1" x14ac:dyDescent="0.25">
      <c r="A111" s="253"/>
      <c r="B111" s="251"/>
      <c r="D111" s="230"/>
      <c r="E111" s="230"/>
      <c r="F111" s="230"/>
      <c r="G111" s="230"/>
      <c r="H111" s="230"/>
      <c r="I111" s="230"/>
      <c r="J111" s="230"/>
    </row>
    <row r="112" spans="1:10" hidden="1" outlineLevel="1" x14ac:dyDescent="0.25">
      <c r="A112" s="253"/>
      <c r="B112" s="251"/>
      <c r="D112" s="230"/>
      <c r="E112" s="230"/>
      <c r="F112" s="230"/>
      <c r="G112" s="230"/>
      <c r="H112" s="230"/>
      <c r="I112" s="230"/>
      <c r="J112" s="230"/>
    </row>
    <row r="113" spans="1:10" hidden="1" outlineLevel="1" x14ac:dyDescent="0.25">
      <c r="A113" s="253"/>
      <c r="B113" s="251"/>
      <c r="D113" s="230"/>
      <c r="E113" s="230"/>
      <c r="F113" s="230"/>
      <c r="G113" s="230"/>
      <c r="H113" s="230"/>
      <c r="I113" s="230"/>
      <c r="J113" s="230"/>
    </row>
    <row r="114" spans="1:10" hidden="1" outlineLevel="1" x14ac:dyDescent="0.25">
      <c r="A114" s="253"/>
      <c r="B114" s="251"/>
      <c r="D114" s="230"/>
      <c r="E114" s="230"/>
      <c r="F114" s="230"/>
      <c r="G114" s="230"/>
      <c r="H114" s="230"/>
      <c r="I114" s="230"/>
      <c r="J114" s="230"/>
    </row>
    <row r="115" spans="1:10" hidden="1" outlineLevel="1" x14ac:dyDescent="0.25">
      <c r="A115" s="253"/>
      <c r="B115" s="251"/>
      <c r="D115" s="230"/>
      <c r="E115" s="230"/>
      <c r="F115" s="230"/>
      <c r="G115" s="230"/>
      <c r="H115" s="230"/>
      <c r="I115" s="230"/>
      <c r="J115" s="230"/>
    </row>
    <row r="116" spans="1:10" hidden="1" outlineLevel="1" x14ac:dyDescent="0.25">
      <c r="A116" s="253"/>
      <c r="B116" s="251"/>
      <c r="D116" s="230"/>
      <c r="E116" s="230"/>
      <c r="F116" s="230"/>
      <c r="G116" s="230"/>
      <c r="H116" s="230"/>
      <c r="I116" s="230"/>
      <c r="J116" s="230"/>
    </row>
    <row r="117" spans="1:10" hidden="1" outlineLevel="1" x14ac:dyDescent="0.25">
      <c r="A117" s="253"/>
      <c r="B117" s="251"/>
      <c r="D117" s="230"/>
      <c r="E117" s="230"/>
      <c r="F117" s="230"/>
      <c r="G117" s="230"/>
      <c r="H117" s="230"/>
      <c r="I117" s="230"/>
      <c r="J117" s="230"/>
    </row>
    <row r="118" spans="1:10" hidden="1" outlineLevel="1" x14ac:dyDescent="0.25">
      <c r="A118" s="253"/>
      <c r="B118" s="251"/>
      <c r="D118" s="230"/>
      <c r="E118" s="230"/>
      <c r="F118" s="230"/>
      <c r="G118" s="230"/>
      <c r="H118" s="230"/>
      <c r="I118" s="230"/>
      <c r="J118" s="230"/>
    </row>
    <row r="119" spans="1:10" hidden="1" outlineLevel="1" x14ac:dyDescent="0.25">
      <c r="A119" s="253"/>
      <c r="B119" s="251"/>
      <c r="D119" s="230"/>
      <c r="E119" s="230"/>
      <c r="F119" s="230"/>
      <c r="G119" s="230"/>
      <c r="H119" s="230"/>
      <c r="I119" s="230"/>
      <c r="J119" s="230"/>
    </row>
    <row r="120" spans="1:10" hidden="1" outlineLevel="1" x14ac:dyDescent="0.25">
      <c r="A120" s="253"/>
      <c r="B120" s="251"/>
      <c r="D120" s="230"/>
      <c r="E120" s="230"/>
      <c r="F120" s="230"/>
      <c r="G120" s="230"/>
      <c r="H120" s="230"/>
      <c r="I120" s="230"/>
      <c r="J120" s="230"/>
    </row>
    <row r="121" spans="1:10" hidden="1" outlineLevel="1" x14ac:dyDescent="0.25">
      <c r="A121" s="253"/>
      <c r="B121" s="251"/>
      <c r="D121" s="230"/>
      <c r="E121" s="230"/>
      <c r="F121" s="230"/>
      <c r="G121" s="230"/>
      <c r="H121" s="230"/>
      <c r="I121" s="230"/>
      <c r="J121" s="230"/>
    </row>
    <row r="122" spans="1:10" hidden="1" outlineLevel="1" x14ac:dyDescent="0.25">
      <c r="A122" s="253"/>
      <c r="B122" s="251"/>
      <c r="D122" s="230"/>
      <c r="E122" s="230"/>
      <c r="F122" s="230"/>
      <c r="G122" s="230"/>
      <c r="H122" s="230"/>
      <c r="I122" s="230"/>
      <c r="J122" s="230"/>
    </row>
    <row r="123" spans="1:10" hidden="1" outlineLevel="1" x14ac:dyDescent="0.25">
      <c r="A123" s="253"/>
      <c r="B123" s="251"/>
      <c r="D123" s="230"/>
      <c r="E123" s="230"/>
      <c r="F123" s="230"/>
      <c r="G123" s="230"/>
      <c r="H123" s="230"/>
      <c r="I123" s="230"/>
      <c r="J123" s="230"/>
    </row>
    <row r="124" spans="1:10" hidden="1" outlineLevel="1" x14ac:dyDescent="0.25">
      <c r="A124" s="253"/>
      <c r="B124" s="251"/>
      <c r="D124" s="230"/>
      <c r="E124" s="230"/>
      <c r="F124" s="230"/>
      <c r="G124" s="230"/>
      <c r="H124" s="230"/>
      <c r="I124" s="230"/>
      <c r="J124" s="230"/>
    </row>
    <row r="125" spans="1:10" hidden="1" outlineLevel="1" x14ac:dyDescent="0.25">
      <c r="A125" s="253"/>
      <c r="B125" s="251"/>
      <c r="D125" s="230"/>
      <c r="E125" s="230"/>
      <c r="F125" s="230"/>
      <c r="G125" s="230"/>
      <c r="H125" s="230"/>
      <c r="I125" s="230"/>
      <c r="J125" s="230"/>
    </row>
    <row r="126" spans="1:10" hidden="1" outlineLevel="1" x14ac:dyDescent="0.25">
      <c r="A126" s="253"/>
      <c r="B126" s="251"/>
      <c r="D126" s="230"/>
      <c r="E126" s="230"/>
      <c r="F126" s="230"/>
      <c r="G126" s="230"/>
      <c r="H126" s="230"/>
      <c r="I126" s="230"/>
      <c r="J126" s="230"/>
    </row>
    <row r="127" spans="1:10" hidden="1" outlineLevel="1" x14ac:dyDescent="0.25">
      <c r="A127" s="253"/>
      <c r="B127" s="251"/>
      <c r="D127" s="230"/>
      <c r="E127" s="230"/>
      <c r="F127" s="230"/>
      <c r="G127" s="230"/>
      <c r="H127" s="230"/>
      <c r="I127" s="230"/>
      <c r="J127" s="230"/>
    </row>
    <row r="128" spans="1:10" hidden="1" outlineLevel="1" x14ac:dyDescent="0.25">
      <c r="A128" s="253"/>
      <c r="B128" s="251"/>
      <c r="D128" s="230"/>
      <c r="E128" s="230"/>
      <c r="F128" s="230"/>
      <c r="G128" s="230"/>
      <c r="H128" s="230"/>
      <c r="I128" s="230"/>
      <c r="J128" s="230"/>
    </row>
    <row r="129" spans="1:10" hidden="1" outlineLevel="1" x14ac:dyDescent="0.25">
      <c r="A129" s="253"/>
      <c r="B129" s="251"/>
      <c r="D129" s="230"/>
      <c r="E129" s="230"/>
      <c r="F129" s="230"/>
      <c r="G129" s="230"/>
      <c r="H129" s="230"/>
      <c r="I129" s="230"/>
      <c r="J129" s="230"/>
    </row>
    <row r="130" spans="1:10" hidden="1" outlineLevel="1" x14ac:dyDescent="0.25">
      <c r="A130" s="253"/>
      <c r="B130" s="251"/>
      <c r="D130" s="230"/>
      <c r="E130" s="230"/>
      <c r="F130" s="230"/>
      <c r="G130" s="230"/>
      <c r="H130" s="230"/>
      <c r="I130" s="230"/>
      <c r="J130" s="230"/>
    </row>
    <row r="131" spans="1:10" hidden="1" outlineLevel="1" x14ac:dyDescent="0.25">
      <c r="A131" s="253"/>
      <c r="B131" s="251"/>
      <c r="D131" s="230"/>
      <c r="E131" s="230"/>
      <c r="F131" s="230"/>
      <c r="G131" s="230"/>
      <c r="H131" s="230"/>
      <c r="I131" s="230"/>
      <c r="J131" s="230"/>
    </row>
    <row r="132" spans="1:10" hidden="1" outlineLevel="1" x14ac:dyDescent="0.25">
      <c r="A132" s="253"/>
      <c r="B132" s="251"/>
      <c r="D132" s="230"/>
      <c r="E132" s="230"/>
      <c r="F132" s="230"/>
      <c r="G132" s="230"/>
      <c r="H132" s="230"/>
      <c r="I132" s="230"/>
      <c r="J132" s="230"/>
    </row>
    <row r="133" spans="1:10" hidden="1" outlineLevel="1" x14ac:dyDescent="0.25">
      <c r="A133" s="253"/>
      <c r="B133" s="251"/>
      <c r="D133" s="230"/>
      <c r="E133" s="230"/>
      <c r="F133" s="230"/>
      <c r="G133" s="230"/>
      <c r="H133" s="230"/>
      <c r="I133" s="230"/>
      <c r="J133" s="230"/>
    </row>
    <row r="134" spans="1:10" hidden="1" outlineLevel="1" x14ac:dyDescent="0.25">
      <c r="A134" s="253"/>
      <c r="B134" s="251"/>
      <c r="D134" s="230"/>
      <c r="E134" s="230"/>
      <c r="F134" s="230"/>
      <c r="G134" s="230"/>
      <c r="H134" s="230"/>
      <c r="I134" s="230"/>
      <c r="J134" s="230"/>
    </row>
    <row r="135" spans="1:10" hidden="1" outlineLevel="1" x14ac:dyDescent="0.25">
      <c r="A135" s="253"/>
      <c r="B135" s="251"/>
      <c r="D135" s="230"/>
      <c r="E135" s="230"/>
      <c r="F135" s="230"/>
      <c r="G135" s="230"/>
      <c r="H135" s="230"/>
      <c r="I135" s="230"/>
      <c r="J135" s="230"/>
    </row>
    <row r="136" spans="1:10" hidden="1" outlineLevel="1" x14ac:dyDescent="0.25">
      <c r="A136" s="253"/>
      <c r="B136" s="251"/>
      <c r="D136" s="230"/>
      <c r="E136" s="230"/>
      <c r="F136" s="230"/>
      <c r="G136" s="230"/>
      <c r="H136" s="230"/>
      <c r="I136" s="230"/>
      <c r="J136" s="230"/>
    </row>
    <row r="137" spans="1:10" hidden="1" outlineLevel="1" x14ac:dyDescent="0.25">
      <c r="A137" s="253"/>
      <c r="B137" s="251"/>
      <c r="D137" s="230"/>
      <c r="E137" s="230"/>
      <c r="F137" s="230"/>
      <c r="G137" s="230"/>
      <c r="H137" s="230"/>
      <c r="I137" s="230"/>
      <c r="J137" s="230"/>
    </row>
    <row r="138" spans="1:10" hidden="1" outlineLevel="1" x14ac:dyDescent="0.25">
      <c r="A138" s="253"/>
      <c r="B138" s="251"/>
      <c r="D138" s="230"/>
      <c r="E138" s="230"/>
      <c r="F138" s="230"/>
      <c r="G138" s="230"/>
      <c r="H138" s="230"/>
      <c r="I138" s="230"/>
      <c r="J138" s="230"/>
    </row>
    <row r="139" spans="1:10" hidden="1" outlineLevel="1" x14ac:dyDescent="0.25">
      <c r="A139" s="253"/>
      <c r="B139" s="251"/>
      <c r="D139" s="230"/>
      <c r="E139" s="230"/>
      <c r="F139" s="230"/>
      <c r="G139" s="230"/>
      <c r="H139" s="230"/>
      <c r="I139" s="230"/>
      <c r="J139" s="230"/>
    </row>
    <row r="140" spans="1:10" hidden="1" outlineLevel="1" x14ac:dyDescent="0.25">
      <c r="A140" s="253"/>
      <c r="B140" s="251"/>
      <c r="D140" s="230"/>
      <c r="E140" s="230"/>
      <c r="F140" s="230"/>
      <c r="G140" s="230"/>
      <c r="H140" s="230"/>
      <c r="I140" s="230"/>
      <c r="J140" s="230"/>
    </row>
    <row r="141" spans="1:10" hidden="1" outlineLevel="1" x14ac:dyDescent="0.25">
      <c r="A141" s="253"/>
      <c r="B141" s="251"/>
      <c r="D141" s="230"/>
      <c r="E141" s="230"/>
      <c r="F141" s="230"/>
      <c r="G141" s="230"/>
      <c r="H141" s="230"/>
      <c r="I141" s="230"/>
      <c r="J141" s="230"/>
    </row>
    <row r="142" spans="1:10" hidden="1" outlineLevel="1" x14ac:dyDescent="0.25">
      <c r="A142" s="253"/>
      <c r="B142" s="251"/>
      <c r="D142" s="230"/>
      <c r="E142" s="230"/>
      <c r="F142" s="230"/>
      <c r="G142" s="230"/>
      <c r="H142" s="230"/>
      <c r="I142" s="230"/>
      <c r="J142" s="230"/>
    </row>
    <row r="143" spans="1:10" hidden="1" outlineLevel="1" x14ac:dyDescent="0.25">
      <c r="A143" s="253"/>
      <c r="B143" s="251"/>
      <c r="D143" s="230"/>
      <c r="E143" s="230"/>
      <c r="F143" s="230"/>
      <c r="G143" s="230"/>
      <c r="H143" s="230"/>
      <c r="I143" s="230"/>
      <c r="J143" s="230"/>
    </row>
    <row r="144" spans="1:10" hidden="1" outlineLevel="1" x14ac:dyDescent="0.25">
      <c r="A144" s="253"/>
      <c r="B144" s="251"/>
      <c r="D144" s="230"/>
      <c r="E144" s="230"/>
      <c r="F144" s="230"/>
      <c r="G144" s="230"/>
      <c r="H144" s="230"/>
      <c r="I144" s="230"/>
      <c r="J144" s="230"/>
    </row>
    <row r="145" spans="1:10" hidden="1" outlineLevel="1" x14ac:dyDescent="0.25">
      <c r="A145" s="253"/>
      <c r="B145" s="251"/>
      <c r="D145" s="230"/>
      <c r="E145" s="230"/>
      <c r="F145" s="230"/>
      <c r="G145" s="230"/>
      <c r="H145" s="230"/>
      <c r="I145" s="230"/>
      <c r="J145" s="230"/>
    </row>
    <row r="146" spans="1:10" hidden="1" outlineLevel="1" x14ac:dyDescent="0.25">
      <c r="A146" s="253"/>
      <c r="B146" s="251"/>
      <c r="D146" s="230"/>
      <c r="E146" s="230"/>
      <c r="F146" s="230"/>
      <c r="G146" s="230"/>
      <c r="H146" s="230"/>
      <c r="I146" s="230"/>
      <c r="J146" s="230"/>
    </row>
    <row r="147" spans="1:10" hidden="1" outlineLevel="1" x14ac:dyDescent="0.25">
      <c r="A147" s="253"/>
      <c r="B147" s="251"/>
      <c r="D147" s="230"/>
      <c r="E147" s="230"/>
      <c r="F147" s="230"/>
      <c r="G147" s="230"/>
      <c r="H147" s="230"/>
      <c r="I147" s="230"/>
      <c r="J147" s="230"/>
    </row>
    <row r="148" spans="1:10" hidden="1" outlineLevel="1" x14ac:dyDescent="0.25">
      <c r="A148" s="253"/>
      <c r="B148" s="251"/>
      <c r="D148" s="230"/>
      <c r="E148" s="230"/>
      <c r="F148" s="230"/>
      <c r="G148" s="230"/>
      <c r="H148" s="230"/>
      <c r="I148" s="230"/>
      <c r="J148" s="230"/>
    </row>
    <row r="149" spans="1:10" hidden="1" outlineLevel="1" x14ac:dyDescent="0.25">
      <c r="A149" s="253"/>
      <c r="B149" s="251"/>
      <c r="D149" s="230"/>
      <c r="E149" s="230"/>
      <c r="F149" s="230"/>
      <c r="G149" s="230"/>
      <c r="H149" s="230"/>
      <c r="I149" s="230"/>
      <c r="J149" s="230"/>
    </row>
    <row r="150" spans="1:10" hidden="1" outlineLevel="1" x14ac:dyDescent="0.25">
      <c r="A150" s="253"/>
      <c r="B150" s="251"/>
      <c r="D150" s="230"/>
      <c r="E150" s="230"/>
      <c r="F150" s="230"/>
      <c r="G150" s="230"/>
      <c r="H150" s="230"/>
      <c r="I150" s="230"/>
      <c r="J150" s="230"/>
    </row>
    <row r="151" spans="1:10" hidden="1" outlineLevel="1" x14ac:dyDescent="0.25">
      <c r="A151" s="253"/>
      <c r="B151" s="251"/>
      <c r="D151" s="230"/>
      <c r="E151" s="230"/>
      <c r="F151" s="230"/>
      <c r="G151" s="230"/>
      <c r="H151" s="230"/>
      <c r="I151" s="230"/>
      <c r="J151" s="230"/>
    </row>
    <row r="152" spans="1:10" hidden="1" outlineLevel="1" x14ac:dyDescent="0.25">
      <c r="A152" s="253"/>
      <c r="B152" s="251"/>
      <c r="D152" s="230"/>
      <c r="E152" s="230"/>
      <c r="F152" s="230"/>
      <c r="G152" s="230"/>
      <c r="H152" s="230"/>
      <c r="I152" s="230"/>
      <c r="J152" s="230"/>
    </row>
    <row r="153" spans="1:10" hidden="1" outlineLevel="1" x14ac:dyDescent="0.25">
      <c r="A153" s="253"/>
      <c r="B153" s="251"/>
      <c r="D153" s="230"/>
      <c r="E153" s="230"/>
      <c r="F153" s="230"/>
      <c r="G153" s="230"/>
      <c r="H153" s="230"/>
      <c r="I153" s="230"/>
      <c r="J153" s="230"/>
    </row>
    <row r="154" spans="1:10" hidden="1" outlineLevel="1" x14ac:dyDescent="0.25">
      <c r="A154" s="253"/>
      <c r="B154" s="251"/>
      <c r="D154" s="230"/>
      <c r="E154" s="230"/>
      <c r="F154" s="230"/>
      <c r="G154" s="230"/>
      <c r="H154" s="230"/>
      <c r="I154" s="230"/>
      <c r="J154" s="230"/>
    </row>
    <row r="155" spans="1:10" hidden="1" outlineLevel="1" x14ac:dyDescent="0.25">
      <c r="A155" s="253"/>
      <c r="B155" s="251"/>
      <c r="D155" s="230"/>
      <c r="E155" s="230"/>
      <c r="F155" s="230"/>
      <c r="G155" s="230"/>
      <c r="H155" s="230"/>
      <c r="I155" s="230"/>
      <c r="J155" s="230"/>
    </row>
    <row r="156" spans="1:10" hidden="1" outlineLevel="1" x14ac:dyDescent="0.25">
      <c r="A156" s="253"/>
      <c r="B156" s="251"/>
      <c r="D156" s="230"/>
      <c r="E156" s="230"/>
      <c r="F156" s="230"/>
      <c r="G156" s="230"/>
      <c r="H156" s="230"/>
      <c r="I156" s="230"/>
      <c r="J156" s="230"/>
    </row>
    <row r="157" spans="1:10" hidden="1" outlineLevel="1" x14ac:dyDescent="0.25">
      <c r="A157" s="253"/>
      <c r="B157" s="251"/>
      <c r="D157" s="230"/>
      <c r="E157" s="230"/>
      <c r="F157" s="230"/>
      <c r="G157" s="230"/>
      <c r="H157" s="230"/>
      <c r="I157" s="230"/>
      <c r="J157" s="230"/>
    </row>
    <row r="158" spans="1:10" hidden="1" outlineLevel="1" x14ac:dyDescent="0.25">
      <c r="A158" s="253"/>
      <c r="B158" s="251"/>
      <c r="D158" s="230"/>
      <c r="E158" s="230"/>
      <c r="F158" s="230"/>
      <c r="G158" s="230"/>
      <c r="H158" s="230"/>
      <c r="I158" s="230"/>
      <c r="J158" s="230"/>
    </row>
    <row r="159" spans="1:10" hidden="1" outlineLevel="1" x14ac:dyDescent="0.25">
      <c r="A159" s="253"/>
      <c r="B159" s="251"/>
      <c r="D159" s="230"/>
      <c r="E159" s="230"/>
      <c r="F159" s="230"/>
      <c r="G159" s="230"/>
      <c r="H159" s="230"/>
      <c r="I159" s="230"/>
      <c r="J159" s="230"/>
    </row>
    <row r="160" spans="1:10" hidden="1" outlineLevel="1" x14ac:dyDescent="0.25">
      <c r="A160" s="253"/>
      <c r="B160" s="251"/>
      <c r="D160" s="230"/>
      <c r="E160" s="230"/>
      <c r="F160" s="230"/>
      <c r="G160" s="230"/>
      <c r="H160" s="230"/>
      <c r="I160" s="230"/>
      <c r="J160" s="230"/>
    </row>
    <row r="161" spans="1:10" hidden="1" outlineLevel="1" x14ac:dyDescent="0.25">
      <c r="A161" s="253"/>
      <c r="B161" s="251"/>
      <c r="D161" s="230"/>
      <c r="E161" s="230"/>
      <c r="F161" s="230"/>
      <c r="G161" s="230"/>
      <c r="H161" s="230"/>
      <c r="I161" s="230"/>
      <c r="J161" s="230"/>
    </row>
    <row r="162" spans="1:10" hidden="1" outlineLevel="1" x14ac:dyDescent="0.25">
      <c r="A162" s="253"/>
      <c r="B162" s="251"/>
      <c r="D162" s="230"/>
      <c r="E162" s="230"/>
      <c r="F162" s="230"/>
      <c r="G162" s="230"/>
      <c r="H162" s="230"/>
      <c r="I162" s="230"/>
      <c r="J162" s="230"/>
    </row>
    <row r="163" spans="1:10" hidden="1" outlineLevel="1" x14ac:dyDescent="0.25">
      <c r="A163" s="253"/>
      <c r="B163" s="251"/>
      <c r="D163" s="230"/>
      <c r="E163" s="230"/>
      <c r="F163" s="230"/>
      <c r="G163" s="230"/>
      <c r="H163" s="230"/>
      <c r="I163" s="230"/>
      <c r="J163" s="230"/>
    </row>
    <row r="164" spans="1:10" hidden="1" outlineLevel="2" x14ac:dyDescent="0.25">
      <c r="A164" s="253">
        <v>2</v>
      </c>
      <c r="B164" s="227">
        <v>44197</v>
      </c>
      <c r="D164" s="230">
        <v>0</v>
      </c>
      <c r="E164" s="230"/>
      <c r="F164" s="281">
        <v>0</v>
      </c>
      <c r="G164" s="245">
        <f>0</f>
        <v>0</v>
      </c>
      <c r="H164" s="282"/>
      <c r="I164" s="230">
        <f t="shared" ref="I164:I208" si="0">+D164+E164+G164</f>
        <v>0</v>
      </c>
      <c r="J164" s="229">
        <v>0</v>
      </c>
    </row>
    <row r="165" spans="1:10" hidden="1" outlineLevel="2" x14ac:dyDescent="0.25">
      <c r="A165" s="253">
        <f t="shared" ref="A165:A228" si="1">+A164+1</f>
        <v>3</v>
      </c>
      <c r="B165" s="227">
        <v>44228</v>
      </c>
      <c r="D165" s="230">
        <v>0</v>
      </c>
      <c r="E165" s="230"/>
      <c r="F165" s="281">
        <v>0</v>
      </c>
      <c r="G165" s="245">
        <f>0</f>
        <v>0</v>
      </c>
      <c r="H165" s="282"/>
      <c r="I165" s="230">
        <f t="shared" si="0"/>
        <v>0</v>
      </c>
      <c r="J165" s="229">
        <v>0</v>
      </c>
    </row>
    <row r="166" spans="1:10" hidden="1" outlineLevel="2" x14ac:dyDescent="0.25">
      <c r="A166" s="253">
        <f t="shared" si="1"/>
        <v>4</v>
      </c>
      <c r="B166" s="227">
        <v>44256</v>
      </c>
      <c r="D166" s="230">
        <v>0</v>
      </c>
      <c r="E166" s="230"/>
      <c r="F166" s="281">
        <v>0</v>
      </c>
      <c r="G166" s="245">
        <f>0</f>
        <v>0</v>
      </c>
      <c r="H166" s="282"/>
      <c r="I166" s="230">
        <f t="shared" si="0"/>
        <v>0</v>
      </c>
      <c r="J166" s="229">
        <v>0</v>
      </c>
    </row>
    <row r="167" spans="1:10" hidden="1" outlineLevel="2" x14ac:dyDescent="0.25">
      <c r="A167" s="253">
        <f t="shared" si="1"/>
        <v>5</v>
      </c>
      <c r="B167" s="227">
        <v>44287</v>
      </c>
      <c r="D167" s="230">
        <v>0</v>
      </c>
      <c r="E167" s="230"/>
      <c r="F167" s="281">
        <v>0</v>
      </c>
      <c r="G167" s="245">
        <f>0</f>
        <v>0</v>
      </c>
      <c r="H167" s="282"/>
      <c r="I167" s="230">
        <f t="shared" si="0"/>
        <v>0</v>
      </c>
      <c r="J167" s="229">
        <v>0</v>
      </c>
    </row>
    <row r="168" spans="1:10" hidden="1" outlineLevel="2" x14ac:dyDescent="0.25">
      <c r="A168" s="253">
        <f t="shared" si="1"/>
        <v>6</v>
      </c>
      <c r="B168" s="227">
        <v>44317</v>
      </c>
      <c r="D168" s="230">
        <v>0</v>
      </c>
      <c r="E168" s="230"/>
      <c r="F168" s="281">
        <v>0</v>
      </c>
      <c r="G168" s="245">
        <f>0</f>
        <v>0</v>
      </c>
      <c r="H168" s="282"/>
      <c r="I168" s="230">
        <f t="shared" si="0"/>
        <v>0</v>
      </c>
      <c r="J168" s="229">
        <f t="shared" ref="J168:J200" si="2">+J167+I168</f>
        <v>0</v>
      </c>
    </row>
    <row r="169" spans="1:10" hidden="1" outlineLevel="2" x14ac:dyDescent="0.25">
      <c r="A169" s="253">
        <f t="shared" si="1"/>
        <v>7</v>
      </c>
      <c r="B169" s="227">
        <v>44348</v>
      </c>
      <c r="D169" s="230">
        <v>0</v>
      </c>
      <c r="E169" s="230"/>
      <c r="F169" s="281">
        <v>0</v>
      </c>
      <c r="G169" s="245">
        <f t="shared" ref="G169:G174" si="3">ROUND((+J168+E169+(D169/2))*F169/12,2)</f>
        <v>0</v>
      </c>
      <c r="I169" s="230">
        <f t="shared" si="0"/>
        <v>0</v>
      </c>
      <c r="J169" s="229">
        <f t="shared" si="2"/>
        <v>0</v>
      </c>
    </row>
    <row r="170" spans="1:10" hidden="1" outlineLevel="2" x14ac:dyDescent="0.25">
      <c r="A170" s="253">
        <f t="shared" si="1"/>
        <v>8</v>
      </c>
      <c r="B170" s="227">
        <v>44378</v>
      </c>
      <c r="D170" s="230">
        <v>0</v>
      </c>
      <c r="E170" s="230"/>
      <c r="F170" s="281">
        <v>0</v>
      </c>
      <c r="G170" s="245">
        <f t="shared" si="3"/>
        <v>0</v>
      </c>
      <c r="I170" s="230">
        <f t="shared" si="0"/>
        <v>0</v>
      </c>
      <c r="J170" s="229">
        <f t="shared" si="2"/>
        <v>0</v>
      </c>
    </row>
    <row r="171" spans="1:10" hidden="1" outlineLevel="2" x14ac:dyDescent="0.25">
      <c r="A171" s="253">
        <f t="shared" si="1"/>
        <v>9</v>
      </c>
      <c r="B171" s="227">
        <v>44409</v>
      </c>
      <c r="D171" s="230">
        <v>0</v>
      </c>
      <c r="E171" s="230"/>
      <c r="F171" s="281">
        <v>0</v>
      </c>
      <c r="G171" s="245">
        <f t="shared" si="3"/>
        <v>0</v>
      </c>
      <c r="I171" s="230">
        <f t="shared" si="0"/>
        <v>0</v>
      </c>
      <c r="J171" s="229">
        <f t="shared" si="2"/>
        <v>0</v>
      </c>
    </row>
    <row r="172" spans="1:10" hidden="1" outlineLevel="2" x14ac:dyDescent="0.25">
      <c r="A172" s="253">
        <f t="shared" si="1"/>
        <v>10</v>
      </c>
      <c r="B172" s="227">
        <v>44440</v>
      </c>
      <c r="D172" s="230">
        <v>0</v>
      </c>
      <c r="E172" s="230"/>
      <c r="F172" s="281">
        <v>0</v>
      </c>
      <c r="G172" s="245">
        <f t="shared" si="3"/>
        <v>0</v>
      </c>
      <c r="I172" s="230">
        <f t="shared" si="0"/>
        <v>0</v>
      </c>
      <c r="J172" s="229">
        <f t="shared" si="2"/>
        <v>0</v>
      </c>
    </row>
    <row r="173" spans="1:10" hidden="1" outlineLevel="2" x14ac:dyDescent="0.25">
      <c r="A173" s="253">
        <f t="shared" si="1"/>
        <v>11</v>
      </c>
      <c r="B173" s="227">
        <v>44470</v>
      </c>
      <c r="D173" s="230">
        <v>0</v>
      </c>
      <c r="E173" s="230"/>
      <c r="F173" s="281">
        <v>0</v>
      </c>
      <c r="G173" s="245">
        <f t="shared" si="3"/>
        <v>0</v>
      </c>
      <c r="H173" s="282"/>
      <c r="I173" s="230">
        <f t="shared" si="0"/>
        <v>0</v>
      </c>
      <c r="J173" s="229">
        <f t="shared" si="2"/>
        <v>0</v>
      </c>
    </row>
    <row r="174" spans="1:10" hidden="1" outlineLevel="2" x14ac:dyDescent="0.25">
      <c r="A174" s="253">
        <f t="shared" si="1"/>
        <v>12</v>
      </c>
      <c r="B174" s="227">
        <v>44501</v>
      </c>
      <c r="C174" s="250" t="s">
        <v>186</v>
      </c>
      <c r="D174" s="230">
        <v>0</v>
      </c>
      <c r="E174" s="230"/>
      <c r="F174" s="281">
        <v>0</v>
      </c>
      <c r="G174" s="245">
        <f t="shared" si="3"/>
        <v>0</v>
      </c>
      <c r="H174" s="282"/>
      <c r="I174" s="230">
        <f t="shared" si="0"/>
        <v>0</v>
      </c>
      <c r="J174" s="229">
        <f t="shared" si="2"/>
        <v>0</v>
      </c>
    </row>
    <row r="175" spans="1:10" hidden="1" outlineLevel="1" collapsed="1" x14ac:dyDescent="0.25">
      <c r="A175" s="253">
        <f t="shared" si="1"/>
        <v>13</v>
      </c>
      <c r="B175" s="227">
        <v>44501</v>
      </c>
      <c r="C175" s="250" t="s">
        <v>185</v>
      </c>
      <c r="D175" s="230">
        <v>0</v>
      </c>
      <c r="E175" s="230"/>
      <c r="F175" s="281"/>
      <c r="G175" s="245">
        <f>ROUND((+E175+(D175/2))*F175/12,2)</f>
        <v>0</v>
      </c>
      <c r="H175" s="282"/>
      <c r="I175" s="230">
        <f t="shared" si="0"/>
        <v>0</v>
      </c>
      <c r="J175" s="229">
        <f t="shared" si="2"/>
        <v>0</v>
      </c>
    </row>
    <row r="176" spans="1:10" hidden="1" outlineLevel="1" collapsed="1" x14ac:dyDescent="0.25">
      <c r="A176" s="253">
        <f t="shared" si="1"/>
        <v>14</v>
      </c>
      <c r="B176" s="227">
        <v>44531</v>
      </c>
      <c r="D176" s="230">
        <v>0</v>
      </c>
      <c r="E176" s="230"/>
      <c r="F176" s="281"/>
      <c r="G176" s="245">
        <f t="shared" ref="G176:G200" si="4">ROUND((+J175+E176+(D176/2))*F176/12,2)</f>
        <v>0</v>
      </c>
      <c r="H176" s="282"/>
      <c r="I176" s="230">
        <f t="shared" si="0"/>
        <v>0</v>
      </c>
      <c r="J176" s="229">
        <f t="shared" si="2"/>
        <v>0</v>
      </c>
    </row>
    <row r="177" spans="1:10" hidden="1" outlineLevel="1" x14ac:dyDescent="0.25">
      <c r="A177" s="253">
        <f t="shared" si="1"/>
        <v>15</v>
      </c>
      <c r="B177" s="227">
        <v>44562</v>
      </c>
      <c r="D177" s="230">
        <v>0</v>
      </c>
      <c r="E177" s="230"/>
      <c r="F177" s="281"/>
      <c r="G177" s="245">
        <f t="shared" si="4"/>
        <v>0</v>
      </c>
      <c r="H177" s="282"/>
      <c r="I177" s="230">
        <f t="shared" si="0"/>
        <v>0</v>
      </c>
      <c r="J177" s="229">
        <f t="shared" si="2"/>
        <v>0</v>
      </c>
    </row>
    <row r="178" spans="1:10" hidden="1" outlineLevel="1" x14ac:dyDescent="0.25">
      <c r="A178" s="253">
        <f t="shared" si="1"/>
        <v>16</v>
      </c>
      <c r="B178" s="227">
        <v>44593</v>
      </c>
      <c r="D178" s="230">
        <v>0</v>
      </c>
      <c r="E178" s="230"/>
      <c r="F178" s="281"/>
      <c r="G178" s="245">
        <f t="shared" si="4"/>
        <v>0</v>
      </c>
      <c r="H178" s="282"/>
      <c r="I178" s="230">
        <f t="shared" si="0"/>
        <v>0</v>
      </c>
      <c r="J178" s="229">
        <f t="shared" si="2"/>
        <v>0</v>
      </c>
    </row>
    <row r="179" spans="1:10" hidden="1" outlineLevel="1" x14ac:dyDescent="0.25">
      <c r="A179" s="253">
        <f t="shared" si="1"/>
        <v>17</v>
      </c>
      <c r="B179" s="227">
        <v>44621</v>
      </c>
      <c r="D179" s="230">
        <v>0</v>
      </c>
      <c r="E179" s="230"/>
      <c r="F179" s="281"/>
      <c r="G179" s="245">
        <f t="shared" si="4"/>
        <v>0</v>
      </c>
      <c r="H179" s="282"/>
      <c r="I179" s="230">
        <f t="shared" si="0"/>
        <v>0</v>
      </c>
      <c r="J179" s="229">
        <f t="shared" si="2"/>
        <v>0</v>
      </c>
    </row>
    <row r="180" spans="1:10" hidden="1" outlineLevel="1" x14ac:dyDescent="0.25">
      <c r="A180" s="253">
        <f t="shared" si="1"/>
        <v>18</v>
      </c>
      <c r="B180" s="227">
        <v>44652</v>
      </c>
      <c r="D180" s="230">
        <v>0</v>
      </c>
      <c r="E180" s="230"/>
      <c r="F180" s="281"/>
      <c r="G180" s="245">
        <f t="shared" si="4"/>
        <v>0</v>
      </c>
      <c r="H180" s="282"/>
      <c r="I180" s="230">
        <f t="shared" si="0"/>
        <v>0</v>
      </c>
      <c r="J180" s="229">
        <f t="shared" si="2"/>
        <v>0</v>
      </c>
    </row>
    <row r="181" spans="1:10" hidden="1" outlineLevel="1" x14ac:dyDescent="0.25">
      <c r="A181" s="253">
        <f t="shared" si="1"/>
        <v>19</v>
      </c>
      <c r="B181" s="227">
        <v>44682</v>
      </c>
      <c r="D181" s="230">
        <v>0</v>
      </c>
      <c r="E181" s="230"/>
      <c r="F181" s="281"/>
      <c r="G181" s="245">
        <f t="shared" si="4"/>
        <v>0</v>
      </c>
      <c r="H181" s="282"/>
      <c r="I181" s="230">
        <f t="shared" si="0"/>
        <v>0</v>
      </c>
      <c r="J181" s="229">
        <f t="shared" si="2"/>
        <v>0</v>
      </c>
    </row>
    <row r="182" spans="1:10" hidden="1" outlineLevel="1" x14ac:dyDescent="0.25">
      <c r="A182" s="253">
        <f t="shared" si="1"/>
        <v>20</v>
      </c>
      <c r="B182" s="227">
        <v>44713</v>
      </c>
      <c r="D182" s="230">
        <v>0</v>
      </c>
      <c r="E182" s="230"/>
      <c r="F182" s="281"/>
      <c r="G182" s="245">
        <f t="shared" si="4"/>
        <v>0</v>
      </c>
      <c r="H182" s="282"/>
      <c r="I182" s="230">
        <f t="shared" si="0"/>
        <v>0</v>
      </c>
      <c r="J182" s="229">
        <f t="shared" si="2"/>
        <v>0</v>
      </c>
    </row>
    <row r="183" spans="1:10" hidden="1" outlineLevel="1" x14ac:dyDescent="0.25">
      <c r="A183" s="253">
        <f t="shared" si="1"/>
        <v>21</v>
      </c>
      <c r="B183" s="227">
        <v>44743</v>
      </c>
      <c r="D183" s="230">
        <v>0</v>
      </c>
      <c r="E183" s="230"/>
      <c r="F183" s="281"/>
      <c r="G183" s="245">
        <f t="shared" si="4"/>
        <v>0</v>
      </c>
      <c r="H183" s="282"/>
      <c r="I183" s="230">
        <f t="shared" si="0"/>
        <v>0</v>
      </c>
      <c r="J183" s="229">
        <f t="shared" si="2"/>
        <v>0</v>
      </c>
    </row>
    <row r="184" spans="1:10" hidden="1" outlineLevel="1" x14ac:dyDescent="0.25">
      <c r="A184" s="253">
        <f t="shared" si="1"/>
        <v>22</v>
      </c>
      <c r="B184" s="227">
        <v>44774</v>
      </c>
      <c r="D184" s="230">
        <v>0</v>
      </c>
      <c r="E184" s="230"/>
      <c r="F184" s="281"/>
      <c r="G184" s="245">
        <f t="shared" si="4"/>
        <v>0</v>
      </c>
      <c r="H184" s="282"/>
      <c r="I184" s="230">
        <f t="shared" si="0"/>
        <v>0</v>
      </c>
      <c r="J184" s="229">
        <f t="shared" si="2"/>
        <v>0</v>
      </c>
    </row>
    <row r="185" spans="1:10" hidden="1" outlineLevel="1" x14ac:dyDescent="0.25">
      <c r="A185" s="253">
        <f t="shared" si="1"/>
        <v>23</v>
      </c>
      <c r="B185" s="227">
        <v>44805</v>
      </c>
      <c r="D185" s="230">
        <v>0</v>
      </c>
      <c r="E185" s="230"/>
      <c r="F185" s="281"/>
      <c r="G185" s="245">
        <f t="shared" si="4"/>
        <v>0</v>
      </c>
      <c r="H185" s="282"/>
      <c r="I185" s="230">
        <f t="shared" si="0"/>
        <v>0</v>
      </c>
      <c r="J185" s="229">
        <f t="shared" si="2"/>
        <v>0</v>
      </c>
    </row>
    <row r="186" spans="1:10" hidden="1" outlineLevel="1" x14ac:dyDescent="0.25">
      <c r="A186" s="253">
        <f t="shared" si="1"/>
        <v>24</v>
      </c>
      <c r="B186" s="227">
        <v>44835</v>
      </c>
      <c r="D186" s="230">
        <v>0</v>
      </c>
      <c r="E186" s="230"/>
      <c r="F186" s="281"/>
      <c r="G186" s="245">
        <f t="shared" si="4"/>
        <v>0</v>
      </c>
      <c r="I186" s="230">
        <f t="shared" si="0"/>
        <v>0</v>
      </c>
      <c r="J186" s="229">
        <f t="shared" si="2"/>
        <v>0</v>
      </c>
    </row>
    <row r="187" spans="1:10" hidden="1" outlineLevel="1" x14ac:dyDescent="0.25">
      <c r="A187" s="253">
        <f t="shared" si="1"/>
        <v>25</v>
      </c>
      <c r="B187" s="227">
        <v>44866</v>
      </c>
      <c r="C187" s="250" t="s">
        <v>185</v>
      </c>
      <c r="D187" s="230">
        <v>0</v>
      </c>
      <c r="E187" s="230"/>
      <c r="F187" s="281"/>
      <c r="G187" s="245">
        <f t="shared" si="4"/>
        <v>0</v>
      </c>
      <c r="I187" s="230">
        <f t="shared" si="0"/>
        <v>0</v>
      </c>
      <c r="J187" s="229">
        <f t="shared" si="2"/>
        <v>0</v>
      </c>
    </row>
    <row r="188" spans="1:10" hidden="1" outlineLevel="1" collapsed="1" x14ac:dyDescent="0.25">
      <c r="A188" s="253">
        <f t="shared" si="1"/>
        <v>26</v>
      </c>
      <c r="B188" s="227">
        <v>44866</v>
      </c>
      <c r="C188" s="250" t="s">
        <v>186</v>
      </c>
      <c r="D188" s="230">
        <v>0</v>
      </c>
      <c r="E188" s="230"/>
      <c r="F188" s="281"/>
      <c r="G188" s="245">
        <f t="shared" si="4"/>
        <v>0</v>
      </c>
      <c r="I188" s="230">
        <f t="shared" si="0"/>
        <v>0</v>
      </c>
      <c r="J188" s="229">
        <f t="shared" si="2"/>
        <v>0</v>
      </c>
    </row>
    <row r="189" spans="1:10" hidden="1" outlineLevel="1" x14ac:dyDescent="0.25">
      <c r="A189" s="253">
        <f t="shared" si="1"/>
        <v>27</v>
      </c>
      <c r="B189" s="227">
        <v>44896</v>
      </c>
      <c r="D189" s="230">
        <v>0</v>
      </c>
      <c r="E189" s="230"/>
      <c r="F189" s="281"/>
      <c r="G189" s="245">
        <f t="shared" si="4"/>
        <v>0</v>
      </c>
      <c r="I189" s="230">
        <f t="shared" si="0"/>
        <v>0</v>
      </c>
      <c r="J189" s="229">
        <f t="shared" si="2"/>
        <v>0</v>
      </c>
    </row>
    <row r="190" spans="1:10" hidden="1" outlineLevel="1" x14ac:dyDescent="0.25">
      <c r="A190" s="253">
        <f t="shared" si="1"/>
        <v>28</v>
      </c>
      <c r="B190" s="227">
        <v>44927</v>
      </c>
      <c r="D190" s="230">
        <v>0</v>
      </c>
      <c r="E190" s="230"/>
      <c r="F190" s="281"/>
      <c r="G190" s="245">
        <f t="shared" si="4"/>
        <v>0</v>
      </c>
      <c r="I190" s="230">
        <f t="shared" si="0"/>
        <v>0</v>
      </c>
      <c r="J190" s="229">
        <f t="shared" si="2"/>
        <v>0</v>
      </c>
    </row>
    <row r="191" spans="1:10" hidden="1" outlineLevel="1" x14ac:dyDescent="0.25">
      <c r="A191" s="253">
        <f t="shared" si="1"/>
        <v>29</v>
      </c>
      <c r="B191" s="227">
        <v>44958</v>
      </c>
      <c r="D191" s="230">
        <v>0</v>
      </c>
      <c r="E191" s="230"/>
      <c r="F191" s="281"/>
      <c r="G191" s="245">
        <f t="shared" si="4"/>
        <v>0</v>
      </c>
      <c r="I191" s="230">
        <f t="shared" si="0"/>
        <v>0</v>
      </c>
      <c r="J191" s="229">
        <f t="shared" si="2"/>
        <v>0</v>
      </c>
    </row>
    <row r="192" spans="1:10" hidden="1" outlineLevel="1" x14ac:dyDescent="0.25">
      <c r="A192" s="253">
        <f t="shared" si="1"/>
        <v>30</v>
      </c>
      <c r="B192" s="227">
        <v>44986</v>
      </c>
      <c r="D192" s="230">
        <v>0</v>
      </c>
      <c r="E192" s="230"/>
      <c r="F192" s="281"/>
      <c r="G192" s="245">
        <f t="shared" si="4"/>
        <v>0</v>
      </c>
      <c r="I192" s="230">
        <f t="shared" si="0"/>
        <v>0</v>
      </c>
      <c r="J192" s="229">
        <f t="shared" si="2"/>
        <v>0</v>
      </c>
    </row>
    <row r="193" spans="1:10" hidden="1" outlineLevel="1" x14ac:dyDescent="0.25">
      <c r="A193" s="253">
        <f t="shared" si="1"/>
        <v>31</v>
      </c>
      <c r="B193" s="227">
        <v>45017</v>
      </c>
      <c r="D193" s="230">
        <v>0</v>
      </c>
      <c r="E193" s="230"/>
      <c r="F193" s="267"/>
      <c r="G193" s="245">
        <f t="shared" si="4"/>
        <v>0</v>
      </c>
      <c r="I193" s="230">
        <f t="shared" si="0"/>
        <v>0</v>
      </c>
      <c r="J193" s="229">
        <f t="shared" si="2"/>
        <v>0</v>
      </c>
    </row>
    <row r="194" spans="1:10" hidden="1" outlineLevel="1" x14ac:dyDescent="0.25">
      <c r="A194" s="253">
        <f t="shared" si="1"/>
        <v>32</v>
      </c>
      <c r="B194" s="227">
        <v>45047</v>
      </c>
      <c r="D194" s="230">
        <v>0</v>
      </c>
      <c r="E194" s="230"/>
      <c r="F194" s="267"/>
      <c r="G194" s="245">
        <f t="shared" si="4"/>
        <v>0</v>
      </c>
      <c r="I194" s="230">
        <f t="shared" si="0"/>
        <v>0</v>
      </c>
      <c r="J194" s="229">
        <f t="shared" si="2"/>
        <v>0</v>
      </c>
    </row>
    <row r="195" spans="1:10" hidden="1" outlineLevel="1" x14ac:dyDescent="0.25">
      <c r="A195" s="253">
        <f t="shared" si="1"/>
        <v>33</v>
      </c>
      <c r="B195" s="227">
        <v>45078</v>
      </c>
      <c r="D195" s="230">
        <v>0</v>
      </c>
      <c r="E195" s="230"/>
      <c r="F195" s="267"/>
      <c r="G195" s="245">
        <f t="shared" si="4"/>
        <v>0</v>
      </c>
      <c r="H195" s="283"/>
      <c r="I195" s="230">
        <f t="shared" si="0"/>
        <v>0</v>
      </c>
      <c r="J195" s="229">
        <f t="shared" si="2"/>
        <v>0</v>
      </c>
    </row>
    <row r="196" spans="1:10" hidden="1" outlineLevel="1" x14ac:dyDescent="0.25">
      <c r="A196" s="253">
        <f t="shared" si="1"/>
        <v>34</v>
      </c>
      <c r="B196" s="227">
        <v>45108</v>
      </c>
      <c r="D196" s="230">
        <v>0</v>
      </c>
      <c r="E196" s="230"/>
      <c r="F196" s="267"/>
      <c r="G196" s="245">
        <f t="shared" si="4"/>
        <v>0</v>
      </c>
      <c r="H196" s="283"/>
      <c r="I196" s="230">
        <f t="shared" si="0"/>
        <v>0</v>
      </c>
      <c r="J196" s="229">
        <f t="shared" si="2"/>
        <v>0</v>
      </c>
    </row>
    <row r="197" spans="1:10" hidden="1" outlineLevel="1" x14ac:dyDescent="0.25">
      <c r="A197" s="253">
        <f t="shared" si="1"/>
        <v>35</v>
      </c>
      <c r="B197" s="227">
        <v>45139</v>
      </c>
      <c r="D197" s="230">
        <v>0</v>
      </c>
      <c r="E197" s="230"/>
      <c r="F197" s="267"/>
      <c r="G197" s="245">
        <f t="shared" si="4"/>
        <v>0</v>
      </c>
      <c r="H197" s="283"/>
      <c r="I197" s="230">
        <f t="shared" si="0"/>
        <v>0</v>
      </c>
      <c r="J197" s="229">
        <f t="shared" si="2"/>
        <v>0</v>
      </c>
    </row>
    <row r="198" spans="1:10" hidden="1" outlineLevel="1" x14ac:dyDescent="0.25">
      <c r="A198" s="253">
        <f t="shared" si="1"/>
        <v>36</v>
      </c>
      <c r="B198" s="227">
        <v>45170</v>
      </c>
      <c r="D198" s="230">
        <v>0</v>
      </c>
      <c r="E198" s="230"/>
      <c r="F198" s="267"/>
      <c r="G198" s="245">
        <f t="shared" si="4"/>
        <v>0</v>
      </c>
      <c r="H198" s="283"/>
      <c r="I198" s="230">
        <f t="shared" si="0"/>
        <v>0</v>
      </c>
      <c r="J198" s="229">
        <f t="shared" si="2"/>
        <v>0</v>
      </c>
    </row>
    <row r="199" spans="1:10" hidden="1" outlineLevel="1" x14ac:dyDescent="0.25">
      <c r="A199" s="253">
        <f t="shared" si="1"/>
        <v>37</v>
      </c>
      <c r="B199" s="227">
        <v>45200</v>
      </c>
      <c r="D199" s="230">
        <v>0</v>
      </c>
      <c r="E199" s="230"/>
      <c r="F199" s="267"/>
      <c r="G199" s="245">
        <f t="shared" si="4"/>
        <v>0</v>
      </c>
      <c r="H199" s="283"/>
      <c r="I199" s="230">
        <f t="shared" si="0"/>
        <v>0</v>
      </c>
      <c r="J199" s="229">
        <f t="shared" si="2"/>
        <v>0</v>
      </c>
    </row>
    <row r="200" spans="1:10" hidden="1" outlineLevel="1" x14ac:dyDescent="0.25">
      <c r="A200" s="253">
        <f t="shared" si="1"/>
        <v>38</v>
      </c>
      <c r="B200" s="227">
        <v>45231</v>
      </c>
      <c r="C200" s="250" t="s">
        <v>185</v>
      </c>
      <c r="D200" s="230">
        <v>0</v>
      </c>
      <c r="E200" s="230"/>
      <c r="F200" s="267"/>
      <c r="G200" s="245">
        <f t="shared" si="4"/>
        <v>0</v>
      </c>
      <c r="H200" s="283"/>
      <c r="I200" s="230">
        <f t="shared" si="0"/>
        <v>0</v>
      </c>
      <c r="J200" s="229">
        <f t="shared" si="2"/>
        <v>0</v>
      </c>
    </row>
    <row r="201" spans="1:10" hidden="1" outlineLevel="1" collapsed="1" x14ac:dyDescent="0.25">
      <c r="A201" s="253">
        <f t="shared" si="1"/>
        <v>39</v>
      </c>
      <c r="B201" s="227">
        <v>45231</v>
      </c>
      <c r="C201" s="250" t="s">
        <v>186</v>
      </c>
      <c r="D201" s="230">
        <v>-1251.43</v>
      </c>
      <c r="E201" s="230">
        <v>16856.740000000002</v>
      </c>
      <c r="F201" s="228">
        <v>8.3500000000000005E-2</v>
      </c>
      <c r="G201" s="245">
        <f>ROUND((+E201+(D201/2))*F201/12,2)</f>
        <v>112.94</v>
      </c>
      <c r="H201" s="283"/>
      <c r="I201" s="230">
        <f t="shared" si="0"/>
        <v>15718.250000000002</v>
      </c>
      <c r="J201" s="229">
        <f>+J197+I201</f>
        <v>15718.250000000002</v>
      </c>
    </row>
    <row r="202" spans="1:10" hidden="1" outlineLevel="1" x14ac:dyDescent="0.25">
      <c r="A202" s="253">
        <f t="shared" si="1"/>
        <v>40</v>
      </c>
      <c r="B202" s="227">
        <v>45261</v>
      </c>
      <c r="D202" s="230">
        <v>-1394.7800000000002</v>
      </c>
      <c r="E202" s="230"/>
      <c r="F202" s="228">
        <v>8.3500000000000005E-2</v>
      </c>
      <c r="G202" s="245">
        <f t="shared" ref="G202:G208" si="5">ROUND((+J201+E202+(D202/2))*F202/12,2)</f>
        <v>104.52</v>
      </c>
      <c r="H202" s="283"/>
      <c r="I202" s="230">
        <f t="shared" si="0"/>
        <v>-1290.2600000000002</v>
      </c>
      <c r="J202" s="229">
        <f t="shared" ref="J202:J225" si="6">+J201+I202</f>
        <v>14427.990000000002</v>
      </c>
    </row>
    <row r="203" spans="1:10" hidden="1" outlineLevel="1" x14ac:dyDescent="0.25">
      <c r="A203" s="253">
        <f t="shared" si="1"/>
        <v>41</v>
      </c>
      <c r="B203" s="227">
        <v>45292</v>
      </c>
      <c r="D203" s="230">
        <v>-1477.14</v>
      </c>
      <c r="E203" s="230"/>
      <c r="F203" s="228">
        <v>8.5000000000000006E-2</v>
      </c>
      <c r="G203" s="245">
        <f t="shared" si="5"/>
        <v>96.97</v>
      </c>
      <c r="H203" s="283"/>
      <c r="I203" s="230">
        <f t="shared" si="0"/>
        <v>-1380.17</v>
      </c>
      <c r="J203" s="229">
        <f t="shared" si="6"/>
        <v>13047.820000000002</v>
      </c>
    </row>
    <row r="204" spans="1:10" hidden="1" outlineLevel="1" x14ac:dyDescent="0.25">
      <c r="A204" s="253">
        <f t="shared" si="1"/>
        <v>42</v>
      </c>
      <c r="B204" s="227">
        <v>45323</v>
      </c>
      <c r="D204" s="230">
        <v>-1397.87</v>
      </c>
      <c r="E204" s="230"/>
      <c r="F204" s="228">
        <v>8.5000000000000006E-2</v>
      </c>
      <c r="G204" s="245">
        <f t="shared" si="5"/>
        <v>87.47</v>
      </c>
      <c r="H204" s="283"/>
      <c r="I204" s="230">
        <f t="shared" si="0"/>
        <v>-1310.3999999999999</v>
      </c>
      <c r="J204" s="229">
        <f t="shared" si="6"/>
        <v>11737.420000000002</v>
      </c>
    </row>
    <row r="205" spans="1:10" hidden="1" outlineLevel="1" x14ac:dyDescent="0.25">
      <c r="A205" s="253">
        <f t="shared" si="1"/>
        <v>43</v>
      </c>
      <c r="B205" s="227">
        <v>45352</v>
      </c>
      <c r="D205" s="230">
        <v>-1321.5600000000002</v>
      </c>
      <c r="E205" s="230"/>
      <c r="F205" s="228">
        <v>8.5000000000000006E-2</v>
      </c>
      <c r="G205" s="245">
        <f t="shared" si="5"/>
        <v>78.459999999999994</v>
      </c>
      <c r="H205" s="283"/>
      <c r="I205" s="230">
        <f t="shared" si="0"/>
        <v>-1243.1000000000001</v>
      </c>
      <c r="J205" s="229">
        <f t="shared" si="6"/>
        <v>10494.320000000002</v>
      </c>
    </row>
    <row r="206" spans="1:10" hidden="1" outlineLevel="1" x14ac:dyDescent="0.25">
      <c r="A206" s="253">
        <f t="shared" si="1"/>
        <v>44</v>
      </c>
      <c r="B206" s="227">
        <v>45383</v>
      </c>
      <c r="D206" s="230">
        <v>-1332.1699999999998</v>
      </c>
      <c r="E206" s="230"/>
      <c r="F206" s="228">
        <v>8.5000000000000006E-2</v>
      </c>
      <c r="G206" s="245">
        <f t="shared" si="5"/>
        <v>69.62</v>
      </c>
      <c r="H206" s="283"/>
      <c r="I206" s="230">
        <f t="shared" si="0"/>
        <v>-1262.5499999999997</v>
      </c>
      <c r="J206" s="229">
        <f t="shared" si="6"/>
        <v>9231.7700000000023</v>
      </c>
    </row>
    <row r="207" spans="1:10" hidden="1" outlineLevel="1" x14ac:dyDescent="0.25">
      <c r="A207" s="253">
        <f t="shared" si="1"/>
        <v>45</v>
      </c>
      <c r="B207" s="227">
        <v>45413</v>
      </c>
      <c r="D207" s="230">
        <v>-1270.3800000000001</v>
      </c>
      <c r="E207" s="230"/>
      <c r="F207" s="228">
        <v>8.5000000000000006E-2</v>
      </c>
      <c r="G207" s="245">
        <f t="shared" si="5"/>
        <v>60.89</v>
      </c>
      <c r="H207" s="283"/>
      <c r="I207" s="230">
        <f t="shared" si="0"/>
        <v>-1209.49</v>
      </c>
      <c r="J207" s="229">
        <f t="shared" si="6"/>
        <v>8022.2800000000025</v>
      </c>
    </row>
    <row r="208" spans="1:10" hidden="1" outlineLevel="1" x14ac:dyDescent="0.25">
      <c r="A208" s="253">
        <f t="shared" si="1"/>
        <v>46</v>
      </c>
      <c r="B208" s="227">
        <v>45444</v>
      </c>
      <c r="D208" s="230">
        <v>-1080.4299999999998</v>
      </c>
      <c r="E208" s="230"/>
      <c r="F208" s="228">
        <v>8.5000000000000006E-2</v>
      </c>
      <c r="G208" s="245">
        <f t="shared" si="5"/>
        <v>53</v>
      </c>
      <c r="H208" s="283"/>
      <c r="I208" s="230">
        <f t="shared" si="0"/>
        <v>-1027.4299999999998</v>
      </c>
      <c r="J208" s="229">
        <f t="shared" si="6"/>
        <v>6994.8500000000022</v>
      </c>
    </row>
    <row r="209" spans="1:10" hidden="1" outlineLevel="1" x14ac:dyDescent="0.25">
      <c r="A209" s="253">
        <f t="shared" si="1"/>
        <v>47</v>
      </c>
      <c r="B209" s="227">
        <v>45474</v>
      </c>
      <c r="D209" s="230">
        <v>-1184.1299999999999</v>
      </c>
      <c r="E209" s="230"/>
      <c r="F209" s="228">
        <v>8.5000000000000006E-2</v>
      </c>
      <c r="G209" s="245">
        <f>ROUND((+J208+E209+(D209/2))*F209/12,2)</f>
        <v>45.35</v>
      </c>
      <c r="H209" s="283"/>
      <c r="I209" s="230">
        <f>+D209+E209+G209</f>
        <v>-1138.78</v>
      </c>
      <c r="J209" s="229">
        <f t="shared" si="6"/>
        <v>5856.0700000000024</v>
      </c>
    </row>
    <row r="210" spans="1:10" hidden="1" outlineLevel="1" x14ac:dyDescent="0.25">
      <c r="A210" s="253">
        <f t="shared" si="1"/>
        <v>48</v>
      </c>
      <c r="B210" s="227">
        <v>45505</v>
      </c>
      <c r="D210" s="230">
        <v>-1253.96</v>
      </c>
      <c r="E210" s="230"/>
      <c r="F210" s="228">
        <v>8.5000000000000006E-2</v>
      </c>
      <c r="G210" s="245">
        <f t="shared" ref="G210:G225" si="7">ROUND((+J209+E210+(D210/2))*F210/12,2)</f>
        <v>37.04</v>
      </c>
      <c r="H210" s="283"/>
      <c r="I210" s="230">
        <f t="shared" ref="I210:I225" si="8">+D210+E210+G210</f>
        <v>-1216.92</v>
      </c>
      <c r="J210" s="229">
        <f t="shared" si="6"/>
        <v>4639.1500000000024</v>
      </c>
    </row>
    <row r="211" spans="1:10" hidden="1" outlineLevel="1" x14ac:dyDescent="0.25">
      <c r="A211" s="253">
        <f t="shared" si="1"/>
        <v>49</v>
      </c>
      <c r="B211" s="227">
        <v>45536</v>
      </c>
      <c r="D211" s="230">
        <v>-1312.09</v>
      </c>
      <c r="E211" s="230"/>
      <c r="F211" s="228">
        <v>8.5000000000000006E-2</v>
      </c>
      <c r="G211" s="245">
        <f t="shared" si="7"/>
        <v>28.21</v>
      </c>
      <c r="H211" s="283"/>
      <c r="I211" s="230">
        <f t="shared" si="8"/>
        <v>-1283.8799999999999</v>
      </c>
      <c r="J211" s="229">
        <f t="shared" si="6"/>
        <v>3355.2700000000023</v>
      </c>
    </row>
    <row r="212" spans="1:10" hidden="1" outlineLevel="1" x14ac:dyDescent="0.25">
      <c r="A212" s="253">
        <f t="shared" si="1"/>
        <v>50</v>
      </c>
      <c r="B212" s="227">
        <v>45566</v>
      </c>
      <c r="D212" s="230">
        <v>-1468.38</v>
      </c>
      <c r="E212" s="230"/>
      <c r="F212" s="228">
        <v>8.5000000000000006E-2</v>
      </c>
      <c r="G212" s="245">
        <f t="shared" si="7"/>
        <v>18.57</v>
      </c>
      <c r="H212" s="283"/>
      <c r="I212" s="230">
        <f t="shared" si="8"/>
        <v>-1449.8100000000002</v>
      </c>
      <c r="J212" s="229">
        <f t="shared" si="6"/>
        <v>1905.4600000000021</v>
      </c>
    </row>
    <row r="213" spans="1:10" hidden="1" outlineLevel="1" x14ac:dyDescent="0.25">
      <c r="A213" s="253">
        <f t="shared" si="1"/>
        <v>51</v>
      </c>
      <c r="B213" s="227">
        <v>45597</v>
      </c>
      <c r="C213" s="250" t="s">
        <v>185</v>
      </c>
      <c r="D213" s="230">
        <v>-120.87</v>
      </c>
      <c r="E213" s="230"/>
      <c r="F213" s="228">
        <v>8.5000000000000006E-2</v>
      </c>
      <c r="G213" s="245">
        <f t="shared" si="7"/>
        <v>13.07</v>
      </c>
      <c r="H213" s="283"/>
      <c r="I213" s="230">
        <f t="shared" si="8"/>
        <v>-107.80000000000001</v>
      </c>
      <c r="J213" s="229">
        <f t="shared" si="6"/>
        <v>1797.6600000000021</v>
      </c>
    </row>
    <row r="214" spans="1:10" collapsed="1" x14ac:dyDescent="0.25">
      <c r="A214" s="253">
        <f t="shared" si="1"/>
        <v>52</v>
      </c>
      <c r="B214" s="227">
        <v>45597</v>
      </c>
      <c r="C214" s="250" t="s">
        <v>186</v>
      </c>
      <c r="D214" s="230">
        <v>-1557.35</v>
      </c>
      <c r="E214" s="230">
        <v>42513.46</v>
      </c>
      <c r="F214" s="228">
        <v>8.5000000000000006E-2</v>
      </c>
      <c r="G214" s="245">
        <f>ROUND((+E214+(D214/2))*F214/12,2)</f>
        <v>295.62</v>
      </c>
      <c r="H214" s="283"/>
      <c r="I214" s="230">
        <f t="shared" si="8"/>
        <v>41251.730000000003</v>
      </c>
      <c r="J214" s="229">
        <f t="shared" si="6"/>
        <v>43049.390000000007</v>
      </c>
    </row>
    <row r="215" spans="1:10" x14ac:dyDescent="0.25">
      <c r="A215" s="253">
        <f t="shared" si="1"/>
        <v>53</v>
      </c>
      <c r="B215" s="227">
        <v>45627</v>
      </c>
      <c r="D215" s="230">
        <v>-1821.74</v>
      </c>
      <c r="E215" s="230"/>
      <c r="F215" s="228">
        <v>8.5000000000000006E-2</v>
      </c>
      <c r="G215" s="245">
        <f t="shared" si="7"/>
        <v>298.48</v>
      </c>
      <c r="H215" s="283"/>
      <c r="I215" s="230">
        <f t="shared" si="8"/>
        <v>-1523.26</v>
      </c>
      <c r="J215" s="229">
        <f t="shared" si="6"/>
        <v>41526.130000000005</v>
      </c>
    </row>
    <row r="216" spans="1:10" x14ac:dyDescent="0.25">
      <c r="A216" s="253">
        <f t="shared" si="1"/>
        <v>54</v>
      </c>
      <c r="B216" s="227">
        <v>45658</v>
      </c>
      <c r="D216" s="230">
        <v>-1985.48</v>
      </c>
      <c r="E216" s="230"/>
      <c r="F216" s="228">
        <v>8.0399999999999999E-2</v>
      </c>
      <c r="G216" s="245">
        <f t="shared" si="7"/>
        <v>271.57</v>
      </c>
      <c r="H216" s="283"/>
      <c r="I216" s="230">
        <f t="shared" si="8"/>
        <v>-1713.91</v>
      </c>
      <c r="J216" s="229">
        <f t="shared" si="6"/>
        <v>39812.22</v>
      </c>
    </row>
    <row r="217" spans="1:10" x14ac:dyDescent="0.25">
      <c r="A217" s="253">
        <f t="shared" si="1"/>
        <v>55</v>
      </c>
      <c r="B217" s="227">
        <v>45689</v>
      </c>
      <c r="D217" s="230">
        <v>-1855.6000000000001</v>
      </c>
      <c r="E217" s="230"/>
      <c r="F217" s="228">
        <v>8.0399999999999999E-2</v>
      </c>
      <c r="G217" s="245">
        <f t="shared" si="7"/>
        <v>260.52999999999997</v>
      </c>
      <c r="H217" s="283"/>
      <c r="I217" s="230">
        <f t="shared" si="8"/>
        <v>-1595.0700000000002</v>
      </c>
      <c r="J217" s="229">
        <f t="shared" si="6"/>
        <v>38217.15</v>
      </c>
    </row>
    <row r="218" spans="1:10" x14ac:dyDescent="0.25">
      <c r="A218" s="253">
        <f t="shared" si="1"/>
        <v>56</v>
      </c>
      <c r="B218" s="227">
        <v>45717</v>
      </c>
      <c r="D218" s="230">
        <v>-1707.2700000000002</v>
      </c>
      <c r="E218" s="230"/>
      <c r="F218" s="228">
        <v>8.0399999999999999E-2</v>
      </c>
      <c r="G218" s="245">
        <f t="shared" si="7"/>
        <v>250.34</v>
      </c>
      <c r="H218" s="283"/>
      <c r="I218" s="230">
        <f t="shared" si="8"/>
        <v>-1456.9300000000003</v>
      </c>
      <c r="J218" s="229">
        <f t="shared" si="6"/>
        <v>36760.22</v>
      </c>
    </row>
    <row r="219" spans="1:10" x14ac:dyDescent="0.25">
      <c r="A219" s="253">
        <f t="shared" si="1"/>
        <v>57</v>
      </c>
      <c r="B219" s="227">
        <v>45748</v>
      </c>
      <c r="D219" s="230">
        <f>'[58]WA AMORT'!$AC$136</f>
        <v>-1658.9599999999998</v>
      </c>
      <c r="E219" s="230"/>
      <c r="F219" s="228">
        <v>7.5499999999999998E-2</v>
      </c>
      <c r="G219" s="245">
        <f t="shared" si="7"/>
        <v>226.06</v>
      </c>
      <c r="H219" s="283"/>
      <c r="I219" s="230">
        <f t="shared" si="8"/>
        <v>-1432.8999999999999</v>
      </c>
      <c r="J219" s="229">
        <f t="shared" si="6"/>
        <v>35327.32</v>
      </c>
    </row>
    <row r="220" spans="1:10" x14ac:dyDescent="0.25">
      <c r="A220" s="253">
        <f t="shared" si="1"/>
        <v>58</v>
      </c>
      <c r="B220" s="227">
        <v>45778</v>
      </c>
      <c r="C220" s="284"/>
      <c r="D220" s="230">
        <v>-1540.3899999999999</v>
      </c>
      <c r="E220" s="230"/>
      <c r="F220" s="228">
        <v>7.5499999999999998E-2</v>
      </c>
      <c r="G220" s="245">
        <f t="shared" si="7"/>
        <v>217.42</v>
      </c>
      <c r="H220" s="283"/>
      <c r="I220" s="230">
        <f t="shared" si="8"/>
        <v>-1322.9699999999998</v>
      </c>
      <c r="J220" s="229">
        <f t="shared" si="6"/>
        <v>34004.35</v>
      </c>
    </row>
    <row r="221" spans="1:10" x14ac:dyDescent="0.25">
      <c r="A221" s="253">
        <f t="shared" si="1"/>
        <v>59</v>
      </c>
      <c r="B221" s="227">
        <v>45809</v>
      </c>
      <c r="C221" s="284"/>
      <c r="D221" s="230">
        <v>-1346.02</v>
      </c>
      <c r="E221" s="230"/>
      <c r="F221" s="228">
        <v>7.5499999999999998E-2</v>
      </c>
      <c r="G221" s="245">
        <f t="shared" si="7"/>
        <v>209.71</v>
      </c>
      <c r="H221" s="283"/>
      <c r="I221" s="230">
        <f t="shared" si="8"/>
        <v>-1136.31</v>
      </c>
      <c r="J221" s="229">
        <f t="shared" si="6"/>
        <v>32868.04</v>
      </c>
    </row>
    <row r="222" spans="1:10" x14ac:dyDescent="0.25">
      <c r="A222" s="253">
        <f t="shared" si="1"/>
        <v>60</v>
      </c>
      <c r="B222" s="227">
        <v>45839</v>
      </c>
      <c r="C222" s="284"/>
      <c r="D222" s="230">
        <v>-1274.5500000000002</v>
      </c>
      <c r="E222" s="230"/>
      <c r="F222" s="237">
        <v>7.4999999999999997E-2</v>
      </c>
      <c r="G222" s="245">
        <f t="shared" si="7"/>
        <v>201.44</v>
      </c>
      <c r="H222" s="283"/>
      <c r="I222" s="230">
        <f t="shared" si="8"/>
        <v>-1073.1100000000001</v>
      </c>
      <c r="J222" s="229">
        <f t="shared" si="6"/>
        <v>31794.93</v>
      </c>
    </row>
    <row r="223" spans="1:10" x14ac:dyDescent="0.25">
      <c r="A223" s="253">
        <f t="shared" si="1"/>
        <v>61</v>
      </c>
      <c r="B223" s="227">
        <v>45870</v>
      </c>
      <c r="C223" s="284"/>
      <c r="D223" s="230">
        <v>-1247.9900000000002</v>
      </c>
      <c r="E223" s="230"/>
      <c r="F223" s="228">
        <v>7.4999999999999997E-2</v>
      </c>
      <c r="G223" s="245">
        <f t="shared" si="7"/>
        <v>194.82</v>
      </c>
      <c r="H223" s="283"/>
      <c r="I223" s="230">
        <f t="shared" si="8"/>
        <v>-1053.1700000000003</v>
      </c>
      <c r="J223" s="229">
        <f t="shared" si="6"/>
        <v>30741.759999999998</v>
      </c>
    </row>
    <row r="224" spans="1:10" x14ac:dyDescent="0.25">
      <c r="A224" s="253">
        <f t="shared" si="1"/>
        <v>62</v>
      </c>
      <c r="B224" s="227">
        <v>45901</v>
      </c>
      <c r="C224" s="284" t="s">
        <v>188</v>
      </c>
      <c r="D224" s="285">
        <f>'[53]WA AMORT 2024-25'!AG82</f>
        <v>-1750.6800000000003</v>
      </c>
      <c r="E224" s="230"/>
      <c r="F224" s="228">
        <v>7.4999999999999997E-2</v>
      </c>
      <c r="G224" s="245">
        <f t="shared" si="7"/>
        <v>186.67</v>
      </c>
      <c r="H224" s="283"/>
      <c r="I224" s="230">
        <f t="shared" si="8"/>
        <v>-1564.0100000000002</v>
      </c>
      <c r="J224" s="229">
        <f t="shared" si="6"/>
        <v>29177.75</v>
      </c>
    </row>
    <row r="225" spans="1:10" x14ac:dyDescent="0.25">
      <c r="A225" s="253">
        <f t="shared" si="1"/>
        <v>63</v>
      </c>
      <c r="B225" s="227">
        <v>45931</v>
      </c>
      <c r="C225" s="284" t="s">
        <v>188</v>
      </c>
      <c r="D225" s="285">
        <f>'[53]WA AMORT 2024-25'!AS82</f>
        <v>-546.44000000000005</v>
      </c>
      <c r="E225" s="230"/>
      <c r="F225" s="228">
        <v>7.4999999999999997E-2</v>
      </c>
      <c r="G225" s="245">
        <f t="shared" si="7"/>
        <v>180.65</v>
      </c>
      <c r="H225" s="283"/>
      <c r="I225" s="230">
        <f t="shared" si="8"/>
        <v>-365.79000000000008</v>
      </c>
      <c r="J225" s="229">
        <f t="shared" si="6"/>
        <v>28811.96</v>
      </c>
    </row>
    <row r="226" spans="1:10" x14ac:dyDescent="0.25">
      <c r="A226" s="253">
        <f t="shared" si="1"/>
        <v>64</v>
      </c>
      <c r="B226" s="227"/>
      <c r="D226" s="230"/>
      <c r="E226" s="230"/>
      <c r="F226" s="281"/>
      <c r="G226" s="245"/>
      <c r="I226" s="230"/>
      <c r="J226" s="229"/>
    </row>
    <row r="227" spans="1:10" x14ac:dyDescent="0.25">
      <c r="A227" s="253">
        <f t="shared" si="1"/>
        <v>65</v>
      </c>
      <c r="B227" s="277" t="s">
        <v>189</v>
      </c>
      <c r="D227" s="230"/>
      <c r="E227" s="230"/>
      <c r="F227" s="281"/>
      <c r="G227" s="245"/>
      <c r="H227" s="282"/>
      <c r="I227" s="230"/>
      <c r="J227" s="229"/>
    </row>
    <row r="228" spans="1:10" x14ac:dyDescent="0.25">
      <c r="A228" s="253">
        <f t="shared" si="1"/>
        <v>66</v>
      </c>
      <c r="B228" s="277"/>
      <c r="F228" s="287"/>
      <c r="H228" s="287"/>
      <c r="I228" s="287"/>
      <c r="J228" s="287"/>
    </row>
    <row r="229" spans="1:10" x14ac:dyDescent="0.25">
      <c r="B229" s="296"/>
      <c r="C229" s="295"/>
      <c r="D229" s="298"/>
      <c r="E229" s="295"/>
      <c r="F229" s="295"/>
    </row>
    <row r="230" spans="1:10" x14ac:dyDescent="0.25">
      <c r="B230" s="296"/>
      <c r="C230" s="295"/>
      <c r="D230" s="299"/>
      <c r="E230" s="300"/>
      <c r="F230" s="301"/>
    </row>
    <row r="231" spans="1:10" x14ac:dyDescent="0.25">
      <c r="B231" s="295"/>
      <c r="C231" s="295"/>
      <c r="D231" s="295"/>
      <c r="E231" s="295"/>
      <c r="F231" s="295"/>
    </row>
    <row r="232" spans="1:10" x14ac:dyDescent="0.25">
      <c r="B232" s="728"/>
      <c r="C232" s="728"/>
      <c r="D232" s="728"/>
      <c r="E232" s="728"/>
      <c r="F232" s="728"/>
    </row>
    <row r="233" spans="1:10" x14ac:dyDescent="0.25">
      <c r="B233" s="728"/>
      <c r="C233" s="728"/>
      <c r="D233" s="728"/>
      <c r="E233" s="728"/>
      <c r="F233" s="728"/>
    </row>
    <row r="234" spans="1:10" x14ac:dyDescent="0.25">
      <c r="B234" s="295"/>
      <c r="C234" s="295"/>
      <c r="D234" s="295"/>
      <c r="E234" s="295"/>
      <c r="F234" s="295"/>
      <c r="G234" s="295"/>
    </row>
    <row r="235" spans="1:10" x14ac:dyDescent="0.25">
      <c r="B235" s="295"/>
      <c r="C235" s="295"/>
      <c r="D235" s="302"/>
      <c r="E235" s="302"/>
      <c r="F235" s="302"/>
      <c r="G235" s="302"/>
    </row>
    <row r="236" spans="1:10" x14ac:dyDescent="0.25">
      <c r="B236" s="296"/>
      <c r="C236" s="295"/>
      <c r="D236" s="294"/>
      <c r="E236" s="294"/>
      <c r="F236" s="294"/>
      <c r="G236" s="294"/>
    </row>
    <row r="237" spans="1:10" x14ac:dyDescent="0.25">
      <c r="B237" s="295"/>
      <c r="C237" s="295"/>
      <c r="D237" s="303"/>
      <c r="E237" s="303"/>
      <c r="F237" s="303"/>
      <c r="G237" s="294"/>
    </row>
    <row r="238" spans="1:10" x14ac:dyDescent="0.25">
      <c r="B238" s="295"/>
      <c r="C238" s="295"/>
      <c r="D238" s="303"/>
      <c r="E238" s="303"/>
      <c r="F238" s="303"/>
      <c r="G238" s="294"/>
    </row>
    <row r="239" spans="1:10" x14ac:dyDescent="0.25">
      <c r="B239" s="295"/>
      <c r="C239" s="295"/>
      <c r="D239" s="303"/>
      <c r="E239" s="303"/>
      <c r="F239" s="303"/>
      <c r="G239" s="303"/>
    </row>
    <row r="240" spans="1:10" x14ac:dyDescent="0.25">
      <c r="B240" s="295"/>
      <c r="C240" s="295"/>
      <c r="D240" s="303"/>
      <c r="E240" s="303"/>
      <c r="F240" s="303"/>
      <c r="G240" s="294"/>
    </row>
    <row r="241" spans="2:7" x14ac:dyDescent="0.25">
      <c r="B241" s="295"/>
      <c r="C241" s="295"/>
      <c r="D241" s="303"/>
      <c r="E241" s="303"/>
      <c r="F241" s="303"/>
      <c r="G241" s="294"/>
    </row>
    <row r="242" spans="2:7" x14ac:dyDescent="0.25">
      <c r="B242" s="295"/>
      <c r="C242" s="231"/>
      <c r="D242" s="303"/>
      <c r="E242" s="303"/>
      <c r="F242" s="303"/>
      <c r="G242" s="303"/>
    </row>
    <row r="243" spans="2:7" x14ac:dyDescent="0.25">
      <c r="B243" s="295"/>
      <c r="C243" s="295"/>
      <c r="D243" s="297"/>
      <c r="E243" s="297"/>
      <c r="F243" s="297"/>
      <c r="G243" s="294"/>
    </row>
    <row r="244" spans="2:7" x14ac:dyDescent="0.25">
      <c r="B244" s="296"/>
      <c r="C244" s="295"/>
      <c r="D244" s="297"/>
      <c r="E244" s="297"/>
      <c r="F244" s="297"/>
      <c r="G244" s="294"/>
    </row>
    <row r="245" spans="2:7" x14ac:dyDescent="0.25">
      <c r="B245" s="295"/>
      <c r="C245" s="295"/>
      <c r="D245" s="298"/>
      <c r="E245" s="298"/>
      <c r="F245" s="298"/>
      <c r="G245" s="294"/>
    </row>
    <row r="246" spans="2:7" x14ac:dyDescent="0.25">
      <c r="B246" s="295"/>
      <c r="C246" s="295"/>
      <c r="D246" s="298"/>
      <c r="E246" s="298"/>
      <c r="F246" s="298"/>
      <c r="G246" s="294"/>
    </row>
    <row r="247" spans="2:7" x14ac:dyDescent="0.25">
      <c r="B247" s="295"/>
      <c r="C247" s="295"/>
      <c r="D247" s="298"/>
      <c r="E247" s="298"/>
      <c r="F247" s="298"/>
      <c r="G247" s="303"/>
    </row>
    <row r="248" spans="2:7" x14ac:dyDescent="0.25">
      <c r="B248" s="295"/>
      <c r="C248" s="295"/>
      <c r="D248" s="298"/>
      <c r="E248" s="298"/>
      <c r="F248" s="298"/>
      <c r="G248" s="294"/>
    </row>
    <row r="249" spans="2:7" x14ac:dyDescent="0.25">
      <c r="B249" s="295"/>
      <c r="C249" s="295"/>
      <c r="D249" s="298"/>
      <c r="E249" s="298"/>
      <c r="F249" s="298"/>
      <c r="G249" s="294"/>
    </row>
    <row r="250" spans="2:7" ht="13" x14ac:dyDescent="0.3">
      <c r="B250" s="295"/>
      <c r="C250" s="231"/>
      <c r="D250" s="304"/>
      <c r="E250" s="304"/>
      <c r="F250" s="304"/>
      <c r="G250" s="303"/>
    </row>
    <row r="251" spans="2:7" x14ac:dyDescent="0.25">
      <c r="B251" s="295"/>
      <c r="C251" s="295"/>
      <c r="D251" s="298"/>
      <c r="E251" s="298"/>
      <c r="F251" s="298"/>
      <c r="G251" s="298"/>
    </row>
    <row r="252" spans="2:7" x14ac:dyDescent="0.25">
      <c r="B252" s="296"/>
      <c r="C252" s="295"/>
      <c r="D252" s="298"/>
      <c r="E252" s="298"/>
      <c r="F252" s="298"/>
      <c r="G252" s="298"/>
    </row>
    <row r="253" spans="2:7" x14ac:dyDescent="0.25">
      <c r="B253" s="295"/>
      <c r="C253" s="295"/>
      <c r="D253" s="298"/>
      <c r="E253" s="298"/>
      <c r="F253" s="298"/>
      <c r="G253" s="294"/>
    </row>
    <row r="254" spans="2:7" x14ac:dyDescent="0.25">
      <c r="B254" s="295"/>
      <c r="C254" s="295"/>
      <c r="D254" s="298"/>
      <c r="E254" s="298"/>
      <c r="F254" s="298"/>
      <c r="G254" s="294"/>
    </row>
    <row r="255" spans="2:7" x14ac:dyDescent="0.25">
      <c r="B255" s="295"/>
      <c r="C255" s="295"/>
      <c r="D255" s="298"/>
      <c r="E255" s="298"/>
      <c r="F255" s="298"/>
      <c r="G255" s="303"/>
    </row>
    <row r="256" spans="2:7" x14ac:dyDescent="0.25">
      <c r="B256" s="295"/>
      <c r="C256" s="295"/>
      <c r="D256" s="298"/>
      <c r="E256" s="298"/>
      <c r="F256" s="298"/>
      <c r="G256" s="294"/>
    </row>
    <row r="257" spans="2:12" x14ac:dyDescent="0.25">
      <c r="B257" s="295"/>
      <c r="C257" s="295"/>
      <c r="D257" s="298"/>
      <c r="E257" s="298"/>
      <c r="F257" s="298"/>
      <c r="G257" s="294"/>
    </row>
    <row r="258" spans="2:12" x14ac:dyDescent="0.25">
      <c r="B258" s="295"/>
      <c r="C258" s="231"/>
      <c r="D258" s="303"/>
      <c r="E258" s="303"/>
      <c r="F258" s="303"/>
      <c r="G258" s="303"/>
    </row>
    <row r="259" spans="2:12" x14ac:dyDescent="0.25">
      <c r="B259" s="295"/>
      <c r="C259" s="295"/>
      <c r="D259" s="297"/>
      <c r="E259" s="297"/>
      <c r="F259" s="297"/>
      <c r="G259" s="294"/>
      <c r="L259" s="727"/>
    </row>
    <row r="260" spans="2:12" x14ac:dyDescent="0.25">
      <c r="B260" s="295"/>
      <c r="C260" s="295"/>
      <c r="D260" s="297"/>
      <c r="E260" s="297"/>
      <c r="F260" s="297"/>
      <c r="G260" s="294"/>
      <c r="L260" s="727"/>
    </row>
    <row r="261" spans="2:12" x14ac:dyDescent="0.25">
      <c r="B261" s="295"/>
      <c r="C261" s="231"/>
      <c r="D261" s="305"/>
      <c r="E261" s="305"/>
      <c r="F261" s="294"/>
      <c r="G261" s="294"/>
      <c r="L261" s="727"/>
    </row>
    <row r="262" spans="2:12" x14ac:dyDescent="0.25">
      <c r="B262" s="295"/>
      <c r="C262" s="231"/>
      <c r="D262" s="303"/>
      <c r="E262" s="303"/>
      <c r="F262" s="294"/>
      <c r="G262" s="294"/>
      <c r="L262" s="727"/>
    </row>
    <row r="263" spans="2:12" ht="13.15" hidden="1" customHeight="1" x14ac:dyDescent="0.25">
      <c r="B263" s="306"/>
      <c r="C263" s="294"/>
      <c r="D263" s="294"/>
      <c r="E263" s="294"/>
      <c r="F263" s="294"/>
      <c r="G263" s="294"/>
    </row>
    <row r="264" spans="2:12" ht="13.15" hidden="1" customHeight="1" x14ac:dyDescent="0.25">
      <c r="B264" s="291"/>
      <c r="C264" s="307"/>
      <c r="D264" s="292"/>
      <c r="E264" s="292"/>
      <c r="F264" s="293"/>
      <c r="G264" s="294"/>
    </row>
    <row r="265" spans="2:12" ht="13.15" hidden="1" customHeight="1" x14ac:dyDescent="0.25">
      <c r="B265" s="291"/>
      <c r="C265" s="272"/>
      <c r="D265" s="292"/>
      <c r="E265" s="292"/>
      <c r="F265" s="293"/>
      <c r="G265" s="294"/>
    </row>
    <row r="266" spans="2:12" ht="13.15" hidden="1" customHeight="1" x14ac:dyDescent="0.25">
      <c r="B266" s="291"/>
      <c r="C266" s="272"/>
      <c r="D266" s="292"/>
      <c r="E266" s="292"/>
      <c r="F266" s="308"/>
      <c r="G266" s="294"/>
    </row>
    <row r="267" spans="2:12" ht="13.15" hidden="1" customHeight="1" x14ac:dyDescent="0.25">
      <c r="B267" s="291"/>
      <c r="C267" s="309"/>
      <c r="D267" s="309"/>
      <c r="E267" s="309"/>
      <c r="F267" s="309"/>
      <c r="G267" s="294"/>
    </row>
    <row r="268" spans="2:12" ht="13.15" hidden="1" customHeight="1" x14ac:dyDescent="0.25">
      <c r="B268" s="291"/>
      <c r="C268" s="310"/>
      <c r="D268" s="309"/>
      <c r="E268" s="309"/>
      <c r="F268" s="307"/>
      <c r="G268" s="294"/>
    </row>
    <row r="269" spans="2:12" ht="13.15" hidden="1" customHeight="1" x14ac:dyDescent="0.25">
      <c r="B269" s="291"/>
      <c r="C269" s="272"/>
      <c r="D269" s="292"/>
      <c r="E269" s="292"/>
      <c r="F269" s="293"/>
      <c r="G269" s="294"/>
    </row>
    <row r="270" spans="2:12" ht="13.15" hidden="1" customHeight="1" x14ac:dyDescent="0.25">
      <c r="B270" s="311"/>
      <c r="C270" s="272"/>
      <c r="D270" s="292"/>
      <c r="E270" s="292"/>
      <c r="F270" s="293"/>
      <c r="G270" s="294"/>
    </row>
    <row r="271" spans="2:12" ht="13.15" hidden="1" customHeight="1" x14ac:dyDescent="0.25">
      <c r="B271" s="291"/>
      <c r="C271" s="309"/>
      <c r="D271" s="309"/>
      <c r="E271" s="309"/>
      <c r="F271" s="309"/>
      <c r="G271" s="294"/>
    </row>
    <row r="272" spans="2:12" ht="13.15" hidden="1" customHeight="1" x14ac:dyDescent="0.25">
      <c r="B272" s="291"/>
      <c r="C272" s="272"/>
      <c r="D272" s="292"/>
      <c r="E272" s="292"/>
      <c r="F272" s="293"/>
      <c r="G272" s="294"/>
    </row>
    <row r="273" spans="2:7" x14ac:dyDescent="0.25">
      <c r="B273" s="295"/>
      <c r="C273" s="295"/>
      <c r="D273" s="294"/>
      <c r="E273" s="294"/>
      <c r="F273" s="294"/>
      <c r="G273" s="294"/>
    </row>
    <row r="274" spans="2:7" x14ac:dyDescent="0.25">
      <c r="B274" s="295"/>
      <c r="C274" s="231"/>
      <c r="D274" s="294"/>
      <c r="E274" s="294"/>
      <c r="F274" s="294"/>
      <c r="G274" s="294"/>
    </row>
    <row r="275" spans="2:7" x14ac:dyDescent="0.25">
      <c r="B275" s="295"/>
      <c r="C275" s="231"/>
      <c r="D275" s="294"/>
      <c r="E275" s="294"/>
      <c r="F275" s="294"/>
      <c r="G275" s="294"/>
    </row>
    <row r="276" spans="2:7" x14ac:dyDescent="0.25">
      <c r="B276" s="295"/>
      <c r="C276" s="231"/>
      <c r="D276" s="294"/>
      <c r="E276" s="294"/>
      <c r="F276" s="294"/>
      <c r="G276" s="294"/>
    </row>
    <row r="277" spans="2:7" x14ac:dyDescent="0.25">
      <c r="B277" s="295"/>
      <c r="C277" s="295"/>
      <c r="D277" s="294"/>
      <c r="E277" s="294"/>
      <c r="F277" s="294"/>
      <c r="G277" s="294"/>
    </row>
    <row r="278" spans="2:7" x14ac:dyDescent="0.25">
      <c r="B278" s="295"/>
      <c r="C278" s="296"/>
      <c r="D278" s="294"/>
      <c r="E278" s="312"/>
      <c r="F278" s="312"/>
      <c r="G278" s="294"/>
    </row>
    <row r="300" spans="8:8" x14ac:dyDescent="0.25">
      <c r="H300" s="245"/>
    </row>
    <row r="331" spans="5:7" x14ac:dyDescent="0.25">
      <c r="G331" s="313"/>
    </row>
    <row r="336" spans="5:7" x14ac:dyDescent="0.25">
      <c r="E336" s="245"/>
    </row>
    <row r="341" spans="2:4" x14ac:dyDescent="0.25">
      <c r="B341" s="227"/>
    </row>
    <row r="342" spans="2:4" x14ac:dyDescent="0.25">
      <c r="B342" s="227"/>
      <c r="D342" s="290"/>
    </row>
    <row r="343" spans="2:4" x14ac:dyDescent="0.25">
      <c r="B343" s="227"/>
    </row>
    <row r="344" spans="2:4" x14ac:dyDescent="0.25">
      <c r="B344" s="227"/>
    </row>
    <row r="345" spans="2:4" x14ac:dyDescent="0.25">
      <c r="B345" s="227"/>
    </row>
    <row r="346" spans="2:4" x14ac:dyDescent="0.25">
      <c r="B346" s="227"/>
    </row>
    <row r="347" spans="2:4" x14ac:dyDescent="0.25">
      <c r="B347" s="227"/>
    </row>
    <row r="348" spans="2:4" x14ac:dyDescent="0.25">
      <c r="B348" s="227"/>
    </row>
    <row r="349" spans="2:4" x14ac:dyDescent="0.25">
      <c r="B349" s="227"/>
    </row>
    <row r="350" spans="2:4" x14ac:dyDescent="0.25">
      <c r="B350" s="227"/>
    </row>
    <row r="351" spans="2:4" x14ac:dyDescent="0.25">
      <c r="B351" s="227"/>
    </row>
    <row r="352" spans="2:4" x14ac:dyDescent="0.25">
      <c r="B352" s="227"/>
    </row>
  </sheetData>
  <mergeCells count="2">
    <mergeCell ref="B232:F233"/>
    <mergeCell ref="L259:L262"/>
  </mergeCells>
  <pageMargins left="0.5" right="0.5" top="0.5" bottom="0.25" header="0.25" footer="0.25"/>
  <pageSetup scale="97" orientation="landscape" r:id="rId1"/>
  <headerFooter alignWithMargins="0">
    <oddHeader xml:space="preserve">&amp;RUG-250711 - NWN WUTC Advice No. 25-06A
Exhibit A - Supporting Materials
Page &amp;P of &amp;N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667B-D253-4D32-8035-999F903BE40C}">
  <sheetPr>
    <tabColor theme="0" tint="-0.14999847407452621"/>
    <pageSetUpPr fitToPage="1"/>
  </sheetPr>
  <dimension ref="A1:L359"/>
  <sheetViews>
    <sheetView view="pageBreakPreview" topLeftCell="A4" zoomScaleNormal="100" zoomScaleSheetLayoutView="100" workbookViewId="0">
      <selection activeCell="F38" sqref="F38"/>
    </sheetView>
  </sheetViews>
  <sheetFormatPr defaultColWidth="8.453125" defaultRowHeight="12.5" outlineLevelRow="2" x14ac:dyDescent="0.25"/>
  <cols>
    <col min="1" max="1" width="4.26953125" style="249" customWidth="1"/>
    <col min="2" max="2" width="14.26953125" style="250" customWidth="1"/>
    <col min="3" max="3" width="13.81640625" style="250" customWidth="1"/>
    <col min="4" max="4" width="22.26953125" style="250" customWidth="1"/>
    <col min="5" max="5" width="14.26953125" style="250" customWidth="1"/>
    <col min="6" max="6" width="15.7265625" style="250" bestFit="1" customWidth="1"/>
    <col min="7" max="19" width="14.26953125" style="250" customWidth="1"/>
    <col min="20" max="16384" width="8.453125" style="250"/>
  </cols>
  <sheetData>
    <row r="1" spans="1:9" x14ac:dyDescent="0.25">
      <c r="B1" s="250" t="s">
        <v>161</v>
      </c>
      <c r="D1" s="250" t="s">
        <v>162</v>
      </c>
    </row>
    <row r="2" spans="1:9" x14ac:dyDescent="0.25">
      <c r="B2" s="250" t="s">
        <v>163</v>
      </c>
      <c r="D2" s="250" t="s">
        <v>129</v>
      </c>
    </row>
    <row r="3" spans="1:9" x14ac:dyDescent="0.25">
      <c r="B3" s="250" t="s">
        <v>164</v>
      </c>
      <c r="D3" s="231" t="s">
        <v>209</v>
      </c>
    </row>
    <row r="4" spans="1:9" x14ac:dyDescent="0.25">
      <c r="B4" s="250" t="s">
        <v>166</v>
      </c>
      <c r="D4" s="252">
        <v>151914</v>
      </c>
    </row>
    <row r="6" spans="1:9" x14ac:dyDescent="0.25">
      <c r="A6" s="253"/>
      <c r="B6" s="250" t="s">
        <v>167</v>
      </c>
      <c r="G6" s="254"/>
    </row>
    <row r="7" spans="1:9" ht="13.15" hidden="1" customHeight="1" x14ac:dyDescent="0.25">
      <c r="A7" s="253"/>
      <c r="B7" s="255"/>
      <c r="C7" s="255"/>
      <c r="D7" s="256"/>
      <c r="E7" s="255"/>
      <c r="F7" s="255"/>
      <c r="G7" s="257"/>
      <c r="H7" s="255"/>
      <c r="I7" s="255"/>
    </row>
    <row r="8" spans="1:9" ht="13.15" hidden="1" customHeight="1" x14ac:dyDescent="0.25">
      <c r="A8" s="253"/>
      <c r="B8" s="255"/>
      <c r="C8" s="255"/>
      <c r="D8" s="256"/>
      <c r="E8" s="255"/>
      <c r="F8" s="255"/>
      <c r="G8" s="257"/>
      <c r="H8" s="255"/>
      <c r="I8" s="255"/>
    </row>
    <row r="9" spans="1:9" ht="13.15" hidden="1" customHeight="1" x14ac:dyDescent="0.25">
      <c r="A9" s="253"/>
      <c r="B9" s="255"/>
      <c r="C9" s="255"/>
      <c r="D9" s="256"/>
      <c r="E9" s="255"/>
      <c r="F9" s="255"/>
      <c r="G9" s="257"/>
      <c r="H9" s="255"/>
      <c r="I9" s="255"/>
    </row>
    <row r="10" spans="1:9" ht="13.15" hidden="1" customHeight="1" x14ac:dyDescent="0.25">
      <c r="A10" s="253"/>
      <c r="B10" s="255"/>
      <c r="C10" s="255"/>
      <c r="D10" s="256"/>
      <c r="E10" s="255"/>
      <c r="F10" s="255"/>
      <c r="G10" s="257"/>
      <c r="H10" s="255"/>
      <c r="I10" s="255"/>
    </row>
    <row r="11" spans="1:9" ht="13.15" hidden="1" customHeight="1" x14ac:dyDescent="0.25">
      <c r="A11" s="253"/>
      <c r="B11" s="255"/>
      <c r="C11" s="255"/>
      <c r="D11" s="256"/>
      <c r="E11" s="255"/>
      <c r="F11" s="255"/>
      <c r="G11" s="257"/>
      <c r="H11" s="255"/>
      <c r="I11" s="255"/>
    </row>
    <row r="12" spans="1:9" ht="13.15" hidden="1" customHeight="1" x14ac:dyDescent="0.25">
      <c r="A12" s="253"/>
      <c r="B12" s="255"/>
      <c r="C12" s="255"/>
      <c r="D12" s="256"/>
      <c r="E12" s="255"/>
      <c r="F12" s="255"/>
      <c r="G12" s="257"/>
      <c r="H12" s="255"/>
      <c r="I12" s="255"/>
    </row>
    <row r="13" spans="1:9" ht="13.15" hidden="1" customHeight="1" x14ac:dyDescent="0.25">
      <c r="A13" s="253"/>
      <c r="B13" s="255"/>
      <c r="C13" s="255"/>
      <c r="D13" s="256"/>
      <c r="E13" s="255"/>
      <c r="F13" s="255"/>
      <c r="G13" s="257"/>
      <c r="H13" s="255"/>
      <c r="I13" s="255"/>
    </row>
    <row r="14" spans="1:9" ht="13.15" hidden="1" customHeight="1" x14ac:dyDescent="0.25">
      <c r="A14" s="253"/>
      <c r="B14" s="258" t="s">
        <v>203</v>
      </c>
      <c r="C14" s="255"/>
      <c r="D14" s="256"/>
      <c r="E14" s="255"/>
      <c r="F14" s="255"/>
      <c r="G14" s="257"/>
      <c r="H14" s="255"/>
      <c r="I14" s="255"/>
    </row>
    <row r="15" spans="1:9" ht="13.15" hidden="1" customHeight="1" x14ac:dyDescent="0.25">
      <c r="A15" s="253"/>
      <c r="B15" s="255"/>
      <c r="C15" s="255"/>
      <c r="D15" s="256"/>
      <c r="E15" s="255"/>
      <c r="F15" s="255"/>
      <c r="G15" s="257"/>
      <c r="H15" s="255"/>
      <c r="I15" s="255"/>
    </row>
    <row r="16" spans="1:9" ht="13.15" hidden="1" customHeight="1" x14ac:dyDescent="0.25">
      <c r="A16" s="253"/>
      <c r="B16" s="255"/>
      <c r="C16" s="255"/>
      <c r="D16" s="256"/>
      <c r="E16" s="255"/>
      <c r="F16" s="255"/>
      <c r="G16" s="257"/>
      <c r="H16" s="255"/>
      <c r="I16" s="255"/>
    </row>
    <row r="17" spans="1:11" ht="13.15" hidden="1" customHeight="1" x14ac:dyDescent="0.25">
      <c r="A17" s="253"/>
      <c r="B17" s="255"/>
      <c r="C17" s="255"/>
      <c r="D17" s="256"/>
      <c r="E17" s="255"/>
      <c r="F17" s="255"/>
      <c r="G17" s="257"/>
      <c r="H17" s="255"/>
      <c r="I17" s="255"/>
    </row>
    <row r="18" spans="1:11" ht="13.15" hidden="1" customHeight="1" x14ac:dyDescent="0.25">
      <c r="A18" s="253"/>
      <c r="B18" s="255"/>
      <c r="C18" s="255"/>
      <c r="D18" s="256"/>
      <c r="E18" s="255"/>
      <c r="F18" s="255"/>
      <c r="G18" s="257"/>
      <c r="H18" s="255"/>
      <c r="I18" s="255"/>
    </row>
    <row r="19" spans="1:11" ht="13.15" hidden="1" customHeight="1" x14ac:dyDescent="0.25">
      <c r="A19" s="253"/>
      <c r="B19" s="255"/>
      <c r="C19" s="255"/>
      <c r="D19" s="256"/>
      <c r="E19" s="255"/>
      <c r="F19" s="255"/>
      <c r="G19" s="257"/>
      <c r="H19" s="255"/>
      <c r="I19" s="255"/>
    </row>
    <row r="20" spans="1:11" ht="13.15" hidden="1" customHeight="1" x14ac:dyDescent="0.25">
      <c r="A20" s="253"/>
      <c r="B20" s="255"/>
      <c r="C20" s="255"/>
      <c r="D20" s="256"/>
      <c r="E20" s="255"/>
      <c r="F20" s="255"/>
      <c r="G20" s="257"/>
      <c r="H20" s="255"/>
      <c r="I20" s="255"/>
    </row>
    <row r="21" spans="1:11" ht="13.15" hidden="1" customHeight="1" x14ac:dyDescent="0.25">
      <c r="A21" s="253"/>
      <c r="B21" s="255"/>
      <c r="C21" s="255"/>
      <c r="D21" s="256"/>
      <c r="E21" s="255"/>
      <c r="F21" s="255"/>
      <c r="G21" s="257"/>
      <c r="H21" s="255"/>
      <c r="I21" s="255"/>
    </row>
    <row r="22" spans="1:11" ht="13.15" hidden="1" customHeight="1" x14ac:dyDescent="0.25">
      <c r="A22" s="253"/>
      <c r="B22" s="255"/>
      <c r="C22" s="255"/>
      <c r="D22" s="256"/>
      <c r="E22" s="255"/>
      <c r="F22" s="255"/>
      <c r="G22" s="257"/>
      <c r="H22" s="255"/>
      <c r="I22" s="255"/>
    </row>
    <row r="23" spans="1:11" ht="13.15" hidden="1" customHeight="1" x14ac:dyDescent="0.25">
      <c r="A23" s="253"/>
      <c r="B23" s="255"/>
      <c r="C23" s="255"/>
      <c r="D23" s="256"/>
      <c r="E23" s="255"/>
      <c r="F23" s="255"/>
      <c r="G23" s="257"/>
      <c r="H23" s="255"/>
      <c r="I23" s="255"/>
    </row>
    <row r="24" spans="1:11" ht="13.15" hidden="1" customHeight="1" x14ac:dyDescent="0.25">
      <c r="A24" s="253"/>
      <c r="B24" s="255"/>
      <c r="C24" s="255"/>
      <c r="D24" s="256"/>
      <c r="E24" s="255"/>
      <c r="F24" s="255"/>
      <c r="G24" s="257"/>
      <c r="H24" s="255"/>
      <c r="I24" s="255"/>
    </row>
    <row r="25" spans="1:11" ht="13.15" hidden="1" customHeight="1" x14ac:dyDescent="0.25">
      <c r="A25" s="253"/>
      <c r="B25" s="255"/>
      <c r="C25" s="255"/>
      <c r="D25" s="256"/>
      <c r="E25" s="255"/>
      <c r="F25" s="255"/>
      <c r="G25" s="257"/>
      <c r="H25" s="255"/>
      <c r="I25" s="255"/>
    </row>
    <row r="26" spans="1:11" ht="13.15" hidden="1" customHeight="1" x14ac:dyDescent="0.25">
      <c r="A26" s="253"/>
      <c r="B26" s="257"/>
      <c r="C26" s="257"/>
      <c r="D26" s="259"/>
      <c r="E26" s="257"/>
      <c r="F26" s="257"/>
      <c r="G26" s="257"/>
      <c r="H26" s="257"/>
      <c r="I26" s="257"/>
    </row>
    <row r="27" spans="1:11" x14ac:dyDescent="0.25">
      <c r="A27" s="253"/>
      <c r="B27" s="254"/>
      <c r="C27" s="254"/>
      <c r="D27" s="254"/>
      <c r="E27" s="254"/>
      <c r="F27" s="254"/>
      <c r="G27" s="254"/>
      <c r="H27" s="254"/>
      <c r="I27" s="254"/>
    </row>
    <row r="28" spans="1:11" x14ac:dyDescent="0.25">
      <c r="A28" s="253"/>
      <c r="B28" s="260" t="s">
        <v>168</v>
      </c>
      <c r="C28" s="260" t="s">
        <v>169</v>
      </c>
      <c r="D28" s="260" t="s">
        <v>170</v>
      </c>
      <c r="E28" s="260" t="s">
        <v>171</v>
      </c>
      <c r="F28" s="260" t="s">
        <v>172</v>
      </c>
      <c r="G28" s="260" t="s">
        <v>173</v>
      </c>
      <c r="H28" s="260" t="s">
        <v>174</v>
      </c>
      <c r="I28" s="260" t="s">
        <v>175</v>
      </c>
    </row>
    <row r="29" spans="1:11" x14ac:dyDescent="0.25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 t="s">
        <v>182</v>
      </c>
      <c r="I29" s="254" t="s">
        <v>183</v>
      </c>
      <c r="K29" s="316"/>
    </row>
    <row r="30" spans="1:11" ht="13.15" hidden="1" customHeight="1" outlineLevel="1" x14ac:dyDescent="0.25">
      <c r="A30" s="253"/>
      <c r="B30" s="227"/>
      <c r="D30" s="230"/>
      <c r="F30" s="280"/>
      <c r="G30" s="245"/>
      <c r="H30" s="230"/>
      <c r="I30" s="229"/>
    </row>
    <row r="31" spans="1:11" collapsed="1" x14ac:dyDescent="0.25">
      <c r="A31" s="253">
        <v>1</v>
      </c>
      <c r="B31" s="251" t="s">
        <v>184</v>
      </c>
      <c r="D31" s="230"/>
      <c r="E31" s="230"/>
      <c r="F31" s="230"/>
      <c r="G31" s="230"/>
      <c r="H31" s="230"/>
      <c r="I31" s="230">
        <v>0</v>
      </c>
      <c r="K31" s="317"/>
    </row>
    <row r="32" spans="1:11" hidden="1" outlineLevel="1" x14ac:dyDescent="0.25">
      <c r="A32" s="253"/>
      <c r="B32" s="251"/>
      <c r="D32" s="230"/>
      <c r="E32" s="230"/>
      <c r="F32" s="230"/>
      <c r="G32" s="230"/>
      <c r="H32" s="230"/>
      <c r="I32" s="230"/>
    </row>
    <row r="33" spans="1:9" hidden="1" outlineLevel="1" x14ac:dyDescent="0.25">
      <c r="A33" s="253"/>
      <c r="B33" s="251"/>
      <c r="D33" s="230"/>
      <c r="E33" s="230"/>
      <c r="F33" s="230"/>
      <c r="G33" s="230"/>
      <c r="H33" s="230"/>
      <c r="I33" s="230"/>
    </row>
    <row r="34" spans="1:9" hidden="1" outlineLevel="1" x14ac:dyDescent="0.25">
      <c r="A34" s="253"/>
      <c r="B34" s="251"/>
      <c r="D34" s="230"/>
      <c r="E34" s="230"/>
      <c r="F34" s="230"/>
      <c r="G34" s="230"/>
      <c r="H34" s="230"/>
      <c r="I34" s="230"/>
    </row>
    <row r="35" spans="1:9" hidden="1" outlineLevel="1" x14ac:dyDescent="0.25">
      <c r="A35" s="253"/>
      <c r="B35" s="251"/>
      <c r="D35" s="230"/>
      <c r="E35" s="230"/>
      <c r="F35" s="230"/>
      <c r="G35" s="230"/>
      <c r="H35" s="230"/>
      <c r="I35" s="230"/>
    </row>
    <row r="36" spans="1:9" hidden="1" outlineLevel="1" x14ac:dyDescent="0.25">
      <c r="A36" s="253"/>
      <c r="B36" s="251"/>
      <c r="D36" s="230"/>
      <c r="E36" s="230"/>
      <c r="F36" s="230"/>
      <c r="G36" s="230"/>
      <c r="H36" s="230"/>
      <c r="I36" s="230"/>
    </row>
    <row r="37" spans="1:9" hidden="1" outlineLevel="1" x14ac:dyDescent="0.25">
      <c r="A37" s="253"/>
      <c r="B37" s="251"/>
      <c r="D37" s="230"/>
      <c r="E37" s="230"/>
      <c r="F37" s="230"/>
      <c r="G37" s="230"/>
      <c r="H37" s="230"/>
      <c r="I37" s="230"/>
    </row>
    <row r="38" spans="1:9" hidden="1" outlineLevel="1" x14ac:dyDescent="0.25">
      <c r="A38" s="253"/>
      <c r="B38" s="251"/>
      <c r="D38" s="230"/>
      <c r="E38" s="230"/>
      <c r="F38" s="230"/>
      <c r="G38" s="230"/>
      <c r="H38" s="230"/>
      <c r="I38" s="230"/>
    </row>
    <row r="39" spans="1:9" hidden="1" outlineLevel="1" x14ac:dyDescent="0.25">
      <c r="A39" s="253"/>
      <c r="B39" s="251"/>
      <c r="D39" s="230"/>
      <c r="E39" s="230"/>
      <c r="F39" s="230"/>
      <c r="G39" s="230"/>
      <c r="H39" s="230"/>
      <c r="I39" s="230"/>
    </row>
    <row r="40" spans="1:9" hidden="1" outlineLevel="1" x14ac:dyDescent="0.25">
      <c r="A40" s="253"/>
      <c r="B40" s="251"/>
      <c r="D40" s="230"/>
      <c r="E40" s="230"/>
      <c r="F40" s="230"/>
      <c r="G40" s="230"/>
      <c r="H40" s="230"/>
      <c r="I40" s="230"/>
    </row>
    <row r="41" spans="1:9" hidden="1" outlineLevel="1" x14ac:dyDescent="0.25">
      <c r="A41" s="253"/>
      <c r="B41" s="251"/>
      <c r="D41" s="230"/>
      <c r="E41" s="230"/>
      <c r="F41" s="230"/>
      <c r="G41" s="230"/>
      <c r="H41" s="230"/>
      <c r="I41" s="230"/>
    </row>
    <row r="42" spans="1:9" hidden="1" outlineLevel="1" x14ac:dyDescent="0.25">
      <c r="A42" s="253"/>
      <c r="B42" s="251"/>
      <c r="D42" s="230"/>
      <c r="E42" s="230"/>
      <c r="F42" s="230"/>
      <c r="G42" s="230"/>
      <c r="H42" s="230"/>
      <c r="I42" s="230"/>
    </row>
    <row r="43" spans="1:9" hidden="1" outlineLevel="1" x14ac:dyDescent="0.25">
      <c r="A43" s="253"/>
      <c r="B43" s="251"/>
      <c r="D43" s="230"/>
      <c r="E43" s="230"/>
      <c r="F43" s="230"/>
      <c r="G43" s="230"/>
      <c r="H43" s="230"/>
      <c r="I43" s="230"/>
    </row>
    <row r="44" spans="1:9" hidden="1" outlineLevel="1" x14ac:dyDescent="0.25">
      <c r="A44" s="253"/>
      <c r="B44" s="251"/>
      <c r="D44" s="230"/>
      <c r="E44" s="230"/>
      <c r="F44" s="230"/>
      <c r="G44" s="230"/>
      <c r="H44" s="230"/>
      <c r="I44" s="230"/>
    </row>
    <row r="45" spans="1:9" hidden="1" outlineLevel="1" x14ac:dyDescent="0.25">
      <c r="A45" s="253"/>
      <c r="B45" s="251"/>
      <c r="D45" s="230"/>
      <c r="E45" s="230"/>
      <c r="F45" s="230"/>
      <c r="G45" s="230"/>
      <c r="H45" s="230"/>
      <c r="I45" s="230"/>
    </row>
    <row r="46" spans="1:9" hidden="1" outlineLevel="1" x14ac:dyDescent="0.25">
      <c r="A46" s="253"/>
      <c r="B46" s="251"/>
      <c r="D46" s="230"/>
      <c r="E46" s="230"/>
      <c r="F46" s="230"/>
      <c r="G46" s="230"/>
      <c r="H46" s="230"/>
      <c r="I46" s="230"/>
    </row>
    <row r="47" spans="1:9" hidden="1" outlineLevel="1" x14ac:dyDescent="0.25">
      <c r="A47" s="253"/>
      <c r="B47" s="251"/>
      <c r="D47" s="230"/>
      <c r="E47" s="230"/>
      <c r="F47" s="230"/>
      <c r="G47" s="230"/>
      <c r="H47" s="230"/>
      <c r="I47" s="230"/>
    </row>
    <row r="48" spans="1:9" hidden="1" outlineLevel="1" x14ac:dyDescent="0.25">
      <c r="A48" s="253"/>
      <c r="B48" s="251"/>
      <c r="D48" s="230"/>
      <c r="E48" s="230"/>
      <c r="F48" s="230"/>
      <c r="G48" s="230"/>
      <c r="H48" s="230"/>
      <c r="I48" s="230"/>
    </row>
    <row r="49" spans="1:9" hidden="1" outlineLevel="1" x14ac:dyDescent="0.25">
      <c r="A49" s="253"/>
      <c r="B49" s="251"/>
      <c r="D49" s="230"/>
      <c r="E49" s="230"/>
      <c r="F49" s="230"/>
      <c r="G49" s="230"/>
      <c r="H49" s="230"/>
      <c r="I49" s="230"/>
    </row>
    <row r="50" spans="1:9" hidden="1" outlineLevel="1" x14ac:dyDescent="0.25">
      <c r="A50" s="253"/>
      <c r="B50" s="251"/>
      <c r="D50" s="230"/>
      <c r="E50" s="230"/>
      <c r="F50" s="230"/>
      <c r="G50" s="230"/>
      <c r="H50" s="230"/>
      <c r="I50" s="230"/>
    </row>
    <row r="51" spans="1:9" hidden="1" outlineLevel="1" x14ac:dyDescent="0.25">
      <c r="A51" s="253"/>
      <c r="B51" s="251"/>
      <c r="D51" s="230"/>
      <c r="E51" s="230"/>
      <c r="F51" s="230"/>
      <c r="G51" s="230"/>
      <c r="H51" s="230"/>
      <c r="I51" s="230"/>
    </row>
    <row r="52" spans="1:9" hidden="1" outlineLevel="1" x14ac:dyDescent="0.25">
      <c r="A52" s="253"/>
      <c r="B52" s="251"/>
      <c r="D52" s="230"/>
      <c r="E52" s="230"/>
      <c r="F52" s="230"/>
      <c r="G52" s="230"/>
      <c r="H52" s="230"/>
      <c r="I52" s="230"/>
    </row>
    <row r="53" spans="1:9" hidden="1" outlineLevel="1" x14ac:dyDescent="0.25">
      <c r="A53" s="253"/>
      <c r="B53" s="251"/>
      <c r="D53" s="230"/>
      <c r="E53" s="230"/>
      <c r="F53" s="230"/>
      <c r="G53" s="230"/>
      <c r="H53" s="230"/>
      <c r="I53" s="230"/>
    </row>
    <row r="54" spans="1:9" hidden="1" outlineLevel="1" x14ac:dyDescent="0.25">
      <c r="A54" s="253"/>
      <c r="B54" s="251"/>
      <c r="D54" s="230"/>
      <c r="E54" s="230"/>
      <c r="F54" s="230"/>
      <c r="G54" s="230"/>
      <c r="H54" s="230"/>
      <c r="I54" s="230"/>
    </row>
    <row r="55" spans="1:9" hidden="1" outlineLevel="1" x14ac:dyDescent="0.25">
      <c r="A55" s="253"/>
      <c r="B55" s="251"/>
      <c r="D55" s="230"/>
      <c r="E55" s="230"/>
      <c r="F55" s="230"/>
      <c r="G55" s="230"/>
      <c r="H55" s="230"/>
      <c r="I55" s="230"/>
    </row>
    <row r="56" spans="1:9" hidden="1" outlineLevel="1" x14ac:dyDescent="0.25">
      <c r="A56" s="253"/>
      <c r="B56" s="251"/>
      <c r="D56" s="230"/>
      <c r="E56" s="230"/>
      <c r="F56" s="230"/>
      <c r="G56" s="230"/>
      <c r="H56" s="230"/>
      <c r="I56" s="230"/>
    </row>
    <row r="57" spans="1:9" hidden="1" outlineLevel="1" x14ac:dyDescent="0.25">
      <c r="A57" s="253"/>
      <c r="B57" s="251"/>
      <c r="D57" s="230"/>
      <c r="E57" s="230"/>
      <c r="F57" s="230"/>
      <c r="G57" s="230"/>
      <c r="H57" s="230"/>
      <c r="I57" s="230"/>
    </row>
    <row r="58" spans="1:9" hidden="1" outlineLevel="1" x14ac:dyDescent="0.25">
      <c r="A58" s="253"/>
      <c r="B58" s="251"/>
      <c r="D58" s="230"/>
      <c r="E58" s="230"/>
      <c r="F58" s="230"/>
      <c r="G58" s="230"/>
      <c r="H58" s="230"/>
      <c r="I58" s="230"/>
    </row>
    <row r="59" spans="1:9" hidden="1" outlineLevel="1" x14ac:dyDescent="0.25">
      <c r="A59" s="253"/>
      <c r="B59" s="251"/>
      <c r="D59" s="230"/>
      <c r="E59" s="230"/>
      <c r="F59" s="230"/>
      <c r="G59" s="230"/>
      <c r="H59" s="230"/>
      <c r="I59" s="230"/>
    </row>
    <row r="60" spans="1:9" hidden="1" outlineLevel="1" x14ac:dyDescent="0.25">
      <c r="A60" s="253"/>
      <c r="B60" s="251"/>
      <c r="D60" s="230"/>
      <c r="E60" s="230"/>
      <c r="F60" s="230"/>
      <c r="G60" s="230"/>
      <c r="H60" s="230"/>
      <c r="I60" s="230"/>
    </row>
    <row r="61" spans="1:9" hidden="1" outlineLevel="1" x14ac:dyDescent="0.25">
      <c r="A61" s="253"/>
      <c r="B61" s="251"/>
      <c r="D61" s="230"/>
      <c r="E61" s="230"/>
      <c r="F61" s="230"/>
      <c r="G61" s="230"/>
      <c r="H61" s="230"/>
      <c r="I61" s="230"/>
    </row>
    <row r="62" spans="1:9" hidden="1" outlineLevel="1" x14ac:dyDescent="0.25">
      <c r="A62" s="253"/>
      <c r="B62" s="251"/>
      <c r="D62" s="230"/>
      <c r="E62" s="230"/>
      <c r="F62" s="230"/>
      <c r="G62" s="230"/>
      <c r="H62" s="230"/>
      <c r="I62" s="230"/>
    </row>
    <row r="63" spans="1:9" hidden="1" outlineLevel="1" x14ac:dyDescent="0.25">
      <c r="A63" s="253"/>
      <c r="B63" s="251"/>
      <c r="D63" s="230"/>
      <c r="E63" s="230"/>
      <c r="F63" s="230"/>
      <c r="G63" s="230"/>
      <c r="H63" s="230"/>
      <c r="I63" s="230"/>
    </row>
    <row r="64" spans="1:9" hidden="1" outlineLevel="1" x14ac:dyDescent="0.25">
      <c r="A64" s="253"/>
      <c r="B64" s="251"/>
      <c r="D64" s="230"/>
      <c r="E64" s="230"/>
      <c r="F64" s="230"/>
      <c r="G64" s="230"/>
      <c r="H64" s="230"/>
      <c r="I64" s="230"/>
    </row>
    <row r="65" spans="1:9" hidden="1" outlineLevel="1" x14ac:dyDescent="0.25">
      <c r="A65" s="253"/>
      <c r="B65" s="251"/>
      <c r="D65" s="230"/>
      <c r="E65" s="230"/>
      <c r="F65" s="230"/>
      <c r="G65" s="230"/>
      <c r="H65" s="230"/>
      <c r="I65" s="230"/>
    </row>
    <row r="66" spans="1:9" hidden="1" outlineLevel="1" x14ac:dyDescent="0.25">
      <c r="A66" s="253"/>
      <c r="B66" s="251"/>
      <c r="D66" s="230"/>
      <c r="E66" s="230"/>
      <c r="F66" s="230"/>
      <c r="G66" s="230"/>
      <c r="H66" s="230"/>
      <c r="I66" s="230"/>
    </row>
    <row r="67" spans="1:9" hidden="1" outlineLevel="1" x14ac:dyDescent="0.25">
      <c r="A67" s="253"/>
      <c r="B67" s="251"/>
      <c r="D67" s="230"/>
      <c r="E67" s="230"/>
      <c r="F67" s="230"/>
      <c r="G67" s="230"/>
      <c r="H67" s="230"/>
      <c r="I67" s="230"/>
    </row>
    <row r="68" spans="1:9" hidden="1" outlineLevel="1" x14ac:dyDescent="0.25">
      <c r="A68" s="253"/>
      <c r="B68" s="251"/>
      <c r="D68" s="230"/>
      <c r="E68" s="230"/>
      <c r="F68" s="230"/>
      <c r="G68" s="230"/>
      <c r="H68" s="230"/>
      <c r="I68" s="230"/>
    </row>
    <row r="69" spans="1:9" hidden="1" outlineLevel="1" x14ac:dyDescent="0.25">
      <c r="A69" s="253"/>
      <c r="B69" s="251"/>
      <c r="D69" s="230"/>
      <c r="E69" s="230"/>
      <c r="F69" s="230"/>
      <c r="G69" s="230"/>
      <c r="H69" s="230"/>
      <c r="I69" s="230"/>
    </row>
    <row r="70" spans="1:9" hidden="1" outlineLevel="1" x14ac:dyDescent="0.25">
      <c r="A70" s="253"/>
      <c r="B70" s="251"/>
      <c r="D70" s="230"/>
      <c r="E70" s="230"/>
      <c r="F70" s="230"/>
      <c r="G70" s="230"/>
      <c r="H70" s="230"/>
      <c r="I70" s="230"/>
    </row>
    <row r="71" spans="1:9" hidden="1" outlineLevel="1" x14ac:dyDescent="0.25">
      <c r="A71" s="253"/>
      <c r="B71" s="251"/>
      <c r="D71" s="230"/>
      <c r="E71" s="230"/>
      <c r="F71" s="230"/>
      <c r="G71" s="230"/>
      <c r="H71" s="230"/>
      <c r="I71" s="230"/>
    </row>
    <row r="72" spans="1:9" hidden="1" outlineLevel="1" x14ac:dyDescent="0.25">
      <c r="A72" s="253"/>
      <c r="B72" s="251"/>
      <c r="D72" s="230"/>
      <c r="E72" s="230"/>
      <c r="F72" s="230"/>
      <c r="G72" s="230"/>
      <c r="H72" s="230"/>
      <c r="I72" s="230"/>
    </row>
    <row r="73" spans="1:9" hidden="1" outlineLevel="1" x14ac:dyDescent="0.25">
      <c r="A73" s="253"/>
      <c r="B73" s="251"/>
      <c r="D73" s="230"/>
      <c r="E73" s="230"/>
      <c r="F73" s="230"/>
      <c r="G73" s="230"/>
      <c r="H73" s="230"/>
      <c r="I73" s="230"/>
    </row>
    <row r="74" spans="1:9" hidden="1" outlineLevel="1" x14ac:dyDescent="0.25">
      <c r="A74" s="253"/>
      <c r="B74" s="251"/>
      <c r="D74" s="230"/>
      <c r="E74" s="230"/>
      <c r="F74" s="230"/>
      <c r="G74" s="230"/>
      <c r="H74" s="230"/>
      <c r="I74" s="230"/>
    </row>
    <row r="75" spans="1:9" hidden="1" outlineLevel="1" x14ac:dyDescent="0.25">
      <c r="A75" s="253"/>
      <c r="B75" s="251"/>
      <c r="D75" s="230"/>
      <c r="E75" s="230"/>
      <c r="F75" s="230"/>
      <c r="G75" s="230"/>
      <c r="H75" s="230"/>
      <c r="I75" s="230"/>
    </row>
    <row r="76" spans="1:9" hidden="1" outlineLevel="1" x14ac:dyDescent="0.25">
      <c r="A76" s="253"/>
      <c r="B76" s="251"/>
      <c r="D76" s="230"/>
      <c r="E76" s="230"/>
      <c r="F76" s="230"/>
      <c r="G76" s="230"/>
      <c r="H76" s="230"/>
      <c r="I76" s="230"/>
    </row>
    <row r="77" spans="1:9" hidden="1" outlineLevel="1" x14ac:dyDescent="0.25">
      <c r="A77" s="253"/>
      <c r="B77" s="251"/>
      <c r="D77" s="230"/>
      <c r="E77" s="230"/>
      <c r="F77" s="230"/>
      <c r="G77" s="230"/>
      <c r="H77" s="230"/>
      <c r="I77" s="230"/>
    </row>
    <row r="78" spans="1:9" hidden="1" outlineLevel="1" x14ac:dyDescent="0.25">
      <c r="A78" s="253"/>
      <c r="B78" s="251"/>
      <c r="D78" s="230"/>
      <c r="E78" s="230"/>
      <c r="F78" s="230"/>
      <c r="G78" s="230"/>
      <c r="H78" s="230"/>
      <c r="I78" s="230"/>
    </row>
    <row r="79" spans="1:9" hidden="1" outlineLevel="1" x14ac:dyDescent="0.25">
      <c r="A79" s="253"/>
      <c r="B79" s="251"/>
      <c r="D79" s="230"/>
      <c r="E79" s="230"/>
      <c r="F79" s="230"/>
      <c r="G79" s="230"/>
      <c r="H79" s="230"/>
      <c r="I79" s="230"/>
    </row>
    <row r="80" spans="1:9" hidden="1" outlineLevel="1" x14ac:dyDescent="0.25">
      <c r="A80" s="253"/>
      <c r="B80" s="251"/>
      <c r="D80" s="230"/>
      <c r="E80" s="230"/>
      <c r="F80" s="230"/>
      <c r="G80" s="230"/>
      <c r="H80" s="230"/>
      <c r="I80" s="230"/>
    </row>
    <row r="81" spans="1:9" hidden="1" outlineLevel="1" x14ac:dyDescent="0.25">
      <c r="A81" s="253"/>
      <c r="B81" s="251"/>
      <c r="D81" s="230"/>
      <c r="E81" s="230"/>
      <c r="F81" s="230"/>
      <c r="G81" s="230"/>
      <c r="H81" s="230"/>
      <c r="I81" s="230"/>
    </row>
    <row r="82" spans="1:9" hidden="1" outlineLevel="1" x14ac:dyDescent="0.25">
      <c r="A82" s="253"/>
      <c r="B82" s="251"/>
      <c r="D82" s="230"/>
      <c r="E82" s="230"/>
      <c r="F82" s="230"/>
      <c r="G82" s="230"/>
      <c r="H82" s="230"/>
      <c r="I82" s="230"/>
    </row>
    <row r="83" spans="1:9" hidden="1" outlineLevel="1" x14ac:dyDescent="0.25">
      <c r="A83" s="253"/>
      <c r="B83" s="251"/>
      <c r="D83" s="230"/>
      <c r="E83" s="230"/>
      <c r="F83" s="230"/>
      <c r="G83" s="230"/>
      <c r="H83" s="230"/>
      <c r="I83" s="230"/>
    </row>
    <row r="84" spans="1:9" hidden="1" outlineLevel="1" x14ac:dyDescent="0.25">
      <c r="A84" s="253"/>
      <c r="B84" s="251"/>
      <c r="D84" s="230"/>
      <c r="E84" s="230"/>
      <c r="F84" s="230"/>
      <c r="G84" s="230"/>
      <c r="H84" s="230"/>
      <c r="I84" s="230"/>
    </row>
    <row r="85" spans="1:9" hidden="1" outlineLevel="1" x14ac:dyDescent="0.25">
      <c r="A85" s="253"/>
      <c r="B85" s="251"/>
      <c r="D85" s="230"/>
      <c r="E85" s="230"/>
      <c r="F85" s="230"/>
      <c r="G85" s="230"/>
      <c r="H85" s="230"/>
      <c r="I85" s="230"/>
    </row>
    <row r="86" spans="1:9" hidden="1" outlineLevel="1" x14ac:dyDescent="0.25">
      <c r="A86" s="253"/>
      <c r="B86" s="251"/>
      <c r="D86" s="230"/>
      <c r="E86" s="230"/>
      <c r="F86" s="230"/>
      <c r="G86" s="230"/>
      <c r="H86" s="230"/>
      <c r="I86" s="230"/>
    </row>
    <row r="87" spans="1:9" hidden="1" outlineLevel="1" x14ac:dyDescent="0.25">
      <c r="A87" s="253"/>
      <c r="B87" s="251"/>
      <c r="D87" s="230"/>
      <c r="E87" s="230"/>
      <c r="F87" s="230"/>
      <c r="G87" s="230"/>
      <c r="H87" s="230"/>
      <c r="I87" s="230"/>
    </row>
    <row r="88" spans="1:9" hidden="1" outlineLevel="1" x14ac:dyDescent="0.25">
      <c r="A88" s="253"/>
      <c r="B88" s="251"/>
      <c r="D88" s="230"/>
      <c r="E88" s="230"/>
      <c r="F88" s="230"/>
      <c r="G88" s="230"/>
      <c r="H88" s="230"/>
      <c r="I88" s="230"/>
    </row>
    <row r="89" spans="1:9" hidden="1" outlineLevel="1" x14ac:dyDescent="0.25">
      <c r="A89" s="253"/>
      <c r="B89" s="251"/>
      <c r="D89" s="230"/>
      <c r="E89" s="230"/>
      <c r="F89" s="230"/>
      <c r="G89" s="230"/>
      <c r="H89" s="230"/>
      <c r="I89" s="230"/>
    </row>
    <row r="90" spans="1:9" hidden="1" outlineLevel="1" x14ac:dyDescent="0.25">
      <c r="A90" s="253"/>
      <c r="B90" s="251"/>
      <c r="D90" s="230"/>
      <c r="E90" s="230"/>
      <c r="F90" s="230"/>
      <c r="G90" s="230"/>
      <c r="H90" s="230"/>
      <c r="I90" s="230"/>
    </row>
    <row r="91" spans="1:9" hidden="1" outlineLevel="1" x14ac:dyDescent="0.25">
      <c r="A91" s="253"/>
      <c r="B91" s="251"/>
      <c r="D91" s="230"/>
      <c r="E91" s="230"/>
      <c r="F91" s="230"/>
      <c r="G91" s="230"/>
      <c r="H91" s="230"/>
      <c r="I91" s="230"/>
    </row>
    <row r="92" spans="1:9" hidden="1" outlineLevel="1" x14ac:dyDescent="0.25">
      <c r="A92" s="253"/>
      <c r="B92" s="251"/>
      <c r="D92" s="230"/>
      <c r="E92" s="230"/>
      <c r="F92" s="230"/>
      <c r="G92" s="230"/>
      <c r="H92" s="230"/>
      <c r="I92" s="230"/>
    </row>
    <row r="93" spans="1:9" hidden="1" outlineLevel="1" x14ac:dyDescent="0.25">
      <c r="A93" s="253"/>
      <c r="B93" s="251"/>
      <c r="D93" s="230"/>
      <c r="E93" s="230"/>
      <c r="F93" s="230"/>
      <c r="G93" s="230"/>
      <c r="H93" s="230"/>
      <c r="I93" s="230"/>
    </row>
    <row r="94" spans="1:9" hidden="1" outlineLevel="1" x14ac:dyDescent="0.25">
      <c r="A94" s="253"/>
      <c r="B94" s="251"/>
      <c r="D94" s="230"/>
      <c r="E94" s="230"/>
      <c r="F94" s="230"/>
      <c r="G94" s="230"/>
      <c r="H94" s="230"/>
      <c r="I94" s="230"/>
    </row>
    <row r="95" spans="1:9" hidden="1" outlineLevel="1" x14ac:dyDescent="0.25">
      <c r="A95" s="253"/>
      <c r="B95" s="251"/>
      <c r="D95" s="230"/>
      <c r="E95" s="230"/>
      <c r="F95" s="230"/>
      <c r="G95" s="230"/>
      <c r="H95" s="230"/>
      <c r="I95" s="230"/>
    </row>
    <row r="96" spans="1:9" hidden="1" outlineLevel="1" x14ac:dyDescent="0.25">
      <c r="A96" s="253"/>
      <c r="B96" s="251"/>
      <c r="D96" s="230"/>
      <c r="E96" s="230"/>
      <c r="F96" s="230"/>
      <c r="G96" s="230"/>
      <c r="H96" s="230"/>
      <c r="I96" s="230"/>
    </row>
    <row r="97" spans="1:9" hidden="1" outlineLevel="1" x14ac:dyDescent="0.25">
      <c r="A97" s="253"/>
      <c r="B97" s="251"/>
      <c r="D97" s="230"/>
      <c r="E97" s="230"/>
      <c r="F97" s="230"/>
      <c r="G97" s="230"/>
      <c r="H97" s="230"/>
      <c r="I97" s="230"/>
    </row>
    <row r="98" spans="1:9" hidden="1" outlineLevel="1" x14ac:dyDescent="0.25">
      <c r="A98" s="253"/>
      <c r="B98" s="251"/>
      <c r="D98" s="230"/>
      <c r="E98" s="230"/>
      <c r="F98" s="230"/>
      <c r="G98" s="230"/>
      <c r="H98" s="230"/>
      <c r="I98" s="230"/>
    </row>
    <row r="99" spans="1:9" hidden="1" outlineLevel="1" x14ac:dyDescent="0.25">
      <c r="A99" s="253"/>
      <c r="B99" s="251"/>
      <c r="D99" s="230"/>
      <c r="E99" s="230"/>
      <c r="F99" s="230"/>
      <c r="G99" s="230"/>
      <c r="H99" s="230"/>
      <c r="I99" s="230"/>
    </row>
    <row r="100" spans="1:9" hidden="1" outlineLevel="1" x14ac:dyDescent="0.25">
      <c r="A100" s="253"/>
      <c r="B100" s="251"/>
      <c r="D100" s="230"/>
      <c r="E100" s="230"/>
      <c r="F100" s="230"/>
      <c r="G100" s="230"/>
      <c r="H100" s="230"/>
      <c r="I100" s="230"/>
    </row>
    <row r="101" spans="1:9" hidden="1" outlineLevel="1" x14ac:dyDescent="0.25">
      <c r="A101" s="253"/>
      <c r="B101" s="251"/>
      <c r="D101" s="230"/>
      <c r="E101" s="230"/>
      <c r="F101" s="230"/>
      <c r="G101" s="230"/>
      <c r="H101" s="230"/>
      <c r="I101" s="230"/>
    </row>
    <row r="102" spans="1:9" hidden="1" outlineLevel="1" x14ac:dyDescent="0.25">
      <c r="A102" s="253"/>
      <c r="B102" s="251"/>
      <c r="D102" s="230"/>
      <c r="E102" s="230"/>
      <c r="F102" s="230"/>
      <c r="G102" s="230"/>
      <c r="H102" s="230"/>
      <c r="I102" s="230"/>
    </row>
    <row r="103" spans="1:9" hidden="1" outlineLevel="1" x14ac:dyDescent="0.25">
      <c r="A103" s="253"/>
      <c r="B103" s="251"/>
      <c r="D103" s="230"/>
      <c r="E103" s="230"/>
      <c r="F103" s="230"/>
      <c r="G103" s="230"/>
      <c r="H103" s="230"/>
      <c r="I103" s="230"/>
    </row>
    <row r="104" spans="1:9" hidden="1" outlineLevel="1" x14ac:dyDescent="0.25">
      <c r="A104" s="253"/>
      <c r="B104" s="251"/>
      <c r="D104" s="230"/>
      <c r="E104" s="230"/>
      <c r="F104" s="230"/>
      <c r="G104" s="230"/>
      <c r="H104" s="230"/>
      <c r="I104" s="230"/>
    </row>
    <row r="105" spans="1:9" hidden="1" outlineLevel="1" x14ac:dyDescent="0.25">
      <c r="A105" s="253"/>
      <c r="B105" s="251"/>
      <c r="D105" s="230"/>
      <c r="E105" s="230"/>
      <c r="F105" s="230"/>
      <c r="G105" s="230"/>
      <c r="H105" s="230"/>
      <c r="I105" s="230"/>
    </row>
    <row r="106" spans="1:9" hidden="1" outlineLevel="1" x14ac:dyDescent="0.25">
      <c r="A106" s="253"/>
      <c r="B106" s="251"/>
      <c r="D106" s="230"/>
      <c r="E106" s="230"/>
      <c r="F106" s="230"/>
      <c r="G106" s="230"/>
      <c r="H106" s="230"/>
      <c r="I106" s="230"/>
    </row>
    <row r="107" spans="1:9" hidden="1" outlineLevel="1" x14ac:dyDescent="0.25">
      <c r="A107" s="253"/>
      <c r="B107" s="251"/>
      <c r="D107" s="230"/>
      <c r="E107" s="230"/>
      <c r="F107" s="230"/>
      <c r="G107" s="230"/>
      <c r="H107" s="230"/>
      <c r="I107" s="230"/>
    </row>
    <row r="108" spans="1:9" hidden="1" outlineLevel="1" x14ac:dyDescent="0.25">
      <c r="A108" s="253"/>
      <c r="B108" s="251"/>
      <c r="D108" s="230"/>
      <c r="E108" s="230"/>
      <c r="F108" s="230"/>
      <c r="G108" s="230"/>
      <c r="H108" s="230"/>
      <c r="I108" s="230"/>
    </row>
    <row r="109" spans="1:9" hidden="1" outlineLevel="1" x14ac:dyDescent="0.25">
      <c r="A109" s="253"/>
      <c r="B109" s="251"/>
      <c r="D109" s="230"/>
      <c r="E109" s="230"/>
      <c r="F109" s="230"/>
      <c r="G109" s="230"/>
      <c r="H109" s="230"/>
      <c r="I109" s="230"/>
    </row>
    <row r="110" spans="1:9" hidden="1" outlineLevel="1" x14ac:dyDescent="0.25">
      <c r="A110" s="253"/>
      <c r="B110" s="251"/>
      <c r="D110" s="230"/>
      <c r="E110" s="230"/>
      <c r="F110" s="230"/>
      <c r="G110" s="230"/>
      <c r="H110" s="230"/>
      <c r="I110" s="230"/>
    </row>
    <row r="111" spans="1:9" hidden="1" outlineLevel="1" x14ac:dyDescent="0.25">
      <c r="A111" s="253"/>
      <c r="B111" s="251"/>
      <c r="D111" s="230"/>
      <c r="E111" s="230"/>
      <c r="F111" s="230"/>
      <c r="G111" s="230"/>
      <c r="H111" s="230"/>
      <c r="I111" s="230"/>
    </row>
    <row r="112" spans="1:9" hidden="1" outlineLevel="1" x14ac:dyDescent="0.25">
      <c r="A112" s="253"/>
      <c r="B112" s="251"/>
      <c r="D112" s="230"/>
      <c r="E112" s="230"/>
      <c r="F112" s="230"/>
      <c r="G112" s="230"/>
      <c r="H112" s="230"/>
      <c r="I112" s="230"/>
    </row>
    <row r="113" spans="1:9" hidden="1" outlineLevel="1" x14ac:dyDescent="0.25">
      <c r="A113" s="253"/>
      <c r="B113" s="251"/>
      <c r="D113" s="230"/>
      <c r="E113" s="230"/>
      <c r="F113" s="230"/>
      <c r="G113" s="230"/>
      <c r="H113" s="230"/>
      <c r="I113" s="230"/>
    </row>
    <row r="114" spans="1:9" hidden="1" outlineLevel="1" x14ac:dyDescent="0.25">
      <c r="A114" s="253"/>
      <c r="B114" s="251"/>
      <c r="D114" s="230"/>
      <c r="E114" s="230"/>
      <c r="F114" s="230"/>
      <c r="G114" s="230"/>
      <c r="H114" s="230"/>
      <c r="I114" s="230"/>
    </row>
    <row r="115" spans="1:9" hidden="1" outlineLevel="1" x14ac:dyDescent="0.25">
      <c r="A115" s="253"/>
      <c r="B115" s="251"/>
      <c r="D115" s="230"/>
      <c r="E115" s="230"/>
      <c r="F115" s="230"/>
      <c r="G115" s="230"/>
      <c r="H115" s="230"/>
      <c r="I115" s="230"/>
    </row>
    <row r="116" spans="1:9" hidden="1" outlineLevel="1" x14ac:dyDescent="0.25">
      <c r="A116" s="253"/>
      <c r="B116" s="251"/>
      <c r="D116" s="230"/>
      <c r="E116" s="230"/>
      <c r="F116" s="230"/>
      <c r="G116" s="230"/>
      <c r="H116" s="230"/>
      <c r="I116" s="230"/>
    </row>
    <row r="117" spans="1:9" hidden="1" outlineLevel="1" x14ac:dyDescent="0.25">
      <c r="A117" s="253"/>
      <c r="B117" s="251"/>
      <c r="D117" s="230"/>
      <c r="E117" s="230"/>
      <c r="F117" s="230"/>
      <c r="G117" s="230"/>
      <c r="H117" s="230"/>
      <c r="I117" s="230"/>
    </row>
    <row r="118" spans="1:9" hidden="1" outlineLevel="1" x14ac:dyDescent="0.25">
      <c r="A118" s="253"/>
      <c r="B118" s="251"/>
      <c r="D118" s="230"/>
      <c r="E118" s="230"/>
      <c r="F118" s="230"/>
      <c r="G118" s="230"/>
      <c r="H118" s="230"/>
      <c r="I118" s="230"/>
    </row>
    <row r="119" spans="1:9" hidden="1" outlineLevel="1" x14ac:dyDescent="0.25">
      <c r="A119" s="253"/>
      <c r="B119" s="251"/>
      <c r="D119" s="230"/>
      <c r="E119" s="230"/>
      <c r="F119" s="230"/>
      <c r="G119" s="230"/>
      <c r="H119" s="230"/>
      <c r="I119" s="230"/>
    </row>
    <row r="120" spans="1:9" hidden="1" outlineLevel="1" x14ac:dyDescent="0.25">
      <c r="A120" s="253"/>
      <c r="B120" s="251"/>
      <c r="D120" s="230"/>
      <c r="E120" s="230"/>
      <c r="F120" s="230"/>
      <c r="G120" s="230"/>
      <c r="H120" s="230"/>
      <c r="I120" s="230"/>
    </row>
    <row r="121" spans="1:9" hidden="1" outlineLevel="1" x14ac:dyDescent="0.25">
      <c r="A121" s="253"/>
      <c r="B121" s="251"/>
      <c r="D121" s="230"/>
      <c r="E121" s="230"/>
      <c r="F121" s="230"/>
      <c r="G121" s="230"/>
      <c r="H121" s="230"/>
      <c r="I121" s="230"/>
    </row>
    <row r="122" spans="1:9" hidden="1" outlineLevel="1" x14ac:dyDescent="0.25">
      <c r="A122" s="253"/>
      <c r="B122" s="251"/>
      <c r="D122" s="230"/>
      <c r="E122" s="230"/>
      <c r="F122" s="230"/>
      <c r="G122" s="230"/>
      <c r="H122" s="230"/>
      <c r="I122" s="230"/>
    </row>
    <row r="123" spans="1:9" hidden="1" outlineLevel="1" x14ac:dyDescent="0.25">
      <c r="A123" s="253"/>
      <c r="B123" s="251"/>
      <c r="D123" s="230"/>
      <c r="E123" s="230"/>
      <c r="F123" s="230"/>
      <c r="G123" s="230"/>
      <c r="H123" s="230"/>
      <c r="I123" s="230"/>
    </row>
    <row r="124" spans="1:9" hidden="1" outlineLevel="1" x14ac:dyDescent="0.25">
      <c r="A124" s="253"/>
      <c r="B124" s="251"/>
      <c r="D124" s="230"/>
      <c r="E124" s="230"/>
      <c r="F124" s="230"/>
      <c r="G124" s="230"/>
      <c r="H124" s="230"/>
      <c r="I124" s="230"/>
    </row>
    <row r="125" spans="1:9" hidden="1" outlineLevel="1" x14ac:dyDescent="0.25">
      <c r="A125" s="253"/>
      <c r="B125" s="251"/>
      <c r="D125" s="230"/>
      <c r="E125" s="230"/>
      <c r="F125" s="230"/>
      <c r="G125" s="230"/>
      <c r="H125" s="230"/>
      <c r="I125" s="230"/>
    </row>
    <row r="126" spans="1:9" hidden="1" outlineLevel="1" x14ac:dyDescent="0.25">
      <c r="A126" s="253"/>
      <c r="B126" s="251"/>
      <c r="D126" s="230"/>
      <c r="E126" s="230"/>
      <c r="F126" s="230"/>
      <c r="G126" s="230"/>
      <c r="H126" s="230"/>
      <c r="I126" s="230"/>
    </row>
    <row r="127" spans="1:9" hidden="1" outlineLevel="1" x14ac:dyDescent="0.25">
      <c r="A127" s="253"/>
      <c r="B127" s="251"/>
      <c r="D127" s="230"/>
      <c r="E127" s="230"/>
      <c r="F127" s="230"/>
      <c r="G127" s="230"/>
      <c r="H127" s="230"/>
      <c r="I127" s="230"/>
    </row>
    <row r="128" spans="1:9" hidden="1" outlineLevel="1" x14ac:dyDescent="0.25">
      <c r="A128" s="253"/>
      <c r="B128" s="251"/>
      <c r="D128" s="230"/>
      <c r="E128" s="230"/>
      <c r="F128" s="230"/>
      <c r="G128" s="230"/>
      <c r="H128" s="230"/>
      <c r="I128" s="230"/>
    </row>
    <row r="129" spans="1:9" hidden="1" outlineLevel="1" x14ac:dyDescent="0.25">
      <c r="A129" s="253"/>
      <c r="B129" s="251"/>
      <c r="D129" s="230"/>
      <c r="E129" s="230"/>
      <c r="F129" s="230"/>
      <c r="G129" s="230"/>
      <c r="H129" s="230"/>
      <c r="I129" s="230"/>
    </row>
    <row r="130" spans="1:9" hidden="1" outlineLevel="1" x14ac:dyDescent="0.25">
      <c r="A130" s="253"/>
      <c r="B130" s="251"/>
      <c r="D130" s="230"/>
      <c r="E130" s="230"/>
      <c r="F130" s="230"/>
      <c r="G130" s="230"/>
      <c r="H130" s="230"/>
      <c r="I130" s="230"/>
    </row>
    <row r="131" spans="1:9" hidden="1" outlineLevel="1" x14ac:dyDescent="0.25">
      <c r="A131" s="253"/>
      <c r="B131" s="251"/>
      <c r="D131" s="230"/>
      <c r="E131" s="230"/>
      <c r="F131" s="230"/>
      <c r="G131" s="230"/>
      <c r="H131" s="230"/>
      <c r="I131" s="230"/>
    </row>
    <row r="132" spans="1:9" hidden="1" outlineLevel="1" x14ac:dyDescent="0.25">
      <c r="A132" s="253"/>
      <c r="B132" s="251"/>
      <c r="D132" s="230"/>
      <c r="E132" s="230"/>
      <c r="F132" s="230"/>
      <c r="G132" s="230"/>
      <c r="H132" s="230"/>
      <c r="I132" s="230"/>
    </row>
    <row r="133" spans="1:9" hidden="1" outlineLevel="1" x14ac:dyDescent="0.25">
      <c r="A133" s="253"/>
      <c r="B133" s="251"/>
      <c r="D133" s="230"/>
      <c r="E133" s="230"/>
      <c r="F133" s="230"/>
      <c r="G133" s="230"/>
      <c r="H133" s="230"/>
      <c r="I133" s="230"/>
    </row>
    <row r="134" spans="1:9" hidden="1" outlineLevel="1" x14ac:dyDescent="0.25">
      <c r="A134" s="253"/>
      <c r="B134" s="251"/>
      <c r="D134" s="230"/>
      <c r="E134" s="230"/>
      <c r="F134" s="230"/>
      <c r="G134" s="230"/>
      <c r="H134" s="230"/>
      <c r="I134" s="230"/>
    </row>
    <row r="135" spans="1:9" hidden="1" outlineLevel="1" x14ac:dyDescent="0.25">
      <c r="A135" s="253"/>
      <c r="B135" s="251"/>
      <c r="D135" s="230"/>
      <c r="E135" s="230"/>
      <c r="F135" s="230"/>
      <c r="G135" s="230"/>
      <c r="H135" s="230"/>
      <c r="I135" s="230"/>
    </row>
    <row r="136" spans="1:9" hidden="1" outlineLevel="1" x14ac:dyDescent="0.25">
      <c r="A136" s="253"/>
      <c r="B136" s="251"/>
      <c r="D136" s="230"/>
      <c r="E136" s="230"/>
      <c r="F136" s="230"/>
      <c r="G136" s="230"/>
      <c r="H136" s="230"/>
      <c r="I136" s="230"/>
    </row>
    <row r="137" spans="1:9" hidden="1" outlineLevel="1" x14ac:dyDescent="0.25">
      <c r="A137" s="253"/>
      <c r="B137" s="251"/>
      <c r="D137" s="230"/>
      <c r="E137" s="230"/>
      <c r="F137" s="230"/>
      <c r="G137" s="230"/>
      <c r="H137" s="230"/>
      <c r="I137" s="230"/>
    </row>
    <row r="138" spans="1:9" hidden="1" outlineLevel="1" x14ac:dyDescent="0.25">
      <c r="A138" s="253"/>
      <c r="B138" s="251"/>
      <c r="D138" s="230"/>
      <c r="E138" s="230"/>
      <c r="F138" s="230"/>
      <c r="G138" s="230"/>
      <c r="H138" s="230"/>
      <c r="I138" s="230"/>
    </row>
    <row r="139" spans="1:9" hidden="1" outlineLevel="1" x14ac:dyDescent="0.25">
      <c r="A139" s="253"/>
      <c r="B139" s="251"/>
      <c r="D139" s="230"/>
      <c r="E139" s="230"/>
      <c r="F139" s="230"/>
      <c r="G139" s="230"/>
      <c r="H139" s="230"/>
      <c r="I139" s="230"/>
    </row>
    <row r="140" spans="1:9" hidden="1" outlineLevel="1" x14ac:dyDescent="0.25">
      <c r="A140" s="253"/>
      <c r="B140" s="251"/>
      <c r="D140" s="230"/>
      <c r="E140" s="230"/>
      <c r="F140" s="230"/>
      <c r="G140" s="230"/>
      <c r="H140" s="230"/>
      <c r="I140" s="230"/>
    </row>
    <row r="141" spans="1:9" hidden="1" outlineLevel="1" x14ac:dyDescent="0.25">
      <c r="A141" s="253"/>
      <c r="B141" s="251"/>
      <c r="D141" s="230"/>
      <c r="E141" s="230"/>
      <c r="F141" s="230"/>
      <c r="G141" s="230"/>
      <c r="H141" s="230"/>
      <c r="I141" s="230"/>
    </row>
    <row r="142" spans="1:9" hidden="1" outlineLevel="1" x14ac:dyDescent="0.25">
      <c r="A142" s="253"/>
      <c r="B142" s="251"/>
      <c r="D142" s="230"/>
      <c r="E142" s="230"/>
      <c r="F142" s="230"/>
      <c r="G142" s="230"/>
      <c r="H142" s="230"/>
      <c r="I142" s="230"/>
    </row>
    <row r="143" spans="1:9" hidden="1" outlineLevel="1" x14ac:dyDescent="0.25">
      <c r="A143" s="253"/>
      <c r="B143" s="251"/>
      <c r="D143" s="230"/>
      <c r="E143" s="230"/>
      <c r="F143" s="230"/>
      <c r="G143" s="230"/>
      <c r="H143" s="230"/>
      <c r="I143" s="230"/>
    </row>
    <row r="144" spans="1:9" hidden="1" outlineLevel="1" x14ac:dyDescent="0.25">
      <c r="A144" s="253"/>
      <c r="B144" s="251"/>
      <c r="D144" s="230"/>
      <c r="E144" s="230"/>
      <c r="F144" s="230"/>
      <c r="G144" s="230"/>
      <c r="H144" s="230"/>
      <c r="I144" s="230"/>
    </row>
    <row r="145" spans="1:9" hidden="1" outlineLevel="1" x14ac:dyDescent="0.25">
      <c r="A145" s="253"/>
      <c r="B145" s="251"/>
      <c r="D145" s="230"/>
      <c r="E145" s="230"/>
      <c r="F145" s="230"/>
      <c r="G145" s="230"/>
      <c r="H145" s="230"/>
      <c r="I145" s="230"/>
    </row>
    <row r="146" spans="1:9" hidden="1" outlineLevel="1" x14ac:dyDescent="0.25">
      <c r="A146" s="253"/>
      <c r="B146" s="251"/>
      <c r="D146" s="230"/>
      <c r="E146" s="230"/>
      <c r="F146" s="230"/>
      <c r="G146" s="230"/>
      <c r="H146" s="230"/>
      <c r="I146" s="230"/>
    </row>
    <row r="147" spans="1:9" hidden="1" outlineLevel="1" x14ac:dyDescent="0.25">
      <c r="A147" s="253"/>
      <c r="B147" s="251"/>
      <c r="D147" s="230"/>
      <c r="E147" s="230"/>
      <c r="F147" s="230"/>
      <c r="G147" s="230"/>
      <c r="H147" s="230"/>
      <c r="I147" s="230"/>
    </row>
    <row r="148" spans="1:9" hidden="1" outlineLevel="1" x14ac:dyDescent="0.25">
      <c r="A148" s="253"/>
      <c r="B148" s="251"/>
      <c r="D148" s="230"/>
      <c r="E148" s="230"/>
      <c r="F148" s="230"/>
      <c r="G148" s="230"/>
      <c r="H148" s="230"/>
      <c r="I148" s="230"/>
    </row>
    <row r="149" spans="1:9" hidden="1" outlineLevel="1" x14ac:dyDescent="0.25">
      <c r="A149" s="253"/>
      <c r="B149" s="251"/>
      <c r="D149" s="230"/>
      <c r="E149" s="230"/>
      <c r="F149" s="230"/>
      <c r="G149" s="230"/>
      <c r="H149" s="230"/>
      <c r="I149" s="230"/>
    </row>
    <row r="150" spans="1:9" hidden="1" outlineLevel="1" x14ac:dyDescent="0.25">
      <c r="A150" s="253"/>
      <c r="B150" s="251"/>
      <c r="D150" s="230"/>
      <c r="E150" s="230"/>
      <c r="F150" s="230"/>
      <c r="G150" s="230"/>
      <c r="H150" s="230"/>
      <c r="I150" s="230"/>
    </row>
    <row r="151" spans="1:9" hidden="1" outlineLevel="1" x14ac:dyDescent="0.25">
      <c r="A151" s="253"/>
      <c r="B151" s="251"/>
      <c r="D151" s="230"/>
      <c r="E151" s="230"/>
      <c r="F151" s="230"/>
      <c r="G151" s="230"/>
      <c r="H151" s="230"/>
      <c r="I151" s="230"/>
    </row>
    <row r="152" spans="1:9" hidden="1" outlineLevel="1" x14ac:dyDescent="0.25">
      <c r="A152" s="253"/>
      <c r="B152" s="251"/>
      <c r="D152" s="230"/>
      <c r="E152" s="230"/>
      <c r="F152" s="230"/>
      <c r="G152" s="230"/>
      <c r="H152" s="230"/>
      <c r="I152" s="230"/>
    </row>
    <row r="153" spans="1:9" hidden="1" outlineLevel="1" x14ac:dyDescent="0.25">
      <c r="A153" s="253"/>
      <c r="B153" s="251"/>
      <c r="D153" s="230"/>
      <c r="E153" s="230"/>
      <c r="F153" s="230"/>
      <c r="G153" s="230"/>
      <c r="H153" s="230"/>
      <c r="I153" s="230"/>
    </row>
    <row r="154" spans="1:9" hidden="1" outlineLevel="1" x14ac:dyDescent="0.25">
      <c r="A154" s="253"/>
      <c r="B154" s="251"/>
      <c r="D154" s="230"/>
      <c r="E154" s="230"/>
      <c r="F154" s="230"/>
      <c r="G154" s="230"/>
      <c r="H154" s="230"/>
      <c r="I154" s="230"/>
    </row>
    <row r="155" spans="1:9" hidden="1" outlineLevel="1" x14ac:dyDescent="0.25">
      <c r="A155" s="253"/>
      <c r="B155" s="251"/>
      <c r="D155" s="230"/>
      <c r="E155" s="230"/>
      <c r="F155" s="230"/>
      <c r="G155" s="230"/>
      <c r="H155" s="230"/>
      <c r="I155" s="230"/>
    </row>
    <row r="156" spans="1:9" hidden="1" outlineLevel="1" x14ac:dyDescent="0.25">
      <c r="A156" s="253"/>
      <c r="B156" s="251"/>
      <c r="D156" s="230"/>
      <c r="E156" s="230"/>
      <c r="F156" s="230"/>
      <c r="G156" s="230"/>
      <c r="H156" s="230"/>
      <c r="I156" s="230"/>
    </row>
    <row r="157" spans="1:9" hidden="1" outlineLevel="1" x14ac:dyDescent="0.25">
      <c r="A157" s="253"/>
      <c r="B157" s="251"/>
      <c r="D157" s="230"/>
      <c r="E157" s="230"/>
      <c r="F157" s="230"/>
      <c r="G157" s="230"/>
      <c r="H157" s="230"/>
      <c r="I157" s="230"/>
    </row>
    <row r="158" spans="1:9" hidden="1" outlineLevel="1" x14ac:dyDescent="0.25">
      <c r="A158" s="253"/>
      <c r="B158" s="251"/>
      <c r="D158" s="230"/>
      <c r="E158" s="230"/>
      <c r="F158" s="230"/>
      <c r="G158" s="230"/>
      <c r="H158" s="230"/>
      <c r="I158" s="230"/>
    </row>
    <row r="159" spans="1:9" hidden="1" outlineLevel="1" x14ac:dyDescent="0.25">
      <c r="A159" s="253"/>
      <c r="B159" s="251"/>
      <c r="D159" s="230"/>
      <c r="E159" s="230"/>
      <c r="F159" s="230"/>
      <c r="G159" s="230"/>
      <c r="H159" s="230"/>
      <c r="I159" s="230"/>
    </row>
    <row r="160" spans="1:9" hidden="1" outlineLevel="1" x14ac:dyDescent="0.25">
      <c r="A160" s="253"/>
      <c r="B160" s="251"/>
      <c r="D160" s="230"/>
      <c r="E160" s="230"/>
      <c r="F160" s="230"/>
      <c r="G160" s="230"/>
      <c r="H160" s="230"/>
      <c r="I160" s="230"/>
    </row>
    <row r="161" spans="1:9" hidden="1" outlineLevel="1" x14ac:dyDescent="0.25">
      <c r="A161" s="253"/>
      <c r="B161" s="251"/>
      <c r="D161" s="230"/>
      <c r="E161" s="230"/>
      <c r="F161" s="230"/>
      <c r="G161" s="230"/>
      <c r="H161" s="230"/>
      <c r="I161" s="230"/>
    </row>
    <row r="162" spans="1:9" hidden="1" outlineLevel="1" x14ac:dyDescent="0.25">
      <c r="A162" s="253"/>
      <c r="B162" s="251"/>
      <c r="D162" s="230"/>
      <c r="E162" s="230"/>
      <c r="F162" s="230"/>
      <c r="G162" s="230"/>
      <c r="H162" s="230"/>
      <c r="I162" s="230"/>
    </row>
    <row r="163" spans="1:9" hidden="1" outlineLevel="1" x14ac:dyDescent="0.25">
      <c r="A163" s="253"/>
      <c r="B163" s="251"/>
      <c r="D163" s="230"/>
      <c r="E163" s="230"/>
      <c r="F163" s="230"/>
      <c r="G163" s="230"/>
      <c r="H163" s="230"/>
      <c r="I163" s="230"/>
    </row>
    <row r="164" spans="1:9" hidden="1" outlineLevel="2" x14ac:dyDescent="0.25">
      <c r="A164" s="253">
        <v>2</v>
      </c>
      <c r="B164" s="227">
        <v>44197</v>
      </c>
      <c r="D164" s="230">
        <v>0</v>
      </c>
      <c r="E164" s="230"/>
      <c r="F164" s="281">
        <v>0</v>
      </c>
      <c r="G164" s="245">
        <f>0</f>
        <v>0</v>
      </c>
      <c r="H164" s="230">
        <f t="shared" ref="H164:H225" si="0">+D164+E164+G164</f>
        <v>0</v>
      </c>
      <c r="I164" s="229">
        <v>0</v>
      </c>
    </row>
    <row r="165" spans="1:9" hidden="1" outlineLevel="2" x14ac:dyDescent="0.25">
      <c r="A165" s="253">
        <f t="shared" ref="A165:A228" si="1">+A164+1</f>
        <v>3</v>
      </c>
      <c r="B165" s="227">
        <v>44228</v>
      </c>
      <c r="D165" s="230">
        <v>0</v>
      </c>
      <c r="E165" s="230"/>
      <c r="F165" s="281">
        <v>0</v>
      </c>
      <c r="G165" s="245">
        <f>0</f>
        <v>0</v>
      </c>
      <c r="H165" s="230">
        <f t="shared" si="0"/>
        <v>0</v>
      </c>
      <c r="I165" s="229">
        <v>0</v>
      </c>
    </row>
    <row r="166" spans="1:9" hidden="1" outlineLevel="2" x14ac:dyDescent="0.25">
      <c r="A166" s="253">
        <f t="shared" si="1"/>
        <v>4</v>
      </c>
      <c r="B166" s="227">
        <v>44256</v>
      </c>
      <c r="D166" s="230">
        <v>0</v>
      </c>
      <c r="E166" s="230"/>
      <c r="F166" s="281">
        <v>0</v>
      </c>
      <c r="G166" s="245">
        <f>0</f>
        <v>0</v>
      </c>
      <c r="H166" s="230">
        <f t="shared" si="0"/>
        <v>0</v>
      </c>
      <c r="I166" s="229">
        <v>0</v>
      </c>
    </row>
    <row r="167" spans="1:9" hidden="1" outlineLevel="2" x14ac:dyDescent="0.25">
      <c r="A167" s="253">
        <f t="shared" si="1"/>
        <v>5</v>
      </c>
      <c r="B167" s="227">
        <v>44287</v>
      </c>
      <c r="D167" s="230">
        <v>0</v>
      </c>
      <c r="E167" s="230"/>
      <c r="F167" s="281">
        <v>0</v>
      </c>
      <c r="G167" s="245">
        <f>0</f>
        <v>0</v>
      </c>
      <c r="H167" s="230">
        <f t="shared" si="0"/>
        <v>0</v>
      </c>
      <c r="I167" s="229">
        <v>0</v>
      </c>
    </row>
    <row r="168" spans="1:9" hidden="1" outlineLevel="2" x14ac:dyDescent="0.25">
      <c r="A168" s="253">
        <f t="shared" si="1"/>
        <v>6</v>
      </c>
      <c r="B168" s="227">
        <v>44317</v>
      </c>
      <c r="D168" s="230">
        <v>0</v>
      </c>
      <c r="E168" s="230"/>
      <c r="F168" s="281">
        <v>0</v>
      </c>
      <c r="G168" s="245">
        <f>0</f>
        <v>0</v>
      </c>
      <c r="H168" s="230">
        <f t="shared" si="0"/>
        <v>0</v>
      </c>
      <c r="I168" s="229">
        <f t="shared" ref="I168:I225" si="2">+I167+H168</f>
        <v>0</v>
      </c>
    </row>
    <row r="169" spans="1:9" hidden="1" outlineLevel="2" x14ac:dyDescent="0.25">
      <c r="A169" s="253">
        <f t="shared" si="1"/>
        <v>7</v>
      </c>
      <c r="B169" s="227">
        <v>44348</v>
      </c>
      <c r="D169" s="230">
        <v>0</v>
      </c>
      <c r="E169" s="230"/>
      <c r="F169" s="281">
        <v>0</v>
      </c>
      <c r="G169" s="245">
        <f t="shared" ref="G169:G174" si="3">ROUND((+I168+E169+(D169/2))*F169/12,2)</f>
        <v>0</v>
      </c>
      <c r="H169" s="230">
        <f t="shared" si="0"/>
        <v>0</v>
      </c>
      <c r="I169" s="229">
        <f t="shared" si="2"/>
        <v>0</v>
      </c>
    </row>
    <row r="170" spans="1:9" hidden="1" outlineLevel="2" x14ac:dyDescent="0.25">
      <c r="A170" s="253">
        <f t="shared" si="1"/>
        <v>8</v>
      </c>
      <c r="B170" s="227">
        <v>44378</v>
      </c>
      <c r="D170" s="230">
        <v>0</v>
      </c>
      <c r="E170" s="230"/>
      <c r="F170" s="281">
        <v>0</v>
      </c>
      <c r="G170" s="245">
        <f t="shared" si="3"/>
        <v>0</v>
      </c>
      <c r="H170" s="230">
        <f t="shared" si="0"/>
        <v>0</v>
      </c>
      <c r="I170" s="229">
        <f t="shared" si="2"/>
        <v>0</v>
      </c>
    </row>
    <row r="171" spans="1:9" hidden="1" outlineLevel="2" x14ac:dyDescent="0.25">
      <c r="A171" s="253">
        <f t="shared" si="1"/>
        <v>9</v>
      </c>
      <c r="B171" s="227">
        <v>44409</v>
      </c>
      <c r="D171" s="230">
        <v>0</v>
      </c>
      <c r="E171" s="230"/>
      <c r="F171" s="281">
        <v>0</v>
      </c>
      <c r="G171" s="245">
        <f t="shared" si="3"/>
        <v>0</v>
      </c>
      <c r="H171" s="230">
        <f t="shared" si="0"/>
        <v>0</v>
      </c>
      <c r="I171" s="229">
        <f t="shared" si="2"/>
        <v>0</v>
      </c>
    </row>
    <row r="172" spans="1:9" hidden="1" outlineLevel="2" x14ac:dyDescent="0.25">
      <c r="A172" s="253">
        <f t="shared" si="1"/>
        <v>10</v>
      </c>
      <c r="B172" s="227">
        <v>44440</v>
      </c>
      <c r="D172" s="230">
        <v>0</v>
      </c>
      <c r="E172" s="230"/>
      <c r="F172" s="281">
        <v>0</v>
      </c>
      <c r="G172" s="245">
        <f t="shared" si="3"/>
        <v>0</v>
      </c>
      <c r="H172" s="230">
        <f t="shared" si="0"/>
        <v>0</v>
      </c>
      <c r="I172" s="229">
        <f t="shared" si="2"/>
        <v>0</v>
      </c>
    </row>
    <row r="173" spans="1:9" hidden="1" outlineLevel="2" x14ac:dyDescent="0.25">
      <c r="A173" s="253">
        <f t="shared" si="1"/>
        <v>11</v>
      </c>
      <c r="B173" s="227">
        <v>44470</v>
      </c>
      <c r="D173" s="230">
        <v>0</v>
      </c>
      <c r="E173" s="230"/>
      <c r="F173" s="281">
        <v>0</v>
      </c>
      <c r="G173" s="245">
        <f t="shared" si="3"/>
        <v>0</v>
      </c>
      <c r="H173" s="230">
        <f t="shared" si="0"/>
        <v>0</v>
      </c>
      <c r="I173" s="229">
        <f t="shared" si="2"/>
        <v>0</v>
      </c>
    </row>
    <row r="174" spans="1:9" hidden="1" outlineLevel="2" x14ac:dyDescent="0.25">
      <c r="A174" s="253">
        <f t="shared" si="1"/>
        <v>12</v>
      </c>
      <c r="B174" s="227">
        <v>44501</v>
      </c>
      <c r="C174" s="250" t="s">
        <v>186</v>
      </c>
      <c r="D174" s="230">
        <v>0</v>
      </c>
      <c r="E174" s="230"/>
      <c r="F174" s="281">
        <v>0</v>
      </c>
      <c r="G174" s="245">
        <f t="shared" si="3"/>
        <v>0</v>
      </c>
      <c r="H174" s="230">
        <f t="shared" si="0"/>
        <v>0</v>
      </c>
      <c r="I174" s="229">
        <f t="shared" si="2"/>
        <v>0</v>
      </c>
    </row>
    <row r="175" spans="1:9" hidden="1" outlineLevel="1" collapsed="1" x14ac:dyDescent="0.25">
      <c r="A175" s="253">
        <f t="shared" si="1"/>
        <v>13</v>
      </c>
      <c r="B175" s="227">
        <v>44501</v>
      </c>
      <c r="C175" s="250" t="s">
        <v>185</v>
      </c>
      <c r="D175" s="230">
        <v>0</v>
      </c>
      <c r="E175" s="230"/>
      <c r="F175" s="281"/>
      <c r="G175" s="245">
        <f>ROUND((+E175+(D175/2))*F175/12,2)</f>
        <v>0</v>
      </c>
      <c r="H175" s="230">
        <f t="shared" si="0"/>
        <v>0</v>
      </c>
      <c r="I175" s="229">
        <f t="shared" si="2"/>
        <v>0</v>
      </c>
    </row>
    <row r="176" spans="1:9" hidden="1" outlineLevel="1" collapsed="1" x14ac:dyDescent="0.25">
      <c r="A176" s="253">
        <f t="shared" si="1"/>
        <v>14</v>
      </c>
      <c r="B176" s="227">
        <v>44531</v>
      </c>
      <c r="D176" s="230">
        <v>0</v>
      </c>
      <c r="E176" s="230"/>
      <c r="F176" s="281"/>
      <c r="G176" s="245">
        <f t="shared" ref="G176:G213" si="4">ROUND((+I175+E176+(D176/2))*F176/12,2)</f>
        <v>0</v>
      </c>
      <c r="H176" s="230">
        <f t="shared" si="0"/>
        <v>0</v>
      </c>
      <c r="I176" s="229">
        <f t="shared" si="2"/>
        <v>0</v>
      </c>
    </row>
    <row r="177" spans="1:9" hidden="1" outlineLevel="1" x14ac:dyDescent="0.25">
      <c r="A177" s="253">
        <f t="shared" si="1"/>
        <v>15</v>
      </c>
      <c r="B177" s="227">
        <v>44562</v>
      </c>
      <c r="D177" s="230">
        <v>0</v>
      </c>
      <c r="E177" s="230"/>
      <c r="F177" s="281"/>
      <c r="G177" s="245">
        <f t="shared" si="4"/>
        <v>0</v>
      </c>
      <c r="H177" s="230">
        <f t="shared" si="0"/>
        <v>0</v>
      </c>
      <c r="I177" s="229">
        <f t="shared" si="2"/>
        <v>0</v>
      </c>
    </row>
    <row r="178" spans="1:9" hidden="1" outlineLevel="1" x14ac:dyDescent="0.25">
      <c r="A178" s="253">
        <f t="shared" si="1"/>
        <v>16</v>
      </c>
      <c r="B178" s="227">
        <v>44593</v>
      </c>
      <c r="D178" s="230">
        <v>0</v>
      </c>
      <c r="E178" s="230"/>
      <c r="F178" s="281"/>
      <c r="G178" s="245">
        <f t="shared" si="4"/>
        <v>0</v>
      </c>
      <c r="H178" s="230">
        <f t="shared" si="0"/>
        <v>0</v>
      </c>
      <c r="I178" s="229">
        <f t="shared" si="2"/>
        <v>0</v>
      </c>
    </row>
    <row r="179" spans="1:9" hidden="1" outlineLevel="1" x14ac:dyDescent="0.25">
      <c r="A179" s="253">
        <f t="shared" si="1"/>
        <v>17</v>
      </c>
      <c r="B179" s="227">
        <v>44621</v>
      </c>
      <c r="D179" s="230">
        <v>0</v>
      </c>
      <c r="E179" s="230"/>
      <c r="F179" s="281"/>
      <c r="G179" s="245">
        <f t="shared" si="4"/>
        <v>0</v>
      </c>
      <c r="H179" s="230">
        <f t="shared" si="0"/>
        <v>0</v>
      </c>
      <c r="I179" s="229">
        <f t="shared" si="2"/>
        <v>0</v>
      </c>
    </row>
    <row r="180" spans="1:9" hidden="1" outlineLevel="1" x14ac:dyDescent="0.25">
      <c r="A180" s="253">
        <f t="shared" si="1"/>
        <v>18</v>
      </c>
      <c r="B180" s="227">
        <v>44652</v>
      </c>
      <c r="D180" s="230">
        <v>0</v>
      </c>
      <c r="E180" s="230"/>
      <c r="F180" s="281"/>
      <c r="G180" s="245">
        <f t="shared" si="4"/>
        <v>0</v>
      </c>
      <c r="H180" s="230">
        <f t="shared" si="0"/>
        <v>0</v>
      </c>
      <c r="I180" s="229">
        <f t="shared" si="2"/>
        <v>0</v>
      </c>
    </row>
    <row r="181" spans="1:9" hidden="1" outlineLevel="1" x14ac:dyDescent="0.25">
      <c r="A181" s="253">
        <f t="shared" si="1"/>
        <v>19</v>
      </c>
      <c r="B181" s="227">
        <v>44682</v>
      </c>
      <c r="D181" s="230">
        <v>0</v>
      </c>
      <c r="E181" s="230"/>
      <c r="F181" s="281"/>
      <c r="G181" s="245">
        <f t="shared" si="4"/>
        <v>0</v>
      </c>
      <c r="H181" s="230">
        <f t="shared" si="0"/>
        <v>0</v>
      </c>
      <c r="I181" s="229">
        <f t="shared" si="2"/>
        <v>0</v>
      </c>
    </row>
    <row r="182" spans="1:9" hidden="1" outlineLevel="1" x14ac:dyDescent="0.25">
      <c r="A182" s="253">
        <f t="shared" si="1"/>
        <v>20</v>
      </c>
      <c r="B182" s="227">
        <v>44713</v>
      </c>
      <c r="D182" s="230">
        <v>0</v>
      </c>
      <c r="E182" s="230"/>
      <c r="F182" s="281"/>
      <c r="G182" s="245">
        <f t="shared" si="4"/>
        <v>0</v>
      </c>
      <c r="H182" s="230">
        <f t="shared" si="0"/>
        <v>0</v>
      </c>
      <c r="I182" s="229">
        <f t="shared" si="2"/>
        <v>0</v>
      </c>
    </row>
    <row r="183" spans="1:9" hidden="1" outlineLevel="1" x14ac:dyDescent="0.25">
      <c r="A183" s="253">
        <f t="shared" si="1"/>
        <v>21</v>
      </c>
      <c r="B183" s="227">
        <v>44743</v>
      </c>
      <c r="D183" s="230">
        <v>0</v>
      </c>
      <c r="E183" s="230"/>
      <c r="F183" s="281"/>
      <c r="G183" s="245">
        <f t="shared" si="4"/>
        <v>0</v>
      </c>
      <c r="H183" s="230">
        <f t="shared" si="0"/>
        <v>0</v>
      </c>
      <c r="I183" s="229">
        <f t="shared" si="2"/>
        <v>0</v>
      </c>
    </row>
    <row r="184" spans="1:9" hidden="1" outlineLevel="1" x14ac:dyDescent="0.25">
      <c r="A184" s="253">
        <f t="shared" si="1"/>
        <v>22</v>
      </c>
      <c r="B184" s="227">
        <v>44774</v>
      </c>
      <c r="D184" s="230">
        <v>0</v>
      </c>
      <c r="E184" s="230"/>
      <c r="F184" s="281"/>
      <c r="G184" s="245">
        <f t="shared" si="4"/>
        <v>0</v>
      </c>
      <c r="H184" s="230">
        <f t="shared" si="0"/>
        <v>0</v>
      </c>
      <c r="I184" s="229">
        <f t="shared" si="2"/>
        <v>0</v>
      </c>
    </row>
    <row r="185" spans="1:9" hidden="1" outlineLevel="1" x14ac:dyDescent="0.25">
      <c r="A185" s="253">
        <f t="shared" si="1"/>
        <v>23</v>
      </c>
      <c r="B185" s="227">
        <v>44805</v>
      </c>
      <c r="D185" s="230">
        <v>0</v>
      </c>
      <c r="E185" s="230"/>
      <c r="F185" s="281"/>
      <c r="G185" s="245">
        <f t="shared" si="4"/>
        <v>0</v>
      </c>
      <c r="H185" s="230">
        <f t="shared" si="0"/>
        <v>0</v>
      </c>
      <c r="I185" s="229">
        <f t="shared" si="2"/>
        <v>0</v>
      </c>
    </row>
    <row r="186" spans="1:9" hidden="1" outlineLevel="1" x14ac:dyDescent="0.25">
      <c r="A186" s="253">
        <f t="shared" si="1"/>
        <v>24</v>
      </c>
      <c r="B186" s="227">
        <v>44835</v>
      </c>
      <c r="D186" s="230">
        <v>0</v>
      </c>
      <c r="E186" s="230"/>
      <c r="F186" s="281"/>
      <c r="G186" s="245">
        <f t="shared" si="4"/>
        <v>0</v>
      </c>
      <c r="H186" s="230">
        <f t="shared" si="0"/>
        <v>0</v>
      </c>
      <c r="I186" s="229">
        <f t="shared" si="2"/>
        <v>0</v>
      </c>
    </row>
    <row r="187" spans="1:9" hidden="1" outlineLevel="1" x14ac:dyDescent="0.25">
      <c r="A187" s="253">
        <f t="shared" si="1"/>
        <v>25</v>
      </c>
      <c r="B187" s="227">
        <v>44866</v>
      </c>
      <c r="C187" s="250" t="s">
        <v>185</v>
      </c>
      <c r="D187" s="230">
        <v>0</v>
      </c>
      <c r="E187" s="230"/>
      <c r="F187" s="281"/>
      <c r="G187" s="245">
        <f t="shared" si="4"/>
        <v>0</v>
      </c>
      <c r="H187" s="230">
        <f t="shared" si="0"/>
        <v>0</v>
      </c>
      <c r="I187" s="229">
        <f t="shared" si="2"/>
        <v>0</v>
      </c>
    </row>
    <row r="188" spans="1:9" hidden="1" outlineLevel="1" collapsed="1" x14ac:dyDescent="0.25">
      <c r="A188" s="253">
        <f t="shared" si="1"/>
        <v>26</v>
      </c>
      <c r="B188" s="227">
        <v>44866</v>
      </c>
      <c r="C188" s="250" t="s">
        <v>186</v>
      </c>
      <c r="D188" s="230">
        <v>0</v>
      </c>
      <c r="E188" s="230"/>
      <c r="F188" s="281">
        <v>4.3999999999999997E-2</v>
      </c>
      <c r="G188" s="245">
        <f t="shared" si="4"/>
        <v>0</v>
      </c>
      <c r="H188" s="230">
        <f t="shared" si="0"/>
        <v>0</v>
      </c>
      <c r="I188" s="229">
        <f t="shared" si="2"/>
        <v>0</v>
      </c>
    </row>
    <row r="189" spans="1:9" hidden="1" outlineLevel="1" x14ac:dyDescent="0.25">
      <c r="A189" s="253">
        <f t="shared" si="1"/>
        <v>27</v>
      </c>
      <c r="B189" s="227">
        <v>44896</v>
      </c>
      <c r="D189" s="230">
        <v>0</v>
      </c>
      <c r="E189" s="230"/>
      <c r="F189" s="281">
        <v>4.5199999999999997E-2</v>
      </c>
      <c r="G189" s="245">
        <f t="shared" si="4"/>
        <v>0</v>
      </c>
      <c r="H189" s="230">
        <f t="shared" si="0"/>
        <v>0</v>
      </c>
      <c r="I189" s="229">
        <f t="shared" si="2"/>
        <v>0</v>
      </c>
    </row>
    <row r="190" spans="1:9" hidden="1" outlineLevel="1" x14ac:dyDescent="0.25">
      <c r="A190" s="253">
        <f t="shared" si="1"/>
        <v>28</v>
      </c>
      <c r="B190" s="227">
        <v>44927</v>
      </c>
      <c r="D190" s="230">
        <v>0</v>
      </c>
      <c r="E190" s="230"/>
      <c r="F190" s="281">
        <v>4.6600000000000003E-2</v>
      </c>
      <c r="G190" s="245">
        <f t="shared" si="4"/>
        <v>0</v>
      </c>
      <c r="H190" s="230">
        <f t="shared" si="0"/>
        <v>0</v>
      </c>
      <c r="I190" s="229">
        <f t="shared" si="2"/>
        <v>0</v>
      </c>
    </row>
    <row r="191" spans="1:9" hidden="1" outlineLevel="1" x14ac:dyDescent="0.25">
      <c r="A191" s="253">
        <f t="shared" si="1"/>
        <v>29</v>
      </c>
      <c r="B191" s="227">
        <v>44958</v>
      </c>
      <c r="D191" s="230">
        <v>0</v>
      </c>
      <c r="E191" s="230"/>
      <c r="F191" s="281">
        <v>4.8000000000000001E-2</v>
      </c>
      <c r="G191" s="245">
        <f t="shared" si="4"/>
        <v>0</v>
      </c>
      <c r="H191" s="230">
        <f t="shared" si="0"/>
        <v>0</v>
      </c>
      <c r="I191" s="229">
        <f t="shared" si="2"/>
        <v>0</v>
      </c>
    </row>
    <row r="192" spans="1:9" hidden="1" outlineLevel="1" x14ac:dyDescent="0.25">
      <c r="A192" s="253">
        <f t="shared" si="1"/>
        <v>30</v>
      </c>
      <c r="B192" s="227">
        <v>44986</v>
      </c>
      <c r="D192" s="230">
        <v>0</v>
      </c>
      <c r="E192" s="230"/>
      <c r="F192" s="281">
        <v>4.7699999999999999E-2</v>
      </c>
      <c r="G192" s="245">
        <f t="shared" si="4"/>
        <v>0</v>
      </c>
      <c r="H192" s="230">
        <f t="shared" si="0"/>
        <v>0</v>
      </c>
      <c r="I192" s="229">
        <f t="shared" si="2"/>
        <v>0</v>
      </c>
    </row>
    <row r="193" spans="1:9" hidden="1" outlineLevel="1" x14ac:dyDescent="0.25">
      <c r="A193" s="253">
        <f t="shared" si="1"/>
        <v>31</v>
      </c>
      <c r="B193" s="227">
        <v>45017</v>
      </c>
      <c r="D193" s="230">
        <v>-198502.58934000001</v>
      </c>
      <c r="E193" s="230">
        <v>2476015.04</v>
      </c>
      <c r="F193" s="267">
        <v>0.05</v>
      </c>
      <c r="G193" s="245">
        <f t="shared" si="4"/>
        <v>9903.18</v>
      </c>
      <c r="H193" s="230">
        <f t="shared" si="0"/>
        <v>2287415.6306600003</v>
      </c>
      <c r="I193" s="229">
        <f t="shared" si="2"/>
        <v>2287415.6306600003</v>
      </c>
    </row>
    <row r="194" spans="1:9" hidden="1" outlineLevel="1" x14ac:dyDescent="0.25">
      <c r="A194" s="253">
        <f t="shared" si="1"/>
        <v>32</v>
      </c>
      <c r="B194" s="227">
        <v>45047</v>
      </c>
      <c r="D194" s="230">
        <v>-439883.23</v>
      </c>
      <c r="E194" s="230"/>
      <c r="F194" s="267">
        <v>5.1799999999999999E-2</v>
      </c>
      <c r="G194" s="245">
        <f t="shared" si="4"/>
        <v>8924.6</v>
      </c>
      <c r="H194" s="230">
        <f t="shared" si="0"/>
        <v>-430958.63</v>
      </c>
      <c r="I194" s="229">
        <f t="shared" si="2"/>
        <v>1856457.0006600004</v>
      </c>
    </row>
    <row r="195" spans="1:9" hidden="1" outlineLevel="1" x14ac:dyDescent="0.25">
      <c r="A195" s="253">
        <f t="shared" si="1"/>
        <v>33</v>
      </c>
      <c r="B195" s="227">
        <v>45078</v>
      </c>
      <c r="D195" s="230">
        <v>-232159.65</v>
      </c>
      <c r="E195" s="230"/>
      <c r="F195" s="267">
        <v>5.1999999999999998E-2</v>
      </c>
      <c r="G195" s="245">
        <f t="shared" si="4"/>
        <v>7541.63</v>
      </c>
      <c r="H195" s="230">
        <f t="shared" si="0"/>
        <v>-224618.02</v>
      </c>
      <c r="I195" s="229">
        <f t="shared" si="2"/>
        <v>1631838.9806600004</v>
      </c>
    </row>
    <row r="196" spans="1:9" hidden="1" outlineLevel="1" x14ac:dyDescent="0.25">
      <c r="A196" s="253">
        <f t="shared" si="1"/>
        <v>34</v>
      </c>
      <c r="B196" s="227">
        <v>45108</v>
      </c>
      <c r="D196" s="230">
        <v>-181656.88</v>
      </c>
      <c r="E196" s="230"/>
      <c r="F196" s="267">
        <v>5.2699999999999997E-2</v>
      </c>
      <c r="G196" s="245">
        <f t="shared" si="4"/>
        <v>6767.6</v>
      </c>
      <c r="H196" s="230">
        <f t="shared" si="0"/>
        <v>-174889.28</v>
      </c>
      <c r="I196" s="229">
        <f t="shared" si="2"/>
        <v>1456949.7006600003</v>
      </c>
    </row>
    <row r="197" spans="1:9" hidden="1" outlineLevel="1" x14ac:dyDescent="0.25">
      <c r="A197" s="253">
        <f t="shared" si="1"/>
        <v>35</v>
      </c>
      <c r="B197" s="227">
        <v>45139</v>
      </c>
      <c r="D197" s="230">
        <v>-154784.37853198464</v>
      </c>
      <c r="E197" s="230"/>
      <c r="F197" s="267">
        <v>5.4300000000000001E-2</v>
      </c>
      <c r="G197" s="245">
        <f t="shared" si="4"/>
        <v>6242.5</v>
      </c>
      <c r="H197" s="230">
        <f t="shared" si="0"/>
        <v>-148541.87853198464</v>
      </c>
      <c r="I197" s="229">
        <f t="shared" si="2"/>
        <v>1308407.8221280156</v>
      </c>
    </row>
    <row r="198" spans="1:9" hidden="1" outlineLevel="1" x14ac:dyDescent="0.25">
      <c r="A198" s="253">
        <f t="shared" si="1"/>
        <v>36</v>
      </c>
      <c r="B198" s="227">
        <v>45170</v>
      </c>
      <c r="C198" s="284"/>
      <c r="D198" s="285">
        <v>-163766.28</v>
      </c>
      <c r="E198" s="230"/>
      <c r="F198" s="267">
        <v>5.4300000000000001E-2</v>
      </c>
      <c r="G198" s="245">
        <f t="shared" si="4"/>
        <v>5550.02</v>
      </c>
      <c r="H198" s="230">
        <f t="shared" si="0"/>
        <v>-158216.26</v>
      </c>
      <c r="I198" s="229">
        <f t="shared" si="2"/>
        <v>1150191.5621280156</v>
      </c>
    </row>
    <row r="199" spans="1:9" hidden="1" outlineLevel="1" x14ac:dyDescent="0.25">
      <c r="A199" s="253">
        <f t="shared" si="1"/>
        <v>37</v>
      </c>
      <c r="B199" s="227">
        <v>45200</v>
      </c>
      <c r="C199" s="284"/>
      <c r="D199" s="285">
        <v>-231652.15</v>
      </c>
      <c r="E199" s="230"/>
      <c r="F199" s="267">
        <v>5.4300000000000001E-2</v>
      </c>
      <c r="G199" s="245">
        <f t="shared" si="4"/>
        <v>4680.5</v>
      </c>
      <c r="H199" s="230">
        <f t="shared" si="0"/>
        <v>-226971.65</v>
      </c>
      <c r="I199" s="229">
        <f t="shared" si="2"/>
        <v>923219.91212801554</v>
      </c>
    </row>
    <row r="200" spans="1:9" hidden="1" outlineLevel="1" x14ac:dyDescent="0.25">
      <c r="A200" s="253">
        <f t="shared" si="1"/>
        <v>38</v>
      </c>
      <c r="B200" s="227">
        <v>45231</v>
      </c>
      <c r="C200" s="250" t="s">
        <v>185</v>
      </c>
      <c r="D200" s="230">
        <v>-338051.72628</v>
      </c>
      <c r="E200" s="230"/>
      <c r="F200" s="281">
        <v>5.45E-2</v>
      </c>
      <c r="G200" s="245">
        <f t="shared" si="4"/>
        <v>3425.3</v>
      </c>
      <c r="H200" s="230">
        <f t="shared" si="0"/>
        <v>-334626.42628000001</v>
      </c>
      <c r="I200" s="229">
        <f t="shared" si="2"/>
        <v>588593.48584801552</v>
      </c>
    </row>
    <row r="201" spans="1:9" hidden="1" outlineLevel="1" collapsed="1" x14ac:dyDescent="0.25">
      <c r="A201" s="253">
        <f t="shared" si="1"/>
        <v>39</v>
      </c>
      <c r="B201" s="227">
        <v>45231</v>
      </c>
      <c r="C201" s="250" t="s">
        <v>186</v>
      </c>
      <c r="D201" s="230">
        <v>-20045.93</v>
      </c>
      <c r="E201" s="230"/>
      <c r="F201" s="281">
        <v>5.45E-2</v>
      </c>
      <c r="G201" s="245">
        <f>ROUND((+E201+(D201/2))*F201/12,2)</f>
        <v>-45.52</v>
      </c>
      <c r="H201" s="230">
        <f t="shared" si="0"/>
        <v>-20091.45</v>
      </c>
      <c r="I201" s="229">
        <f t="shared" si="2"/>
        <v>568502.03584801557</v>
      </c>
    </row>
    <row r="202" spans="1:9" hidden="1" outlineLevel="1" x14ac:dyDescent="0.25">
      <c r="A202" s="253">
        <f t="shared" si="1"/>
        <v>40</v>
      </c>
      <c r="B202" s="227">
        <v>45261</v>
      </c>
      <c r="D202" s="230">
        <v>-84026.12</v>
      </c>
      <c r="E202" s="230"/>
      <c r="F202" s="281">
        <v>5.5100000000000003E-2</v>
      </c>
      <c r="G202" s="245">
        <f t="shared" si="4"/>
        <v>2417.46</v>
      </c>
      <c r="H202" s="230">
        <f t="shared" si="0"/>
        <v>-81608.659999999989</v>
      </c>
      <c r="I202" s="229">
        <f t="shared" si="2"/>
        <v>486893.3758480156</v>
      </c>
    </row>
    <row r="203" spans="1:9" hidden="1" outlineLevel="1" x14ac:dyDescent="0.25">
      <c r="A203" s="253">
        <f t="shared" si="1"/>
        <v>41</v>
      </c>
      <c r="B203" s="227">
        <v>45292</v>
      </c>
      <c r="D203" s="230">
        <v>-105396.93</v>
      </c>
      <c r="E203" s="230"/>
      <c r="F203" s="281">
        <v>5.4800000000000001E-2</v>
      </c>
      <c r="G203" s="245">
        <f t="shared" si="4"/>
        <v>1982.82</v>
      </c>
      <c r="H203" s="230">
        <f t="shared" si="0"/>
        <v>-103414.10999999999</v>
      </c>
      <c r="I203" s="229">
        <f t="shared" si="2"/>
        <v>383479.26584801561</v>
      </c>
    </row>
    <row r="204" spans="1:9" hidden="1" outlineLevel="1" x14ac:dyDescent="0.25">
      <c r="A204" s="253">
        <f t="shared" si="1"/>
        <v>42</v>
      </c>
      <c r="B204" s="227">
        <v>45323</v>
      </c>
      <c r="D204" s="230">
        <v>-90596.02</v>
      </c>
      <c r="E204" s="230"/>
      <c r="F204" s="281">
        <v>5.5300000000000002E-2</v>
      </c>
      <c r="G204" s="245">
        <f t="shared" si="4"/>
        <v>1558.45</v>
      </c>
      <c r="H204" s="230">
        <f t="shared" si="0"/>
        <v>-89037.57</v>
      </c>
      <c r="I204" s="229">
        <f t="shared" si="2"/>
        <v>294441.6958480156</v>
      </c>
    </row>
    <row r="205" spans="1:9" hidden="1" outlineLevel="1" x14ac:dyDescent="0.25">
      <c r="A205" s="253">
        <f t="shared" si="1"/>
        <v>43</v>
      </c>
      <c r="B205" s="227">
        <v>45352</v>
      </c>
      <c r="D205" s="230">
        <v>-78000.91</v>
      </c>
      <c r="E205" s="230"/>
      <c r="F205" s="281">
        <v>5.5300000000000002E-2</v>
      </c>
      <c r="G205" s="245">
        <f t="shared" si="4"/>
        <v>1177.1600000000001</v>
      </c>
      <c r="H205" s="230">
        <f t="shared" si="0"/>
        <v>-76823.75</v>
      </c>
      <c r="I205" s="229">
        <f t="shared" si="2"/>
        <v>217617.9458480156</v>
      </c>
    </row>
    <row r="206" spans="1:9" hidden="1" outlineLevel="1" x14ac:dyDescent="0.25">
      <c r="A206" s="253">
        <f t="shared" si="1"/>
        <v>44</v>
      </c>
      <c r="B206" s="227">
        <v>45383</v>
      </c>
      <c r="D206" s="230">
        <v>-50177.34</v>
      </c>
      <c r="E206" s="230"/>
      <c r="F206" s="281">
        <v>5.5300000000000002E-2</v>
      </c>
      <c r="G206" s="245">
        <f t="shared" si="4"/>
        <v>887.24</v>
      </c>
      <c r="H206" s="230">
        <f t="shared" si="0"/>
        <v>-49290.1</v>
      </c>
      <c r="I206" s="229">
        <f t="shared" si="2"/>
        <v>168327.8458480156</v>
      </c>
    </row>
    <row r="207" spans="1:9" hidden="1" outlineLevel="1" x14ac:dyDescent="0.25">
      <c r="A207" s="253">
        <f t="shared" si="1"/>
        <v>45</v>
      </c>
      <c r="B207" s="227">
        <v>45413</v>
      </c>
      <c r="D207" s="230">
        <v>-37689</v>
      </c>
      <c r="E207" s="230"/>
      <c r="F207" s="281">
        <v>5.4800000000000001E-2</v>
      </c>
      <c r="G207" s="245">
        <f t="shared" si="4"/>
        <v>682.64</v>
      </c>
      <c r="H207" s="230">
        <f t="shared" si="0"/>
        <v>-37006.36</v>
      </c>
      <c r="I207" s="229">
        <f t="shared" si="2"/>
        <v>131321.48584801558</v>
      </c>
    </row>
    <row r="208" spans="1:9" hidden="1" outlineLevel="1" x14ac:dyDescent="0.25">
      <c r="A208" s="253">
        <f t="shared" si="1"/>
        <v>46</v>
      </c>
      <c r="B208" s="227">
        <v>45444</v>
      </c>
      <c r="D208" s="230">
        <v>-24573.45</v>
      </c>
      <c r="E208" s="230"/>
      <c r="F208" s="281">
        <v>5.4800000000000001E-2</v>
      </c>
      <c r="G208" s="245">
        <f t="shared" si="4"/>
        <v>543.59</v>
      </c>
      <c r="H208" s="230">
        <f t="shared" si="0"/>
        <v>-24029.86</v>
      </c>
      <c r="I208" s="229">
        <f t="shared" si="2"/>
        <v>107291.62584801558</v>
      </c>
    </row>
    <row r="209" spans="1:11" hidden="1" outlineLevel="1" x14ac:dyDescent="0.25">
      <c r="A209" s="253">
        <f t="shared" si="1"/>
        <v>47</v>
      </c>
      <c r="B209" s="227">
        <v>45474</v>
      </c>
      <c r="D209" s="230">
        <v>-15474.34</v>
      </c>
      <c r="F209" s="281">
        <v>5.4899999999999997E-2</v>
      </c>
      <c r="G209" s="245">
        <f t="shared" si="4"/>
        <v>455.46</v>
      </c>
      <c r="H209" s="230">
        <f t="shared" si="0"/>
        <v>-15018.880000000001</v>
      </c>
      <c r="I209" s="229">
        <f t="shared" si="2"/>
        <v>92272.745848015576</v>
      </c>
    </row>
    <row r="210" spans="1:11" hidden="1" outlineLevel="1" x14ac:dyDescent="0.25">
      <c r="A210" s="253">
        <f t="shared" si="1"/>
        <v>48</v>
      </c>
      <c r="B210" s="227">
        <v>45505</v>
      </c>
      <c r="D210" s="230">
        <v>-12705.31</v>
      </c>
      <c r="F210" s="281">
        <f>F209</f>
        <v>5.4899999999999997E-2</v>
      </c>
      <c r="G210" s="245">
        <f t="shared" si="4"/>
        <v>393.08</v>
      </c>
      <c r="H210" s="230">
        <f t="shared" si="0"/>
        <v>-12312.23</v>
      </c>
      <c r="I210" s="229">
        <f t="shared" si="2"/>
        <v>79960.515848015581</v>
      </c>
    </row>
    <row r="211" spans="1:11" hidden="1" outlineLevel="1" x14ac:dyDescent="0.25">
      <c r="A211" s="253">
        <f t="shared" si="1"/>
        <v>49</v>
      </c>
      <c r="B211" s="227">
        <v>45536</v>
      </c>
      <c r="D211" s="230">
        <v>-14003.96</v>
      </c>
      <c r="F211" s="281">
        <v>5.33E-2</v>
      </c>
      <c r="G211" s="245">
        <f t="shared" si="4"/>
        <v>324.06</v>
      </c>
      <c r="H211" s="230">
        <f t="shared" si="0"/>
        <v>-13679.9</v>
      </c>
      <c r="I211" s="229">
        <f t="shared" si="2"/>
        <v>66280.615848015586</v>
      </c>
    </row>
    <row r="212" spans="1:11" hidden="1" outlineLevel="1" x14ac:dyDescent="0.25">
      <c r="A212" s="253">
        <f t="shared" si="1"/>
        <v>50</v>
      </c>
      <c r="B212" s="227">
        <v>45566</v>
      </c>
      <c r="D212" s="230">
        <v>-19161.009999999998</v>
      </c>
      <c r="F212" s="281">
        <v>5.1299999999999998E-2</v>
      </c>
      <c r="G212" s="245">
        <f t="shared" si="4"/>
        <v>242.39</v>
      </c>
      <c r="H212" s="230">
        <f t="shared" si="0"/>
        <v>-18918.62</v>
      </c>
      <c r="I212" s="229">
        <f t="shared" si="2"/>
        <v>47361.995848015591</v>
      </c>
      <c r="K212" s="290"/>
    </row>
    <row r="213" spans="1:11" hidden="1" outlineLevel="1" x14ac:dyDescent="0.25">
      <c r="A213" s="253">
        <f t="shared" si="1"/>
        <v>51</v>
      </c>
      <c r="B213" s="227">
        <v>45597</v>
      </c>
      <c r="C213" s="250" t="s">
        <v>185</v>
      </c>
      <c r="D213" s="230">
        <v>-26675.11</v>
      </c>
      <c r="F213" s="281">
        <v>4.8599999999999997E-2</v>
      </c>
      <c r="G213" s="245">
        <f t="shared" si="4"/>
        <v>137.80000000000001</v>
      </c>
      <c r="H213" s="230">
        <f t="shared" si="0"/>
        <v>-26537.31</v>
      </c>
      <c r="I213" s="229">
        <f t="shared" si="2"/>
        <v>20824.68584801559</v>
      </c>
      <c r="K213" s="290"/>
    </row>
    <row r="214" spans="1:11" collapsed="1" x14ac:dyDescent="0.25">
      <c r="A214" s="253">
        <f t="shared" si="1"/>
        <v>52</v>
      </c>
      <c r="B214" s="227">
        <v>45597</v>
      </c>
      <c r="C214" s="250" t="s">
        <v>186</v>
      </c>
      <c r="D214" s="230">
        <v>-590.52</v>
      </c>
      <c r="F214" s="281">
        <v>4.8599999999999997E-2</v>
      </c>
      <c r="G214" s="245">
        <f>ROUND((+E214+(D214/2))*F214/12,2)</f>
        <v>-1.2</v>
      </c>
      <c r="H214" s="230">
        <f t="shared" si="0"/>
        <v>-591.72</v>
      </c>
      <c r="I214" s="229">
        <f t="shared" si="2"/>
        <v>20232.965848015589</v>
      </c>
      <c r="K214" s="290"/>
    </row>
    <row r="215" spans="1:11" x14ac:dyDescent="0.25">
      <c r="A215" s="253">
        <f t="shared" si="1"/>
        <v>53</v>
      </c>
      <c r="B215" s="227">
        <v>45627</v>
      </c>
      <c r="C215" s="284"/>
      <c r="D215" s="230">
        <v>-2868.16</v>
      </c>
      <c r="F215" s="281">
        <v>4.8000000000000001E-2</v>
      </c>
      <c r="G215" s="245">
        <f t="shared" ref="G215:G225" si="5">ROUND((+I214+E215+(D215/2))*F215/12,2)</f>
        <v>75.2</v>
      </c>
      <c r="H215" s="230">
        <f t="shared" si="0"/>
        <v>-2792.96</v>
      </c>
      <c r="I215" s="229">
        <f t="shared" si="2"/>
        <v>17440.005848015589</v>
      </c>
      <c r="K215" s="290"/>
    </row>
    <row r="216" spans="1:11" x14ac:dyDescent="0.25">
      <c r="A216" s="253">
        <f t="shared" si="1"/>
        <v>54</v>
      </c>
      <c r="B216" s="227">
        <v>45658</v>
      </c>
      <c r="C216" s="284"/>
      <c r="D216" s="230">
        <v>-3083.01</v>
      </c>
      <c r="F216" s="281">
        <v>4.7699999999999999E-2</v>
      </c>
      <c r="G216" s="245">
        <f t="shared" si="5"/>
        <v>63.2</v>
      </c>
      <c r="H216" s="230">
        <f t="shared" si="0"/>
        <v>-3019.8100000000004</v>
      </c>
      <c r="I216" s="229">
        <f t="shared" si="2"/>
        <v>14420.195848015588</v>
      </c>
      <c r="K216" s="290"/>
    </row>
    <row r="217" spans="1:11" x14ac:dyDescent="0.25">
      <c r="A217" s="253">
        <f t="shared" si="1"/>
        <v>55</v>
      </c>
      <c r="B217" s="227">
        <v>45689</v>
      </c>
      <c r="C217" s="284"/>
      <c r="D217" s="230">
        <v>-3383.95</v>
      </c>
      <c r="F217" s="281">
        <v>4.6800000000000001E-2</v>
      </c>
      <c r="G217" s="245">
        <f t="shared" si="5"/>
        <v>49.64</v>
      </c>
      <c r="H217" s="230">
        <f t="shared" si="0"/>
        <v>-3334.31</v>
      </c>
      <c r="I217" s="229">
        <f t="shared" si="2"/>
        <v>11085.885848015589</v>
      </c>
      <c r="K217" s="290"/>
    </row>
    <row r="218" spans="1:11" x14ac:dyDescent="0.25">
      <c r="A218" s="253">
        <f t="shared" si="1"/>
        <v>56</v>
      </c>
      <c r="B218" s="227">
        <v>45717</v>
      </c>
      <c r="C218" s="284"/>
      <c r="D218" s="230">
        <v>-2274.9</v>
      </c>
      <c r="F218" s="281">
        <v>4.5900000000000003E-2</v>
      </c>
      <c r="G218" s="245">
        <f t="shared" si="5"/>
        <v>38.049999999999997</v>
      </c>
      <c r="H218" s="230">
        <f t="shared" si="0"/>
        <v>-2236.85</v>
      </c>
      <c r="I218" s="229">
        <f t="shared" si="2"/>
        <v>8849.0358480155883</v>
      </c>
      <c r="K218" s="290"/>
    </row>
    <row r="219" spans="1:11" x14ac:dyDescent="0.25">
      <c r="A219" s="253">
        <f t="shared" si="1"/>
        <v>57</v>
      </c>
      <c r="B219" s="227">
        <v>45748</v>
      </c>
      <c r="C219" s="284"/>
      <c r="D219" s="230">
        <v>-1536.49</v>
      </c>
      <c r="F219" s="281">
        <v>4.6219999999999997E-2</v>
      </c>
      <c r="G219" s="245">
        <f t="shared" si="5"/>
        <v>31.12</v>
      </c>
      <c r="H219" s="230">
        <f t="shared" si="0"/>
        <v>-1505.3700000000001</v>
      </c>
      <c r="I219" s="229">
        <f t="shared" si="2"/>
        <v>7343.6658480155884</v>
      </c>
      <c r="K219" s="290"/>
    </row>
    <row r="220" spans="1:11" x14ac:dyDescent="0.25">
      <c r="A220" s="253">
        <f t="shared" si="1"/>
        <v>58</v>
      </c>
      <c r="B220" s="227">
        <v>45778</v>
      </c>
      <c r="C220" s="284"/>
      <c r="D220" s="230">
        <v>-888.14</v>
      </c>
      <c r="F220" s="281">
        <v>4.6300000000000001E-2</v>
      </c>
      <c r="G220" s="245">
        <f t="shared" si="5"/>
        <v>26.62</v>
      </c>
      <c r="H220" s="230">
        <f t="shared" si="0"/>
        <v>-861.52</v>
      </c>
      <c r="I220" s="229">
        <f t="shared" si="2"/>
        <v>6482.1458480155889</v>
      </c>
      <c r="K220" s="290"/>
    </row>
    <row r="221" spans="1:11" x14ac:dyDescent="0.25">
      <c r="A221" s="253">
        <f t="shared" si="1"/>
        <v>59</v>
      </c>
      <c r="B221" s="227">
        <v>45809</v>
      </c>
      <c r="C221" s="284"/>
      <c r="D221" s="230">
        <v>-638.75</v>
      </c>
      <c r="F221" s="281">
        <v>4.5999999999999999E-2</v>
      </c>
      <c r="G221" s="245">
        <f t="shared" si="5"/>
        <v>23.62</v>
      </c>
      <c r="H221" s="230">
        <f t="shared" si="0"/>
        <v>-615.13</v>
      </c>
      <c r="I221" s="229">
        <f t="shared" si="2"/>
        <v>5867.0158480155887</v>
      </c>
      <c r="K221" s="290"/>
    </row>
    <row r="222" spans="1:11" x14ac:dyDescent="0.25">
      <c r="A222" s="253">
        <f t="shared" si="1"/>
        <v>60</v>
      </c>
      <c r="B222" s="227">
        <v>45839</v>
      </c>
      <c r="C222" s="284"/>
      <c r="D222" s="230">
        <v>-485.26</v>
      </c>
      <c r="F222" s="267">
        <v>4.5900000000000003E-2</v>
      </c>
      <c r="G222" s="245">
        <f t="shared" si="5"/>
        <v>21.51</v>
      </c>
      <c r="H222" s="230">
        <f t="shared" si="0"/>
        <v>-463.75</v>
      </c>
      <c r="I222" s="229">
        <f t="shared" si="2"/>
        <v>5403.2658480155887</v>
      </c>
      <c r="K222" s="290"/>
    </row>
    <row r="223" spans="1:11" x14ac:dyDescent="0.25">
      <c r="A223" s="253">
        <f t="shared" si="1"/>
        <v>61</v>
      </c>
      <c r="B223" s="227">
        <v>45870</v>
      </c>
      <c r="C223" s="284"/>
      <c r="D223" s="230">
        <v>-397.61</v>
      </c>
      <c r="F223" s="318">
        <v>4.5699999999999998E-2</v>
      </c>
      <c r="G223" s="245">
        <f t="shared" si="5"/>
        <v>19.82</v>
      </c>
      <c r="H223" s="230">
        <f t="shared" si="0"/>
        <v>-377.79</v>
      </c>
      <c r="I223" s="229">
        <f t="shared" si="2"/>
        <v>5025.4758480155888</v>
      </c>
      <c r="K223" s="290"/>
    </row>
    <row r="224" spans="1:11" x14ac:dyDescent="0.25">
      <c r="A224" s="253">
        <f t="shared" si="1"/>
        <v>62</v>
      </c>
      <c r="B224" s="227">
        <v>45901</v>
      </c>
      <c r="C224" s="284" t="s">
        <v>188</v>
      </c>
      <c r="D224" s="285">
        <f>'[53]WA AMORT 2024-25'!AF82</f>
        <v>-576.28</v>
      </c>
      <c r="F224" s="281">
        <f t="shared" ref="F224:F225" si="6">F223</f>
        <v>4.5699999999999998E-2</v>
      </c>
      <c r="G224" s="245">
        <f t="shared" si="5"/>
        <v>18.04</v>
      </c>
      <c r="H224" s="230">
        <f t="shared" si="0"/>
        <v>-558.24</v>
      </c>
      <c r="I224" s="229">
        <f t="shared" si="2"/>
        <v>4467.235848015589</v>
      </c>
      <c r="K224" s="290"/>
    </row>
    <row r="225" spans="1:12" x14ac:dyDescent="0.25">
      <c r="A225" s="253">
        <f t="shared" si="1"/>
        <v>63</v>
      </c>
      <c r="B225" s="227">
        <v>45931</v>
      </c>
      <c r="C225" s="284" t="s">
        <v>188</v>
      </c>
      <c r="D225" s="285">
        <f>'[53]WA AMORT 2024-25'!AR82</f>
        <v>-350.21</v>
      </c>
      <c r="F225" s="281">
        <f t="shared" si="6"/>
        <v>4.5699999999999998E-2</v>
      </c>
      <c r="G225" s="245">
        <f t="shared" si="5"/>
        <v>16.350000000000001</v>
      </c>
      <c r="H225" s="230">
        <f t="shared" si="0"/>
        <v>-333.85999999999996</v>
      </c>
      <c r="I225" s="229">
        <f t="shared" si="2"/>
        <v>4133.3758480155893</v>
      </c>
      <c r="K225" s="290"/>
    </row>
    <row r="226" spans="1:12" x14ac:dyDescent="0.25">
      <c r="A226" s="253">
        <f t="shared" si="1"/>
        <v>64</v>
      </c>
      <c r="K226" s="290"/>
    </row>
    <row r="227" spans="1:12" x14ac:dyDescent="0.25">
      <c r="A227" s="253">
        <f t="shared" si="1"/>
        <v>65</v>
      </c>
      <c r="B227" s="277" t="s">
        <v>189</v>
      </c>
      <c r="K227" s="290"/>
      <c r="L227" s="282"/>
    </row>
    <row r="228" spans="1:12" x14ac:dyDescent="0.25">
      <c r="A228" s="253">
        <f t="shared" si="1"/>
        <v>66</v>
      </c>
    </row>
    <row r="231" spans="1:12" x14ac:dyDescent="0.25">
      <c r="B231" s="291"/>
      <c r="C231" s="272"/>
      <c r="D231" s="292"/>
      <c r="E231" s="293"/>
      <c r="F231" s="294"/>
    </row>
    <row r="232" spans="1:12" x14ac:dyDescent="0.25">
      <c r="B232" s="295"/>
      <c r="C232" s="295"/>
      <c r="D232" s="294"/>
      <c r="E232" s="294"/>
      <c r="F232" s="294"/>
    </row>
    <row r="233" spans="1:12" x14ac:dyDescent="0.25">
      <c r="B233" s="295"/>
      <c r="C233" s="231"/>
      <c r="D233" s="294"/>
      <c r="E233" s="294"/>
      <c r="F233" s="294"/>
    </row>
    <row r="234" spans="1:12" x14ac:dyDescent="0.25">
      <c r="B234" s="296"/>
      <c r="C234" s="295"/>
      <c r="D234" s="295"/>
      <c r="E234" s="295"/>
      <c r="F234" s="295"/>
    </row>
    <row r="235" spans="1:12" x14ac:dyDescent="0.25">
      <c r="B235" s="296"/>
      <c r="C235" s="295"/>
      <c r="D235" s="297"/>
      <c r="E235" s="295"/>
      <c r="F235" s="295"/>
    </row>
    <row r="236" spans="1:12" x14ac:dyDescent="0.25">
      <c r="B236" s="296"/>
      <c r="C236" s="295"/>
      <c r="D236" s="298"/>
      <c r="E236" s="295"/>
      <c r="F236" s="295"/>
    </row>
    <row r="237" spans="1:12" x14ac:dyDescent="0.25">
      <c r="B237" s="296"/>
      <c r="C237" s="295"/>
      <c r="D237" s="299"/>
      <c r="E237" s="300"/>
      <c r="F237" s="301"/>
    </row>
    <row r="238" spans="1:12" x14ac:dyDescent="0.25">
      <c r="B238" s="295"/>
      <c r="C238" s="295"/>
      <c r="D238" s="295"/>
      <c r="E238" s="295"/>
      <c r="F238" s="295"/>
    </row>
    <row r="239" spans="1:12" x14ac:dyDescent="0.25">
      <c r="B239" s="728"/>
      <c r="C239" s="728"/>
      <c r="D239" s="728"/>
      <c r="E239" s="728"/>
      <c r="F239" s="728"/>
    </row>
    <row r="240" spans="1:12" x14ac:dyDescent="0.25">
      <c r="B240" s="728"/>
      <c r="C240" s="728"/>
      <c r="D240" s="728"/>
      <c r="E240" s="728"/>
      <c r="F240" s="728"/>
    </row>
    <row r="241" spans="2:7" x14ac:dyDescent="0.25">
      <c r="B241" s="295"/>
      <c r="C241" s="295"/>
      <c r="D241" s="295"/>
      <c r="E241" s="295"/>
      <c r="F241" s="295"/>
      <c r="G241" s="295"/>
    </row>
    <row r="242" spans="2:7" x14ac:dyDescent="0.25">
      <c r="B242" s="295"/>
      <c r="C242" s="295"/>
      <c r="D242" s="302"/>
      <c r="E242" s="302"/>
      <c r="F242" s="302"/>
      <c r="G242" s="302"/>
    </row>
    <row r="243" spans="2:7" x14ac:dyDescent="0.25">
      <c r="B243" s="296"/>
      <c r="C243" s="295"/>
      <c r="D243" s="294"/>
      <c r="E243" s="294"/>
      <c r="F243" s="294"/>
      <c r="G243" s="294"/>
    </row>
    <row r="244" spans="2:7" x14ac:dyDescent="0.25">
      <c r="B244" s="295"/>
      <c r="C244" s="295"/>
      <c r="D244" s="303"/>
      <c r="E244" s="303"/>
      <c r="F244" s="303"/>
      <c r="G244" s="294"/>
    </row>
    <row r="245" spans="2:7" x14ac:dyDescent="0.25">
      <c r="B245" s="295"/>
      <c r="C245" s="295"/>
      <c r="D245" s="303"/>
      <c r="E245" s="303"/>
      <c r="F245" s="303"/>
      <c r="G245" s="294"/>
    </row>
    <row r="246" spans="2:7" x14ac:dyDescent="0.25">
      <c r="B246" s="295"/>
      <c r="C246" s="295"/>
      <c r="D246" s="303"/>
      <c r="E246" s="303"/>
      <c r="F246" s="303"/>
      <c r="G246" s="303"/>
    </row>
    <row r="247" spans="2:7" x14ac:dyDescent="0.25">
      <c r="B247" s="295"/>
      <c r="C247" s="295"/>
      <c r="D247" s="303"/>
      <c r="E247" s="303"/>
      <c r="F247" s="303"/>
      <c r="G247" s="294"/>
    </row>
    <row r="248" spans="2:7" x14ac:dyDescent="0.25">
      <c r="B248" s="295"/>
      <c r="C248" s="295"/>
      <c r="D248" s="303"/>
      <c r="E248" s="303"/>
      <c r="F248" s="303"/>
      <c r="G248" s="294"/>
    </row>
    <row r="249" spans="2:7" x14ac:dyDescent="0.25">
      <c r="B249" s="295"/>
      <c r="C249" s="231"/>
      <c r="D249" s="303"/>
      <c r="E249" s="303"/>
      <c r="F249" s="303"/>
      <c r="G249" s="303"/>
    </row>
    <row r="250" spans="2:7" x14ac:dyDescent="0.25">
      <c r="B250" s="295"/>
      <c r="C250" s="295"/>
      <c r="D250" s="297"/>
      <c r="E250" s="297"/>
      <c r="F250" s="297"/>
      <c r="G250" s="294"/>
    </row>
    <row r="251" spans="2:7" x14ac:dyDescent="0.25">
      <c r="B251" s="296"/>
      <c r="C251" s="295"/>
      <c r="D251" s="297"/>
      <c r="E251" s="297"/>
      <c r="F251" s="297"/>
      <c r="G251" s="294"/>
    </row>
    <row r="252" spans="2:7" x14ac:dyDescent="0.25">
      <c r="B252" s="295"/>
      <c r="C252" s="295"/>
      <c r="D252" s="298"/>
      <c r="E252" s="298"/>
      <c r="F252" s="298"/>
      <c r="G252" s="294"/>
    </row>
    <row r="253" spans="2:7" x14ac:dyDescent="0.25">
      <c r="B253" s="295"/>
      <c r="C253" s="295"/>
      <c r="D253" s="298"/>
      <c r="E253" s="298"/>
      <c r="F253" s="298"/>
      <c r="G253" s="294"/>
    </row>
    <row r="254" spans="2:7" x14ac:dyDescent="0.25">
      <c r="B254" s="295"/>
      <c r="C254" s="295"/>
      <c r="D254" s="298"/>
      <c r="E254" s="298"/>
      <c r="F254" s="298"/>
      <c r="G254" s="303"/>
    </row>
    <row r="255" spans="2:7" x14ac:dyDescent="0.25">
      <c r="B255" s="295"/>
      <c r="C255" s="295"/>
      <c r="D255" s="298"/>
      <c r="E255" s="298"/>
      <c r="F255" s="298"/>
      <c r="G255" s="294"/>
    </row>
    <row r="256" spans="2:7" x14ac:dyDescent="0.25">
      <c r="B256" s="295"/>
      <c r="C256" s="295"/>
      <c r="D256" s="298"/>
      <c r="E256" s="298"/>
      <c r="F256" s="298"/>
      <c r="G256" s="294"/>
    </row>
    <row r="257" spans="2:11" ht="13" x14ac:dyDescent="0.3">
      <c r="B257" s="295"/>
      <c r="C257" s="231"/>
      <c r="D257" s="304"/>
      <c r="E257" s="304"/>
      <c r="F257" s="304"/>
      <c r="G257" s="303"/>
    </row>
    <row r="258" spans="2:11" x14ac:dyDescent="0.25">
      <c r="B258" s="295"/>
      <c r="C258" s="295"/>
      <c r="D258" s="298"/>
      <c r="E258" s="298"/>
      <c r="F258" s="298"/>
      <c r="G258" s="298"/>
    </row>
    <row r="259" spans="2:11" x14ac:dyDescent="0.25">
      <c r="B259" s="296"/>
      <c r="C259" s="295"/>
      <c r="D259" s="298"/>
      <c r="E259" s="298"/>
      <c r="F259" s="298"/>
      <c r="G259" s="298"/>
    </row>
    <row r="260" spans="2:11" x14ac:dyDescent="0.25">
      <c r="B260" s="295"/>
      <c r="C260" s="295"/>
      <c r="D260" s="298"/>
      <c r="E260" s="298"/>
      <c r="F260" s="298"/>
      <c r="G260" s="294"/>
    </row>
    <row r="261" spans="2:11" x14ac:dyDescent="0.25">
      <c r="B261" s="295"/>
      <c r="C261" s="295"/>
      <c r="D261" s="298"/>
      <c r="E261" s="298"/>
      <c r="F261" s="298"/>
      <c r="G261" s="294"/>
    </row>
    <row r="262" spans="2:11" x14ac:dyDescent="0.25">
      <c r="B262" s="295"/>
      <c r="C262" s="295"/>
      <c r="D262" s="298"/>
      <c r="E262" s="298"/>
      <c r="F262" s="298"/>
      <c r="G262" s="303"/>
    </row>
    <row r="263" spans="2:11" x14ac:dyDescent="0.25">
      <c r="B263" s="295"/>
      <c r="C263" s="295"/>
      <c r="D263" s="298"/>
      <c r="E263" s="298"/>
      <c r="F263" s="298"/>
      <c r="G263" s="294"/>
    </row>
    <row r="264" spans="2:11" x14ac:dyDescent="0.25">
      <c r="B264" s="295"/>
      <c r="C264" s="295"/>
      <c r="D264" s="298"/>
      <c r="E264" s="298"/>
      <c r="F264" s="298"/>
      <c r="G264" s="294"/>
    </row>
    <row r="265" spans="2:11" x14ac:dyDescent="0.25">
      <c r="B265" s="295"/>
      <c r="C265" s="231"/>
      <c r="D265" s="303"/>
      <c r="E265" s="303"/>
      <c r="F265" s="303"/>
      <c r="G265" s="303"/>
    </row>
    <row r="266" spans="2:11" x14ac:dyDescent="0.25">
      <c r="B266" s="295"/>
      <c r="C266" s="295"/>
      <c r="D266" s="297"/>
      <c r="E266" s="297"/>
      <c r="F266" s="297"/>
      <c r="G266" s="294"/>
      <c r="K266" s="727"/>
    </row>
    <row r="267" spans="2:11" x14ac:dyDescent="0.25">
      <c r="B267" s="295"/>
      <c r="C267" s="295"/>
      <c r="D267" s="297"/>
      <c r="E267" s="297"/>
      <c r="F267" s="297"/>
      <c r="G267" s="294"/>
      <c r="K267" s="727"/>
    </row>
    <row r="268" spans="2:11" x14ac:dyDescent="0.25">
      <c r="B268" s="295"/>
      <c r="C268" s="231"/>
      <c r="D268" s="305"/>
      <c r="E268" s="305"/>
      <c r="F268" s="294"/>
      <c r="G268" s="294"/>
      <c r="K268" s="727"/>
    </row>
    <row r="269" spans="2:11" x14ac:dyDescent="0.25">
      <c r="B269" s="295"/>
      <c r="C269" s="231"/>
      <c r="D269" s="303"/>
      <c r="E269" s="303"/>
      <c r="F269" s="294"/>
      <c r="G269" s="294"/>
      <c r="K269" s="727"/>
    </row>
    <row r="270" spans="2:11" ht="13.15" hidden="1" customHeight="1" x14ac:dyDescent="0.25">
      <c r="B270" s="306"/>
      <c r="C270" s="294"/>
      <c r="D270" s="294"/>
      <c r="E270" s="294"/>
      <c r="F270" s="294"/>
      <c r="G270" s="294"/>
    </row>
    <row r="271" spans="2:11" ht="13.15" hidden="1" customHeight="1" x14ac:dyDescent="0.25">
      <c r="B271" s="291"/>
      <c r="C271" s="307"/>
      <c r="D271" s="292"/>
      <c r="E271" s="292"/>
      <c r="F271" s="293"/>
      <c r="G271" s="294"/>
    </row>
    <row r="272" spans="2:11" ht="13.15" hidden="1" customHeight="1" x14ac:dyDescent="0.25">
      <c r="B272" s="291"/>
      <c r="C272" s="272"/>
      <c r="D272" s="292"/>
      <c r="E272" s="292"/>
      <c r="F272" s="293"/>
      <c r="G272" s="294"/>
    </row>
    <row r="273" spans="2:7" ht="13.15" hidden="1" customHeight="1" x14ac:dyDescent="0.25">
      <c r="B273" s="291"/>
      <c r="C273" s="272"/>
      <c r="D273" s="292"/>
      <c r="E273" s="292"/>
      <c r="F273" s="308"/>
      <c r="G273" s="294"/>
    </row>
    <row r="274" spans="2:7" ht="13.15" hidden="1" customHeight="1" x14ac:dyDescent="0.25">
      <c r="B274" s="291"/>
      <c r="C274" s="309"/>
      <c r="D274" s="309"/>
      <c r="E274" s="309"/>
      <c r="F274" s="309"/>
      <c r="G274" s="294"/>
    </row>
    <row r="275" spans="2:7" ht="13.15" hidden="1" customHeight="1" x14ac:dyDescent="0.25">
      <c r="B275" s="291"/>
      <c r="C275" s="310"/>
      <c r="D275" s="309"/>
      <c r="E275" s="309"/>
      <c r="F275" s="307"/>
      <c r="G275" s="294"/>
    </row>
    <row r="276" spans="2:7" ht="13.15" hidden="1" customHeight="1" x14ac:dyDescent="0.25">
      <c r="B276" s="291"/>
      <c r="C276" s="272"/>
      <c r="D276" s="292"/>
      <c r="E276" s="292"/>
      <c r="F276" s="293"/>
      <c r="G276" s="294"/>
    </row>
    <row r="277" spans="2:7" ht="13.15" hidden="1" customHeight="1" x14ac:dyDescent="0.25">
      <c r="B277" s="311"/>
      <c r="C277" s="272"/>
      <c r="D277" s="292"/>
      <c r="E277" s="292"/>
      <c r="F277" s="293"/>
      <c r="G277" s="294"/>
    </row>
    <row r="278" spans="2:7" ht="13.15" hidden="1" customHeight="1" x14ac:dyDescent="0.25">
      <c r="B278" s="291"/>
      <c r="C278" s="309"/>
      <c r="D278" s="309"/>
      <c r="E278" s="309"/>
      <c r="F278" s="309"/>
      <c r="G278" s="294"/>
    </row>
    <row r="279" spans="2:7" ht="13.15" hidden="1" customHeight="1" x14ac:dyDescent="0.25">
      <c r="B279" s="291"/>
      <c r="C279" s="272"/>
      <c r="D279" s="292"/>
      <c r="E279" s="292"/>
      <c r="F279" s="293"/>
      <c r="G279" s="294"/>
    </row>
    <row r="280" spans="2:7" x14ac:dyDescent="0.25">
      <c r="B280" s="295"/>
      <c r="C280" s="295"/>
      <c r="D280" s="294"/>
      <c r="E280" s="294"/>
      <c r="F280" s="294"/>
      <c r="G280" s="294"/>
    </row>
    <row r="281" spans="2:7" x14ac:dyDescent="0.25">
      <c r="B281" s="295"/>
      <c r="C281" s="231"/>
      <c r="D281" s="294"/>
      <c r="E281" s="294"/>
      <c r="F281" s="294"/>
      <c r="G281" s="294"/>
    </row>
    <row r="282" spans="2:7" x14ac:dyDescent="0.25">
      <c r="B282" s="295"/>
      <c r="C282" s="231"/>
      <c r="D282" s="294"/>
      <c r="E282" s="294"/>
      <c r="F282" s="294"/>
      <c r="G282" s="294"/>
    </row>
    <row r="283" spans="2:7" x14ac:dyDescent="0.25">
      <c r="B283" s="295"/>
      <c r="C283" s="231"/>
      <c r="D283" s="294"/>
      <c r="E283" s="294"/>
      <c r="F283" s="294"/>
      <c r="G283" s="294"/>
    </row>
    <row r="284" spans="2:7" x14ac:dyDescent="0.25">
      <c r="B284" s="295"/>
      <c r="C284" s="295"/>
      <c r="D284" s="294"/>
      <c r="E284" s="294"/>
      <c r="F284" s="294"/>
      <c r="G284" s="294"/>
    </row>
    <row r="285" spans="2:7" x14ac:dyDescent="0.25">
      <c r="B285" s="295"/>
      <c r="C285" s="296"/>
      <c r="D285" s="294"/>
      <c r="E285" s="312"/>
      <c r="F285" s="312"/>
      <c r="G285" s="294"/>
    </row>
    <row r="338" spans="2:7" x14ac:dyDescent="0.25">
      <c r="G338" s="313"/>
    </row>
    <row r="343" spans="2:7" x14ac:dyDescent="0.25">
      <c r="E343" s="245"/>
    </row>
    <row r="348" spans="2:7" x14ac:dyDescent="0.25">
      <c r="B348" s="227"/>
    </row>
    <row r="349" spans="2:7" x14ac:dyDescent="0.25">
      <c r="B349" s="227"/>
      <c r="D349" s="290"/>
    </row>
    <row r="350" spans="2:7" x14ac:dyDescent="0.25">
      <c r="B350" s="227"/>
    </row>
    <row r="351" spans="2:7" x14ac:dyDescent="0.25">
      <c r="B351" s="227"/>
    </row>
    <row r="352" spans="2:7" x14ac:dyDescent="0.25">
      <c r="B352" s="227"/>
    </row>
    <row r="353" spans="2:2" x14ac:dyDescent="0.25">
      <c r="B353" s="227"/>
    </row>
    <row r="354" spans="2:2" x14ac:dyDescent="0.25">
      <c r="B354" s="227"/>
    </row>
    <row r="355" spans="2:2" x14ac:dyDescent="0.25">
      <c r="B355" s="227"/>
    </row>
    <row r="356" spans="2:2" x14ac:dyDescent="0.25">
      <c r="B356" s="227"/>
    </row>
    <row r="357" spans="2:2" x14ac:dyDescent="0.25">
      <c r="B357" s="227"/>
    </row>
    <row r="358" spans="2:2" x14ac:dyDescent="0.25">
      <c r="B358" s="227"/>
    </row>
    <row r="359" spans="2:2" x14ac:dyDescent="0.25">
      <c r="B359" s="227"/>
    </row>
  </sheetData>
  <mergeCells count="2">
    <mergeCell ref="B239:F240"/>
    <mergeCell ref="K266:K269"/>
  </mergeCells>
  <pageMargins left="0.5" right="0.5" top="0.5" bottom="0.25" header="0.25" footer="0.25"/>
  <pageSetup orientation="landscape" r:id="rId1"/>
  <headerFooter alignWithMargins="0">
    <oddHeader xml:space="preserve">&amp;RUG-250711 - NWN WUTC Advice No. 25-06A
Exhibit A - Supporting Materials
Page &amp;P of &amp;N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0678-7EED-462B-9D61-25CD947CD029}">
  <sheetPr>
    <tabColor theme="0" tint="-0.14999847407452621"/>
    <pageSetUpPr fitToPage="1"/>
  </sheetPr>
  <dimension ref="A1:H24"/>
  <sheetViews>
    <sheetView topLeftCell="A6" zoomScaleNormal="100" workbookViewId="0">
      <selection activeCell="F38" sqref="F38"/>
    </sheetView>
  </sheetViews>
  <sheetFormatPr defaultColWidth="8.453125" defaultRowHeight="13" x14ac:dyDescent="0.3"/>
  <cols>
    <col min="1" max="4" width="8.453125" style="163"/>
    <col min="5" max="5" width="77" style="163" customWidth="1"/>
    <col min="6" max="6" width="15.453125" style="163" bestFit="1" customWidth="1"/>
    <col min="7" max="8" width="8.453125" style="163" customWidth="1"/>
    <col min="9" max="16384" width="8.453125" style="163"/>
  </cols>
  <sheetData>
    <row r="1" spans="1:8" ht="14" x14ac:dyDescent="0.3">
      <c r="A1" s="337" t="s">
        <v>278</v>
      </c>
      <c r="B1" s="338"/>
      <c r="C1" s="338"/>
      <c r="D1" s="338"/>
      <c r="E1" s="338"/>
      <c r="F1" s="338"/>
      <c r="G1" s="338"/>
      <c r="H1" s="338"/>
    </row>
    <row r="2" spans="1:8" ht="14" x14ac:dyDescent="0.3">
      <c r="A2" s="337" t="s">
        <v>279</v>
      </c>
      <c r="B2" s="338"/>
      <c r="C2" s="338"/>
      <c r="D2" s="338"/>
      <c r="E2" s="338"/>
      <c r="F2" s="338"/>
      <c r="G2" s="338"/>
      <c r="H2" s="338"/>
    </row>
    <row r="3" spans="1:8" ht="14" x14ac:dyDescent="0.3">
      <c r="A3" s="337" t="str">
        <f>'[59]25-02 ECRM'!A3</f>
        <v xml:space="preserve">2025-26 Washington: September Filing </v>
      </c>
      <c r="B3" s="338"/>
      <c r="C3" s="338"/>
      <c r="D3" s="338"/>
      <c r="E3" s="338"/>
      <c r="F3" s="338"/>
      <c r="G3" s="338"/>
      <c r="H3" s="338"/>
    </row>
    <row r="4" spans="1:8" ht="14" x14ac:dyDescent="0.3">
      <c r="A4" s="337" t="s">
        <v>280</v>
      </c>
      <c r="B4" s="338"/>
      <c r="C4" s="338"/>
      <c r="D4" s="338"/>
      <c r="E4" s="338"/>
      <c r="F4" s="338"/>
      <c r="G4" s="338"/>
      <c r="H4" s="338"/>
    </row>
    <row r="5" spans="1:8" x14ac:dyDescent="0.3">
      <c r="A5" s="339"/>
      <c r="B5" s="338"/>
      <c r="C5" s="338"/>
      <c r="D5" s="338"/>
      <c r="E5" s="338"/>
      <c r="F5" s="338"/>
      <c r="G5" s="338"/>
      <c r="H5" s="338"/>
    </row>
    <row r="6" spans="1:8" x14ac:dyDescent="0.3">
      <c r="A6" s="338"/>
      <c r="B6" s="338"/>
      <c r="C6" s="338"/>
      <c r="D6" s="338"/>
      <c r="E6" s="338"/>
      <c r="F6" s="338"/>
      <c r="G6" s="338"/>
      <c r="H6" s="338"/>
    </row>
    <row r="7" spans="1:8" x14ac:dyDescent="0.3">
      <c r="A7" s="340">
        <v>1</v>
      </c>
      <c r="B7" s="338"/>
      <c r="C7" s="338"/>
      <c r="D7" s="338"/>
      <c r="E7" s="338"/>
      <c r="F7" s="341" t="s">
        <v>281</v>
      </c>
      <c r="G7" s="338"/>
      <c r="H7" s="341" t="s">
        <v>282</v>
      </c>
    </row>
    <row r="8" spans="1:8" x14ac:dyDescent="0.3">
      <c r="A8" s="340">
        <f>+A7+1</f>
        <v>2</v>
      </c>
      <c r="B8" s="338"/>
      <c r="C8" s="338"/>
      <c r="D8" s="338"/>
      <c r="E8" s="338"/>
      <c r="F8" s="342"/>
      <c r="G8" s="338"/>
      <c r="H8" s="343"/>
    </row>
    <row r="9" spans="1:8" x14ac:dyDescent="0.3">
      <c r="A9" s="340">
        <f t="shared" ref="A9:A24" si="0">+A8+1</f>
        <v>3</v>
      </c>
      <c r="B9" s="344" t="s">
        <v>283</v>
      </c>
      <c r="C9" s="338"/>
      <c r="D9" s="338"/>
      <c r="E9" s="338"/>
      <c r="F9" s="342"/>
      <c r="G9" s="338"/>
      <c r="H9" s="343"/>
    </row>
    <row r="10" spans="1:8" x14ac:dyDescent="0.3">
      <c r="A10" s="340">
        <f t="shared" si="0"/>
        <v>4</v>
      </c>
      <c r="B10" s="344"/>
      <c r="C10" s="338"/>
      <c r="D10" s="338"/>
      <c r="E10" s="338"/>
      <c r="F10" s="342"/>
      <c r="G10" s="338"/>
      <c r="H10" s="343"/>
    </row>
    <row r="11" spans="1:8" x14ac:dyDescent="0.3">
      <c r="A11" s="340">
        <f t="shared" si="0"/>
        <v>5</v>
      </c>
      <c r="B11" s="345" t="s">
        <v>284</v>
      </c>
      <c r="C11" s="338"/>
      <c r="D11" s="338"/>
      <c r="E11" s="338"/>
      <c r="F11" s="338"/>
      <c r="G11" s="338"/>
      <c r="H11" s="343"/>
    </row>
    <row r="12" spans="1:8" ht="14.25" customHeight="1" x14ac:dyDescent="0.3">
      <c r="A12" s="340">
        <f t="shared" si="0"/>
        <v>6</v>
      </c>
      <c r="B12" s="338" t="s">
        <v>346</v>
      </c>
      <c r="C12" s="418"/>
      <c r="D12" s="418"/>
      <c r="E12" s="418"/>
      <c r="F12" s="342">
        <f>'[59]25-06 Regulatory Fee'!F12+'[59]25-06 Rate Mitigation'!F12+'[59]25-06 Property Sales'!F12+'[59]25-06 Industrial EE Audit'!F12</f>
        <v>-67591</v>
      </c>
      <c r="G12" s="338"/>
      <c r="H12" s="346" t="str">
        <f>'[59]25-06 Property Sales'!H12</f>
        <v>NWN 2024-25 PGA WA Rate Development_September Filing.xlsx</v>
      </c>
    </row>
    <row r="13" spans="1:8" x14ac:dyDescent="0.3">
      <c r="A13" s="340">
        <f>+A12+1</f>
        <v>7</v>
      </c>
      <c r="B13" s="338"/>
      <c r="C13" s="338"/>
      <c r="D13" s="338"/>
      <c r="E13" s="338"/>
      <c r="F13" s="342"/>
      <c r="G13" s="338"/>
      <c r="H13" s="343"/>
    </row>
    <row r="14" spans="1:8" x14ac:dyDescent="0.3">
      <c r="A14" s="340">
        <f t="shared" si="0"/>
        <v>8</v>
      </c>
      <c r="B14" s="345" t="s">
        <v>286</v>
      </c>
      <c r="C14" s="338"/>
      <c r="D14" s="338"/>
      <c r="E14" s="338"/>
      <c r="F14" s="338"/>
      <c r="G14" s="338"/>
      <c r="H14" s="343"/>
    </row>
    <row r="15" spans="1:8" x14ac:dyDescent="0.3">
      <c r="A15" s="340">
        <f t="shared" si="0"/>
        <v>9</v>
      </c>
      <c r="B15" s="338" t="s">
        <v>285</v>
      </c>
      <c r="C15" s="338"/>
      <c r="D15" s="338"/>
      <c r="E15" s="338"/>
      <c r="F15" s="347">
        <f>'[59]25-06 Regulatory Fee'!F15+'[59]25-06 Rate Mitigation'!F15+'[59]25-06 Property Sales'!F15+'[59]25-06 Industrial EE Audit'!F15</f>
        <v>19184</v>
      </c>
      <c r="G15" s="338"/>
      <c r="H15" s="343" t="str">
        <f>'[59]25-06 Property Sales'!H15</f>
        <v>NWN 2025-26 PGA WA Rate Development September Filing.xlsx</v>
      </c>
    </row>
    <row r="16" spans="1:8" x14ac:dyDescent="0.3">
      <c r="A16" s="340">
        <f t="shared" si="0"/>
        <v>10</v>
      </c>
      <c r="B16" s="338"/>
      <c r="C16" s="338"/>
      <c r="D16" s="338"/>
      <c r="E16" s="338"/>
      <c r="F16" s="342"/>
      <c r="G16" s="338"/>
      <c r="H16" s="338"/>
    </row>
    <row r="17" spans="1:8" x14ac:dyDescent="0.3">
      <c r="A17" s="340">
        <f t="shared" si="0"/>
        <v>11</v>
      </c>
      <c r="B17" s="339"/>
      <c r="C17" s="338"/>
      <c r="D17" s="338"/>
      <c r="E17" s="338"/>
      <c r="F17" s="342"/>
      <c r="G17" s="338"/>
      <c r="H17" s="338"/>
    </row>
    <row r="18" spans="1:8" ht="13.5" thickBot="1" x14ac:dyDescent="0.35">
      <c r="A18" s="340">
        <f t="shared" si="0"/>
        <v>12</v>
      </c>
      <c r="B18" s="339" t="s">
        <v>287</v>
      </c>
      <c r="C18" s="338"/>
      <c r="D18" s="338"/>
      <c r="E18" s="338"/>
      <c r="F18" s="348">
        <f>SUM(F12:F15)</f>
        <v>-48407</v>
      </c>
      <c r="G18" s="338"/>
      <c r="H18" s="338"/>
    </row>
    <row r="19" spans="1:8" ht="13.5" thickTop="1" x14ac:dyDescent="0.3">
      <c r="A19" s="340">
        <f t="shared" si="0"/>
        <v>13</v>
      </c>
      <c r="B19" s="338"/>
      <c r="C19" s="338"/>
      <c r="D19" s="338"/>
      <c r="E19" s="338"/>
      <c r="F19" s="342"/>
      <c r="G19" s="338"/>
      <c r="H19" s="338"/>
    </row>
    <row r="20" spans="1:8" x14ac:dyDescent="0.3">
      <c r="A20" s="340">
        <f t="shared" si="0"/>
        <v>14</v>
      </c>
      <c r="B20" s="338"/>
      <c r="C20" s="338"/>
      <c r="D20" s="338"/>
      <c r="E20" s="338"/>
      <c r="F20" s="342"/>
      <c r="G20" s="338"/>
      <c r="H20" s="338"/>
    </row>
    <row r="21" spans="1:8" x14ac:dyDescent="0.3">
      <c r="A21" s="340">
        <f t="shared" si="0"/>
        <v>15</v>
      </c>
      <c r="B21" s="338"/>
      <c r="C21" s="338"/>
      <c r="D21" s="338"/>
      <c r="E21" s="338"/>
      <c r="F21" s="342"/>
      <c r="G21" s="338"/>
      <c r="H21" s="338"/>
    </row>
    <row r="22" spans="1:8" x14ac:dyDescent="0.3">
      <c r="A22" s="340">
        <f t="shared" si="0"/>
        <v>16</v>
      </c>
      <c r="B22" s="349" t="str">
        <f>+'[59]25-08 Combined'!B36</f>
        <v>2024 Washington CBR Normalized Total Revenues</v>
      </c>
      <c r="C22" s="350"/>
      <c r="D22" s="350"/>
      <c r="E22" s="338"/>
      <c r="F22" s="351">
        <f>+'[59]25-08 Combined'!F36</f>
        <v>109949934.64991099</v>
      </c>
      <c r="G22" s="338"/>
      <c r="H22" s="338"/>
    </row>
    <row r="23" spans="1:8" x14ac:dyDescent="0.3">
      <c r="A23" s="340">
        <f t="shared" si="0"/>
        <v>17</v>
      </c>
      <c r="B23" s="339"/>
      <c r="C23" s="338"/>
      <c r="D23" s="338"/>
      <c r="E23" s="338"/>
      <c r="F23" s="352"/>
      <c r="G23" s="338"/>
      <c r="H23" s="338"/>
    </row>
    <row r="24" spans="1:8" x14ac:dyDescent="0.3">
      <c r="A24" s="340">
        <f t="shared" si="0"/>
        <v>18</v>
      </c>
      <c r="B24" s="339" t="s">
        <v>288</v>
      </c>
      <c r="C24" s="338"/>
      <c r="D24" s="338"/>
      <c r="E24" s="338"/>
      <c r="F24" s="353">
        <f>ROUND(F18/F22,4)</f>
        <v>-4.0000000000000002E-4</v>
      </c>
      <c r="G24" s="338"/>
      <c r="H24" s="338"/>
    </row>
  </sheetData>
  <pageMargins left="0.5" right="0.5" top="0.5" bottom="0.25" header="0.25" footer="0.25"/>
  <pageSetup scale="72" orientation="landscape" r:id="rId1"/>
  <headerFooter alignWithMargins="0">
    <oddHeader xml:space="preserve">&amp;RUG-250711 - NWN WUTC Advice No. 25-06A
Exhibit A - Supporting Materials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62C7222E67F4B971859291DB4ECB5" ma:contentTypeVersion="19" ma:contentTypeDescription="" ma:contentTypeScope="" ma:versionID="14f252a0007f6c17c362d9d6302be2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250711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C6629C-5175-4B83-B0C8-E854F0D14090}"/>
</file>

<file path=customXml/itemProps2.xml><?xml version="1.0" encoding="utf-8"?>
<ds:datastoreItem xmlns:ds="http://schemas.openxmlformats.org/officeDocument/2006/customXml" ds:itemID="{CD8D8499-AB2C-4696-9578-D31297C4F615}"/>
</file>

<file path=customXml/itemProps3.xml><?xml version="1.0" encoding="utf-8"?>
<ds:datastoreItem xmlns:ds="http://schemas.openxmlformats.org/officeDocument/2006/customXml" ds:itemID="{1F05DA83-F809-437C-A7F9-BCADE8AA8D2F}"/>
</file>

<file path=customXml/itemProps4.xml><?xml version="1.0" encoding="utf-8"?>
<ds:datastoreItem xmlns:ds="http://schemas.openxmlformats.org/officeDocument/2006/customXml" ds:itemID="{367AAB81-808E-434F-A3BD-70C9063B1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Calc of Avg Cent Increments</vt:lpstr>
      <vt:lpstr>Calc of % of Margin Increments</vt:lpstr>
      <vt:lpstr>Calc of % of Revenue Increments</vt:lpstr>
      <vt:lpstr>Effct of Avg Bill</vt:lpstr>
      <vt:lpstr>Deferral Summary</vt:lpstr>
      <vt:lpstr>232050</vt:lpstr>
      <vt:lpstr>232075</vt:lpstr>
      <vt:lpstr>151827</vt:lpstr>
      <vt:lpstr>151829</vt:lpstr>
      <vt:lpstr>151887</vt:lpstr>
      <vt:lpstr>151889</vt:lpstr>
      <vt:lpstr>151914</vt:lpstr>
      <vt:lpstr>Effects on Revenue</vt:lpstr>
      <vt:lpstr>'151827'!Print_Area</vt:lpstr>
      <vt:lpstr>'151829'!Print_Area</vt:lpstr>
      <vt:lpstr>'151887'!Print_Area</vt:lpstr>
      <vt:lpstr>'151889'!Print_Area</vt:lpstr>
      <vt:lpstr>'151914'!Print_Area</vt:lpstr>
      <vt:lpstr>'232050'!Print_Area</vt:lpstr>
      <vt:lpstr>'232075'!Print_Area</vt:lpstr>
      <vt:lpstr>'Calc of % of Margin Increments'!Print_Area</vt:lpstr>
      <vt:lpstr>'Calc of Avg Cent Increments'!Print_Area</vt:lpstr>
      <vt:lpstr>'Deferral Summary'!Print_Area</vt:lpstr>
      <vt:lpstr>'Effct of Avg Bill'!Print_Area</vt:lpstr>
      <vt:lpstr>'Calc of % of Margin Increments'!Print_Titles</vt:lpstr>
      <vt:lpstr>'Calc of Avg Cent Increments'!Print_Titles</vt:lpstr>
      <vt:lpstr>'Effct of Avg Bill'!Print_Titles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Michael</dc:creator>
  <cp:lastModifiedBy>Patzkowski, Kurt</cp:lastModifiedBy>
  <cp:lastPrinted>2025-10-06T18:43:01Z</cp:lastPrinted>
  <dcterms:created xsi:type="dcterms:W3CDTF">2025-09-12T20:59:49Z</dcterms:created>
  <dcterms:modified xsi:type="dcterms:W3CDTF">2025-10-06T20:41:18Z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0x0101006E56B4D1795A2E4DB2F0B01679ED314A00E2162C7222E67F4B971859291DB4ECB5</vt:lpwstr>
  </property>
  <property fmtid="{D5CDD505-2E9C-101B-9397-08002B2CF9AE}" pid="3" name="_docset_NoMedatataSyncRequired">
    <vt:lpwstr>False</vt:lpwstr>
  </property>
</Properties>
</file>