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styles.xml" ContentType="application/vnd.openxmlformats-officedocument.spreadsheetml.styles+xml"/>
  <Override PartName="/xl/worksheets/sheet19.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pivotCache/pivotCacheRecords1.xml" ContentType="application/vnd.openxmlformats-officedocument.spreadsheetml.pivotCacheRecord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Tariffs\1. Open Advices\2024-50 Natural Gas Schedule 111 - Greenhouse Gas Emissions Cap and Invest Adjustment (UG-24XXXX) (Eff. 01-01-25)\Sent to UTC 11-15-24\"/>
    </mc:Choice>
  </mc:AlternateContent>
  <bookViews>
    <workbookView xWindow="0" yWindow="0" windowWidth="28800" windowHeight="12300" tabRatio="832"/>
  </bookViews>
  <sheets>
    <sheet name="Sch. 111 Rate Summary" sheetId="41" r:id="rId1"/>
    <sheet name="Sch. 111 Charge Rates" sheetId="1" r:id="rId2"/>
    <sheet name="Sch. 111 Low Inc. Credit Rates" sheetId="9" r:id="rId3"/>
    <sheet name="Sch. 111 Non-Vol Credit Rates" sheetId="2" r:id="rId4"/>
    <sheet name="Sch.111 Non-Vol Credit Seasonal" sheetId="10" r:id="rId5"/>
    <sheet name="Rate Impacts--&gt;" sheetId="11" r:id="rId6"/>
    <sheet name="Rate Impacts Sch 111" sheetId="73" r:id="rId7"/>
    <sheet name="Typical Res Bill Sch 111" sheetId="74" r:id="rId8"/>
    <sheet name="Sch. 111 Charge" sheetId="75" r:id="rId9"/>
    <sheet name="Sch. 111 Credit" sheetId="76" r:id="rId10"/>
    <sheet name="Work Papers--&gt;" sheetId="3" r:id="rId11"/>
    <sheet name="2025 Rev Req" sheetId="77" r:id="rId12"/>
    <sheet name="Rev Req in Rates" sheetId="78" r:id="rId13"/>
    <sheet name="Low Income Forecast" sheetId="8" r:id="rId14"/>
    <sheet name="CCA Therm Forecast" sheetId="6" r:id="rId15"/>
    <sheet name="CCA Customer Forecast" sheetId="7" r:id="rId16"/>
    <sheet name="F2024 Forecast" sheetId="5" r:id="rId17"/>
    <sheet name="True-up--&gt;" sheetId="64" r:id="rId18"/>
    <sheet name="CCA NV Cred True Up" sheetId="65" r:id="rId19"/>
    <sheet name="CCA Rev_Actual" sheetId="66" r:id="rId20"/>
    <sheet name="CCA_Unbilled" sheetId="72" r:id="rId21"/>
    <sheet name="Sch. 111 NV Rates_Eff Oct23" sheetId="67" r:id="rId22"/>
    <sheet name="Sch. 111 NV Rates_Eff Nov23" sheetId="68" r:id="rId23"/>
    <sheet name="Sch. 111 NV Rates_Eff Jan24" sheetId="69" r:id="rId24"/>
    <sheet name="CCA Projected Rev_Oct24-Dec24" sheetId="70" r:id="rId25"/>
    <sheet name="CCA Projected Rev_Aug23-Dec23" sheetId="71" r:id="rId26"/>
  </sheets>
  <definedNames>
    <definedName name="_xlnm.Print_Area" localSheetId="15">'CCA Customer Forecast'!$A$1:$N$144</definedName>
    <definedName name="_xlnm.Print_Area" localSheetId="18">'CCA NV Cred True Up'!$A$1:$I$24</definedName>
    <definedName name="_xlnm.Print_Area" localSheetId="14">'CCA Therm Forecast'!$A$1:$N$124</definedName>
    <definedName name="_xlnm.Print_Area" localSheetId="16">'F2024 Forecast'!$A$1:$N$48</definedName>
    <definedName name="_xlnm.Print_Area" localSheetId="13">'Low Income Forecast'!$A$1:$N$44</definedName>
    <definedName name="_xlnm.Print_Area" localSheetId="6">'Rate Impacts Sch 111'!$A$1:$AC$39</definedName>
    <definedName name="_xlnm.Print_Area" localSheetId="8">'Sch. 111 Charge'!$A$1:$M$24</definedName>
    <definedName name="_xlnm.Print_Area" localSheetId="1">'Sch. 111 Charge Rates'!$A$1:$H$29</definedName>
    <definedName name="_xlnm.Print_Area" localSheetId="9">'Sch. 111 Credit'!$A$1:$M$35</definedName>
    <definedName name="_xlnm.Print_Area" localSheetId="2">'Sch. 111 Low Inc. Credit Rates'!$A$1:$F$13</definedName>
    <definedName name="_xlnm.Print_Area" localSheetId="3">'Sch. 111 Non-Vol Credit Rates'!$A$1:$J$34</definedName>
    <definedName name="_xlnm.Print_Area" localSheetId="23">'Sch. 111 NV Rates_Eff Jan24'!$A$1:$H$35</definedName>
    <definedName name="_xlnm.Print_Area" localSheetId="22">'Sch. 111 NV Rates_Eff Nov23'!$A$1:$H$33</definedName>
    <definedName name="_xlnm.Print_Area" localSheetId="21">'Sch. 111 NV Rates_Eff Oct23'!$A$1:$H$33</definedName>
    <definedName name="_xlnm.Print_Area" localSheetId="0">'Sch. 111 Rate Summary'!$A$1:$H$91</definedName>
    <definedName name="_xlnm.Print_Area" localSheetId="4">'Sch.111 Non-Vol Credit Seasonal'!$A$1:$P$31</definedName>
    <definedName name="_xlnm.Print_Area" localSheetId="7">'Typical Res Bill Sch 111'!$B$1:$H$44</definedName>
    <definedName name="_xlnm.Print_Titles" localSheetId="15">'CCA Customer Forecast'!$1:$4</definedName>
    <definedName name="_xlnm.Print_Titles" localSheetId="14">'CCA Therm Forecast'!$1:$4</definedName>
    <definedName name="_xlnm.Print_Titles" localSheetId="0">'Sch. 111 Rate Summary'!$1:$4</definedName>
  </definedNames>
  <calcPr calcId="162913"/>
  <pivotCaches>
    <pivotCache cacheId="0" r:id="rId2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78" l="1"/>
  <c r="H13" i="78"/>
  <c r="H14" i="78"/>
  <c r="H15" i="78"/>
  <c r="H16" i="78"/>
  <c r="H17" i="78"/>
  <c r="H18" i="78"/>
  <c r="H19" i="78"/>
  <c r="H20" i="78"/>
  <c r="H21" i="78"/>
  <c r="H22" i="78"/>
  <c r="H23" i="78"/>
  <c r="H24" i="78"/>
  <c r="H11" i="78"/>
  <c r="F11" i="78" l="1"/>
  <c r="F25" i="78" s="1"/>
  <c r="G12" i="78"/>
  <c r="G13" i="78"/>
  <c r="G14" i="78"/>
  <c r="G15" i="78"/>
  <c r="G16" i="78"/>
  <c r="G17" i="78"/>
  <c r="G18" i="78"/>
  <c r="G19" i="78"/>
  <c r="G20" i="78"/>
  <c r="G21" i="78"/>
  <c r="G22" i="78"/>
  <c r="G23" i="78"/>
  <c r="G24" i="78"/>
  <c r="G11" i="78"/>
  <c r="E12" i="78"/>
  <c r="E13" i="78"/>
  <c r="E14" i="78"/>
  <c r="E15" i="78"/>
  <c r="E16" i="78"/>
  <c r="E17" i="78"/>
  <c r="E18" i="78"/>
  <c r="E19" i="78"/>
  <c r="E20" i="78"/>
  <c r="E21" i="78"/>
  <c r="E22" i="78"/>
  <c r="E23" i="78"/>
  <c r="E24" i="78"/>
  <c r="E11" i="78"/>
  <c r="D12" i="78"/>
  <c r="D13" i="78"/>
  <c r="D14" i="78"/>
  <c r="D15" i="78"/>
  <c r="D16" i="78"/>
  <c r="D17" i="78"/>
  <c r="D18" i="78"/>
  <c r="D19" i="78"/>
  <c r="D20" i="78"/>
  <c r="D21" i="78"/>
  <c r="D22" i="78"/>
  <c r="D23" i="78"/>
  <c r="D24" i="78"/>
  <c r="D11" i="78"/>
  <c r="A12" i="78"/>
  <c r="A13" i="78" s="1"/>
  <c r="A14" i="78" s="1"/>
  <c r="A15" i="78" s="1"/>
  <c r="A16" i="78" s="1"/>
  <c r="A17" i="78" s="1"/>
  <c r="A18" i="78" s="1"/>
  <c r="A19" i="78" s="1"/>
  <c r="A20" i="78" s="1"/>
  <c r="A21" i="78" s="1"/>
  <c r="A22" i="78" s="1"/>
  <c r="A23" i="78" s="1"/>
  <c r="A24" i="78" s="1"/>
  <c r="A25" i="78" s="1"/>
  <c r="A4" i="78"/>
  <c r="A2" i="78"/>
  <c r="H25" i="78" l="1"/>
  <c r="G25" i="78"/>
  <c r="E25" i="78"/>
  <c r="D25" i="78"/>
  <c r="F27" i="2" l="1"/>
  <c r="F27" i="1"/>
  <c r="B54" i="77"/>
  <c r="B53" i="77"/>
  <c r="B52" i="77"/>
  <c r="J51" i="77"/>
  <c r="B51" i="77"/>
  <c r="B50" i="77"/>
  <c r="J49" i="77"/>
  <c r="B49" i="77"/>
  <c r="B48" i="77"/>
  <c r="B47" i="77"/>
  <c r="B46" i="77"/>
  <c r="B45" i="77"/>
  <c r="B44" i="77"/>
  <c r="J42" i="77"/>
  <c r="B43" i="77"/>
  <c r="B42" i="77"/>
  <c r="B41" i="77"/>
  <c r="B40" i="77"/>
  <c r="B39" i="77"/>
  <c r="B38" i="77"/>
  <c r="B37" i="77"/>
  <c r="B36" i="77"/>
  <c r="B35" i="77"/>
  <c r="B34" i="77"/>
  <c r="B33" i="77"/>
  <c r="B32" i="77"/>
  <c r="B31" i="77"/>
  <c r="B25" i="77"/>
  <c r="J24" i="77"/>
  <c r="F24" i="77"/>
  <c r="E24" i="77"/>
  <c r="B24" i="77"/>
  <c r="B23" i="77"/>
  <c r="B22" i="77"/>
  <c r="B21" i="77"/>
  <c r="H20" i="77"/>
  <c r="B20" i="77"/>
  <c r="B17" i="77"/>
  <c r="H16" i="77"/>
  <c r="H24" i="77" s="1"/>
  <c r="G16" i="77"/>
  <c r="G24" i="77" s="1"/>
  <c r="F16" i="77"/>
  <c r="E16" i="77"/>
  <c r="B16" i="77"/>
  <c r="B15" i="77"/>
  <c r="D14" i="77"/>
  <c r="G14" i="77" s="1"/>
  <c r="B14" i="77"/>
  <c r="G15" i="77"/>
  <c r="G17" i="77" s="1"/>
  <c r="F14" i="77"/>
  <c r="E14" i="77"/>
  <c r="B13" i="77"/>
  <c r="H12" i="77"/>
  <c r="G12" i="77"/>
  <c r="G20" i="77" s="1"/>
  <c r="F12" i="77"/>
  <c r="F20" i="77" s="1"/>
  <c r="E12" i="77"/>
  <c r="E20" i="77" s="1"/>
  <c r="B12" i="77"/>
  <c r="B9" i="77"/>
  <c r="I16" i="77"/>
  <c r="I24" i="77" s="1"/>
  <c r="B8" i="77"/>
  <c r="B7" i="77"/>
  <c r="F6" i="77"/>
  <c r="F7" i="77" s="1"/>
  <c r="F9" i="77" s="1"/>
  <c r="B6" i="77"/>
  <c r="F21" i="77"/>
  <c r="E21" i="77"/>
  <c r="B5" i="77"/>
  <c r="B4" i="77"/>
  <c r="E22" i="77" l="1"/>
  <c r="E23" i="77" s="1"/>
  <c r="E25" i="77" s="1"/>
  <c r="G7" i="77"/>
  <c r="G9" i="77" s="1"/>
  <c r="H7" i="77"/>
  <c r="H9" i="77" s="1"/>
  <c r="H21" i="77"/>
  <c r="E6" i="77"/>
  <c r="E7" i="77" s="1"/>
  <c r="E9" i="77" s="1"/>
  <c r="I14" i="77"/>
  <c r="I15" i="77" s="1"/>
  <c r="I17" i="77" s="1"/>
  <c r="I21" i="77"/>
  <c r="H14" i="77"/>
  <c r="H15" i="77" s="1"/>
  <c r="H17" i="77" s="1"/>
  <c r="G6" i="77"/>
  <c r="H6" i="77"/>
  <c r="E15" i="77"/>
  <c r="E17" i="77" s="1"/>
  <c r="D22" i="77"/>
  <c r="F22" i="77" s="1"/>
  <c r="F23" i="77" s="1"/>
  <c r="F25" i="77" s="1"/>
  <c r="G21" i="77"/>
  <c r="I6" i="77"/>
  <c r="I7" i="77" s="1"/>
  <c r="I9" i="77" s="1"/>
  <c r="F15" i="77"/>
  <c r="F17" i="77" s="1"/>
  <c r="F26" i="77" s="1"/>
  <c r="J13" i="77"/>
  <c r="J5" i="77"/>
  <c r="H30" i="76"/>
  <c r="F30" i="76"/>
  <c r="J23" i="76"/>
  <c r="H23" i="76"/>
  <c r="F23" i="76"/>
  <c r="H22" i="76"/>
  <c r="F22" i="76"/>
  <c r="H21" i="76"/>
  <c r="F21" i="76"/>
  <c r="J20" i="76"/>
  <c r="H20" i="76"/>
  <c r="F20" i="76"/>
  <c r="J19" i="76"/>
  <c r="H19" i="76"/>
  <c r="F19" i="76"/>
  <c r="H18" i="76"/>
  <c r="F18" i="76"/>
  <c r="F17" i="76"/>
  <c r="J17" i="76" s="1"/>
  <c r="M17" i="76" s="1"/>
  <c r="J16" i="76"/>
  <c r="H16" i="76"/>
  <c r="F16" i="76"/>
  <c r="H15" i="76"/>
  <c r="F15" i="76"/>
  <c r="H14" i="76"/>
  <c r="F14" i="76"/>
  <c r="H13" i="76"/>
  <c r="F13" i="76"/>
  <c r="J13" i="76"/>
  <c r="J12" i="76"/>
  <c r="F12" i="76"/>
  <c r="H11" i="76"/>
  <c r="F11" i="76"/>
  <c r="F10" i="76"/>
  <c r="C29" i="76"/>
  <c r="H23" i="75"/>
  <c r="F23" i="75"/>
  <c r="H22" i="75"/>
  <c r="F22" i="75"/>
  <c r="J21" i="75"/>
  <c r="H21" i="75"/>
  <c r="F21" i="75"/>
  <c r="J20" i="75"/>
  <c r="H20" i="75"/>
  <c r="F20" i="75"/>
  <c r="H19" i="75"/>
  <c r="F19" i="75"/>
  <c r="H18" i="75"/>
  <c r="F18" i="75"/>
  <c r="M17" i="75"/>
  <c r="J17" i="75"/>
  <c r="K18" i="73" s="1"/>
  <c r="H17" i="75"/>
  <c r="F17" i="75"/>
  <c r="H16" i="75"/>
  <c r="F16" i="75"/>
  <c r="H15" i="75"/>
  <c r="F15" i="75"/>
  <c r="H14" i="75"/>
  <c r="F14" i="75"/>
  <c r="J14" i="75"/>
  <c r="J13" i="75"/>
  <c r="K14" i="73" s="1"/>
  <c r="H13" i="75"/>
  <c r="F13" i="75"/>
  <c r="H12" i="75"/>
  <c r="F12" i="75"/>
  <c r="H11" i="75"/>
  <c r="F11" i="75"/>
  <c r="H10" i="75"/>
  <c r="F10" i="75"/>
  <c r="C24" i="75"/>
  <c r="D35" i="74"/>
  <c r="E35" i="74" s="1"/>
  <c r="G34" i="74"/>
  <c r="G33" i="74"/>
  <c r="G35" i="74" s="1"/>
  <c r="H35" i="74" s="1"/>
  <c r="D31" i="74"/>
  <c r="E31" i="74" s="1"/>
  <c r="D29" i="74"/>
  <c r="E29" i="74" s="1"/>
  <c r="G28" i="74"/>
  <c r="G27" i="74"/>
  <c r="G26" i="74"/>
  <c r="G25" i="74"/>
  <c r="G24" i="74"/>
  <c r="G23" i="74"/>
  <c r="G22" i="74"/>
  <c r="G21" i="74"/>
  <c r="G20" i="74"/>
  <c r="G19" i="74"/>
  <c r="G18" i="74"/>
  <c r="E15" i="74"/>
  <c r="D15" i="74"/>
  <c r="D13" i="74"/>
  <c r="B4" i="74"/>
  <c r="B2" i="74"/>
  <c r="U35" i="73"/>
  <c r="T35" i="73"/>
  <c r="S35" i="73"/>
  <c r="Q35" i="73"/>
  <c r="P35" i="73"/>
  <c r="N35" i="73"/>
  <c r="M35" i="73"/>
  <c r="L35" i="73"/>
  <c r="J35" i="73"/>
  <c r="I35" i="73"/>
  <c r="U34" i="73"/>
  <c r="Q34" i="73"/>
  <c r="N34" i="73"/>
  <c r="M34" i="73"/>
  <c r="L34" i="73"/>
  <c r="J34" i="73"/>
  <c r="I34" i="73"/>
  <c r="U33" i="73"/>
  <c r="O33" i="73"/>
  <c r="R32" i="73"/>
  <c r="P32" i="73"/>
  <c r="D32" i="73"/>
  <c r="U31" i="73"/>
  <c r="R35" i="73"/>
  <c r="O35" i="73"/>
  <c r="G35" i="73"/>
  <c r="E35" i="73"/>
  <c r="F35" i="73" s="1"/>
  <c r="D35" i="73"/>
  <c r="T34" i="73"/>
  <c r="S34" i="73"/>
  <c r="R34" i="73"/>
  <c r="P34" i="73"/>
  <c r="O34" i="73"/>
  <c r="G34" i="73"/>
  <c r="E34" i="73"/>
  <c r="D34" i="73"/>
  <c r="M33" i="73"/>
  <c r="F22" i="73"/>
  <c r="H22" i="73" s="1"/>
  <c r="K21" i="73"/>
  <c r="F21" i="73"/>
  <c r="H21" i="73" s="1"/>
  <c r="V21" i="73" s="1"/>
  <c r="F20" i="73"/>
  <c r="H20" i="73" s="1"/>
  <c r="U25" i="73"/>
  <c r="F19" i="73"/>
  <c r="H19" i="73" s="1"/>
  <c r="F18" i="73"/>
  <c r="H18" i="73" s="1"/>
  <c r="T33" i="73"/>
  <c r="S33" i="73"/>
  <c r="R33" i="73"/>
  <c r="Q33" i="73"/>
  <c r="P33" i="73"/>
  <c r="N33" i="73"/>
  <c r="L33" i="73"/>
  <c r="J33" i="73"/>
  <c r="I33" i="73"/>
  <c r="G33" i="73"/>
  <c r="E33" i="73"/>
  <c r="F33" i="73" s="1"/>
  <c r="D33" i="73"/>
  <c r="U32" i="73"/>
  <c r="T32" i="73"/>
  <c r="S32" i="73"/>
  <c r="Q32" i="73"/>
  <c r="O32" i="73"/>
  <c r="N32" i="73"/>
  <c r="M32" i="73"/>
  <c r="L32" i="73"/>
  <c r="J32" i="73"/>
  <c r="I32" i="73"/>
  <c r="G32" i="73"/>
  <c r="E32" i="73"/>
  <c r="F32" i="73" s="1"/>
  <c r="T31" i="73"/>
  <c r="S31" i="73"/>
  <c r="R31" i="73"/>
  <c r="Q31" i="73"/>
  <c r="P31" i="73"/>
  <c r="O31" i="73"/>
  <c r="N31" i="73"/>
  <c r="M31" i="73"/>
  <c r="L31" i="73"/>
  <c r="J31" i="73"/>
  <c r="I31" i="73"/>
  <c r="G31" i="73"/>
  <c r="F15" i="73"/>
  <c r="H15" i="73" s="1"/>
  <c r="D31" i="73"/>
  <c r="U30" i="73"/>
  <c r="T30" i="73"/>
  <c r="S30" i="73"/>
  <c r="R30" i="73"/>
  <c r="Q30" i="73"/>
  <c r="P30" i="73"/>
  <c r="O30" i="73"/>
  <c r="N30" i="73"/>
  <c r="M30" i="73"/>
  <c r="L25" i="73"/>
  <c r="J30" i="73"/>
  <c r="I30" i="73"/>
  <c r="G30" i="73"/>
  <c r="F14" i="73"/>
  <c r="H14" i="73" s="1"/>
  <c r="D30" i="73"/>
  <c r="U29" i="73"/>
  <c r="T29" i="73"/>
  <c r="S29" i="73"/>
  <c r="R29" i="73"/>
  <c r="Q29" i="73"/>
  <c r="P29" i="73"/>
  <c r="O29" i="73"/>
  <c r="N29" i="73"/>
  <c r="M29" i="73"/>
  <c r="L29" i="73"/>
  <c r="J29" i="73"/>
  <c r="I29" i="73"/>
  <c r="G29" i="73"/>
  <c r="E29" i="73"/>
  <c r="F29" i="73" s="1"/>
  <c r="D29" i="73"/>
  <c r="F12" i="73"/>
  <c r="H12" i="73" s="1"/>
  <c r="A12" i="73"/>
  <c r="A13" i="73" s="1"/>
  <c r="A14" i="73" s="1"/>
  <c r="A15" i="73" s="1"/>
  <c r="A16" i="73" s="1"/>
  <c r="A17" i="73" s="1"/>
  <c r="A18" i="73" s="1"/>
  <c r="A19" i="73" s="1"/>
  <c r="A20" i="73" s="1"/>
  <c r="A21" i="73" s="1"/>
  <c r="A22" i="73" s="1"/>
  <c r="A23" i="73" s="1"/>
  <c r="A24" i="73" s="1"/>
  <c r="A25" i="73" s="1"/>
  <c r="A28" i="73" s="1"/>
  <c r="A29" i="73" s="1"/>
  <c r="A30" i="73" s="1"/>
  <c r="A31" i="73" s="1"/>
  <c r="A32" i="73" s="1"/>
  <c r="A33" i="73" s="1"/>
  <c r="A34" i="73" s="1"/>
  <c r="A35" i="73" s="1"/>
  <c r="A36" i="73" s="1"/>
  <c r="U28" i="73"/>
  <c r="U36" i="73" s="1"/>
  <c r="T25" i="73"/>
  <c r="S25" i="73"/>
  <c r="R25" i="73"/>
  <c r="Q28" i="73"/>
  <c r="P28" i="73"/>
  <c r="O28" i="73"/>
  <c r="N28" i="73"/>
  <c r="M28" i="73"/>
  <c r="L28" i="73"/>
  <c r="J28" i="73"/>
  <c r="I28" i="73"/>
  <c r="G25" i="73"/>
  <c r="F11" i="73"/>
  <c r="H11" i="73" s="1"/>
  <c r="E28" i="73"/>
  <c r="D28" i="73"/>
  <c r="D36" i="73" s="1"/>
  <c r="E7" i="73"/>
  <c r="AB6" i="73"/>
  <c r="I26" i="77" l="1"/>
  <c r="H22" i="77"/>
  <c r="H23" i="77" s="1"/>
  <c r="H25" i="77" s="1"/>
  <c r="G22" i="77"/>
  <c r="G23" i="77" s="1"/>
  <c r="G25" i="77" s="1"/>
  <c r="G26" i="77" s="1"/>
  <c r="J6" i="77"/>
  <c r="J21" i="77"/>
  <c r="J7" i="77"/>
  <c r="J9" i="77" s="1"/>
  <c r="E26" i="77"/>
  <c r="J40" i="77"/>
  <c r="J15" i="77"/>
  <c r="J17" i="77" s="1"/>
  <c r="J14" i="77"/>
  <c r="I22" i="77"/>
  <c r="I23" i="77"/>
  <c r="I25" i="77" s="1"/>
  <c r="F28" i="73"/>
  <c r="I36" i="73"/>
  <c r="J36" i="73"/>
  <c r="G29" i="74"/>
  <c r="M36" i="73"/>
  <c r="V18" i="73"/>
  <c r="H31" i="73"/>
  <c r="E36" i="74"/>
  <c r="H28" i="73"/>
  <c r="O36" i="73"/>
  <c r="F34" i="73"/>
  <c r="K15" i="73"/>
  <c r="V15" i="73" s="1"/>
  <c r="N36" i="73"/>
  <c r="V14" i="73"/>
  <c r="H30" i="73"/>
  <c r="P36" i="73"/>
  <c r="Q36" i="73"/>
  <c r="I25" i="73"/>
  <c r="S28" i="73"/>
  <c r="S36" i="73" s="1"/>
  <c r="J12" i="75"/>
  <c r="J16" i="75"/>
  <c r="J15" i="76"/>
  <c r="L30" i="73"/>
  <c r="L36" i="73" s="1"/>
  <c r="G28" i="73"/>
  <c r="G36" i="73" s="1"/>
  <c r="F13" i="73"/>
  <c r="H13" i="73" s="1"/>
  <c r="F23" i="73"/>
  <c r="H23" i="73" s="1"/>
  <c r="M25" i="73"/>
  <c r="E12" i="74"/>
  <c r="E13" i="74" s="1"/>
  <c r="E38" i="74" s="1"/>
  <c r="J11" i="76"/>
  <c r="J18" i="76"/>
  <c r="J22" i="76"/>
  <c r="J30" i="76"/>
  <c r="D42" i="74"/>
  <c r="N25" i="73"/>
  <c r="E30" i="73"/>
  <c r="F30" i="73" s="1"/>
  <c r="G12" i="74"/>
  <c r="D36" i="74"/>
  <c r="J19" i="75"/>
  <c r="J23" i="75"/>
  <c r="C24" i="76"/>
  <c r="R28" i="73"/>
  <c r="R36" i="73" s="1"/>
  <c r="O25" i="73"/>
  <c r="J11" i="75"/>
  <c r="J15" i="75"/>
  <c r="J14" i="76"/>
  <c r="J25" i="73"/>
  <c r="F24" i="73"/>
  <c r="H24" i="73" s="1"/>
  <c r="T28" i="73"/>
  <c r="T36" i="73" s="1"/>
  <c r="D25" i="73"/>
  <c r="P25" i="73"/>
  <c r="J10" i="76"/>
  <c r="J21" i="76"/>
  <c r="E25" i="73"/>
  <c r="F25" i="73" s="1"/>
  <c r="Q25" i="73"/>
  <c r="E31" i="73"/>
  <c r="F31" i="73" s="1"/>
  <c r="J18" i="75"/>
  <c r="J22" i="75"/>
  <c r="F17" i="73"/>
  <c r="H17" i="73" s="1"/>
  <c r="J10" i="75"/>
  <c r="F16" i="73"/>
  <c r="H16" i="73" s="1"/>
  <c r="H25" i="73" s="1"/>
  <c r="J26" i="65"/>
  <c r="I26" i="65"/>
  <c r="F26" i="65"/>
  <c r="E26" i="65"/>
  <c r="D26" i="65"/>
  <c r="I23" i="65"/>
  <c r="I22" i="65"/>
  <c r="I21" i="65"/>
  <c r="I20" i="65"/>
  <c r="I19" i="65"/>
  <c r="I18" i="65"/>
  <c r="I17" i="65"/>
  <c r="I16" i="65"/>
  <c r="I15" i="65"/>
  <c r="I14" i="65"/>
  <c r="I13" i="65"/>
  <c r="I11" i="65"/>
  <c r="F24" i="72"/>
  <c r="F25" i="72" s="1"/>
  <c r="E24" i="72"/>
  <c r="D25" i="72" s="1"/>
  <c r="E23" i="72"/>
  <c r="D30" i="72" s="1"/>
  <c r="D23" i="72"/>
  <c r="J48" i="77" l="1"/>
  <c r="J52" i="77" s="1"/>
  <c r="J53" i="77" s="1"/>
  <c r="J54" i="77" s="1"/>
  <c r="J58" i="77" s="1"/>
  <c r="H26" i="77"/>
  <c r="J22" i="77"/>
  <c r="J23" i="77"/>
  <c r="J25" i="77" s="1"/>
  <c r="J32" i="77" s="1"/>
  <c r="J34" i="77" s="1"/>
  <c r="K23" i="73"/>
  <c r="K34" i="73" s="1"/>
  <c r="K17" i="73"/>
  <c r="K33" i="73" s="1"/>
  <c r="H35" i="73"/>
  <c r="V24" i="73"/>
  <c r="K19" i="73"/>
  <c r="K16" i="73"/>
  <c r="K32" i="73" s="1"/>
  <c r="K12" i="73"/>
  <c r="V12" i="73" s="1"/>
  <c r="K13" i="73"/>
  <c r="K29" i="73" s="1"/>
  <c r="K22" i="73"/>
  <c r="V22" i="73" s="1"/>
  <c r="J24" i="76"/>
  <c r="K24" i="73"/>
  <c r="K35" i="73" s="1"/>
  <c r="J24" i="75"/>
  <c r="K11" i="73"/>
  <c r="K20" i="73"/>
  <c r="V20" i="73" s="1"/>
  <c r="H34" i="73"/>
  <c r="V23" i="73"/>
  <c r="V13" i="73"/>
  <c r="H29" i="73"/>
  <c r="H36" i="73" s="1"/>
  <c r="H29" i="74"/>
  <c r="H33" i="73"/>
  <c r="V17" i="73"/>
  <c r="V16" i="73"/>
  <c r="H32" i="73"/>
  <c r="G13" i="74"/>
  <c r="H12" i="74"/>
  <c r="H13" i="74" s="1"/>
  <c r="E36" i="73"/>
  <c r="F36" i="73" s="1"/>
  <c r="D31" i="72"/>
  <c r="D24" i="72"/>
  <c r="E25" i="72" s="1"/>
  <c r="D32" i="72"/>
  <c r="J26" i="77" l="1"/>
  <c r="K31" i="73"/>
  <c r="V35" i="73"/>
  <c r="V34" i="73"/>
  <c r="J33" i="76"/>
  <c r="V29" i="73"/>
  <c r="V33" i="73"/>
  <c r="K25" i="73"/>
  <c r="K28" i="73"/>
  <c r="V11" i="73"/>
  <c r="V19" i="73"/>
  <c r="K30" i="73"/>
  <c r="V32" i="73"/>
  <c r="V31" i="73"/>
  <c r="G12" i="2"/>
  <c r="F28" i="71"/>
  <c r="E28" i="71"/>
  <c r="D28" i="71"/>
  <c r="C28" i="71"/>
  <c r="B28" i="71"/>
  <c r="G27" i="71"/>
  <c r="G26" i="71"/>
  <c r="G25" i="71"/>
  <c r="G24" i="71"/>
  <c r="G23" i="71"/>
  <c r="G22" i="71"/>
  <c r="G21" i="71"/>
  <c r="G20" i="71"/>
  <c r="G19" i="71"/>
  <c r="G18" i="71"/>
  <c r="G17" i="71"/>
  <c r="G16" i="71"/>
  <c r="G15" i="71"/>
  <c r="G28" i="71" s="1"/>
  <c r="H28" i="71" s="1"/>
  <c r="C14" i="71"/>
  <c r="D14" i="71" s="1"/>
  <c r="E14" i="71" s="1"/>
  <c r="F14" i="71" s="1"/>
  <c r="F9" i="71"/>
  <c r="E9" i="71"/>
  <c r="D9" i="71"/>
  <c r="C9" i="71"/>
  <c r="B9" i="71"/>
  <c r="G9" i="71" s="1"/>
  <c r="G8" i="71"/>
  <c r="G7" i="71"/>
  <c r="G6" i="71"/>
  <c r="C5" i="71"/>
  <c r="D5" i="71" s="1"/>
  <c r="E5" i="71" s="1"/>
  <c r="F5" i="71" s="1"/>
  <c r="O56" i="70"/>
  <c r="N56" i="70"/>
  <c r="M56" i="70"/>
  <c r="P56" i="70" s="1"/>
  <c r="J23" i="65" s="1"/>
  <c r="O55" i="70"/>
  <c r="N55" i="70"/>
  <c r="P55" i="70" s="1"/>
  <c r="J22" i="65" s="1"/>
  <c r="M55" i="70"/>
  <c r="O54" i="70"/>
  <c r="N54" i="70"/>
  <c r="M54" i="70"/>
  <c r="P54" i="70" s="1"/>
  <c r="J21" i="65" s="1"/>
  <c r="O53" i="70"/>
  <c r="N53" i="70"/>
  <c r="P53" i="70" s="1"/>
  <c r="J20" i="65" s="1"/>
  <c r="M53" i="70"/>
  <c r="O52" i="70"/>
  <c r="N52" i="70"/>
  <c r="M52" i="70"/>
  <c r="P52" i="70" s="1"/>
  <c r="J19" i="65" s="1"/>
  <c r="K19" i="65" s="1"/>
  <c r="O51" i="70"/>
  <c r="N51" i="70"/>
  <c r="P51" i="70" s="1"/>
  <c r="J18" i="65" s="1"/>
  <c r="M51" i="70"/>
  <c r="O50" i="70"/>
  <c r="N50" i="70"/>
  <c r="M50" i="70"/>
  <c r="P50" i="70" s="1"/>
  <c r="J17" i="65" s="1"/>
  <c r="K17" i="65" s="1"/>
  <c r="O49" i="70"/>
  <c r="N49" i="70"/>
  <c r="P49" i="70" s="1"/>
  <c r="J16" i="65" s="1"/>
  <c r="K16" i="65" s="1"/>
  <c r="M49" i="70"/>
  <c r="O48" i="70"/>
  <c r="N48" i="70"/>
  <c r="M48" i="70"/>
  <c r="P48" i="70" s="1"/>
  <c r="J15" i="65" s="1"/>
  <c r="O47" i="70"/>
  <c r="N47" i="70"/>
  <c r="P47" i="70" s="1"/>
  <c r="J14" i="65" s="1"/>
  <c r="M47" i="70"/>
  <c r="O46" i="70"/>
  <c r="N46" i="70"/>
  <c r="M46" i="70"/>
  <c r="P46" i="70" s="1"/>
  <c r="J13" i="65" s="1"/>
  <c r="O45" i="70"/>
  <c r="N45" i="70"/>
  <c r="P45" i="70" s="1"/>
  <c r="J12" i="65" s="1"/>
  <c r="M45" i="70"/>
  <c r="O44" i="70"/>
  <c r="O57" i="70" s="1"/>
  <c r="N44" i="70"/>
  <c r="M44" i="70"/>
  <c r="M57" i="70" s="1"/>
  <c r="N43" i="70"/>
  <c r="O43" i="70" s="1"/>
  <c r="O39" i="70"/>
  <c r="N39" i="70"/>
  <c r="M39" i="70"/>
  <c r="L39" i="70"/>
  <c r="K39" i="70"/>
  <c r="J39" i="70"/>
  <c r="I39" i="70"/>
  <c r="H39" i="70"/>
  <c r="G39" i="70"/>
  <c r="F39" i="70"/>
  <c r="E39" i="70"/>
  <c r="D39" i="70"/>
  <c r="P38" i="70"/>
  <c r="P37" i="70"/>
  <c r="P36" i="70"/>
  <c r="P35" i="70"/>
  <c r="P34" i="70"/>
  <c r="P33" i="70"/>
  <c r="P32" i="70"/>
  <c r="P31" i="70"/>
  <c r="P30" i="70"/>
  <c r="P29" i="70"/>
  <c r="P28" i="70"/>
  <c r="P27" i="70"/>
  <c r="P39" i="70" s="1"/>
  <c r="P26" i="70"/>
  <c r="E25" i="70"/>
  <c r="F25" i="70" s="1"/>
  <c r="G25" i="70" s="1"/>
  <c r="H25" i="70" s="1"/>
  <c r="I25" i="70" s="1"/>
  <c r="J25" i="70" s="1"/>
  <c r="K25" i="70" s="1"/>
  <c r="L25" i="70" s="1"/>
  <c r="M25" i="70" s="1"/>
  <c r="N25" i="70" s="1"/>
  <c r="O25" i="70" s="1"/>
  <c r="M21" i="70"/>
  <c r="L21" i="70"/>
  <c r="K21" i="70"/>
  <c r="J21" i="70"/>
  <c r="I21" i="70"/>
  <c r="H21" i="70"/>
  <c r="G21" i="70"/>
  <c r="F21" i="70"/>
  <c r="E21" i="70"/>
  <c r="D21" i="70"/>
  <c r="C21" i="70"/>
  <c r="B21" i="70"/>
  <c r="N20" i="70"/>
  <c r="N19" i="70"/>
  <c r="N18" i="70"/>
  <c r="N17" i="70"/>
  <c r="N16" i="70"/>
  <c r="N15" i="70"/>
  <c r="N14" i="70"/>
  <c r="N13" i="70"/>
  <c r="N12" i="70"/>
  <c r="N11" i="70"/>
  <c r="N10" i="70"/>
  <c r="N9" i="70"/>
  <c r="N21" i="70" s="1"/>
  <c r="N8" i="70"/>
  <c r="D7" i="70"/>
  <c r="E7" i="70" s="1"/>
  <c r="F7" i="70" s="1"/>
  <c r="G7" i="70" s="1"/>
  <c r="H7" i="70" s="1"/>
  <c r="I7" i="70" s="1"/>
  <c r="J7" i="70" s="1"/>
  <c r="K7" i="70" s="1"/>
  <c r="L7" i="70" s="1"/>
  <c r="M7" i="70" s="1"/>
  <c r="C7" i="70"/>
  <c r="F28" i="69"/>
  <c r="G24" i="69"/>
  <c r="F24" i="69"/>
  <c r="E24" i="69"/>
  <c r="D24" i="69"/>
  <c r="F23" i="69"/>
  <c r="H23" i="69" s="1"/>
  <c r="E23" i="69"/>
  <c r="H22" i="69"/>
  <c r="F22" i="69"/>
  <c r="E22" i="69"/>
  <c r="F21" i="69"/>
  <c r="H21" i="69" s="1"/>
  <c r="E21" i="69"/>
  <c r="H20" i="69"/>
  <c r="F20" i="69"/>
  <c r="E20" i="69"/>
  <c r="F19" i="69"/>
  <c r="F19" i="65" s="1"/>
  <c r="E19" i="69"/>
  <c r="H18" i="69"/>
  <c r="F18" i="69"/>
  <c r="E18" i="69"/>
  <c r="F17" i="69"/>
  <c r="F17" i="65" s="1"/>
  <c r="E17" i="69"/>
  <c r="H16" i="69"/>
  <c r="F16" i="69"/>
  <c r="E16" i="69"/>
  <c r="F15" i="69"/>
  <c r="H15" i="69" s="1"/>
  <c r="E15" i="69"/>
  <c r="H14" i="69"/>
  <c r="F14" i="69"/>
  <c r="E14" i="69"/>
  <c r="F13" i="69"/>
  <c r="H13" i="69" s="1"/>
  <c r="E13" i="69"/>
  <c r="A13" i="69"/>
  <c r="A14" i="69" s="1"/>
  <c r="A15" i="69" s="1"/>
  <c r="A16" i="69" s="1"/>
  <c r="A17" i="69" s="1"/>
  <c r="A18" i="69" s="1"/>
  <c r="A19" i="69" s="1"/>
  <c r="A20" i="69" s="1"/>
  <c r="A21" i="69" s="1"/>
  <c r="A22" i="69" s="1"/>
  <c r="A23" i="69" s="1"/>
  <c r="A24" i="69" s="1"/>
  <c r="A25" i="69" s="1"/>
  <c r="A26" i="69" s="1"/>
  <c r="A27" i="69" s="1"/>
  <c r="A28" i="69" s="1"/>
  <c r="H12" i="69"/>
  <c r="F12" i="69"/>
  <c r="E12" i="69"/>
  <c r="A12" i="69"/>
  <c r="F11" i="69"/>
  <c r="F11" i="65" s="1"/>
  <c r="E11" i="69"/>
  <c r="F28" i="68"/>
  <c r="G24" i="68"/>
  <c r="D24" i="68"/>
  <c r="E23" i="68" s="1"/>
  <c r="E22" i="68"/>
  <c r="E20" i="68"/>
  <c r="E18" i="68"/>
  <c r="E16" i="68"/>
  <c r="E14" i="68"/>
  <c r="E12" i="68"/>
  <c r="A12" i="68"/>
  <c r="A13" i="68" s="1"/>
  <c r="A14" i="68" s="1"/>
  <c r="A15" i="68" s="1"/>
  <c r="A16" i="68" s="1"/>
  <c r="A17" i="68" s="1"/>
  <c r="A18" i="68" s="1"/>
  <c r="A19" i="68" s="1"/>
  <c r="A20" i="68" s="1"/>
  <c r="A21" i="68" s="1"/>
  <c r="A22" i="68" s="1"/>
  <c r="A23" i="68" s="1"/>
  <c r="A24" i="68" s="1"/>
  <c r="A25" i="68" s="1"/>
  <c r="A26" i="68" s="1"/>
  <c r="A27" i="68" s="1"/>
  <c r="A28" i="68" s="1"/>
  <c r="F28" i="67"/>
  <c r="F22" i="67" s="1"/>
  <c r="H22" i="67" s="1"/>
  <c r="G24" i="67"/>
  <c r="D24" i="67"/>
  <c r="E23" i="67"/>
  <c r="F23" i="67" s="1"/>
  <c r="H23" i="67" s="1"/>
  <c r="E22" i="67"/>
  <c r="E21" i="67"/>
  <c r="F21" i="67" s="1"/>
  <c r="H21" i="67" s="1"/>
  <c r="E20" i="67"/>
  <c r="E19" i="67"/>
  <c r="F19" i="67" s="1"/>
  <c r="H19" i="67" s="1"/>
  <c r="E18" i="67"/>
  <c r="E17" i="67"/>
  <c r="F17" i="67" s="1"/>
  <c r="H17" i="67" s="1"/>
  <c r="E16" i="67"/>
  <c r="E15" i="67"/>
  <c r="F15" i="67" s="1"/>
  <c r="H15" i="67" s="1"/>
  <c r="E14" i="67"/>
  <c r="E13" i="67"/>
  <c r="F13" i="67" s="1"/>
  <c r="H13" i="67" s="1"/>
  <c r="E12" i="67"/>
  <c r="A12" i="67"/>
  <c r="A13" i="67" s="1"/>
  <c r="A14" i="67" s="1"/>
  <c r="A15" i="67" s="1"/>
  <c r="A16" i="67" s="1"/>
  <c r="A17" i="67" s="1"/>
  <c r="A18" i="67" s="1"/>
  <c r="A19" i="67" s="1"/>
  <c r="A20" i="67" s="1"/>
  <c r="A21" i="67" s="1"/>
  <c r="A22" i="67" s="1"/>
  <c r="A23" i="67" s="1"/>
  <c r="A24" i="67" s="1"/>
  <c r="A25" i="67" s="1"/>
  <c r="A26" i="67" s="1"/>
  <c r="A27" i="67" s="1"/>
  <c r="A28" i="67" s="1"/>
  <c r="E11" i="67"/>
  <c r="E24" i="67" s="1"/>
  <c r="O29" i="66"/>
  <c r="N29" i="66"/>
  <c r="M29" i="66"/>
  <c r="L29" i="66"/>
  <c r="K29" i="66"/>
  <c r="J29" i="66"/>
  <c r="I29" i="66"/>
  <c r="H29" i="66"/>
  <c r="G29" i="66"/>
  <c r="F29" i="66"/>
  <c r="E29" i="66"/>
  <c r="D29" i="66"/>
  <c r="C29" i="66"/>
  <c r="O28" i="66"/>
  <c r="K23" i="65"/>
  <c r="F23" i="65"/>
  <c r="D23" i="65"/>
  <c r="K22" i="65"/>
  <c r="F22" i="65"/>
  <c r="D22" i="65"/>
  <c r="K21" i="65"/>
  <c r="D21" i="65"/>
  <c r="K20" i="65"/>
  <c r="F20" i="65"/>
  <c r="D20" i="65"/>
  <c r="D19" i="65"/>
  <c r="K18" i="65"/>
  <c r="F18" i="65"/>
  <c r="D18" i="65"/>
  <c r="D17" i="65"/>
  <c r="F16" i="65"/>
  <c r="D16" i="65"/>
  <c r="K15" i="65"/>
  <c r="F15" i="65"/>
  <c r="D15" i="65"/>
  <c r="K14" i="65"/>
  <c r="F14" i="65"/>
  <c r="D14" i="65"/>
  <c r="K13" i="65"/>
  <c r="D13" i="65"/>
  <c r="I12" i="65"/>
  <c r="K12" i="65" s="1"/>
  <c r="F12" i="65"/>
  <c r="D12" i="65"/>
  <c r="A12" i="65"/>
  <c r="A13" i="65" s="1"/>
  <c r="A14" i="65" s="1"/>
  <c r="A15" i="65" s="1"/>
  <c r="A16" i="65" s="1"/>
  <c r="A17" i="65" s="1"/>
  <c r="A18" i="65" s="1"/>
  <c r="A19" i="65" s="1"/>
  <c r="A20" i="65" s="1"/>
  <c r="A21" i="65" s="1"/>
  <c r="A22" i="65" s="1"/>
  <c r="A23" i="65" s="1"/>
  <c r="A24" i="65" s="1"/>
  <c r="I24" i="65"/>
  <c r="D11" i="65"/>
  <c r="D24" i="65" s="1"/>
  <c r="V25" i="73" l="1"/>
  <c r="V28" i="73"/>
  <c r="K36" i="73"/>
  <c r="V30" i="73"/>
  <c r="F23" i="68"/>
  <c r="N57" i="70"/>
  <c r="F13" i="65"/>
  <c r="F24" i="65" s="1"/>
  <c r="F21" i="65"/>
  <c r="F11" i="67"/>
  <c r="F12" i="68"/>
  <c r="F14" i="68"/>
  <c r="F16" i="68"/>
  <c r="F18" i="68"/>
  <c r="F20" i="68"/>
  <c r="F22" i="68"/>
  <c r="H11" i="69"/>
  <c r="H17" i="69"/>
  <c r="H19" i="69"/>
  <c r="F12" i="67"/>
  <c r="H12" i="67" s="1"/>
  <c r="F14" i="67"/>
  <c r="H14" i="67" s="1"/>
  <c r="F16" i="67"/>
  <c r="H16" i="67" s="1"/>
  <c r="F18" i="67"/>
  <c r="H18" i="67" s="1"/>
  <c r="F20" i="67"/>
  <c r="H20" i="67" s="1"/>
  <c r="E11" i="68"/>
  <c r="E13" i="68"/>
  <c r="E15" i="68"/>
  <c r="E17" i="68"/>
  <c r="E19" i="68"/>
  <c r="F19" i="68" s="1"/>
  <c r="E21" i="68"/>
  <c r="F13" i="68"/>
  <c r="F15" i="68"/>
  <c r="F17" i="68"/>
  <c r="F21" i="68"/>
  <c r="P44" i="70"/>
  <c r="V36" i="73" l="1"/>
  <c r="H19" i="68"/>
  <c r="E19" i="65"/>
  <c r="G19" i="65" s="1"/>
  <c r="M19" i="65" s="1"/>
  <c r="G19" i="2" s="1"/>
  <c r="P57" i="70"/>
  <c r="J11" i="65"/>
  <c r="H16" i="68"/>
  <c r="E16" i="65"/>
  <c r="G16" i="65" s="1"/>
  <c r="M16" i="65" s="1"/>
  <c r="G16" i="2" s="1"/>
  <c r="H21" i="68"/>
  <c r="E21" i="65"/>
  <c r="G21" i="65" s="1"/>
  <c r="M21" i="65" s="1"/>
  <c r="G21" i="2" s="1"/>
  <c r="H14" i="68"/>
  <c r="E14" i="65"/>
  <c r="G14" i="65" s="1"/>
  <c r="M14" i="65" s="1"/>
  <c r="G14" i="2" s="1"/>
  <c r="E12" i="65"/>
  <c r="G12" i="65" s="1"/>
  <c r="M12" i="65" s="1"/>
  <c r="H12" i="68"/>
  <c r="H17" i="68"/>
  <c r="E17" i="65"/>
  <c r="G17" i="65" s="1"/>
  <c r="M17" i="65" s="1"/>
  <c r="G17" i="2" s="1"/>
  <c r="F24" i="67"/>
  <c r="H11" i="67"/>
  <c r="H15" i="68"/>
  <c r="E15" i="65"/>
  <c r="G15" i="65" s="1"/>
  <c r="M15" i="65" s="1"/>
  <c r="G15" i="2" s="1"/>
  <c r="E24" i="68"/>
  <c r="H13" i="68"/>
  <c r="E13" i="65"/>
  <c r="G13" i="65" s="1"/>
  <c r="M13" i="65" s="1"/>
  <c r="G13" i="2" s="1"/>
  <c r="H22" i="68"/>
  <c r="E22" i="65"/>
  <c r="G22" i="65" s="1"/>
  <c r="M22" i="65" s="1"/>
  <c r="G22" i="2" s="1"/>
  <c r="F11" i="68"/>
  <c r="E20" i="65"/>
  <c r="G20" i="65" s="1"/>
  <c r="M20" i="65" s="1"/>
  <c r="G20" i="2" s="1"/>
  <c r="H20" i="68"/>
  <c r="H18" i="68"/>
  <c r="E18" i="65"/>
  <c r="G18" i="65" s="1"/>
  <c r="M18" i="65" s="1"/>
  <c r="G18" i="2" s="1"/>
  <c r="H23" i="68"/>
  <c r="E23" i="65"/>
  <c r="G23" i="65" s="1"/>
  <c r="M23" i="65" s="1"/>
  <c r="G24" i="2" s="1"/>
  <c r="H11" i="68" l="1"/>
  <c r="E11" i="65"/>
  <c r="F24" i="68"/>
  <c r="J24" i="65"/>
  <c r="K11" i="65"/>
  <c r="K24" i="65" s="1"/>
  <c r="G11" i="65" l="1"/>
  <c r="E24" i="65"/>
  <c r="G24" i="65" l="1"/>
  <c r="M11" i="65"/>
  <c r="M24" i="65" l="1"/>
  <c r="G11" i="2"/>
  <c r="E41" i="41" l="1"/>
  <c r="E22" i="41"/>
  <c r="G25" i="2" l="1"/>
  <c r="A4" i="41" l="1"/>
  <c r="D23" i="2"/>
  <c r="A23" i="2"/>
  <c r="A24" i="2"/>
  <c r="A25" i="2"/>
  <c r="A26" i="2"/>
  <c r="A27" i="2"/>
  <c r="A28" i="2"/>
  <c r="A29" i="2" s="1"/>
  <c r="D23" i="1"/>
  <c r="A23" i="1"/>
  <c r="A24" i="1"/>
  <c r="A25" i="1"/>
  <c r="A26" i="1" s="1"/>
  <c r="A27" i="1" s="1"/>
  <c r="B116" i="6" l="1"/>
  <c r="C116" i="6"/>
  <c r="L116" i="6"/>
  <c r="M116" i="6"/>
  <c r="N97" i="6"/>
  <c r="N78" i="6"/>
  <c r="N59" i="6"/>
  <c r="N40" i="6"/>
  <c r="B21" i="6"/>
  <c r="B97" i="6" s="1"/>
  <c r="C21" i="6"/>
  <c r="C97" i="6" s="1"/>
  <c r="D21" i="6"/>
  <c r="D97" i="6" s="1"/>
  <c r="E21" i="6"/>
  <c r="E97" i="6" s="1"/>
  <c r="F21" i="6"/>
  <c r="F97" i="6" s="1"/>
  <c r="G21" i="6"/>
  <c r="G97" i="6" s="1"/>
  <c r="H21" i="6"/>
  <c r="H97" i="6" s="1"/>
  <c r="I21" i="6"/>
  <c r="I97" i="6" s="1"/>
  <c r="J21" i="6"/>
  <c r="J97" i="6" s="1"/>
  <c r="K21" i="6"/>
  <c r="K97" i="6" s="1"/>
  <c r="L21" i="6"/>
  <c r="L97" i="6" s="1"/>
  <c r="M21" i="6"/>
  <c r="M97" i="6" s="1"/>
  <c r="B7" i="6"/>
  <c r="J116" i="6" l="1"/>
  <c r="H116" i="6"/>
  <c r="G116" i="6"/>
  <c r="F116" i="6"/>
  <c r="E116" i="6"/>
  <c r="K116" i="6"/>
  <c r="I116" i="6"/>
  <c r="D116" i="6"/>
  <c r="N21" i="6"/>
  <c r="N116" i="6" l="1"/>
  <c r="B97" i="7"/>
  <c r="N97" i="7" s="1"/>
  <c r="C97" i="7"/>
  <c r="D97" i="7"/>
  <c r="E97" i="7"/>
  <c r="F97" i="7"/>
  <c r="G97" i="7"/>
  <c r="H97" i="7"/>
  <c r="I97" i="7"/>
  <c r="J97" i="7"/>
  <c r="K97" i="7"/>
  <c r="L97" i="7"/>
  <c r="M97" i="7"/>
  <c r="N40" i="8"/>
  <c r="N21" i="8"/>
  <c r="B7" i="8" l="1"/>
  <c r="N116" i="7"/>
  <c r="N78" i="7"/>
  <c r="N59" i="7"/>
  <c r="N40" i="7"/>
  <c r="B7" i="7"/>
  <c r="C21" i="7"/>
  <c r="C135" i="7" s="1"/>
  <c r="D21" i="7"/>
  <c r="D135" i="7" s="1"/>
  <c r="E21" i="7"/>
  <c r="E135" i="7" s="1"/>
  <c r="F21" i="7"/>
  <c r="F135" i="7" s="1"/>
  <c r="G21" i="7"/>
  <c r="G135" i="7" s="1"/>
  <c r="H21" i="7"/>
  <c r="H135" i="7" s="1"/>
  <c r="I21" i="7"/>
  <c r="I135" i="7" s="1"/>
  <c r="J21" i="7"/>
  <c r="J135" i="7" s="1"/>
  <c r="K21" i="7"/>
  <c r="K135" i="7" s="1"/>
  <c r="L21" i="7"/>
  <c r="L135" i="7" s="1"/>
  <c r="M21" i="7"/>
  <c r="M135" i="7" s="1"/>
  <c r="B21" i="7"/>
  <c r="B135" i="7" s="1"/>
  <c r="N40" i="5"/>
  <c r="N21" i="5"/>
  <c r="N135" i="7" l="1"/>
  <c r="I23" i="2" s="1"/>
  <c r="N21" i="7"/>
  <c r="E80" i="41" l="1"/>
  <c r="E81" i="41"/>
  <c r="E82" i="41"/>
  <c r="B81" i="41"/>
  <c r="B82" i="41" s="1"/>
  <c r="B83" i="41" s="1"/>
  <c r="E67" i="41"/>
  <c r="E68" i="41"/>
  <c r="E69" i="41"/>
  <c r="B68" i="41"/>
  <c r="B69" i="41" s="1"/>
  <c r="B70" i="41" s="1"/>
  <c r="E54" i="41"/>
  <c r="E55" i="41"/>
  <c r="E56" i="41"/>
  <c r="B55" i="41" l="1"/>
  <c r="B56" i="41" s="1"/>
  <c r="B57" i="41" s="1"/>
  <c r="M99" i="6" l="1"/>
  <c r="L99" i="6"/>
  <c r="K99" i="6"/>
  <c r="J99" i="6"/>
  <c r="I99" i="6"/>
  <c r="H99" i="6"/>
  <c r="G99" i="6"/>
  <c r="F99" i="6"/>
  <c r="E99" i="6"/>
  <c r="D99" i="6"/>
  <c r="C99" i="6"/>
  <c r="B99" i="6"/>
  <c r="N98" i="6"/>
  <c r="N96" i="6"/>
  <c r="N95" i="6"/>
  <c r="N94" i="6"/>
  <c r="N93" i="6"/>
  <c r="N92" i="6"/>
  <c r="N91" i="6"/>
  <c r="N90" i="6"/>
  <c r="N89" i="6"/>
  <c r="N88" i="6"/>
  <c r="N87" i="6"/>
  <c r="N86" i="6"/>
  <c r="N85" i="6"/>
  <c r="N84" i="6"/>
  <c r="N99" i="6" l="1"/>
  <c r="E91" i="41" l="1"/>
  <c r="E90" i="41"/>
  <c r="E89" i="41"/>
  <c r="E88" i="41"/>
  <c r="E87" i="41"/>
  <c r="E86" i="41"/>
  <c r="E85" i="41"/>
  <c r="E84" i="41"/>
  <c r="B84" i="41"/>
  <c r="B85" i="41" s="1"/>
  <c r="B86" i="41" s="1"/>
  <c r="B87" i="41" s="1"/>
  <c r="B88" i="41" s="1"/>
  <c r="B89" i="41" s="1"/>
  <c r="B90" i="41" s="1"/>
  <c r="B91" i="41" s="1"/>
  <c r="E83" i="41"/>
  <c r="E78" i="41"/>
  <c r="E77" i="41"/>
  <c r="E76" i="41"/>
  <c r="E75" i="41"/>
  <c r="E74" i="41"/>
  <c r="E73" i="41"/>
  <c r="E72" i="41"/>
  <c r="E71" i="41"/>
  <c r="B71" i="41"/>
  <c r="B72" i="41" s="1"/>
  <c r="B73" i="41" s="1"/>
  <c r="B74" i="41" s="1"/>
  <c r="B75" i="41" s="1"/>
  <c r="B76" i="41" s="1"/>
  <c r="B77" i="41" s="1"/>
  <c r="B78" i="41" s="1"/>
  <c r="E70" i="41"/>
  <c r="E58" i="41"/>
  <c r="E59" i="41"/>
  <c r="E60" i="41"/>
  <c r="E61" i="41"/>
  <c r="E62" i="41"/>
  <c r="E63" i="41"/>
  <c r="E64" i="41"/>
  <c r="E65" i="41"/>
  <c r="E57" i="41"/>
  <c r="B58" i="41"/>
  <c r="B59" i="41" s="1"/>
  <c r="B60" i="41" s="1"/>
  <c r="B61" i="41" s="1"/>
  <c r="B62" i="41" s="1"/>
  <c r="B63" i="41" s="1"/>
  <c r="B64" i="41" s="1"/>
  <c r="B65" i="41" s="1"/>
  <c r="E48" i="41"/>
  <c r="E42" i="41"/>
  <c r="E40" i="41"/>
  <c r="E39" i="41"/>
  <c r="E38" i="41"/>
  <c r="E37" i="41"/>
  <c r="E35" i="41"/>
  <c r="E34" i="41"/>
  <c r="E33" i="41"/>
  <c r="E32" i="41"/>
  <c r="E30" i="41"/>
  <c r="E23" i="41"/>
  <c r="E21" i="41"/>
  <c r="E20" i="41"/>
  <c r="E19" i="41"/>
  <c r="E18" i="41"/>
  <c r="E17" i="41"/>
  <c r="E16" i="41"/>
  <c r="E15" i="41"/>
  <c r="E14" i="41"/>
  <c r="E13" i="41"/>
  <c r="E12" i="41"/>
  <c r="E11" i="41"/>
  <c r="E10" i="41"/>
  <c r="C84" i="7" l="1"/>
  <c r="D84" i="7"/>
  <c r="E84" i="7"/>
  <c r="F84" i="7"/>
  <c r="G84" i="7"/>
  <c r="H84" i="7"/>
  <c r="I84" i="7"/>
  <c r="J84" i="7"/>
  <c r="K84" i="7"/>
  <c r="L84" i="7"/>
  <c r="M84" i="7"/>
  <c r="C85" i="7"/>
  <c r="D85" i="7"/>
  <c r="E85" i="7"/>
  <c r="F85" i="7"/>
  <c r="G85" i="7"/>
  <c r="H85" i="7"/>
  <c r="I85" i="7"/>
  <c r="J85" i="7"/>
  <c r="K85" i="7"/>
  <c r="L85" i="7"/>
  <c r="M85" i="7"/>
  <c r="C86" i="7"/>
  <c r="D86" i="7"/>
  <c r="E86" i="7"/>
  <c r="F86" i="7"/>
  <c r="G86" i="7"/>
  <c r="H86" i="7"/>
  <c r="I86" i="7"/>
  <c r="J86" i="7"/>
  <c r="K86" i="7"/>
  <c r="L86" i="7"/>
  <c r="M86" i="7"/>
  <c r="C87" i="7"/>
  <c r="D87" i="7"/>
  <c r="E87" i="7"/>
  <c r="F87" i="7"/>
  <c r="G87" i="7"/>
  <c r="H87" i="7"/>
  <c r="I87" i="7"/>
  <c r="J87" i="7"/>
  <c r="K87" i="7"/>
  <c r="L87" i="7"/>
  <c r="M87" i="7"/>
  <c r="C88" i="7"/>
  <c r="D88" i="7"/>
  <c r="E88" i="7"/>
  <c r="F88" i="7"/>
  <c r="G88" i="7"/>
  <c r="H88" i="7"/>
  <c r="I88" i="7"/>
  <c r="J88" i="7"/>
  <c r="K88" i="7"/>
  <c r="L88" i="7"/>
  <c r="M88" i="7"/>
  <c r="C89" i="7"/>
  <c r="D89" i="7"/>
  <c r="E89" i="7"/>
  <c r="F89" i="7"/>
  <c r="G89" i="7"/>
  <c r="H89" i="7"/>
  <c r="I89" i="7"/>
  <c r="J89" i="7"/>
  <c r="K89" i="7"/>
  <c r="L89" i="7"/>
  <c r="M89" i="7"/>
  <c r="C90" i="7"/>
  <c r="D90" i="7"/>
  <c r="E90" i="7"/>
  <c r="F90" i="7"/>
  <c r="G90" i="7"/>
  <c r="H90" i="7"/>
  <c r="I90" i="7"/>
  <c r="J90" i="7"/>
  <c r="K90" i="7"/>
  <c r="L90" i="7"/>
  <c r="M90" i="7"/>
  <c r="C91" i="7"/>
  <c r="D91" i="7"/>
  <c r="E91" i="7"/>
  <c r="F91" i="7"/>
  <c r="G91" i="7"/>
  <c r="H91" i="7"/>
  <c r="I91" i="7"/>
  <c r="J91" i="7"/>
  <c r="K91" i="7"/>
  <c r="L91" i="7"/>
  <c r="M91" i="7"/>
  <c r="C92" i="7"/>
  <c r="D92" i="7"/>
  <c r="E92" i="7"/>
  <c r="F92" i="7"/>
  <c r="G92" i="7"/>
  <c r="H92" i="7"/>
  <c r="I92" i="7"/>
  <c r="J92" i="7"/>
  <c r="K92" i="7"/>
  <c r="L92" i="7"/>
  <c r="M92" i="7"/>
  <c r="C93" i="7"/>
  <c r="D93" i="7"/>
  <c r="E93" i="7"/>
  <c r="F93" i="7"/>
  <c r="G93" i="7"/>
  <c r="H93" i="7"/>
  <c r="I93" i="7"/>
  <c r="J93" i="7"/>
  <c r="K93" i="7"/>
  <c r="L93" i="7"/>
  <c r="M93" i="7"/>
  <c r="C94" i="7"/>
  <c r="D94" i="7"/>
  <c r="E94" i="7"/>
  <c r="F94" i="7"/>
  <c r="G94" i="7"/>
  <c r="H94" i="7"/>
  <c r="I94" i="7"/>
  <c r="J94" i="7"/>
  <c r="K94" i="7"/>
  <c r="L94" i="7"/>
  <c r="M94" i="7"/>
  <c r="C95" i="7"/>
  <c r="D95" i="7"/>
  <c r="E95" i="7"/>
  <c r="F95" i="7"/>
  <c r="G95" i="7"/>
  <c r="H95" i="7"/>
  <c r="I95" i="7"/>
  <c r="J95" i="7"/>
  <c r="K95" i="7"/>
  <c r="L95" i="7"/>
  <c r="M95" i="7"/>
  <c r="C96" i="7"/>
  <c r="D96" i="7"/>
  <c r="E96" i="7"/>
  <c r="F96" i="7"/>
  <c r="G96" i="7"/>
  <c r="H96" i="7"/>
  <c r="I96" i="7"/>
  <c r="J96" i="7"/>
  <c r="K96" i="7"/>
  <c r="L96" i="7"/>
  <c r="M96" i="7"/>
  <c r="C98" i="7"/>
  <c r="D98" i="7"/>
  <c r="E98" i="7"/>
  <c r="F98" i="7"/>
  <c r="G98" i="7"/>
  <c r="H98" i="7"/>
  <c r="I98" i="7"/>
  <c r="J98" i="7"/>
  <c r="K98" i="7"/>
  <c r="L98" i="7"/>
  <c r="M98" i="7"/>
  <c r="B85" i="7"/>
  <c r="B86" i="7"/>
  <c r="B87" i="7"/>
  <c r="B88" i="7"/>
  <c r="B89" i="7"/>
  <c r="B90" i="7"/>
  <c r="B91" i="7"/>
  <c r="B92" i="7"/>
  <c r="B93" i="7"/>
  <c r="B94" i="7"/>
  <c r="B95" i="7"/>
  <c r="B96" i="7"/>
  <c r="B98" i="7"/>
  <c r="B84" i="7"/>
  <c r="B26" i="8"/>
  <c r="M42" i="8"/>
  <c r="L42" i="8"/>
  <c r="K42" i="8"/>
  <c r="J42" i="8"/>
  <c r="I42" i="8"/>
  <c r="H42" i="8"/>
  <c r="G42" i="8"/>
  <c r="F42" i="8"/>
  <c r="E42" i="8"/>
  <c r="D42" i="8"/>
  <c r="C42" i="8"/>
  <c r="B42" i="8"/>
  <c r="N41" i="8"/>
  <c r="N39" i="8"/>
  <c r="N38" i="8"/>
  <c r="N37" i="8"/>
  <c r="N36" i="8"/>
  <c r="N35" i="8"/>
  <c r="N34" i="8"/>
  <c r="N33" i="8"/>
  <c r="N32" i="8"/>
  <c r="N31" i="8"/>
  <c r="N30" i="8"/>
  <c r="N29" i="8"/>
  <c r="N28" i="8"/>
  <c r="N27" i="8"/>
  <c r="N42" i="8" l="1"/>
  <c r="A18" i="10" l="1"/>
  <c r="A19" i="10"/>
  <c r="A20" i="10"/>
  <c r="A21" i="10"/>
  <c r="A22" i="10"/>
  <c r="A23" i="10" s="1"/>
  <c r="A24" i="10" s="1"/>
  <c r="A25" i="10" s="1"/>
  <c r="A26" i="10" s="1"/>
  <c r="A27" i="10" s="1"/>
  <c r="A28" i="10" s="1"/>
  <c r="A29" i="10" s="1"/>
  <c r="D9" i="2" l="1"/>
  <c r="D8" i="2"/>
  <c r="D9" i="9"/>
  <c r="D8" i="9"/>
  <c r="A4" i="9"/>
  <c r="N9" i="8" l="1"/>
  <c r="N10" i="8"/>
  <c r="N11" i="8"/>
  <c r="N12" i="8"/>
  <c r="N13" i="8"/>
  <c r="N14" i="8"/>
  <c r="N15" i="8"/>
  <c r="N16" i="8"/>
  <c r="N17" i="8"/>
  <c r="N18" i="8"/>
  <c r="N19" i="8"/>
  <c r="N20" i="8"/>
  <c r="N22" i="8"/>
  <c r="N8" i="8"/>
  <c r="C23" i="8"/>
  <c r="D23" i="8"/>
  <c r="E23" i="8"/>
  <c r="F23" i="8"/>
  <c r="G23" i="8"/>
  <c r="H23" i="8"/>
  <c r="I23" i="8"/>
  <c r="J23" i="8"/>
  <c r="K23" i="8"/>
  <c r="L23" i="8"/>
  <c r="M23" i="8"/>
  <c r="B23" i="8"/>
  <c r="N66" i="6"/>
  <c r="N67" i="6"/>
  <c r="N68" i="6"/>
  <c r="N69" i="6"/>
  <c r="N70" i="6"/>
  <c r="N71" i="6"/>
  <c r="N72" i="6"/>
  <c r="N73" i="6"/>
  <c r="N74" i="6"/>
  <c r="N75" i="6"/>
  <c r="N76" i="6"/>
  <c r="N77" i="6"/>
  <c r="N79" i="6"/>
  <c r="N65" i="6"/>
  <c r="C80" i="6"/>
  <c r="D80" i="6"/>
  <c r="E80" i="6"/>
  <c r="F80" i="6"/>
  <c r="G80" i="6"/>
  <c r="H80" i="6"/>
  <c r="I80" i="6"/>
  <c r="J80" i="6"/>
  <c r="K80" i="6"/>
  <c r="L80" i="6"/>
  <c r="M80" i="6"/>
  <c r="B80" i="6"/>
  <c r="N47" i="6"/>
  <c r="N48" i="6"/>
  <c r="N49" i="6"/>
  <c r="N50" i="6"/>
  <c r="N51" i="6"/>
  <c r="N52" i="6"/>
  <c r="N53" i="6"/>
  <c r="N54" i="6"/>
  <c r="N55" i="6"/>
  <c r="N56" i="6"/>
  <c r="N57" i="6"/>
  <c r="N58" i="6"/>
  <c r="N60" i="6"/>
  <c r="N46" i="6"/>
  <c r="C61" i="6"/>
  <c r="D61" i="6"/>
  <c r="E61" i="6"/>
  <c r="F61" i="6"/>
  <c r="G61" i="6"/>
  <c r="H61" i="6"/>
  <c r="I61" i="6"/>
  <c r="J61" i="6"/>
  <c r="K61" i="6"/>
  <c r="L61" i="6"/>
  <c r="M61" i="6"/>
  <c r="B61" i="6"/>
  <c r="N28" i="6"/>
  <c r="N29" i="6"/>
  <c r="N30" i="6"/>
  <c r="N31" i="6"/>
  <c r="N32" i="6"/>
  <c r="N33" i="6"/>
  <c r="N34" i="6"/>
  <c r="N35" i="6"/>
  <c r="N36" i="6"/>
  <c r="N37" i="6"/>
  <c r="N38" i="6"/>
  <c r="N39" i="6"/>
  <c r="N41" i="6"/>
  <c r="N27" i="6"/>
  <c r="C42" i="6"/>
  <c r="D42" i="6"/>
  <c r="E42" i="6"/>
  <c r="F42" i="6"/>
  <c r="G42" i="6"/>
  <c r="H42" i="6"/>
  <c r="I42" i="6"/>
  <c r="J42" i="6"/>
  <c r="K42" i="6"/>
  <c r="L42" i="6"/>
  <c r="M42" i="6"/>
  <c r="B42" i="6"/>
  <c r="G8" i="6"/>
  <c r="G103" i="6" s="1"/>
  <c r="H8" i="6"/>
  <c r="H103" i="6" s="1"/>
  <c r="I8" i="6"/>
  <c r="I103" i="6" s="1"/>
  <c r="J8" i="6"/>
  <c r="J103" i="6" s="1"/>
  <c r="K8" i="6"/>
  <c r="K103" i="6" s="1"/>
  <c r="L8" i="6"/>
  <c r="L103" i="6" s="1"/>
  <c r="M8" i="6"/>
  <c r="M103" i="6" s="1"/>
  <c r="G9" i="6"/>
  <c r="H9" i="6"/>
  <c r="H104" i="6" s="1"/>
  <c r="I9" i="6"/>
  <c r="I104" i="6" s="1"/>
  <c r="J9" i="6"/>
  <c r="J104" i="6" s="1"/>
  <c r="K9" i="6"/>
  <c r="K104" i="6" s="1"/>
  <c r="L9" i="6"/>
  <c r="L104" i="6" s="1"/>
  <c r="M9" i="6"/>
  <c r="M104" i="6" s="1"/>
  <c r="G10" i="6"/>
  <c r="G105" i="6" s="1"/>
  <c r="H10" i="6"/>
  <c r="H105" i="6" s="1"/>
  <c r="I10" i="6"/>
  <c r="I105" i="6" s="1"/>
  <c r="J10" i="6"/>
  <c r="J105" i="6" s="1"/>
  <c r="K10" i="6"/>
  <c r="K105" i="6" s="1"/>
  <c r="L10" i="6"/>
  <c r="L105" i="6" s="1"/>
  <c r="M10" i="6"/>
  <c r="M105" i="6" s="1"/>
  <c r="G11" i="6"/>
  <c r="G106" i="6" s="1"/>
  <c r="H11" i="6"/>
  <c r="H106" i="6" s="1"/>
  <c r="I11" i="6"/>
  <c r="I106" i="6" s="1"/>
  <c r="J11" i="6"/>
  <c r="J106" i="6" s="1"/>
  <c r="K11" i="6"/>
  <c r="K106" i="6" s="1"/>
  <c r="L11" i="6"/>
  <c r="L106" i="6" s="1"/>
  <c r="M11" i="6"/>
  <c r="M106" i="6" s="1"/>
  <c r="G12" i="6"/>
  <c r="G107" i="6" s="1"/>
  <c r="H12" i="6"/>
  <c r="H107" i="6" s="1"/>
  <c r="I12" i="6"/>
  <c r="I107" i="6" s="1"/>
  <c r="J12" i="6"/>
  <c r="J107" i="6" s="1"/>
  <c r="K12" i="6"/>
  <c r="K107" i="6" s="1"/>
  <c r="L12" i="6"/>
  <c r="L107" i="6" s="1"/>
  <c r="M12" i="6"/>
  <c r="M107" i="6" s="1"/>
  <c r="G13" i="6"/>
  <c r="G108" i="6" s="1"/>
  <c r="H13" i="6"/>
  <c r="H108" i="6" s="1"/>
  <c r="I13" i="6"/>
  <c r="I108" i="6" s="1"/>
  <c r="J13" i="6"/>
  <c r="J108" i="6" s="1"/>
  <c r="K13" i="6"/>
  <c r="K108" i="6" s="1"/>
  <c r="L13" i="6"/>
  <c r="L108" i="6" s="1"/>
  <c r="M13" i="6"/>
  <c r="M108" i="6" s="1"/>
  <c r="G14" i="6"/>
  <c r="G109" i="6" s="1"/>
  <c r="H14" i="6"/>
  <c r="H109" i="6" s="1"/>
  <c r="I14" i="6"/>
  <c r="I109" i="6" s="1"/>
  <c r="J14" i="6"/>
  <c r="J109" i="6" s="1"/>
  <c r="K14" i="6"/>
  <c r="K109" i="6" s="1"/>
  <c r="L14" i="6"/>
  <c r="L109" i="6" s="1"/>
  <c r="M14" i="6"/>
  <c r="M109" i="6" s="1"/>
  <c r="G15" i="6"/>
  <c r="G110" i="6" s="1"/>
  <c r="H15" i="6"/>
  <c r="H110" i="6" s="1"/>
  <c r="I15" i="6"/>
  <c r="I110" i="6" s="1"/>
  <c r="J15" i="6"/>
  <c r="J110" i="6" s="1"/>
  <c r="K15" i="6"/>
  <c r="K110" i="6" s="1"/>
  <c r="L15" i="6"/>
  <c r="L110" i="6" s="1"/>
  <c r="M15" i="6"/>
  <c r="M110" i="6" s="1"/>
  <c r="G16" i="6"/>
  <c r="G111" i="6" s="1"/>
  <c r="H16" i="6"/>
  <c r="H111" i="6" s="1"/>
  <c r="I16" i="6"/>
  <c r="I111" i="6" s="1"/>
  <c r="J16" i="6"/>
  <c r="J111" i="6" s="1"/>
  <c r="K16" i="6"/>
  <c r="K111" i="6" s="1"/>
  <c r="L16" i="6"/>
  <c r="L111" i="6" s="1"/>
  <c r="M16" i="6"/>
  <c r="M111" i="6" s="1"/>
  <c r="G17" i="6"/>
  <c r="G112" i="6" s="1"/>
  <c r="H17" i="6"/>
  <c r="H112" i="6" s="1"/>
  <c r="I17" i="6"/>
  <c r="I112" i="6" s="1"/>
  <c r="J17" i="6"/>
  <c r="J112" i="6" s="1"/>
  <c r="K17" i="6"/>
  <c r="K112" i="6" s="1"/>
  <c r="L17" i="6"/>
  <c r="L112" i="6" s="1"/>
  <c r="M17" i="6"/>
  <c r="M112" i="6" s="1"/>
  <c r="G18" i="6"/>
  <c r="G113" i="6" s="1"/>
  <c r="H18" i="6"/>
  <c r="H113" i="6" s="1"/>
  <c r="I18" i="6"/>
  <c r="I113" i="6" s="1"/>
  <c r="J18" i="6"/>
  <c r="J113" i="6" s="1"/>
  <c r="K18" i="6"/>
  <c r="K113" i="6" s="1"/>
  <c r="L18" i="6"/>
  <c r="L113" i="6" s="1"/>
  <c r="M18" i="6"/>
  <c r="M113" i="6" s="1"/>
  <c r="G19" i="6"/>
  <c r="G114" i="6" s="1"/>
  <c r="H19" i="6"/>
  <c r="H114" i="6" s="1"/>
  <c r="I19" i="6"/>
  <c r="I114" i="6" s="1"/>
  <c r="J19" i="6"/>
  <c r="J114" i="6" s="1"/>
  <c r="K19" i="6"/>
  <c r="K114" i="6" s="1"/>
  <c r="L19" i="6"/>
  <c r="L114" i="6" s="1"/>
  <c r="M19" i="6"/>
  <c r="M114" i="6" s="1"/>
  <c r="G20" i="6"/>
  <c r="G115" i="6" s="1"/>
  <c r="H20" i="6"/>
  <c r="H115" i="6" s="1"/>
  <c r="I20" i="6"/>
  <c r="I115" i="6" s="1"/>
  <c r="J20" i="6"/>
  <c r="J115" i="6" s="1"/>
  <c r="K20" i="6"/>
  <c r="K115" i="6" s="1"/>
  <c r="L20" i="6"/>
  <c r="L115" i="6" s="1"/>
  <c r="M20" i="6"/>
  <c r="M115" i="6" s="1"/>
  <c r="G22" i="6"/>
  <c r="G117" i="6" s="1"/>
  <c r="H22" i="6"/>
  <c r="H117" i="6" s="1"/>
  <c r="I22" i="6"/>
  <c r="I117" i="6" s="1"/>
  <c r="J22" i="6"/>
  <c r="J117" i="6" s="1"/>
  <c r="K22" i="6"/>
  <c r="K117" i="6" s="1"/>
  <c r="L22" i="6"/>
  <c r="L117" i="6" s="1"/>
  <c r="M22" i="6"/>
  <c r="M117" i="6" s="1"/>
  <c r="C118" i="7"/>
  <c r="D118" i="7"/>
  <c r="E118" i="7"/>
  <c r="F118" i="7"/>
  <c r="G118" i="7"/>
  <c r="H118" i="7"/>
  <c r="I118" i="7"/>
  <c r="J118" i="7"/>
  <c r="K118" i="7"/>
  <c r="L118" i="7"/>
  <c r="M118" i="7"/>
  <c r="B118" i="7"/>
  <c r="N104" i="7"/>
  <c r="N105" i="7"/>
  <c r="N106" i="7"/>
  <c r="N107" i="7"/>
  <c r="N108" i="7"/>
  <c r="N109" i="7"/>
  <c r="N110" i="7"/>
  <c r="N111" i="7"/>
  <c r="N112" i="7"/>
  <c r="N113" i="7"/>
  <c r="N114" i="7"/>
  <c r="N115" i="7"/>
  <c r="N117" i="7"/>
  <c r="N103" i="7"/>
  <c r="C99" i="7"/>
  <c r="D99" i="7"/>
  <c r="E99" i="7"/>
  <c r="F99" i="7"/>
  <c r="G99" i="7"/>
  <c r="H99" i="7"/>
  <c r="I99" i="7"/>
  <c r="J99" i="7"/>
  <c r="K99" i="7"/>
  <c r="L99" i="7"/>
  <c r="M99" i="7"/>
  <c r="B99" i="7"/>
  <c r="N85" i="7"/>
  <c r="N86" i="7"/>
  <c r="N87" i="7"/>
  <c r="N88" i="7"/>
  <c r="N89" i="7"/>
  <c r="N90" i="7"/>
  <c r="N91" i="7"/>
  <c r="N92" i="7"/>
  <c r="N93" i="7"/>
  <c r="N94" i="7"/>
  <c r="N95" i="7"/>
  <c r="N96" i="7"/>
  <c r="N98" i="7"/>
  <c r="N84" i="7"/>
  <c r="C80" i="7"/>
  <c r="D80" i="7"/>
  <c r="E80" i="7"/>
  <c r="F80" i="7"/>
  <c r="G80" i="7"/>
  <c r="H80" i="7"/>
  <c r="I80" i="7"/>
  <c r="J80" i="7"/>
  <c r="K80" i="7"/>
  <c r="L80" i="7"/>
  <c r="M80" i="7"/>
  <c r="B80" i="7"/>
  <c r="N66" i="7"/>
  <c r="N67" i="7"/>
  <c r="N68" i="7"/>
  <c r="N69" i="7"/>
  <c r="N70" i="7"/>
  <c r="N71" i="7"/>
  <c r="N72" i="7"/>
  <c r="N73" i="7"/>
  <c r="N74" i="7"/>
  <c r="N75" i="7"/>
  <c r="N76" i="7"/>
  <c r="N77" i="7"/>
  <c r="N79" i="7"/>
  <c r="N65" i="7"/>
  <c r="C61" i="7"/>
  <c r="D61" i="7"/>
  <c r="E61" i="7"/>
  <c r="F61" i="7"/>
  <c r="G61" i="7"/>
  <c r="H61" i="7"/>
  <c r="I61" i="7"/>
  <c r="J61" i="7"/>
  <c r="K61" i="7"/>
  <c r="L61" i="7"/>
  <c r="M61" i="7"/>
  <c r="B61" i="7"/>
  <c r="N47" i="7"/>
  <c r="N48" i="7"/>
  <c r="N49" i="7"/>
  <c r="N50" i="7"/>
  <c r="N51" i="7"/>
  <c r="N52" i="7"/>
  <c r="N53" i="7"/>
  <c r="N54" i="7"/>
  <c r="N55" i="7"/>
  <c r="N56" i="7"/>
  <c r="N57" i="7"/>
  <c r="N58" i="7"/>
  <c r="N60" i="7"/>
  <c r="N46" i="7"/>
  <c r="N35" i="7"/>
  <c r="N30" i="7"/>
  <c r="C42" i="7"/>
  <c r="D42" i="7"/>
  <c r="E42" i="7"/>
  <c r="F42" i="7"/>
  <c r="G42" i="7"/>
  <c r="H42" i="7"/>
  <c r="I42" i="7"/>
  <c r="J42" i="7"/>
  <c r="K42" i="7"/>
  <c r="L42" i="7"/>
  <c r="M42" i="7"/>
  <c r="B42" i="7"/>
  <c r="N28" i="7"/>
  <c r="N29" i="7"/>
  <c r="N31" i="7"/>
  <c r="N32" i="7"/>
  <c r="N33" i="7"/>
  <c r="N34" i="7"/>
  <c r="N36" i="7"/>
  <c r="N37" i="7"/>
  <c r="N38" i="7"/>
  <c r="N39" i="7"/>
  <c r="N41" i="7"/>
  <c r="N27" i="7"/>
  <c r="C8" i="7"/>
  <c r="D8" i="7"/>
  <c r="E8" i="7"/>
  <c r="F8" i="7"/>
  <c r="G8" i="7"/>
  <c r="H8" i="7"/>
  <c r="I8" i="7"/>
  <c r="I122" i="7" s="1"/>
  <c r="J8" i="7"/>
  <c r="J122" i="7" s="1"/>
  <c r="K8" i="7"/>
  <c r="K122" i="7" s="1"/>
  <c r="L8" i="7"/>
  <c r="M8" i="7"/>
  <c r="M122" i="7" s="1"/>
  <c r="C9" i="7"/>
  <c r="D9" i="7"/>
  <c r="E9" i="7"/>
  <c r="F9" i="7"/>
  <c r="G9" i="7"/>
  <c r="G123" i="7" s="1"/>
  <c r="H9" i="7"/>
  <c r="H123" i="7" s="1"/>
  <c r="I9" i="7"/>
  <c r="I123" i="7" s="1"/>
  <c r="J9" i="7"/>
  <c r="J123" i="7" s="1"/>
  <c r="K9" i="7"/>
  <c r="K123" i="7" s="1"/>
  <c r="L9" i="7"/>
  <c r="L123" i="7" s="1"/>
  <c r="M9" i="7"/>
  <c r="M123" i="7" s="1"/>
  <c r="C10" i="7"/>
  <c r="D10" i="7"/>
  <c r="E10" i="7"/>
  <c r="F10" i="7"/>
  <c r="G10" i="7"/>
  <c r="G124" i="7" s="1"/>
  <c r="H10" i="7"/>
  <c r="H124" i="7" s="1"/>
  <c r="I10" i="7"/>
  <c r="I124" i="7" s="1"/>
  <c r="J10" i="7"/>
  <c r="J124" i="7" s="1"/>
  <c r="K10" i="7"/>
  <c r="K124" i="7" s="1"/>
  <c r="L10" i="7"/>
  <c r="L124" i="7" s="1"/>
  <c r="M10" i="7"/>
  <c r="M124" i="7" s="1"/>
  <c r="C11" i="7"/>
  <c r="D11" i="7"/>
  <c r="E11" i="7"/>
  <c r="F11" i="7"/>
  <c r="G11" i="7"/>
  <c r="H11" i="7"/>
  <c r="H125" i="7" s="1"/>
  <c r="I11" i="7"/>
  <c r="I125" i="7" s="1"/>
  <c r="J11" i="7"/>
  <c r="J125" i="7" s="1"/>
  <c r="K11" i="7"/>
  <c r="K125" i="7" s="1"/>
  <c r="L11" i="7"/>
  <c r="L125" i="7" s="1"/>
  <c r="M11" i="7"/>
  <c r="M125" i="7" s="1"/>
  <c r="C12" i="7"/>
  <c r="D12" i="7"/>
  <c r="E12" i="7"/>
  <c r="F12" i="7"/>
  <c r="G12" i="7"/>
  <c r="G126" i="7" s="1"/>
  <c r="H12" i="7"/>
  <c r="H126" i="7" s="1"/>
  <c r="I12" i="7"/>
  <c r="I126" i="7" s="1"/>
  <c r="J12" i="7"/>
  <c r="J126" i="7" s="1"/>
  <c r="K12" i="7"/>
  <c r="K126" i="7" s="1"/>
  <c r="L12" i="7"/>
  <c r="L126" i="7" s="1"/>
  <c r="M12" i="7"/>
  <c r="M126" i="7" s="1"/>
  <c r="C13" i="7"/>
  <c r="D13" i="7"/>
  <c r="E13" i="7"/>
  <c r="F13" i="7"/>
  <c r="G13" i="7"/>
  <c r="G127" i="7" s="1"/>
  <c r="H13" i="7"/>
  <c r="H127" i="7" s="1"/>
  <c r="I13" i="7"/>
  <c r="I127" i="7" s="1"/>
  <c r="J13" i="7"/>
  <c r="J127" i="7" s="1"/>
  <c r="K13" i="7"/>
  <c r="K127" i="7" s="1"/>
  <c r="L13" i="7"/>
  <c r="L127" i="7" s="1"/>
  <c r="M13" i="7"/>
  <c r="M127" i="7" s="1"/>
  <c r="C14" i="7"/>
  <c r="D14" i="7"/>
  <c r="E14" i="7"/>
  <c r="F14" i="7"/>
  <c r="G14" i="7"/>
  <c r="G128" i="7" s="1"/>
  <c r="H14" i="7"/>
  <c r="H128" i="7" s="1"/>
  <c r="I14" i="7"/>
  <c r="I128" i="7" s="1"/>
  <c r="J14" i="7"/>
  <c r="J128" i="7" s="1"/>
  <c r="K14" i="7"/>
  <c r="K128" i="7" s="1"/>
  <c r="L14" i="7"/>
  <c r="L128" i="7" s="1"/>
  <c r="M14" i="7"/>
  <c r="M128" i="7" s="1"/>
  <c r="C15" i="7"/>
  <c r="D15" i="7"/>
  <c r="E15" i="7"/>
  <c r="F15" i="7"/>
  <c r="G15" i="7"/>
  <c r="G129" i="7" s="1"/>
  <c r="H15" i="7"/>
  <c r="H129" i="7" s="1"/>
  <c r="I15" i="7"/>
  <c r="I129" i="7" s="1"/>
  <c r="J15" i="7"/>
  <c r="J129" i="7" s="1"/>
  <c r="K15" i="7"/>
  <c r="K129" i="7" s="1"/>
  <c r="L15" i="7"/>
  <c r="L129" i="7" s="1"/>
  <c r="M15" i="7"/>
  <c r="M129" i="7" s="1"/>
  <c r="C16" i="7"/>
  <c r="D16" i="7"/>
  <c r="E16" i="7"/>
  <c r="F16" i="7"/>
  <c r="G16" i="7"/>
  <c r="G130" i="7" s="1"/>
  <c r="H16" i="7"/>
  <c r="H130" i="7" s="1"/>
  <c r="I16" i="7"/>
  <c r="I130" i="7" s="1"/>
  <c r="J16" i="7"/>
  <c r="J130" i="7" s="1"/>
  <c r="K16" i="7"/>
  <c r="K130" i="7" s="1"/>
  <c r="L16" i="7"/>
  <c r="L130" i="7" s="1"/>
  <c r="M16" i="7"/>
  <c r="M130" i="7" s="1"/>
  <c r="C17" i="7"/>
  <c r="D17" i="7"/>
  <c r="E17" i="7"/>
  <c r="F17" i="7"/>
  <c r="G17" i="7"/>
  <c r="G131" i="7" s="1"/>
  <c r="H17" i="7"/>
  <c r="H131" i="7" s="1"/>
  <c r="I17" i="7"/>
  <c r="I131" i="7" s="1"/>
  <c r="J17" i="7"/>
  <c r="J131" i="7" s="1"/>
  <c r="K17" i="7"/>
  <c r="K131" i="7" s="1"/>
  <c r="L17" i="7"/>
  <c r="L131" i="7" s="1"/>
  <c r="M17" i="7"/>
  <c r="M131" i="7" s="1"/>
  <c r="C18" i="7"/>
  <c r="D18" i="7"/>
  <c r="E18" i="7"/>
  <c r="F18" i="7"/>
  <c r="G18" i="7"/>
  <c r="G132" i="7" s="1"/>
  <c r="H18" i="7"/>
  <c r="H132" i="7" s="1"/>
  <c r="I18" i="7"/>
  <c r="I132" i="7" s="1"/>
  <c r="J18" i="7"/>
  <c r="J132" i="7" s="1"/>
  <c r="K18" i="7"/>
  <c r="K132" i="7" s="1"/>
  <c r="L18" i="7"/>
  <c r="L132" i="7" s="1"/>
  <c r="M18" i="7"/>
  <c r="M132" i="7" s="1"/>
  <c r="C19" i="7"/>
  <c r="D19" i="7"/>
  <c r="E19" i="7"/>
  <c r="F19" i="7"/>
  <c r="G19" i="7"/>
  <c r="G133" i="7" s="1"/>
  <c r="H19" i="7"/>
  <c r="H133" i="7" s="1"/>
  <c r="I19" i="7"/>
  <c r="I133" i="7" s="1"/>
  <c r="J19" i="7"/>
  <c r="J133" i="7" s="1"/>
  <c r="K19" i="7"/>
  <c r="K133" i="7" s="1"/>
  <c r="L19" i="7"/>
  <c r="L133" i="7" s="1"/>
  <c r="M19" i="7"/>
  <c r="M133" i="7" s="1"/>
  <c r="C20" i="7"/>
  <c r="D20" i="7"/>
  <c r="E20" i="7"/>
  <c r="F20" i="7"/>
  <c r="G20" i="7"/>
  <c r="G134" i="7" s="1"/>
  <c r="H20" i="7"/>
  <c r="H134" i="7" s="1"/>
  <c r="I20" i="7"/>
  <c r="I134" i="7" s="1"/>
  <c r="J20" i="7"/>
  <c r="J134" i="7" s="1"/>
  <c r="K20" i="7"/>
  <c r="K134" i="7" s="1"/>
  <c r="L20" i="7"/>
  <c r="L134" i="7" s="1"/>
  <c r="M20" i="7"/>
  <c r="M134" i="7" s="1"/>
  <c r="C22" i="7"/>
  <c r="D22" i="7"/>
  <c r="E22" i="7"/>
  <c r="F22" i="7"/>
  <c r="G22" i="7"/>
  <c r="G136" i="7" s="1"/>
  <c r="H22" i="7"/>
  <c r="H136" i="7" s="1"/>
  <c r="I22" i="7"/>
  <c r="I136" i="7" s="1"/>
  <c r="J22" i="7"/>
  <c r="J136" i="7" s="1"/>
  <c r="K22" i="7"/>
  <c r="K136" i="7" s="1"/>
  <c r="L22" i="7"/>
  <c r="L136" i="7" s="1"/>
  <c r="M22" i="7"/>
  <c r="M136" i="7" s="1"/>
  <c r="B9" i="7"/>
  <c r="B10" i="7"/>
  <c r="B11" i="7"/>
  <c r="B12" i="7"/>
  <c r="B13" i="7"/>
  <c r="B14" i="7"/>
  <c r="B15" i="7"/>
  <c r="B16" i="7"/>
  <c r="B17" i="7"/>
  <c r="B18" i="7"/>
  <c r="B19" i="7"/>
  <c r="B20" i="7"/>
  <c r="B134" i="7" s="1"/>
  <c r="B22" i="7"/>
  <c r="B136" i="7" s="1"/>
  <c r="N80" i="7" l="1"/>
  <c r="N14" i="7"/>
  <c r="G104" i="6"/>
  <c r="I11" i="10" s="1"/>
  <c r="N80" i="6"/>
  <c r="L15" i="10"/>
  <c r="K15" i="10"/>
  <c r="J15" i="10"/>
  <c r="I15" i="10"/>
  <c r="O15" i="10"/>
  <c r="M11" i="10"/>
  <c r="N15" i="10"/>
  <c r="M15" i="10"/>
  <c r="N99" i="7"/>
  <c r="N23" i="8"/>
  <c r="H23" i="6"/>
  <c r="K23" i="6"/>
  <c r="L23" i="6"/>
  <c r="G23" i="6"/>
  <c r="J23" i="6"/>
  <c r="M23" i="6"/>
  <c r="I23" i="6"/>
  <c r="H118" i="6"/>
  <c r="N61" i="6"/>
  <c r="K118" i="6"/>
  <c r="J118" i="6"/>
  <c r="L118" i="6"/>
  <c r="M118" i="6"/>
  <c r="I118" i="6"/>
  <c r="L11" i="10"/>
  <c r="O11" i="10"/>
  <c r="K11" i="10"/>
  <c r="N11" i="10"/>
  <c r="J11" i="10"/>
  <c r="N11" i="7"/>
  <c r="C23" i="7"/>
  <c r="N61" i="7"/>
  <c r="N42" i="7"/>
  <c r="N118" i="7"/>
  <c r="M137" i="7"/>
  <c r="I137" i="7"/>
  <c r="J137" i="7"/>
  <c r="H23" i="7"/>
  <c r="K23" i="7"/>
  <c r="N20" i="7"/>
  <c r="G23" i="7"/>
  <c r="L23" i="7"/>
  <c r="K137" i="7"/>
  <c r="N17" i="7"/>
  <c r="N13" i="7"/>
  <c r="N9" i="7"/>
  <c r="F23" i="7"/>
  <c r="G125" i="7"/>
  <c r="L122" i="7"/>
  <c r="L137" i="7" s="1"/>
  <c r="H122" i="7"/>
  <c r="H137" i="7" s="1"/>
  <c r="D23" i="7"/>
  <c r="N22" i="7"/>
  <c r="N19" i="7"/>
  <c r="N18" i="7"/>
  <c r="N12" i="7"/>
  <c r="N10" i="7"/>
  <c r="M23" i="7"/>
  <c r="I23" i="7"/>
  <c r="E23" i="7"/>
  <c r="G122" i="7"/>
  <c r="N42" i="6"/>
  <c r="J23" i="7"/>
  <c r="N16" i="7"/>
  <c r="N15" i="7"/>
  <c r="L119" i="6" l="1"/>
  <c r="H119" i="6"/>
  <c r="G118" i="6"/>
  <c r="K119" i="6"/>
  <c r="I119" i="6"/>
  <c r="J119" i="6"/>
  <c r="M119" i="6"/>
  <c r="G119" i="6"/>
  <c r="G137" i="7"/>
  <c r="G138" i="7" s="1"/>
  <c r="K138" i="7"/>
  <c r="M138" i="7"/>
  <c r="L138" i="7"/>
  <c r="J138" i="7"/>
  <c r="I138" i="7"/>
  <c r="H138" i="7"/>
  <c r="N28" i="5"/>
  <c r="N29" i="5"/>
  <c r="N30" i="5"/>
  <c r="N31" i="5"/>
  <c r="N32" i="5"/>
  <c r="N33" i="5"/>
  <c r="N34" i="5"/>
  <c r="N35" i="5"/>
  <c r="N36" i="5"/>
  <c r="N37" i="5"/>
  <c r="N38" i="5"/>
  <c r="N39" i="5"/>
  <c r="N41" i="5"/>
  <c r="N27" i="5"/>
  <c r="C46" i="5"/>
  <c r="D46" i="5"/>
  <c r="E46" i="5"/>
  <c r="F46" i="5"/>
  <c r="G46" i="5"/>
  <c r="H46" i="5"/>
  <c r="I46" i="5"/>
  <c r="J46" i="5"/>
  <c r="K46" i="5"/>
  <c r="L46" i="5"/>
  <c r="M46" i="5"/>
  <c r="C42" i="5"/>
  <c r="D42" i="5"/>
  <c r="E42" i="5"/>
  <c r="F42" i="5"/>
  <c r="G42" i="5"/>
  <c r="H42" i="5"/>
  <c r="I42" i="5"/>
  <c r="J42" i="5"/>
  <c r="K42" i="5"/>
  <c r="L42" i="5"/>
  <c r="M42" i="5"/>
  <c r="B42" i="5"/>
  <c r="C23" i="5"/>
  <c r="D23" i="5"/>
  <c r="E23" i="5"/>
  <c r="F23" i="5"/>
  <c r="G23" i="5"/>
  <c r="H23" i="5"/>
  <c r="I23" i="5"/>
  <c r="J23" i="5"/>
  <c r="K23" i="5"/>
  <c r="L23" i="5"/>
  <c r="M23" i="5"/>
  <c r="B23" i="5"/>
  <c r="N9" i="5"/>
  <c r="N10" i="5"/>
  <c r="N11" i="5"/>
  <c r="N12" i="5"/>
  <c r="N13" i="5"/>
  <c r="N14" i="5"/>
  <c r="N15" i="5"/>
  <c r="N16" i="5"/>
  <c r="N17" i="5"/>
  <c r="N18" i="5"/>
  <c r="N19" i="5"/>
  <c r="N20" i="5"/>
  <c r="N22" i="5"/>
  <c r="N8" i="5"/>
  <c r="N23" i="5" l="1"/>
  <c r="N42" i="5"/>
  <c r="A2" i="9" l="1"/>
  <c r="B8" i="7" l="1"/>
  <c r="B46" i="5"/>
  <c r="N46" i="5" s="1"/>
  <c r="B23" i="7" l="1"/>
  <c r="N8" i="7"/>
  <c r="N23" i="7" s="1"/>
  <c r="I12" i="2"/>
  <c r="A10" i="10" l="1"/>
  <c r="A11" i="10" s="1"/>
  <c r="A12" i="10" s="1"/>
  <c r="A13" i="10" s="1"/>
  <c r="A14" i="10" s="1"/>
  <c r="A15" i="10" s="1"/>
  <c r="A16" i="10" s="1"/>
  <c r="A17" i="10" s="1"/>
  <c r="E7" i="10"/>
  <c r="F7" i="10" s="1"/>
  <c r="G7" i="10" s="1"/>
  <c r="H7" i="10" s="1"/>
  <c r="I7" i="10" s="1"/>
  <c r="J7" i="10" s="1"/>
  <c r="K7" i="10" s="1"/>
  <c r="L7" i="10" s="1"/>
  <c r="M7" i="10" s="1"/>
  <c r="N7" i="10" s="1"/>
  <c r="O7" i="10" s="1"/>
  <c r="A4" i="10" l="1"/>
  <c r="A2" i="10"/>
  <c r="D11" i="9" l="1"/>
  <c r="C7" i="8"/>
  <c r="C26" i="8" s="1"/>
  <c r="A2" i="8"/>
  <c r="D7" i="8" l="1"/>
  <c r="D26" i="8" s="1"/>
  <c r="E7" i="8" l="1"/>
  <c r="E26" i="8" s="1"/>
  <c r="C8" i="6"/>
  <c r="C103" i="6" s="1"/>
  <c r="D8" i="6"/>
  <c r="D103" i="6" s="1"/>
  <c r="E8" i="6"/>
  <c r="E103" i="6" s="1"/>
  <c r="F8" i="6"/>
  <c r="F103" i="6" s="1"/>
  <c r="C9" i="6"/>
  <c r="C104" i="6" s="1"/>
  <c r="D9" i="6"/>
  <c r="D104" i="6" s="1"/>
  <c r="E9" i="6"/>
  <c r="E104" i="6" s="1"/>
  <c r="F9" i="6"/>
  <c r="F104" i="6" s="1"/>
  <c r="C10" i="6"/>
  <c r="C105" i="6" s="1"/>
  <c r="D10" i="6"/>
  <c r="D105" i="6" s="1"/>
  <c r="E10" i="6"/>
  <c r="E105" i="6" s="1"/>
  <c r="F10" i="6"/>
  <c r="F105" i="6" s="1"/>
  <c r="C11" i="6"/>
  <c r="D11" i="6"/>
  <c r="E11" i="6"/>
  <c r="F11" i="6"/>
  <c r="F106" i="6" s="1"/>
  <c r="C12" i="6"/>
  <c r="C107" i="6" s="1"/>
  <c r="D12" i="6"/>
  <c r="D107" i="6" s="1"/>
  <c r="E12" i="6"/>
  <c r="E107" i="6" s="1"/>
  <c r="F12" i="6"/>
  <c r="F107" i="6" s="1"/>
  <c r="C13" i="6"/>
  <c r="C108" i="6" s="1"/>
  <c r="D13" i="6"/>
  <c r="D108" i="6" s="1"/>
  <c r="E13" i="6"/>
  <c r="E108" i="6" s="1"/>
  <c r="F13" i="6"/>
  <c r="F108" i="6" s="1"/>
  <c r="C14" i="6"/>
  <c r="C109" i="6" s="1"/>
  <c r="D14" i="6"/>
  <c r="D109" i="6" s="1"/>
  <c r="E14" i="6"/>
  <c r="E109" i="6" s="1"/>
  <c r="F14" i="6"/>
  <c r="F109" i="6" s="1"/>
  <c r="C15" i="6"/>
  <c r="C110" i="6" s="1"/>
  <c r="D15" i="6"/>
  <c r="D110" i="6" s="1"/>
  <c r="E15" i="6"/>
  <c r="E110" i="6" s="1"/>
  <c r="F15" i="6"/>
  <c r="F110" i="6" s="1"/>
  <c r="C16" i="6"/>
  <c r="C111" i="6" s="1"/>
  <c r="D16" i="6"/>
  <c r="D111" i="6" s="1"/>
  <c r="E16" i="6"/>
  <c r="E111" i="6" s="1"/>
  <c r="F16" i="6"/>
  <c r="F111" i="6" s="1"/>
  <c r="C17" i="6"/>
  <c r="C112" i="6" s="1"/>
  <c r="D17" i="6"/>
  <c r="D112" i="6" s="1"/>
  <c r="E17" i="6"/>
  <c r="E112" i="6" s="1"/>
  <c r="F17" i="6"/>
  <c r="F112" i="6" s="1"/>
  <c r="C18" i="6"/>
  <c r="C113" i="6" s="1"/>
  <c r="D18" i="6"/>
  <c r="D113" i="6" s="1"/>
  <c r="E18" i="6"/>
  <c r="E113" i="6" s="1"/>
  <c r="F18" i="6"/>
  <c r="F113" i="6" s="1"/>
  <c r="C19" i="6"/>
  <c r="C114" i="6" s="1"/>
  <c r="D19" i="6"/>
  <c r="D114" i="6" s="1"/>
  <c r="E19" i="6"/>
  <c r="E114" i="6" s="1"/>
  <c r="F19" i="6"/>
  <c r="F114" i="6" s="1"/>
  <c r="C20" i="6"/>
  <c r="C115" i="6" s="1"/>
  <c r="D20" i="6"/>
  <c r="D115" i="6" s="1"/>
  <c r="E20" i="6"/>
  <c r="E115" i="6" s="1"/>
  <c r="F20" i="6"/>
  <c r="F115" i="6" s="1"/>
  <c r="C22" i="6"/>
  <c r="C117" i="6" s="1"/>
  <c r="D22" i="6"/>
  <c r="D117" i="6" s="1"/>
  <c r="E22" i="6"/>
  <c r="E117" i="6" s="1"/>
  <c r="F22" i="6"/>
  <c r="F117" i="6" s="1"/>
  <c r="B9" i="6"/>
  <c r="B104" i="6" s="1"/>
  <c r="B10" i="6"/>
  <c r="B105" i="6" s="1"/>
  <c r="B11" i="6"/>
  <c r="B106" i="6" s="1"/>
  <c r="B12" i="6"/>
  <c r="B107" i="6" s="1"/>
  <c r="B13" i="6"/>
  <c r="B108" i="6" s="1"/>
  <c r="B14" i="6"/>
  <c r="B109" i="6" s="1"/>
  <c r="B15" i="6"/>
  <c r="B110" i="6" s="1"/>
  <c r="B16" i="6"/>
  <c r="B111" i="6" s="1"/>
  <c r="B17" i="6"/>
  <c r="B112" i="6" s="1"/>
  <c r="B18" i="6"/>
  <c r="B113" i="6" s="1"/>
  <c r="B19" i="6"/>
  <c r="B114" i="6" s="1"/>
  <c r="B20" i="6"/>
  <c r="B115" i="6" s="1"/>
  <c r="B22" i="6"/>
  <c r="B117" i="6" s="1"/>
  <c r="B8" i="6"/>
  <c r="B103" i="6" s="1"/>
  <c r="C122" i="7"/>
  <c r="D122" i="7"/>
  <c r="E122" i="7"/>
  <c r="F122" i="7"/>
  <c r="C123" i="7"/>
  <c r="D123" i="7"/>
  <c r="E123" i="7"/>
  <c r="F123" i="7"/>
  <c r="C124" i="7"/>
  <c r="D124" i="7"/>
  <c r="E124" i="7"/>
  <c r="F124" i="7"/>
  <c r="C125" i="7"/>
  <c r="D125" i="7"/>
  <c r="E125" i="7"/>
  <c r="F125" i="7"/>
  <c r="C126" i="7"/>
  <c r="D126" i="7"/>
  <c r="E126" i="7"/>
  <c r="F126" i="7"/>
  <c r="C127" i="7"/>
  <c r="E127" i="7"/>
  <c r="F127" i="7"/>
  <c r="C128" i="7"/>
  <c r="D128" i="7"/>
  <c r="E128" i="7"/>
  <c r="F128" i="7"/>
  <c r="C129" i="7"/>
  <c r="D129" i="7"/>
  <c r="E129" i="7"/>
  <c r="F129" i="7"/>
  <c r="C130" i="7"/>
  <c r="D130" i="7"/>
  <c r="E130" i="7"/>
  <c r="F130" i="7"/>
  <c r="C131" i="7"/>
  <c r="D131" i="7"/>
  <c r="E131" i="7"/>
  <c r="F131" i="7"/>
  <c r="C132" i="7"/>
  <c r="D132" i="7"/>
  <c r="E132" i="7"/>
  <c r="F132" i="7"/>
  <c r="C133" i="7"/>
  <c r="D133" i="7"/>
  <c r="E133" i="7"/>
  <c r="F133" i="7"/>
  <c r="C134" i="7"/>
  <c r="D134" i="7"/>
  <c r="E134" i="7"/>
  <c r="F134" i="7"/>
  <c r="C136" i="7"/>
  <c r="D136" i="7"/>
  <c r="E136" i="7"/>
  <c r="F136" i="7"/>
  <c r="B123" i="7"/>
  <c r="B124" i="7"/>
  <c r="B125" i="7"/>
  <c r="B126" i="7"/>
  <c r="B127" i="7"/>
  <c r="B128" i="7"/>
  <c r="B129" i="7"/>
  <c r="B130" i="7"/>
  <c r="B131" i="7"/>
  <c r="B132" i="7"/>
  <c r="B133" i="7"/>
  <c r="B122" i="7"/>
  <c r="B121" i="7"/>
  <c r="B64" i="7"/>
  <c r="B45" i="7"/>
  <c r="B102" i="7" s="1"/>
  <c r="B26" i="7"/>
  <c r="B83" i="7" s="1"/>
  <c r="C7" i="7"/>
  <c r="C45" i="7" s="1"/>
  <c r="C102" i="7" s="1"/>
  <c r="A2" i="7"/>
  <c r="B102" i="6"/>
  <c r="B64" i="6"/>
  <c r="B45" i="6"/>
  <c r="B26" i="6"/>
  <c r="B83" i="6" s="1"/>
  <c r="N124" i="7" l="1"/>
  <c r="N132" i="7"/>
  <c r="E106" i="6"/>
  <c r="G15" i="10" s="1"/>
  <c r="D106" i="6"/>
  <c r="F15" i="10" s="1"/>
  <c r="C106" i="6"/>
  <c r="E15" i="10" s="1"/>
  <c r="N104" i="6"/>
  <c r="H15" i="10"/>
  <c r="H11" i="10"/>
  <c r="N122" i="7"/>
  <c r="N128" i="7"/>
  <c r="N114" i="6"/>
  <c r="N19" i="6"/>
  <c r="N11" i="6"/>
  <c r="N8" i="6"/>
  <c r="B23" i="6"/>
  <c r="N18" i="6"/>
  <c r="N109" i="6"/>
  <c r="N14" i="6"/>
  <c r="N105" i="6"/>
  <c r="N10" i="6"/>
  <c r="D23" i="6"/>
  <c r="N15" i="6"/>
  <c r="N117" i="6"/>
  <c r="N22" i="6"/>
  <c r="N17" i="6"/>
  <c r="N108" i="6"/>
  <c r="N13" i="6"/>
  <c r="N9" i="6"/>
  <c r="C23" i="6"/>
  <c r="N103" i="6"/>
  <c r="E23" i="6"/>
  <c r="N115" i="6"/>
  <c r="N20" i="6"/>
  <c r="N16" i="6"/>
  <c r="N12" i="6"/>
  <c r="F118" i="6"/>
  <c r="F23" i="6"/>
  <c r="N110" i="6"/>
  <c r="G11" i="10"/>
  <c r="E118" i="6"/>
  <c r="N113" i="6"/>
  <c r="F11" i="10"/>
  <c r="N112" i="6"/>
  <c r="E11" i="10"/>
  <c r="N111" i="6"/>
  <c r="N136" i="7"/>
  <c r="N131" i="7"/>
  <c r="F137" i="7"/>
  <c r="F138" i="7" s="1"/>
  <c r="N134" i="7"/>
  <c r="N130" i="7"/>
  <c r="N126" i="7"/>
  <c r="E137" i="7"/>
  <c r="E138" i="7" s="1"/>
  <c r="C137" i="7"/>
  <c r="C138" i="7" s="1"/>
  <c r="N133" i="7"/>
  <c r="N129" i="7"/>
  <c r="N125" i="7"/>
  <c r="N123" i="7"/>
  <c r="B137" i="7"/>
  <c r="B138" i="7" s="1"/>
  <c r="D127" i="7"/>
  <c r="D137" i="7" s="1"/>
  <c r="D138" i="7" s="1"/>
  <c r="F7" i="8"/>
  <c r="C64" i="7"/>
  <c r="D7" i="7"/>
  <c r="D121" i="7" s="1"/>
  <c r="C121" i="7"/>
  <c r="C26" i="7"/>
  <c r="C83" i="7" s="1"/>
  <c r="F119" i="6" l="1"/>
  <c r="C118" i="6"/>
  <c r="C119" i="6" s="1"/>
  <c r="D118" i="6"/>
  <c r="D119" i="6" s="1"/>
  <c r="E119" i="6"/>
  <c r="G7" i="8"/>
  <c r="F26" i="8"/>
  <c r="D15" i="10"/>
  <c r="P15" i="10" s="1"/>
  <c r="B118" i="6"/>
  <c r="B119" i="6" s="1"/>
  <c r="N107" i="6"/>
  <c r="D11" i="10"/>
  <c r="P11" i="10" s="1"/>
  <c r="N106" i="6"/>
  <c r="N23" i="6"/>
  <c r="N127" i="7"/>
  <c r="N137" i="7" s="1"/>
  <c r="N138" i="7" s="1"/>
  <c r="D45" i="7"/>
  <c r="D102" i="7" s="1"/>
  <c r="I22" i="2"/>
  <c r="I20" i="2"/>
  <c r="I21" i="2"/>
  <c r="I18" i="2"/>
  <c r="I19" i="2"/>
  <c r="I16" i="2"/>
  <c r="I14" i="2"/>
  <c r="I24" i="2"/>
  <c r="I13" i="2"/>
  <c r="I11" i="2"/>
  <c r="I17" i="2"/>
  <c r="D15" i="2"/>
  <c r="D15" i="1"/>
  <c r="D22" i="2"/>
  <c r="D22" i="1"/>
  <c r="D17" i="2"/>
  <c r="D17" i="1"/>
  <c r="D21" i="2"/>
  <c r="D21" i="1"/>
  <c r="D16" i="2"/>
  <c r="D16" i="1"/>
  <c r="D11" i="2"/>
  <c r="D11" i="1"/>
  <c r="D19" i="2"/>
  <c r="D19" i="1"/>
  <c r="D20" i="2"/>
  <c r="D20" i="1"/>
  <c r="D24" i="2"/>
  <c r="D24" i="1"/>
  <c r="D12" i="2"/>
  <c r="D12" i="1"/>
  <c r="D18" i="2"/>
  <c r="D18" i="1"/>
  <c r="D26" i="7"/>
  <c r="D83" i="7" s="1"/>
  <c r="E7" i="7"/>
  <c r="E45" i="7" s="1"/>
  <c r="E102" i="7" s="1"/>
  <c r="D64" i="7"/>
  <c r="I15" i="2" l="1"/>
  <c r="D13" i="1"/>
  <c r="D14" i="1"/>
  <c r="H7" i="8"/>
  <c r="G26" i="8"/>
  <c r="D14" i="2"/>
  <c r="E121" i="7"/>
  <c r="E64" i="7"/>
  <c r="F16" i="10"/>
  <c r="I16" i="10"/>
  <c r="J16" i="10"/>
  <c r="M16" i="10"/>
  <c r="O16" i="10"/>
  <c r="N16" i="10"/>
  <c r="K16" i="10"/>
  <c r="G16" i="10"/>
  <c r="H16" i="10"/>
  <c r="L16" i="10"/>
  <c r="E16" i="10"/>
  <c r="D16" i="10"/>
  <c r="N118" i="6"/>
  <c r="N119" i="6" s="1"/>
  <c r="N12" i="10"/>
  <c r="J12" i="10"/>
  <c r="M12" i="10"/>
  <c r="K12" i="10"/>
  <c r="E12" i="10"/>
  <c r="O12" i="10"/>
  <c r="H12" i="10"/>
  <c r="I12" i="10"/>
  <c r="L12" i="10"/>
  <c r="D13" i="2"/>
  <c r="G12" i="10"/>
  <c r="D12" i="10"/>
  <c r="F12" i="10"/>
  <c r="F7" i="7"/>
  <c r="E26" i="7"/>
  <c r="E83" i="7" s="1"/>
  <c r="I7" i="8" l="1"/>
  <c r="H26" i="8"/>
  <c r="F45" i="7"/>
  <c r="F102" i="7" s="1"/>
  <c r="G7" i="7"/>
  <c r="P16" i="10"/>
  <c r="P12" i="10"/>
  <c r="F64" i="7"/>
  <c r="F121" i="7"/>
  <c r="F26" i="7"/>
  <c r="F83" i="7" s="1"/>
  <c r="J7" i="8" l="1"/>
  <c r="I26" i="8"/>
  <c r="H7" i="7"/>
  <c r="G121" i="7"/>
  <c r="G45" i="7"/>
  <c r="G102" i="7" s="1"/>
  <c r="G64" i="7"/>
  <c r="G26" i="7"/>
  <c r="G83" i="7" s="1"/>
  <c r="C7" i="6"/>
  <c r="A2" i="6"/>
  <c r="B26" i="5"/>
  <c r="B45" i="5" s="1"/>
  <c r="K7" i="8" l="1"/>
  <c r="J26" i="8"/>
  <c r="I7" i="7"/>
  <c r="H121" i="7"/>
  <c r="H45" i="7"/>
  <c r="H102" i="7" s="1"/>
  <c r="H64" i="7"/>
  <c r="H26" i="7"/>
  <c r="H83" i="7" s="1"/>
  <c r="C45" i="6"/>
  <c r="C64" i="6"/>
  <c r="C26" i="6"/>
  <c r="C83" i="6" s="1"/>
  <c r="C102" i="6"/>
  <c r="D7" i="6"/>
  <c r="A4" i="2"/>
  <c r="A2" i="2"/>
  <c r="A2" i="5"/>
  <c r="C7" i="5"/>
  <c r="L7" i="8" l="1"/>
  <c r="K26" i="8"/>
  <c r="J7" i="7"/>
  <c r="I121" i="7"/>
  <c r="I45" i="7"/>
  <c r="I102" i="7" s="1"/>
  <c r="I64" i="7"/>
  <c r="I26" i="7"/>
  <c r="I83" i="7" s="1"/>
  <c r="D64" i="6"/>
  <c r="D26" i="6"/>
  <c r="D83" i="6" s="1"/>
  <c r="D102" i="6"/>
  <c r="D45" i="6"/>
  <c r="D7" i="5"/>
  <c r="C26" i="5"/>
  <c r="C45" i="5" s="1"/>
  <c r="E7" i="6"/>
  <c r="M7" i="8" l="1"/>
  <c r="M26" i="8" s="1"/>
  <c r="L26" i="8"/>
  <c r="K7" i="7"/>
  <c r="J45" i="7"/>
  <c r="J102" i="7" s="1"/>
  <c r="J26" i="7"/>
  <c r="J83" i="7" s="1"/>
  <c r="J121" i="7"/>
  <c r="J64" i="7"/>
  <c r="E26" i="6"/>
  <c r="E83" i="6" s="1"/>
  <c r="E64" i="6"/>
  <c r="E102" i="6"/>
  <c r="E45" i="6"/>
  <c r="E7" i="5"/>
  <c r="D26" i="5"/>
  <c r="D45" i="5" s="1"/>
  <c r="F7" i="6"/>
  <c r="L7" i="7" l="1"/>
  <c r="K45" i="7"/>
  <c r="K102" i="7" s="1"/>
  <c r="K64" i="7"/>
  <c r="K121" i="7"/>
  <c r="K26" i="7"/>
  <c r="K83" i="7" s="1"/>
  <c r="G7" i="6"/>
  <c r="F64" i="6"/>
  <c r="F45" i="6"/>
  <c r="F26" i="6"/>
  <c r="F83" i="6" s="1"/>
  <c r="F102" i="6"/>
  <c r="E26" i="5"/>
  <c r="E45" i="5" s="1"/>
  <c r="F7" i="5"/>
  <c r="G7" i="5" s="1"/>
  <c r="H7" i="6" l="1"/>
  <c r="G102" i="6"/>
  <c r="G64" i="6"/>
  <c r="G45" i="6"/>
  <c r="G26" i="6"/>
  <c r="G83" i="6" s="1"/>
  <c r="M7" i="7"/>
  <c r="L64" i="7"/>
  <c r="L26" i="7"/>
  <c r="L83" i="7" s="1"/>
  <c r="L121" i="7"/>
  <c r="L45" i="7"/>
  <c r="L102" i="7" s="1"/>
  <c r="H7" i="5"/>
  <c r="G26" i="5"/>
  <c r="G45" i="5" s="1"/>
  <c r="F26" i="5"/>
  <c r="F45" i="5" s="1"/>
  <c r="I25" i="2"/>
  <c r="D25" i="2"/>
  <c r="A12" i="2"/>
  <c r="A13" i="2" s="1"/>
  <c r="A14" i="2" s="1"/>
  <c r="A15" i="2" s="1"/>
  <c r="A16" i="2" s="1"/>
  <c r="A17" i="2" s="1"/>
  <c r="A18" i="2" s="1"/>
  <c r="A19" i="2" s="1"/>
  <c r="A20" i="2" s="1"/>
  <c r="A21" i="2" s="1"/>
  <c r="A22" i="2" s="1"/>
  <c r="D25" i="1"/>
  <c r="A12" i="1"/>
  <c r="A13" i="1" s="1"/>
  <c r="A14" i="1" s="1"/>
  <c r="A15" i="1" s="1"/>
  <c r="A16" i="1" s="1"/>
  <c r="A17" i="1" s="1"/>
  <c r="A18" i="1" s="1"/>
  <c r="A19" i="1" s="1"/>
  <c r="A20" i="1" s="1"/>
  <c r="A21" i="1" s="1"/>
  <c r="A22" i="1" s="1"/>
  <c r="E11" i="1" l="1"/>
  <c r="E23" i="1"/>
  <c r="F23" i="1" s="1"/>
  <c r="G23" i="1" s="1"/>
  <c r="F22" i="41" s="1"/>
  <c r="E15" i="2"/>
  <c r="E23" i="2"/>
  <c r="I7" i="6"/>
  <c r="H26" i="6"/>
  <c r="H83" i="6" s="1"/>
  <c r="H102" i="6"/>
  <c r="H64" i="6"/>
  <c r="H45" i="6"/>
  <c r="M45" i="7"/>
  <c r="M102" i="7" s="1"/>
  <c r="M64" i="7"/>
  <c r="M26" i="7"/>
  <c r="M83" i="7" s="1"/>
  <c r="M121" i="7"/>
  <c r="I7" i="5"/>
  <c r="H26" i="5"/>
  <c r="H45" i="5" s="1"/>
  <c r="E13" i="1"/>
  <c r="E22" i="2"/>
  <c r="E18" i="2"/>
  <c r="E14" i="2"/>
  <c r="E21" i="2"/>
  <c r="E17" i="2"/>
  <c r="E13" i="2"/>
  <c r="E11" i="2"/>
  <c r="E20" i="2"/>
  <c r="E16" i="2"/>
  <c r="E12" i="2"/>
  <c r="E24" i="2"/>
  <c r="E19" i="2"/>
  <c r="E20" i="1"/>
  <c r="E16" i="1"/>
  <c r="E12" i="1"/>
  <c r="E24" i="1"/>
  <c r="E19" i="1"/>
  <c r="F19" i="1" s="1"/>
  <c r="G19" i="1" s="1"/>
  <c r="E15" i="1"/>
  <c r="E22" i="1"/>
  <c r="E18" i="1"/>
  <c r="E14" i="1"/>
  <c r="F14" i="1" s="1"/>
  <c r="G14" i="1" s="1"/>
  <c r="E21" i="1"/>
  <c r="E17" i="1"/>
  <c r="H22" i="41" l="1"/>
  <c r="G22" i="75"/>
  <c r="I22" i="75" s="1"/>
  <c r="K22" i="75" s="1"/>
  <c r="L22" i="75" s="1"/>
  <c r="F18" i="41"/>
  <c r="F13" i="41"/>
  <c r="J7" i="6"/>
  <c r="I45" i="6"/>
  <c r="I26" i="6"/>
  <c r="I83" i="6" s="1"/>
  <c r="I102" i="6"/>
  <c r="I64" i="6"/>
  <c r="I26" i="5"/>
  <c r="I45" i="5" s="1"/>
  <c r="J7" i="5"/>
  <c r="F12" i="1"/>
  <c r="G12" i="1" s="1"/>
  <c r="F20" i="1"/>
  <c r="G20" i="1" s="1"/>
  <c r="F16" i="1"/>
  <c r="G16" i="1" s="1"/>
  <c r="F21" i="1"/>
  <c r="G21" i="1" s="1"/>
  <c r="F15" i="1"/>
  <c r="G15" i="1" s="1"/>
  <c r="F17" i="1"/>
  <c r="G17" i="1" s="1"/>
  <c r="F22" i="1"/>
  <c r="G22" i="1" s="1"/>
  <c r="F13" i="1"/>
  <c r="G13" i="1" s="1"/>
  <c r="G18" i="1" s="1"/>
  <c r="F24" i="1"/>
  <c r="G24" i="1" s="1"/>
  <c r="F18" i="1"/>
  <c r="H13" i="41" l="1"/>
  <c r="G13" i="75"/>
  <c r="I13" i="75" s="1"/>
  <c r="K13" i="75" s="1"/>
  <c r="L13" i="75" s="1"/>
  <c r="H18" i="41"/>
  <c r="G18" i="75"/>
  <c r="I18" i="75" s="1"/>
  <c r="K18" i="75" s="1"/>
  <c r="L18" i="75" s="1"/>
  <c r="W23" i="73"/>
  <c r="M22" i="75"/>
  <c r="F15" i="41"/>
  <c r="F21" i="41"/>
  <c r="F17" i="41"/>
  <c r="F19" i="41"/>
  <c r="F23" i="41"/>
  <c r="F12" i="41"/>
  <c r="F16" i="41"/>
  <c r="F14" i="41"/>
  <c r="F20" i="41"/>
  <c r="K7" i="6"/>
  <c r="J64" i="6"/>
  <c r="J45" i="6"/>
  <c r="J26" i="6"/>
  <c r="J83" i="6" s="1"/>
  <c r="J102" i="6"/>
  <c r="K7" i="5"/>
  <c r="J26" i="5"/>
  <c r="J45" i="5" s="1"/>
  <c r="H12" i="1"/>
  <c r="F11" i="1"/>
  <c r="G11" i="1" s="1"/>
  <c r="E25" i="1"/>
  <c r="E25" i="2"/>
  <c r="H23" i="41" l="1"/>
  <c r="G23" i="75"/>
  <c r="I23" i="75" s="1"/>
  <c r="K23" i="75" s="1"/>
  <c r="L23" i="75" s="1"/>
  <c r="W34" i="73"/>
  <c r="X34" i="73" s="1"/>
  <c r="X23" i="73"/>
  <c r="W19" i="73"/>
  <c r="M18" i="75"/>
  <c r="H17" i="41"/>
  <c r="G17" i="75"/>
  <c r="I17" i="75" s="1"/>
  <c r="K17" i="75" s="1"/>
  <c r="L17" i="75" s="1"/>
  <c r="W18" i="73" s="1"/>
  <c r="H12" i="41"/>
  <c r="G12" i="75"/>
  <c r="I12" i="75" s="1"/>
  <c r="K12" i="75" s="1"/>
  <c r="L12" i="75" s="1"/>
  <c r="H19" i="41"/>
  <c r="G19" i="75"/>
  <c r="I19" i="75" s="1"/>
  <c r="K19" i="75" s="1"/>
  <c r="L19" i="75" s="1"/>
  <c r="W14" i="73"/>
  <c r="M13" i="75"/>
  <c r="H21" i="41"/>
  <c r="G21" i="75"/>
  <c r="I21" i="75" s="1"/>
  <c r="K21" i="75" s="1"/>
  <c r="L21" i="75" s="1"/>
  <c r="H15" i="41"/>
  <c r="G15" i="75"/>
  <c r="I15" i="75" s="1"/>
  <c r="K15" i="75" s="1"/>
  <c r="L15" i="75" s="1"/>
  <c r="H20" i="41"/>
  <c r="G20" i="75"/>
  <c r="I20" i="75" s="1"/>
  <c r="K20" i="75" s="1"/>
  <c r="L20" i="75" s="1"/>
  <c r="H14" i="41"/>
  <c r="G14" i="75"/>
  <c r="I14" i="75" s="1"/>
  <c r="K14" i="75" s="1"/>
  <c r="L14" i="75" s="1"/>
  <c r="H16" i="41"/>
  <c r="G16" i="75"/>
  <c r="I16" i="75" s="1"/>
  <c r="K16" i="75" s="1"/>
  <c r="L16" i="75" s="1"/>
  <c r="F10" i="41"/>
  <c r="F11" i="41"/>
  <c r="H11" i="41" s="1"/>
  <c r="L7" i="6"/>
  <c r="K102" i="6"/>
  <c r="K64" i="6"/>
  <c r="K45" i="6"/>
  <c r="K26" i="6"/>
  <c r="K83" i="6" s="1"/>
  <c r="L7" i="5"/>
  <c r="K26" i="5"/>
  <c r="K45" i="5" s="1"/>
  <c r="F11" i="9"/>
  <c r="E11" i="9" s="1"/>
  <c r="F25" i="1"/>
  <c r="W21" i="73" l="1"/>
  <c r="M20" i="75"/>
  <c r="M21" i="75"/>
  <c r="W22" i="73"/>
  <c r="W15" i="73"/>
  <c r="M14" i="75"/>
  <c r="H10" i="41"/>
  <c r="G11" i="75"/>
  <c r="I11" i="75" s="1"/>
  <c r="K11" i="75" s="1"/>
  <c r="L11" i="75" s="1"/>
  <c r="G10" i="75"/>
  <c r="I10" i="75" s="1"/>
  <c r="X14" i="73"/>
  <c r="W30" i="73"/>
  <c r="X30" i="73" s="1"/>
  <c r="W24" i="73"/>
  <c r="M23" i="75"/>
  <c r="W13" i="73"/>
  <c r="M12" i="75"/>
  <c r="W16" i="73"/>
  <c r="M15" i="75"/>
  <c r="X19" i="73"/>
  <c r="W17" i="73"/>
  <c r="M16" i="75"/>
  <c r="W20" i="73"/>
  <c r="M19" i="75"/>
  <c r="F48" i="41"/>
  <c r="M7" i="6"/>
  <c r="L102" i="6"/>
  <c r="L64" i="6"/>
  <c r="L45" i="6"/>
  <c r="L26" i="6"/>
  <c r="L83" i="6" s="1"/>
  <c r="M7" i="5"/>
  <c r="L26" i="5"/>
  <c r="L45" i="5" s="1"/>
  <c r="X20" i="73" l="1"/>
  <c r="W33" i="73"/>
  <c r="X33" i="73" s="1"/>
  <c r="X17" i="73"/>
  <c r="X22" i="73"/>
  <c r="X13" i="73"/>
  <c r="W29" i="73"/>
  <c r="X29" i="73" s="1"/>
  <c r="X18" i="73"/>
  <c r="K10" i="75"/>
  <c r="G31" i="74"/>
  <c r="W12" i="73"/>
  <c r="M11" i="75"/>
  <c r="W32" i="73"/>
  <c r="X32" i="73" s="1"/>
  <c r="X16" i="73"/>
  <c r="X15" i="73"/>
  <c r="W31" i="73"/>
  <c r="X31" i="73" s="1"/>
  <c r="H48" i="41"/>
  <c r="G30" i="76"/>
  <c r="I30" i="76" s="1"/>
  <c r="K30" i="76" s="1"/>
  <c r="L30" i="76" s="1"/>
  <c r="M30" i="76" s="1"/>
  <c r="X24" i="73"/>
  <c r="W35" i="73"/>
  <c r="X35" i="73" s="1"/>
  <c r="X21" i="73"/>
  <c r="F28" i="2"/>
  <c r="F29" i="2" s="1"/>
  <c r="M102" i="6"/>
  <c r="M64" i="6"/>
  <c r="M45" i="6"/>
  <c r="M26" i="6"/>
  <c r="M83" i="6" s="1"/>
  <c r="A4" i="5"/>
  <c r="M26" i="5"/>
  <c r="M45" i="5" s="1"/>
  <c r="K24" i="75" l="1"/>
  <c r="L10" i="75"/>
  <c r="X12" i="73"/>
  <c r="H31" i="74"/>
  <c r="H36" i="74" s="1"/>
  <c r="G36" i="74"/>
  <c r="G42" i="74"/>
  <c r="F24" i="2"/>
  <c r="F23" i="2"/>
  <c r="F13" i="2"/>
  <c r="F16" i="2"/>
  <c r="F20" i="2"/>
  <c r="F14" i="2"/>
  <c r="F18" i="2"/>
  <c r="F12" i="2"/>
  <c r="F17" i="2"/>
  <c r="F22" i="2"/>
  <c r="F15" i="2"/>
  <c r="F21" i="2"/>
  <c r="F11" i="2"/>
  <c r="F19" i="2"/>
  <c r="A4" i="8"/>
  <c r="A4" i="7"/>
  <c r="A4" i="6"/>
  <c r="M10" i="75" l="1"/>
  <c r="W11" i="73"/>
  <c r="L24" i="75"/>
  <c r="M24" i="75" s="1"/>
  <c r="H23" i="2"/>
  <c r="J23" i="2" s="1"/>
  <c r="F41" i="41" s="1"/>
  <c r="G22" i="76" s="1"/>
  <c r="I22" i="76" s="1"/>
  <c r="K22" i="76" s="1"/>
  <c r="L22" i="76" s="1"/>
  <c r="H22" i="2"/>
  <c r="J22" i="2" s="1"/>
  <c r="F40" i="41" s="1"/>
  <c r="G21" i="76" s="1"/>
  <c r="I21" i="76" s="1"/>
  <c r="K21" i="76" s="1"/>
  <c r="L21" i="76" s="1"/>
  <c r="H20" i="2"/>
  <c r="J20" i="2" s="1"/>
  <c r="F38" i="41" s="1"/>
  <c r="G19" i="76" s="1"/>
  <c r="I19" i="76" s="1"/>
  <c r="K19" i="76" s="1"/>
  <c r="L19" i="76" s="1"/>
  <c r="H18" i="2"/>
  <c r="J18" i="2" s="1"/>
  <c r="G17" i="76" s="1"/>
  <c r="I17" i="76" s="1"/>
  <c r="K17" i="76" s="1"/>
  <c r="L17" i="76" s="1"/>
  <c r="Y18" i="73" s="1"/>
  <c r="AA18" i="73" s="1"/>
  <c r="AB18" i="73" s="1"/>
  <c r="H16" i="2"/>
  <c r="J16" i="2" s="1"/>
  <c r="F34" i="41" s="1"/>
  <c r="G15" i="76" s="1"/>
  <c r="I15" i="76" s="1"/>
  <c r="K15" i="76" s="1"/>
  <c r="L15" i="76" s="1"/>
  <c r="H12" i="2"/>
  <c r="J12" i="2" s="1"/>
  <c r="F30" i="41" s="1"/>
  <c r="G11" i="76" s="1"/>
  <c r="I11" i="76" s="1"/>
  <c r="K11" i="76" s="1"/>
  <c r="L11" i="76" s="1"/>
  <c r="H19" i="2"/>
  <c r="H11" i="2"/>
  <c r="J11" i="2" s="1"/>
  <c r="G10" i="76" s="1"/>
  <c r="I10" i="76" s="1"/>
  <c r="H14" i="2"/>
  <c r="H21" i="2"/>
  <c r="J21" i="2" s="1"/>
  <c r="H15" i="2"/>
  <c r="J15" i="2" s="1"/>
  <c r="H13" i="2"/>
  <c r="J13" i="2" s="1"/>
  <c r="G12" i="76" s="1"/>
  <c r="I12" i="76" s="1"/>
  <c r="K12" i="76" s="1"/>
  <c r="L12" i="76" s="1"/>
  <c r="H17" i="2"/>
  <c r="J17" i="2" s="1"/>
  <c r="F35" i="41" s="1"/>
  <c r="G16" i="76" s="1"/>
  <c r="I16" i="76" s="1"/>
  <c r="K16" i="76" s="1"/>
  <c r="L16" i="76" s="1"/>
  <c r="H24" i="2"/>
  <c r="J24" i="2" s="1"/>
  <c r="F42" i="41" s="1"/>
  <c r="G23" i="76" s="1"/>
  <c r="I23" i="76" s="1"/>
  <c r="K23" i="76" s="1"/>
  <c r="L23" i="76" s="1"/>
  <c r="F25" i="2"/>
  <c r="Y12" i="73" l="1"/>
  <c r="M11" i="76"/>
  <c r="Y22" i="73"/>
  <c r="M21" i="76"/>
  <c r="Y23" i="73"/>
  <c r="M22" i="76"/>
  <c r="G15" i="74"/>
  <c r="H15" i="74" s="1"/>
  <c r="H38" i="74" s="1"/>
  <c r="H39" i="74" s="1"/>
  <c r="H40" i="74" s="1"/>
  <c r="K10" i="76"/>
  <c r="Y17" i="73"/>
  <c r="M16" i="76"/>
  <c r="Y24" i="73"/>
  <c r="M23" i="76"/>
  <c r="W25" i="73"/>
  <c r="X25" i="73" s="1"/>
  <c r="X11" i="73"/>
  <c r="W28" i="73"/>
  <c r="Y16" i="73"/>
  <c r="M15" i="76"/>
  <c r="Y20" i="73"/>
  <c r="M19" i="76"/>
  <c r="Y13" i="73"/>
  <c r="M12" i="76"/>
  <c r="H42" i="41"/>
  <c r="H41" i="41"/>
  <c r="H35" i="41"/>
  <c r="H30" i="41"/>
  <c r="H34" i="41"/>
  <c r="H38" i="41"/>
  <c r="P24" i="10"/>
  <c r="F25" i="10" s="1"/>
  <c r="F69" i="41" s="1"/>
  <c r="H69" i="41" s="1"/>
  <c r="H40" i="41"/>
  <c r="J14" i="2"/>
  <c r="F32" i="41" s="1"/>
  <c r="G13" i="76" s="1"/>
  <c r="I13" i="76" s="1"/>
  <c r="K13" i="76" s="1"/>
  <c r="L13" i="76" s="1"/>
  <c r="J19" i="2"/>
  <c r="F37" i="41" s="1"/>
  <c r="G18" i="76" s="1"/>
  <c r="I18" i="76" s="1"/>
  <c r="K18" i="76" s="1"/>
  <c r="L18" i="76" s="1"/>
  <c r="E25" i="10"/>
  <c r="F68" i="41" s="1"/>
  <c r="F39" i="41"/>
  <c r="G20" i="76" s="1"/>
  <c r="I20" i="76" s="1"/>
  <c r="K20" i="76" s="1"/>
  <c r="L20" i="76" s="1"/>
  <c r="F33" i="41"/>
  <c r="G14" i="76" s="1"/>
  <c r="I14" i="76" s="1"/>
  <c r="K14" i="76" s="1"/>
  <c r="L14" i="76" s="1"/>
  <c r="P28" i="10"/>
  <c r="K29" i="10" s="1"/>
  <c r="F87" i="41" s="1"/>
  <c r="H25" i="2"/>
  <c r="Y29" i="73" l="1"/>
  <c r="Z29" i="73" s="1"/>
  <c r="Z13" i="73"/>
  <c r="Z18" i="73"/>
  <c r="AA13" i="73"/>
  <c r="Y21" i="73"/>
  <c r="M20" i="76"/>
  <c r="Y32" i="73"/>
  <c r="Z32" i="73" s="1"/>
  <c r="Z16" i="73"/>
  <c r="AA16" i="73"/>
  <c r="Y34" i="73"/>
  <c r="Z34" i="73" s="1"/>
  <c r="Z23" i="73"/>
  <c r="AA23" i="73"/>
  <c r="Y35" i="73"/>
  <c r="Z35" i="73" s="1"/>
  <c r="Z24" i="73"/>
  <c r="AA24" i="73"/>
  <c r="X28" i="73"/>
  <c r="W36" i="73"/>
  <c r="X36" i="73" s="1"/>
  <c r="Y15" i="73"/>
  <c r="M14" i="76"/>
  <c r="Y14" i="73"/>
  <c r="M13" i="76"/>
  <c r="Z22" i="73"/>
  <c r="AA22" i="73"/>
  <c r="Y19" i="73"/>
  <c r="M18" i="76"/>
  <c r="Z20" i="73"/>
  <c r="AA20" i="73"/>
  <c r="Z17" i="73"/>
  <c r="Y33" i="73"/>
  <c r="Z33" i="73" s="1"/>
  <c r="AA17" i="73"/>
  <c r="K24" i="76"/>
  <c r="K33" i="76" s="1"/>
  <c r="L10" i="76"/>
  <c r="Z12" i="73"/>
  <c r="AA12" i="73"/>
  <c r="G25" i="10"/>
  <c r="F70" i="41" s="1"/>
  <c r="H70" i="41" s="1"/>
  <c r="I25" i="10"/>
  <c r="F72" i="41" s="1"/>
  <c r="H72" i="41" s="1"/>
  <c r="M25" i="10"/>
  <c r="F76" i="41" s="1"/>
  <c r="H76" i="41" s="1"/>
  <c r="J25" i="10"/>
  <c r="F73" i="41" s="1"/>
  <c r="H73" i="41" s="1"/>
  <c r="H25" i="10"/>
  <c r="F71" i="41" s="1"/>
  <c r="H71" i="41" s="1"/>
  <c r="N25" i="10"/>
  <c r="F77" i="41" s="1"/>
  <c r="H77" i="41" s="1"/>
  <c r="L25" i="10"/>
  <c r="F75" i="41" s="1"/>
  <c r="H75" i="41" s="1"/>
  <c r="K25" i="10"/>
  <c r="F74" i="41" s="1"/>
  <c r="H74" i="41" s="1"/>
  <c r="H33" i="41"/>
  <c r="H37" i="41"/>
  <c r="H39" i="41"/>
  <c r="H32" i="41"/>
  <c r="D25" i="10"/>
  <c r="F67" i="41" s="1"/>
  <c r="H67" i="41" s="1"/>
  <c r="O25" i="10"/>
  <c r="F78" i="41" s="1"/>
  <c r="H78" i="41" s="1"/>
  <c r="H68" i="41"/>
  <c r="J29" i="10"/>
  <c r="F86" i="41" s="1"/>
  <c r="N29" i="10"/>
  <c r="F90" i="41" s="1"/>
  <c r="H90" i="41" s="1"/>
  <c r="H29" i="10"/>
  <c r="F84" i="41" s="1"/>
  <c r="H87" i="41" s="1"/>
  <c r="I29" i="10"/>
  <c r="F85" i="41" s="1"/>
  <c r="D29" i="10"/>
  <c r="F80" i="41" s="1"/>
  <c r="G29" i="10"/>
  <c r="F83" i="41" s="1"/>
  <c r="E29" i="10"/>
  <c r="F81" i="41" s="1"/>
  <c r="F29" i="10"/>
  <c r="F82" i="41" s="1"/>
  <c r="M29" i="10"/>
  <c r="F89" i="41" s="1"/>
  <c r="O29" i="10"/>
  <c r="F91" i="41" s="1"/>
  <c r="L29" i="10"/>
  <c r="F88" i="41" s="1"/>
  <c r="P20" i="10"/>
  <c r="AC16" i="73" l="1"/>
  <c r="AB16" i="73"/>
  <c r="Z19" i="73"/>
  <c r="AA19" i="73"/>
  <c r="AC12" i="73"/>
  <c r="AB12" i="73"/>
  <c r="M10" i="76"/>
  <c r="L24" i="76"/>
  <c r="Y11" i="73"/>
  <c r="AB17" i="73"/>
  <c r="AB33" i="73" s="1"/>
  <c r="AA33" i="73"/>
  <c r="AC33" i="73" s="1"/>
  <c r="AC17" i="73"/>
  <c r="Y31" i="73"/>
  <c r="Z31" i="73" s="1"/>
  <c r="Z15" i="73"/>
  <c r="AA15" i="73"/>
  <c r="AC22" i="73"/>
  <c r="AB22" i="73"/>
  <c r="Z21" i="73"/>
  <c r="AA21" i="73"/>
  <c r="AC23" i="73"/>
  <c r="AA34" i="73"/>
  <c r="AC34" i="73" s="1"/>
  <c r="AB23" i="73"/>
  <c r="AB34" i="73" s="1"/>
  <c r="Z14" i="73"/>
  <c r="Y30" i="73"/>
  <c r="Z30" i="73" s="1"/>
  <c r="AA14" i="73"/>
  <c r="AB13" i="73"/>
  <c r="AB29" i="73" s="1"/>
  <c r="AC18" i="73"/>
  <c r="AA29" i="73"/>
  <c r="AC29" i="73" s="1"/>
  <c r="AC13" i="73"/>
  <c r="AB20" i="73"/>
  <c r="AC20" i="73"/>
  <c r="AB24" i="73"/>
  <c r="AB35" i="73" s="1"/>
  <c r="AA35" i="73"/>
  <c r="AC35" i="73" s="1"/>
  <c r="AC24" i="73"/>
  <c r="H86" i="41"/>
  <c r="P25" i="10"/>
  <c r="H88" i="41"/>
  <c r="H85" i="41"/>
  <c r="H82" i="41"/>
  <c r="H84" i="41"/>
  <c r="H81" i="41"/>
  <c r="H83" i="41"/>
  <c r="H80" i="41"/>
  <c r="H91" i="41"/>
  <c r="H89" i="41"/>
  <c r="P29" i="10"/>
  <c r="G21" i="10"/>
  <c r="F57" i="41" s="1"/>
  <c r="I21" i="10"/>
  <c r="F59" i="41" s="1"/>
  <c r="K21" i="10"/>
  <c r="F61" i="41" s="1"/>
  <c r="E21" i="10"/>
  <c r="F55" i="41" s="1"/>
  <c r="J21" i="10"/>
  <c r="F60" i="41" s="1"/>
  <c r="H21" i="10"/>
  <c r="F58" i="41" s="1"/>
  <c r="M21" i="10"/>
  <c r="F63" i="41" s="1"/>
  <c r="F21" i="10"/>
  <c r="F56" i="41" s="1"/>
  <c r="O21" i="10"/>
  <c r="F65" i="41" s="1"/>
  <c r="N21" i="10"/>
  <c r="F64" i="41" s="1"/>
  <c r="D21" i="10"/>
  <c r="L21" i="10"/>
  <c r="F62" i="41" s="1"/>
  <c r="AC19" i="73" l="1"/>
  <c r="AB19" i="73"/>
  <c r="L33" i="76"/>
  <c r="M33" i="76" s="1"/>
  <c r="M24" i="76"/>
  <c r="AC15" i="73"/>
  <c r="AA31" i="73"/>
  <c r="AC31" i="73" s="1"/>
  <c r="AB15" i="73"/>
  <c r="AB31" i="73" s="1"/>
  <c r="Y25" i="73"/>
  <c r="Z25" i="73" s="1"/>
  <c r="Z11" i="73"/>
  <c r="Y28" i="73"/>
  <c r="AA11" i="73"/>
  <c r="AB32" i="73"/>
  <c r="AC21" i="73"/>
  <c r="AB21" i="73"/>
  <c r="H64" i="41"/>
  <c r="AC14" i="73"/>
  <c r="AB14" i="73"/>
  <c r="AA30" i="73"/>
  <c r="AC30" i="73" s="1"/>
  <c r="AA32" i="73"/>
  <c r="AC32" i="73" s="1"/>
  <c r="H62" i="41"/>
  <c r="H63" i="41"/>
  <c r="H65" i="41"/>
  <c r="H58" i="41"/>
  <c r="H55" i="41"/>
  <c r="H59" i="41"/>
  <c r="H56" i="41"/>
  <c r="H60" i="41"/>
  <c r="H61" i="41"/>
  <c r="F54" i="41"/>
  <c r="P21" i="10"/>
  <c r="Z28" i="73" l="1"/>
  <c r="Y36" i="73"/>
  <c r="Z36" i="73" s="1"/>
  <c r="AC11" i="73"/>
  <c r="AA28" i="73"/>
  <c r="AB11" i="73"/>
  <c r="AA25" i="73"/>
  <c r="AC25" i="73" s="1"/>
  <c r="AB30" i="73"/>
  <c r="H57" i="41"/>
  <c r="H54" i="41"/>
  <c r="AB28" i="73" l="1"/>
  <c r="AB36" i="73" s="1"/>
  <c r="AB25" i="73"/>
  <c r="AC28" i="73"/>
  <c r="AA36" i="73"/>
  <c r="AC36" i="73" s="1"/>
</calcChain>
</file>

<file path=xl/sharedStrings.xml><?xml version="1.0" encoding="utf-8"?>
<sst xmlns="http://schemas.openxmlformats.org/spreadsheetml/2006/main" count="1423" uniqueCount="445">
  <si>
    <t>Puget Sound Energy</t>
  </si>
  <si>
    <t>Line</t>
  </si>
  <si>
    <t>Total</t>
  </si>
  <si>
    <t>Allocation</t>
  </si>
  <si>
    <t>Revenue</t>
  </si>
  <si>
    <t>Sch. 111</t>
  </si>
  <si>
    <t>No.</t>
  </si>
  <si>
    <t>Rate Class</t>
  </si>
  <si>
    <t>Schedules</t>
  </si>
  <si>
    <t>Factor</t>
  </si>
  <si>
    <t>Requirement</t>
  </si>
  <si>
    <t>Mantle Rate</t>
  </si>
  <si>
    <t>(a)</t>
  </si>
  <si>
    <t>(b)</t>
  </si>
  <si>
    <t>(c)</t>
  </si>
  <si>
    <t>(d)</t>
  </si>
  <si>
    <t>(e)</t>
  </si>
  <si>
    <t>(f)</t>
  </si>
  <si>
    <t>(g)</t>
  </si>
  <si>
    <t>Residential</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</si>
  <si>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</si>
  <si>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</si>
  <si>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</si>
  <si>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</si>
  <si>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</si>
  <si>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</si>
  <si>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</si>
  <si>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</si>
  <si>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</si>
  <si>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</si>
  <si>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</si>
  <si>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</si>
  <si>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</si>
  <si>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</si>
  <si>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</si>
  <si>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</si>
  <si>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</si>
  <si>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Proposed Revenue Requirement</t>
  </si>
  <si>
    <t>No Cost Allowance Revenues</t>
  </si>
  <si>
    <t>Increase (Decrease) FIT</t>
  </si>
  <si>
    <t>Increase (Decrease) NOI</t>
  </si>
  <si>
    <t xml:space="preserve">Conversion Factor </t>
  </si>
  <si>
    <t>Revenue Requirement</t>
  </si>
  <si>
    <t>Forecasted Therms &amp; Customers</t>
  </si>
  <si>
    <t>Rate Schedule</t>
  </si>
  <si>
    <t>Customers:</t>
  </si>
  <si>
    <t>Delivered Therms:</t>
  </si>
  <si>
    <t>Development of Cap &amp; Invest Therm Forecast</t>
  </si>
  <si>
    <t>Cap and Invest Therms:</t>
  </si>
  <si>
    <t>Development of Cap &amp; Invest Customer Count Forecast</t>
  </si>
  <si>
    <t>Cap and Invest Customer Counts:</t>
  </si>
  <si>
    <r>
      <t xml:space="preserve">CCA Therms </t>
    </r>
    <r>
      <rPr>
        <vertAlign val="superscript"/>
        <sz val="11"/>
        <color theme="1"/>
        <rFont val="Calibri"/>
        <family val="2"/>
        <scheme val="minor"/>
      </rPr>
      <t>(1)</t>
    </r>
  </si>
  <si>
    <t>Residential (Low Income)</t>
  </si>
  <si>
    <t>% of Total</t>
  </si>
  <si>
    <t>Sales:</t>
  </si>
  <si>
    <t>Schedule 31</t>
  </si>
  <si>
    <t>Total Non-Vol. Credit Per Customer</t>
  </si>
  <si>
    <t>Mantles:</t>
  </si>
  <si>
    <t>Proposed</t>
  </si>
  <si>
    <t>Schedule 31T</t>
  </si>
  <si>
    <t>Credit Rate</t>
  </si>
  <si>
    <r>
      <t xml:space="preserve">Therms </t>
    </r>
    <r>
      <rPr>
        <vertAlign val="superscript"/>
        <sz val="11"/>
        <color theme="1"/>
        <rFont val="Calibri"/>
        <family val="2"/>
        <scheme val="minor"/>
      </rPr>
      <t>(1)</t>
    </r>
  </si>
  <si>
    <t>Low Income Volumetric Credit</t>
  </si>
  <si>
    <t>Proposed Revenue Requirement for Non-Vol. Credit</t>
  </si>
  <si>
    <r>
      <t xml:space="preserve">Total CCA </t>
    </r>
    <r>
      <rPr>
        <vertAlign val="superscript"/>
        <sz val="11"/>
        <color theme="1"/>
        <rFont val="Calibri"/>
        <family val="2"/>
        <scheme val="minor"/>
      </rPr>
      <t>(2)</t>
    </r>
  </si>
  <si>
    <r>
      <t xml:space="preserve">Sch. 111 </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</si>
  <si>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Schedule's 23, 53, 31 &amp; 31T rates are informational only, credits will vary monthly to reflect seasonality of usage.</t>
    </r>
  </si>
  <si>
    <r>
      <rPr>
        <vertAlign val="superscript"/>
        <sz val="11"/>
        <color theme="1"/>
        <rFont val="Calibri"/>
        <family val="2"/>
        <scheme val="minor"/>
      </rPr>
      <t>(4)</t>
    </r>
    <r>
      <rPr>
        <sz val="11"/>
        <color theme="1"/>
        <rFont val="Calibri"/>
        <family val="2"/>
        <scheme val="minor"/>
      </rPr>
      <t xml:space="preserve"> Customer Counts for this schedule are mantle counts since gas lighting is billed per mantle.</t>
    </r>
  </si>
  <si>
    <r>
      <t xml:space="preserve">Residential Gas Lights </t>
    </r>
    <r>
      <rPr>
        <vertAlign val="superscript"/>
        <sz val="11"/>
        <color theme="1"/>
        <rFont val="Calibri"/>
        <family val="2"/>
        <scheme val="minor"/>
      </rPr>
      <t>(4)</t>
    </r>
  </si>
  <si>
    <t>Monthly Non-Vol. Credit Per Customer</t>
  </si>
  <si>
    <r>
      <t xml:space="preserve">Forecasted Delivered Therms </t>
    </r>
    <r>
      <rPr>
        <vertAlign val="superscript"/>
        <sz val="11"/>
        <color theme="1"/>
        <rFont val="Calibri"/>
        <family val="2"/>
        <scheme val="minor"/>
      </rPr>
      <t>(1)</t>
    </r>
  </si>
  <si>
    <r>
      <t xml:space="preserve">Low Income Therm Forecast </t>
    </r>
    <r>
      <rPr>
        <b/>
        <u/>
        <vertAlign val="superscript"/>
        <sz val="11"/>
        <color theme="1"/>
        <rFont val="Calibri"/>
        <family val="2"/>
        <scheme val="minor"/>
      </rPr>
      <t xml:space="preserve">(1) </t>
    </r>
    <r>
      <rPr>
        <b/>
        <u/>
        <sz val="11"/>
        <color theme="1"/>
        <rFont val="Calibri"/>
        <family val="2"/>
        <scheme val="minor"/>
      </rPr>
      <t>:</t>
    </r>
  </si>
  <si>
    <r>
      <t xml:space="preserve">National Security Customer Therms </t>
    </r>
    <r>
      <rPr>
        <b/>
        <u/>
        <vertAlign val="superscript"/>
        <sz val="11"/>
        <color theme="1"/>
        <rFont val="Calibri"/>
        <family val="2"/>
        <scheme val="minor"/>
      </rPr>
      <t>(2)</t>
    </r>
    <r>
      <rPr>
        <b/>
        <u/>
        <sz val="11"/>
        <color theme="1"/>
        <rFont val="Calibri"/>
        <family val="2"/>
        <scheme val="minor"/>
      </rPr>
      <t>:</t>
    </r>
  </si>
  <si>
    <r>
      <t xml:space="preserve">Emissions Intensive Trade Exposed Customer Therms </t>
    </r>
    <r>
      <rPr>
        <b/>
        <u/>
        <vertAlign val="superscript"/>
        <sz val="11"/>
        <color theme="1"/>
        <rFont val="Calibri"/>
        <family val="2"/>
        <scheme val="minor"/>
      </rPr>
      <t>(3)</t>
    </r>
    <r>
      <rPr>
        <b/>
        <u/>
        <sz val="11"/>
        <color theme="1"/>
        <rFont val="Calibri"/>
        <family val="2"/>
        <scheme val="minor"/>
      </rPr>
      <t>:</t>
    </r>
  </si>
  <si>
    <r>
      <t xml:space="preserve">National Security Customer Counts </t>
    </r>
    <r>
      <rPr>
        <b/>
        <u/>
        <vertAlign val="superscript"/>
        <sz val="11"/>
        <color theme="1"/>
        <rFont val="Calibri"/>
        <family val="2"/>
        <scheme val="minor"/>
      </rPr>
      <t>(2)</t>
    </r>
    <r>
      <rPr>
        <b/>
        <u/>
        <sz val="11"/>
        <color theme="1"/>
        <rFont val="Calibri"/>
        <family val="2"/>
        <scheme val="minor"/>
      </rPr>
      <t>:</t>
    </r>
  </si>
  <si>
    <r>
      <t xml:space="preserve">Emissions Intensive Trade Exposed Customer Counts </t>
    </r>
    <r>
      <rPr>
        <b/>
        <u/>
        <vertAlign val="superscript"/>
        <sz val="11"/>
        <color theme="1"/>
        <rFont val="Calibri"/>
        <family val="2"/>
        <scheme val="minor"/>
      </rPr>
      <t>(3)</t>
    </r>
    <r>
      <rPr>
        <b/>
        <u/>
        <sz val="11"/>
        <color theme="1"/>
        <rFont val="Calibri"/>
        <family val="2"/>
        <scheme val="minor"/>
      </rPr>
      <t>:</t>
    </r>
  </si>
  <si>
    <r>
      <t xml:space="preserve">Low Income Customer Counts </t>
    </r>
    <r>
      <rPr>
        <b/>
        <u/>
        <vertAlign val="superscript"/>
        <sz val="11"/>
        <color theme="1"/>
        <rFont val="Calibri"/>
        <family val="2"/>
        <scheme val="minor"/>
      </rPr>
      <t>(4)</t>
    </r>
    <r>
      <rPr>
        <b/>
        <u/>
        <sz val="11"/>
        <color theme="1"/>
        <rFont val="Calibri"/>
        <family val="2"/>
        <scheme val="minor"/>
      </rPr>
      <t>:</t>
    </r>
  </si>
  <si>
    <r>
      <t xml:space="preserve">New Gas Connection after July 25, 2021 Customer Counts </t>
    </r>
    <r>
      <rPr>
        <b/>
        <u/>
        <vertAlign val="superscript"/>
        <sz val="11"/>
        <color theme="1"/>
        <rFont val="Calibri"/>
        <family val="2"/>
        <scheme val="minor"/>
      </rPr>
      <t>(5)</t>
    </r>
    <r>
      <rPr>
        <b/>
        <u/>
        <sz val="11"/>
        <color theme="1"/>
        <rFont val="Calibri"/>
        <family val="2"/>
        <scheme val="minor"/>
      </rPr>
      <t>:</t>
    </r>
  </si>
  <si>
    <r>
      <t xml:space="preserve">Covered Entity &gt;25,000 Metric Ton Emissions Customer Therms </t>
    </r>
    <r>
      <rPr>
        <b/>
        <u/>
        <vertAlign val="superscript"/>
        <sz val="11"/>
        <color theme="1"/>
        <rFont val="Calibri"/>
        <family val="2"/>
        <scheme val="minor"/>
      </rPr>
      <t>(1)</t>
    </r>
    <r>
      <rPr>
        <b/>
        <u/>
        <sz val="11"/>
        <color theme="1"/>
        <rFont val="Calibri"/>
        <family val="2"/>
        <scheme val="minor"/>
      </rPr>
      <t>:</t>
    </r>
  </si>
  <si>
    <r>
      <t xml:space="preserve">Covered Entity &gt;25,000 Metric Ton Customer Counts </t>
    </r>
    <r>
      <rPr>
        <b/>
        <u/>
        <vertAlign val="superscript"/>
        <sz val="11"/>
        <color theme="1"/>
        <rFont val="Calibri"/>
        <family val="2"/>
        <scheme val="minor"/>
      </rPr>
      <t>(1)</t>
    </r>
    <r>
      <rPr>
        <b/>
        <u/>
        <sz val="11"/>
        <color theme="1"/>
        <rFont val="Calibri"/>
        <family val="2"/>
        <scheme val="minor"/>
      </rPr>
      <t>:</t>
    </r>
  </si>
  <si>
    <t>Calculation of Schedule 111 State Carbon Reduction Charge Volumetric Rates</t>
  </si>
  <si>
    <t>Calculation of Schedule 111 Low Income State Carbon Reduction Credit Volumetric Rates</t>
  </si>
  <si>
    <t>Calculation of Schedule 111 State Carbon Reduction Credit Monthly Non-Volumetric Rates</t>
  </si>
  <si>
    <t>Cap &amp; Invest</t>
  </si>
  <si>
    <t>Base</t>
  </si>
  <si>
    <t>Charge Rate</t>
  </si>
  <si>
    <t>Customer</t>
  </si>
  <si>
    <t>Counts</t>
  </si>
  <si>
    <t>Monthly Credit</t>
  </si>
  <si>
    <t>Non-Volumetric Credit Per Customer by Month:</t>
  </si>
  <si>
    <t>Schedule 23</t>
  </si>
  <si>
    <t>(h)</t>
  </si>
  <si>
    <t>(i)</t>
  </si>
  <si>
    <t>(j)</t>
  </si>
  <si>
    <t>(k)</t>
  </si>
  <si>
    <t>(l)</t>
  </si>
  <si>
    <t>(m)</t>
  </si>
  <si>
    <t>(n)</t>
  </si>
  <si>
    <t>Check</t>
  </si>
  <si>
    <t>Check=&gt;</t>
  </si>
  <si>
    <t>Rate Change Impacts by Rate Schedule</t>
  </si>
  <si>
    <t>Forecasted</t>
  </si>
  <si>
    <t>UG-220067</t>
  </si>
  <si>
    <t>Base Sch.</t>
  </si>
  <si>
    <t>Therms</t>
  </si>
  <si>
    <t>Rate</t>
  </si>
  <si>
    <t>Volume</t>
  </si>
  <si>
    <t>Base Schedule</t>
  </si>
  <si>
    <t>Sch. 101</t>
  </si>
  <si>
    <t>Sch. 106</t>
  </si>
  <si>
    <t>Sch. 120</t>
  </si>
  <si>
    <t>Sch. 129</t>
  </si>
  <si>
    <t>Sch. 140</t>
  </si>
  <si>
    <t>Sch. 141D</t>
  </si>
  <si>
    <t>Sch. 141N</t>
  </si>
  <si>
    <t>Sch. 141R</t>
  </si>
  <si>
    <t>Sch. 142</t>
  </si>
  <si>
    <t>Total Forecasted</t>
  </si>
  <si>
    <t>Chrg. Revenue</t>
  </si>
  <si>
    <t>Percent</t>
  </si>
  <si>
    <t>Cred. Revenue</t>
  </si>
  <si>
    <t>Total Revenue</t>
  </si>
  <si>
    <t>Schedule</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</si>
  <si>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</si>
  <si>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</si>
  <si>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</si>
  <si>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t>Change</t>
  </si>
  <si>
    <t>A</t>
  </si>
  <si>
    <t>B</t>
  </si>
  <si>
    <t>C</t>
  </si>
  <si>
    <t>D</t>
  </si>
  <si>
    <t>E=D/C</t>
  </si>
  <si>
    <t xml:space="preserve">F </t>
  </si>
  <si>
    <t xml:space="preserve">G=E*F </t>
  </si>
  <si>
    <t>H</t>
  </si>
  <si>
    <t>I</t>
  </si>
  <si>
    <t>J</t>
  </si>
  <si>
    <t>K</t>
  </si>
  <si>
    <t>L</t>
  </si>
  <si>
    <t>M</t>
  </si>
  <si>
    <t>N</t>
  </si>
  <si>
    <t>O</t>
  </si>
  <si>
    <t>P</t>
  </si>
  <si>
    <t>Q</t>
  </si>
  <si>
    <t>R</t>
  </si>
  <si>
    <t>T</t>
  </si>
  <si>
    <t>V</t>
  </si>
  <si>
    <t>X</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</si>
  <si>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</si>
  <si>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</si>
  <si>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</si>
  <si>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</si>
  <si>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</si>
  <si>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</si>
  <si>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</si>
  <si>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</si>
  <si>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</si>
  <si>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</si>
  <si>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</si>
  <si>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</si>
  <si>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t>Typical Residential Bill Impacts</t>
  </si>
  <si>
    <t>Schedule 111 Cap &amp; Invest</t>
  </si>
  <si>
    <t>Current Rates</t>
  </si>
  <si>
    <t>Rate Change</t>
  </si>
  <si>
    <r>
      <t>Rates</t>
    </r>
    <r>
      <rPr>
        <vertAlign val="superscript"/>
        <sz val="11"/>
        <rFont val="Calibri"/>
        <family val="2"/>
        <scheme val="minor"/>
      </rPr>
      <t xml:space="preserve"> (1)</t>
    </r>
  </si>
  <si>
    <t>Charges</t>
  </si>
  <si>
    <t>Rates</t>
  </si>
  <si>
    <t>Volume (therms)</t>
  </si>
  <si>
    <t>Customer charge ($/month)</t>
  </si>
  <si>
    <t>Basic charge (Sch. 23)</t>
  </si>
  <si>
    <t>Subtotal</t>
  </si>
  <si>
    <t>Cap &amp; Invest Non-Vol Credit (Sch. 111)</t>
  </si>
  <si>
    <t>Volumetric charges ($/therm)</t>
  </si>
  <si>
    <t>Delivery charge (Sch. 23)</t>
  </si>
  <si>
    <t>Cap &amp; Invest charge (Sch. 111)</t>
  </si>
  <si>
    <t>Low Income charge (Sch. 129)</t>
  </si>
  <si>
    <t>Low Income Discount charge (Sch. 129D)</t>
  </si>
  <si>
    <t>Property Tax charge (Sch. 140)</t>
  </si>
  <si>
    <t>Dist. Pipeline Provisional (Sch. 141D)</t>
  </si>
  <si>
    <t>Rates Not Subject to Refund (Sch. 141N)</t>
  </si>
  <si>
    <t>Rates Subject to Refund (Sch. 141R)</t>
  </si>
  <si>
    <t>Decoupling charge (Sch. 142)</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</si>
  <si>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</si>
  <si>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</si>
  <si>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</si>
  <si>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</si>
  <si>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</si>
  <si>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</si>
  <si>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</si>
  <si>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</si>
  <si>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t>Greenhouse Gas Emissions Cap and Invest Adjustment</t>
  </si>
  <si>
    <t>Proposed Rates</t>
  </si>
  <si>
    <t>Sched 111</t>
  </si>
  <si>
    <t>Volume (Therms)</t>
  </si>
  <si>
    <t>Deferral</t>
  </si>
  <si>
    <t>Non-Volumetric Credits:</t>
  </si>
  <si>
    <t>Current</t>
  </si>
  <si>
    <t>Customer Counts</t>
  </si>
  <si>
    <t>Monthly NVC</t>
  </si>
  <si>
    <r>
      <t xml:space="preserve">Residential Gas Lights </t>
    </r>
    <r>
      <rPr>
        <vertAlign val="superscript"/>
        <sz val="11"/>
        <color theme="1"/>
        <rFont val="Calibri"/>
        <family val="2"/>
        <scheme val="minor"/>
      </rPr>
      <t>(1)</t>
    </r>
  </si>
  <si>
    <t>Cred. Rates</t>
  </si>
  <si>
    <t>Total Non-Volumetric &amp; Volumetric Credits</t>
  </si>
  <si>
    <r>
      <rPr>
        <vertAlign val="superscript"/>
        <sz val="11"/>
        <color theme="1"/>
        <rFont val="Calibri"/>
        <family val="2"/>
        <scheme val="minor"/>
      </rPr>
      <t>(1)</t>
    </r>
    <r>
      <rPr>
        <sz val="11"/>
        <color theme="1"/>
        <rFont val="Calibri"/>
        <family val="2"/>
        <scheme val="minor"/>
      </rPr>
      <t xml:space="preserve"> Customer Counts for this schedule are mantle counts since gas lighting is billed per mantle.</t>
    </r>
  </si>
  <si>
    <t>Calculation of Schedule 111 State Carbon Reduction Credit Monthly Non-Volumetric Rates for Schedule's 23, 31 &amp; 31T</t>
  </si>
  <si>
    <t>Schedule 31 &amp; 31T</t>
  </si>
  <si>
    <r>
      <t xml:space="preserve">Low Income Customer Counts </t>
    </r>
    <r>
      <rPr>
        <b/>
        <u/>
        <vertAlign val="superscript"/>
        <sz val="11"/>
        <color theme="1"/>
        <rFont val="Calibri"/>
        <family val="2"/>
        <scheme val="minor"/>
      </rPr>
      <t>(1)</t>
    </r>
    <r>
      <rPr>
        <b/>
        <u/>
        <sz val="11"/>
        <color theme="1"/>
        <rFont val="Calibri"/>
        <family val="2"/>
        <scheme val="minor"/>
      </rPr>
      <t>:</t>
    </r>
  </si>
  <si>
    <t>Low Income Therm &amp; Customer Forecast</t>
  </si>
  <si>
    <t>Low Income Volumetric Credits:</t>
  </si>
  <si>
    <t>Gas Schedule 111 State Carbon Reduction Credits</t>
  </si>
  <si>
    <t>Current Charge Rates</t>
  </si>
  <si>
    <t>Proposed Charge Rates</t>
  </si>
  <si>
    <t>Gas Schedule 111 State Carbon Reduction Charge</t>
  </si>
  <si>
    <t>Gas Schedule 111 Greenhouse Gas Emissions Cap and Invest Adjustment</t>
  </si>
  <si>
    <t>Summary of Proposed Schedule 111 Rates</t>
  </si>
  <si>
    <t>Current Non-Volumetric Credits</t>
  </si>
  <si>
    <t>Proposed Non-Volumetric Credits</t>
  </si>
  <si>
    <t>Current Low Income Volumetric Credits</t>
  </si>
  <si>
    <t>Proposed Low Income Volumetric Credits</t>
  </si>
  <si>
    <t>Seasonal Non-Volumetric Credits:</t>
  </si>
  <si>
    <t>Current Seasonal Non-Volumetric Credits</t>
  </si>
  <si>
    <t>Month</t>
  </si>
  <si>
    <t>Sch. 23 Residential</t>
  </si>
  <si>
    <t>Sch. 31 Commercial &amp; Industrial</t>
  </si>
  <si>
    <t>Proposed Seasonal Non-Volumetric Credits</t>
  </si>
  <si>
    <t>Sch. 31T Commercial &amp; Industrial Transportation</t>
  </si>
  <si>
    <t>Seasonal Non-Volumetric Credit</t>
  </si>
  <si>
    <t>Volumetric Charges:</t>
  </si>
  <si>
    <t>Residential Gas Lights (Per Mantle)</t>
  </si>
  <si>
    <t>2024 Gas Schedule 111 Greenhouse Gas Emissions Cap and Invest Adjustment Filing</t>
  </si>
  <si>
    <t>Gas Schedule 111 CCA Revenue Requirement</t>
  </si>
  <si>
    <t>check</t>
  </si>
  <si>
    <t>23,53</t>
  </si>
  <si>
    <t>88T</t>
  </si>
  <si>
    <r>
      <t xml:space="preserve">Other Exempt Customer Therms </t>
    </r>
    <r>
      <rPr>
        <b/>
        <u/>
        <vertAlign val="superscript"/>
        <sz val="11"/>
        <color theme="1"/>
        <rFont val="Calibri"/>
        <family val="2"/>
        <scheme val="minor"/>
      </rPr>
      <t>(4)</t>
    </r>
    <r>
      <rPr>
        <b/>
        <u/>
        <sz val="11"/>
        <color theme="1"/>
        <rFont val="Calibri"/>
        <family val="2"/>
        <scheme val="minor"/>
      </rPr>
      <t>:</t>
    </r>
  </si>
  <si>
    <t>Proposed Rates Effective January 1, 2025</t>
  </si>
  <si>
    <t>F2024 Forecast:</t>
  </si>
  <si>
    <r>
      <rPr>
        <vertAlign val="superscript"/>
        <sz val="11"/>
        <color theme="1"/>
        <rFont val="Calibri"/>
        <family val="2"/>
        <scheme val="minor"/>
      </rPr>
      <t>(1)</t>
    </r>
    <r>
      <rPr>
        <sz val="11"/>
        <color theme="1"/>
        <rFont val="Calibri"/>
        <family val="2"/>
        <scheme val="minor"/>
      </rPr>
      <t xml:space="preserve"> CY2023 actual customer counts for &gt;25,000 metric ton emission customers.</t>
    </r>
  </si>
  <si>
    <r>
      <rPr>
        <vertAlign val="superscript"/>
        <sz val="11"/>
        <color theme="1"/>
        <rFont val="Calibri"/>
        <family val="2"/>
        <scheme val="minor"/>
      </rPr>
      <t>(2)</t>
    </r>
    <r>
      <rPr>
        <sz val="11"/>
        <color theme="1"/>
        <rFont val="Calibri"/>
        <family val="2"/>
        <scheme val="minor"/>
      </rPr>
      <t xml:space="preserve"> CY2023 actual customer counts for national security customers.</t>
    </r>
  </si>
  <si>
    <r>
      <rPr>
        <vertAlign val="superscript"/>
        <sz val="11"/>
        <color theme="1"/>
        <rFont val="Calibri"/>
        <family val="2"/>
        <scheme val="minor"/>
      </rPr>
      <t>(3)</t>
    </r>
    <r>
      <rPr>
        <sz val="11"/>
        <color theme="1"/>
        <rFont val="Calibri"/>
        <family val="2"/>
        <scheme val="minor"/>
      </rPr>
      <t xml:space="preserve"> CY2023 actual customer counts for emissions intensive trade exposed customers.</t>
    </r>
  </si>
  <si>
    <r>
      <rPr>
        <vertAlign val="superscript"/>
        <sz val="11"/>
        <color theme="1"/>
        <rFont val="Calibri"/>
        <family val="2"/>
        <scheme val="minor"/>
      </rPr>
      <t>(5)</t>
    </r>
    <r>
      <rPr>
        <sz val="11"/>
        <color theme="1"/>
        <rFont val="Calibri"/>
        <family val="2"/>
        <scheme val="minor"/>
      </rPr>
      <t xml:space="preserve"> New gas connections after July 25, 2021 as of October 21, 2024</t>
    </r>
  </si>
  <si>
    <r>
      <rPr>
        <vertAlign val="superscript"/>
        <sz val="11"/>
        <color theme="1"/>
        <rFont val="Calibri"/>
        <family val="2"/>
        <scheme val="minor"/>
      </rPr>
      <t>(1)</t>
    </r>
    <r>
      <rPr>
        <sz val="11"/>
        <color theme="1"/>
        <rFont val="Calibri"/>
        <family val="2"/>
        <scheme val="minor"/>
      </rPr>
      <t xml:space="preserve"> CY2023 actual annual billed therms for &gt;25,000 metric ton emission customers.</t>
    </r>
  </si>
  <si>
    <r>
      <rPr>
        <vertAlign val="superscript"/>
        <sz val="11"/>
        <color theme="1"/>
        <rFont val="Calibri"/>
        <family val="2"/>
        <scheme val="minor"/>
      </rPr>
      <t>(2)</t>
    </r>
    <r>
      <rPr>
        <sz val="11"/>
        <color theme="1"/>
        <rFont val="Calibri"/>
        <family val="2"/>
        <scheme val="minor"/>
      </rPr>
      <t xml:space="preserve"> CY2023 actual annual billed therms for national security customers.</t>
    </r>
  </si>
  <si>
    <r>
      <rPr>
        <vertAlign val="superscript"/>
        <sz val="11"/>
        <color theme="1"/>
        <rFont val="Calibri"/>
        <family val="2"/>
        <scheme val="minor"/>
      </rPr>
      <t>(3)</t>
    </r>
    <r>
      <rPr>
        <sz val="11"/>
        <color theme="1"/>
        <rFont val="Calibri"/>
        <family val="2"/>
        <scheme val="minor"/>
      </rPr>
      <t xml:space="preserve"> CY2023 actual annual billed therms for emissions intensive trade exposed customers.</t>
    </r>
  </si>
  <si>
    <t>Jan. 2025 -</t>
  </si>
  <si>
    <t>Dec. 2025</t>
  </si>
  <si>
    <r>
      <rPr>
        <vertAlign val="superscript"/>
        <sz val="11"/>
        <color theme="1"/>
        <rFont val="Calibri"/>
        <family val="2"/>
        <scheme val="minor"/>
      </rPr>
      <t>(1)</t>
    </r>
    <r>
      <rPr>
        <sz val="11"/>
        <color theme="1"/>
        <rFont val="Calibri"/>
        <family val="2"/>
        <scheme val="minor"/>
      </rPr>
      <t xml:space="preserve"> F2024 Load Forecast adjusted to remove therms not subject to the CCA charge.</t>
    </r>
  </si>
  <si>
    <t>Exclusive Interruptible Transportation</t>
  </si>
  <si>
    <r>
      <rPr>
        <vertAlign val="superscript"/>
        <sz val="11"/>
        <color theme="1"/>
        <rFont val="Calibri"/>
        <family val="2"/>
        <scheme val="minor"/>
      </rPr>
      <t>(2)</t>
    </r>
    <r>
      <rPr>
        <sz val="11"/>
        <color theme="1"/>
        <rFont val="Calibri"/>
        <family val="2"/>
        <scheme val="minor"/>
      </rPr>
      <t xml:space="preserve"> F2024 Load Forecast adjusted to remove customers not eligible for the CCA non-volumetric credit.</t>
    </r>
  </si>
  <si>
    <t>True-up</t>
  </si>
  <si>
    <t>Credited</t>
  </si>
  <si>
    <t>Over / (Under)</t>
  </si>
  <si>
    <t>For Rates effective January 1, 2025 through December 31, 2025</t>
  </si>
  <si>
    <t>Schedule 111 Gas Charge</t>
  </si>
  <si>
    <t>2025 CCA Obligation</t>
  </si>
  <si>
    <t>2023 Cost/Credit True-Up</t>
  </si>
  <si>
    <t>2024 Cost/Credit True-Up</t>
  </si>
  <si>
    <t>2023-2024 Interest</t>
  </si>
  <si>
    <t xml:space="preserve">Revenue Collection True-Up (Charge) </t>
  </si>
  <si>
    <t>Total 2025 Gas Charge</t>
  </si>
  <si>
    <t>Gas CCA Emissions Expense / Interest</t>
  </si>
  <si>
    <t>Schedule 111 Gas Credit</t>
  </si>
  <si>
    <t xml:space="preserve">Revenue Collection True-Up (Volumetric LI &amp; RNG Credit Only)∆ </t>
  </si>
  <si>
    <t>Total 2025 Gas Credit</t>
  </si>
  <si>
    <t>CCA Allowance Proceeds / Interest</t>
  </si>
  <si>
    <t xml:space="preserve">Total Gas CCA Nov 2025 Net Revenue Requirement </t>
  </si>
  <si>
    <t>Net Revenue Collection True-Up</t>
  </si>
  <si>
    <t>Total 2025 Gas Net Rev Req</t>
  </si>
  <si>
    <t>Total CCA Costs, Proceeds, Interest and Revenue True-up</t>
  </si>
  <si>
    <t>Revenue Requirement Excluding Non-Vol Rev T/U</t>
  </si>
  <si>
    <t xml:space="preserve">∆ The revenue collection true up for the revenue that was passing back the non-volumetric credits is not included here because it is conducted in the COS work papers. </t>
  </si>
  <si>
    <t>See reconciliation below.</t>
  </si>
  <si>
    <t>∆ Reconciliation of Total Revenue Requirement:</t>
  </si>
  <si>
    <t xml:space="preserve">Revenue requirement from these work papers that excludes the revenue collection true up for the revenue that was passing back the non-volumetric credits </t>
  </si>
  <si>
    <t>Revenue collection true up for the revenue that was passing back the non-volumetric credits from Cost of Service Work Papers</t>
  </si>
  <si>
    <t>Total Revenue Requirement per the Cover Letter</t>
  </si>
  <si>
    <t>Causes of Change in Revenue Requirement:</t>
  </si>
  <si>
    <t>Revenue Requirement set 1/1/2024</t>
  </si>
  <si>
    <t>Net change in WCA purchase / auction proceeds pass back</t>
  </si>
  <si>
    <t>True up for prior rate periods:</t>
  </si>
  <si>
    <t>WCA Purchase Volume True-Up</t>
  </si>
  <si>
    <t>WCA Price True-Up</t>
  </si>
  <si>
    <t>Auction Proceeds Volume True-Up</t>
  </si>
  <si>
    <t>Auction Proceeds Price True-Up</t>
  </si>
  <si>
    <t>B&amp;O Taxes that were later exempted</t>
  </si>
  <si>
    <t>Add pass back of net interest payable</t>
  </si>
  <si>
    <t>For revenue volume variances</t>
  </si>
  <si>
    <t>Non-volumetric credits from Cost of Service Work Papers</t>
  </si>
  <si>
    <t>Net True-up</t>
  </si>
  <si>
    <t>Total Revenue Requirement Change</t>
  </si>
  <si>
    <t>Revenue Requirement filed for rates 1/1/2025</t>
  </si>
  <si>
    <t>plug</t>
  </si>
  <si>
    <t xml:space="preserve">Price &amp; Volume True-Up </t>
  </si>
  <si>
    <t>General Revenue True-Up (Charge &amp; Credit)</t>
  </si>
  <si>
    <t>should be 0</t>
  </si>
  <si>
    <t>w/ True-up</t>
  </si>
  <si>
    <t xml:space="preserve">Source: F2024 Load Forecast Calendar Month Therms &amp; Customer Counts (5-30-2024)  </t>
  </si>
  <si>
    <t>12ME Dec. 2025</t>
  </si>
  <si>
    <t>Sch. 129D</t>
  </si>
  <si>
    <t>Sch. 141LNG</t>
  </si>
  <si>
    <t>Sch. 141PFG</t>
  </si>
  <si>
    <t xml:space="preserve">Revenue at </t>
  </si>
  <si>
    <r>
      <t>Current Rates</t>
    </r>
    <r>
      <rPr>
        <vertAlign val="superscript"/>
        <sz val="11"/>
        <color theme="1"/>
        <rFont val="Calibri"/>
        <family val="2"/>
        <scheme val="minor"/>
      </rPr>
      <t xml:space="preserve"> (2)</t>
    </r>
  </si>
  <si>
    <t>S</t>
  </si>
  <si>
    <t>U=sum(G:T)</t>
  </si>
  <si>
    <t>W=V/U</t>
  </si>
  <si>
    <t>Y=X/U</t>
  </si>
  <si>
    <t>Z=V+X</t>
  </si>
  <si>
    <t>AA=U+Z</t>
  </si>
  <si>
    <t>Exclusive interruptible</t>
  </si>
  <si>
    <r>
      <rPr>
        <vertAlign val="superscript"/>
        <sz val="11"/>
        <color theme="1"/>
        <rFont val="Calibri"/>
        <family val="2"/>
      </rPr>
      <t xml:space="preserve">(2) </t>
    </r>
    <r>
      <rPr>
        <sz val="11"/>
        <color theme="1"/>
        <rFont val="Calibri"/>
        <family val="2"/>
        <scheme val="minor"/>
      </rPr>
      <t>Forecasted revenues at current rates effective November 1, 2024.</t>
    </r>
  </si>
  <si>
    <t>LNG charge (Sch. 141LNG)</t>
  </si>
  <si>
    <t>Participatory Funding (Sch. 141PFG)</t>
  </si>
  <si>
    <r>
      <rPr>
        <vertAlign val="superscript"/>
        <sz val="11"/>
        <rFont val="Calibri"/>
        <family val="2"/>
        <scheme val="minor"/>
      </rPr>
      <t xml:space="preserve">(1) </t>
    </r>
    <r>
      <rPr>
        <sz val="11"/>
        <rFont val="Calibri"/>
        <family val="2"/>
        <scheme val="minor"/>
      </rPr>
      <t>Rates for Schedule 23 customers in effect November 1, 2024.</t>
    </r>
  </si>
  <si>
    <t>Gas Schedule 111 Greenhouse Gas Emissions Cap and Invest</t>
  </si>
  <si>
    <t>Non-Volumetric Credit True-Up</t>
  </si>
  <si>
    <t>October 2023 - December 2024</t>
  </si>
  <si>
    <t>Oct23 - Dec23</t>
  </si>
  <si>
    <t>Nov23 - Oct24</t>
  </si>
  <si>
    <t>Jan24 - Dec24</t>
  </si>
  <si>
    <t>Oct23 - Dec24</t>
  </si>
  <si>
    <t>Oct23 - Sep24</t>
  </si>
  <si>
    <t>Oct24 - Dec24</t>
  </si>
  <si>
    <t>True Up</t>
  </si>
  <si>
    <t>Actual CCA</t>
  </si>
  <si>
    <t>Projected CCA</t>
  </si>
  <si>
    <t>Actual &amp; Proj.</t>
  </si>
  <si>
    <t>Over</t>
  </si>
  <si>
    <t>Non-Vol</t>
  </si>
  <si>
    <t>(Under)</t>
  </si>
  <si>
    <t>Credits</t>
  </si>
  <si>
    <t>87T / 88T</t>
  </si>
  <si>
    <t>Statistical Rate</t>
  </si>
  <si>
    <t>(Multiple Items)</t>
  </si>
  <si>
    <t>Values</t>
  </si>
  <si>
    <t>Rate Category</t>
  </si>
  <si>
    <t>Bill Line Item Type</t>
  </si>
  <si>
    <t>Sum of 010/2023</t>
  </si>
  <si>
    <t>Sum of 011/2023</t>
  </si>
  <si>
    <t>Sum of 012/2023</t>
  </si>
  <si>
    <t>Sum of 001/2024</t>
  </si>
  <si>
    <t>Sum of 002/2024</t>
  </si>
  <si>
    <t>Sum of 003/2024</t>
  </si>
  <si>
    <t>Sum of 004/2024</t>
  </si>
  <si>
    <t>Sum of 005/2024</t>
  </si>
  <si>
    <t>Sum of 006/2024</t>
  </si>
  <si>
    <t>Sum of 007/2024</t>
  </si>
  <si>
    <t>Sum of 008/2024</t>
  </si>
  <si>
    <t>Sum of 009/2024</t>
  </si>
  <si>
    <t>Sum of Overall Result</t>
  </si>
  <si>
    <t>SCH_016GR</t>
  </si>
  <si>
    <t>State Carbon Reduction Credit</t>
  </si>
  <si>
    <t>SCH_023G</t>
  </si>
  <si>
    <t>SCH_031GC</t>
  </si>
  <si>
    <t>SCH_031GI</t>
  </si>
  <si>
    <t>SCH_031GTI</t>
  </si>
  <si>
    <t>SCH_041GC</t>
  </si>
  <si>
    <t>SCH_041GI</t>
  </si>
  <si>
    <t>SCH_041GTC</t>
  </si>
  <si>
    <t>SCH_041GTI</t>
  </si>
  <si>
    <t>SCH_085GC</t>
  </si>
  <si>
    <t>SCH_085GI</t>
  </si>
  <si>
    <t>SCH_085GTC</t>
  </si>
  <si>
    <t>SCH_085GTI</t>
  </si>
  <si>
    <t>SCH_086GC</t>
  </si>
  <si>
    <t>SCH_086GI</t>
  </si>
  <si>
    <t>SCH_086GTC</t>
  </si>
  <si>
    <t>SCH_086GTI</t>
  </si>
  <si>
    <t>SCH_087GC</t>
  </si>
  <si>
    <t>SCH_087GTC</t>
  </si>
  <si>
    <t>SCH_087GTI</t>
  </si>
  <si>
    <t>SCH_099GT</t>
  </si>
  <si>
    <t>Grand Total</t>
  </si>
  <si>
    <t>Sch 88T</t>
  </si>
  <si>
    <t>Total w/ 88T</t>
  </si>
  <si>
    <t>2023 Gas Schedule 111 Greenhouse Gas Emissions Cap and Invest Adjustment Filing</t>
  </si>
  <si>
    <t>Proposed Rates Effective August 1, 2023</t>
  </si>
  <si>
    <t>Aug. 2023 -</t>
  </si>
  <si>
    <t>Dec. 2023</t>
  </si>
  <si>
    <r>
      <rPr>
        <vertAlign val="superscript"/>
        <sz val="11"/>
        <color theme="1"/>
        <rFont val="Calibri"/>
        <family val="2"/>
        <scheme val="minor"/>
      </rPr>
      <t>(1)</t>
    </r>
    <r>
      <rPr>
        <sz val="11"/>
        <color theme="1"/>
        <rFont val="Calibri"/>
        <family val="2"/>
        <scheme val="minor"/>
      </rPr>
      <t xml:space="preserve"> F2022 Load Forecast adjusted to remove therms not subject to the CCA charge.</t>
    </r>
  </si>
  <si>
    <r>
      <rPr>
        <vertAlign val="superscript"/>
        <sz val="11"/>
        <color theme="1"/>
        <rFont val="Calibri"/>
        <family val="2"/>
        <scheme val="minor"/>
      </rPr>
      <t>(2)</t>
    </r>
    <r>
      <rPr>
        <sz val="11"/>
        <color theme="1"/>
        <rFont val="Calibri"/>
        <family val="2"/>
        <scheme val="minor"/>
      </rPr>
      <t xml:space="preserve"> F2022 Load Forecast adjusted to remove customers not eligible for the CCA non-volumetric credit.</t>
    </r>
  </si>
  <si>
    <t>Proposed Rates Effective November 1, 2023</t>
  </si>
  <si>
    <t>Nov. 2023 -</t>
  </si>
  <si>
    <t>Oct. 2024</t>
  </si>
  <si>
    <r>
      <rPr>
        <vertAlign val="superscript"/>
        <sz val="11"/>
        <color theme="1"/>
        <rFont val="Calibri"/>
        <family val="2"/>
        <scheme val="minor"/>
      </rPr>
      <t>(1)</t>
    </r>
    <r>
      <rPr>
        <sz val="11"/>
        <color theme="1"/>
        <rFont val="Calibri"/>
        <family val="2"/>
        <scheme val="minor"/>
      </rPr>
      <t xml:space="preserve"> F2023 Load Forecast adjusted to remove therms not subject to the CCA charge.</t>
    </r>
  </si>
  <si>
    <r>
      <rPr>
        <vertAlign val="superscript"/>
        <sz val="11"/>
        <color theme="1"/>
        <rFont val="Calibri"/>
        <family val="2"/>
        <scheme val="minor"/>
      </rPr>
      <t>(2)</t>
    </r>
    <r>
      <rPr>
        <sz val="11"/>
        <color theme="1"/>
        <rFont val="Calibri"/>
        <family val="2"/>
        <scheme val="minor"/>
      </rPr>
      <t xml:space="preserve"> F2023 Load Forecast adjusted to remove customers not eligible for the CCA non-volumetric credit.</t>
    </r>
  </si>
  <si>
    <t>Proposed Rates Effective January 1, 2024</t>
  </si>
  <si>
    <t>Jan. 2024 -</t>
  </si>
  <si>
    <t>Dec. 2024</t>
  </si>
  <si>
    <t>87T*</t>
  </si>
  <si>
    <t>* - When, or if, Schedule 88T becomes effective, then the charge of $0.23183 will apply to 88T and credit will be $-63268.47 for 88T and $-17940.19 for 87T.</t>
  </si>
  <si>
    <t>Gas Sch. 111 CCA</t>
  </si>
  <si>
    <t>Forecasted Monthly Revenues from Rates</t>
  </si>
  <si>
    <t>Sch. 111 CCA Deferral Rates Effective Nov. 1, 2023:</t>
  </si>
  <si>
    <t>Credit (Non-Volumetric)</t>
  </si>
  <si>
    <t>Sch. 111 CCA Base Rates Effective Jan. 1, 2024:</t>
  </si>
  <si>
    <t>Sch. 111 CCA Deferral and Base Revenues (Oct. 2024 - Dec. 2024):</t>
  </si>
  <si>
    <t>Gas CCA Filing Effective Aug. 1, 2023</t>
  </si>
  <si>
    <t>Charge</t>
  </si>
  <si>
    <t>Credit (Volumetric Low Income)</t>
  </si>
  <si>
    <t>Net Revenue</t>
  </si>
  <si>
    <t>Z3</t>
  </si>
  <si>
    <t>Account</t>
  </si>
  <si>
    <t>CC</t>
  </si>
  <si>
    <t>Order</t>
  </si>
  <si>
    <t>Debit</t>
  </si>
  <si>
    <t>Credit</t>
  </si>
  <si>
    <t>CF</t>
  </si>
  <si>
    <t>48100016</t>
  </si>
  <si>
    <t>31C</t>
  </si>
  <si>
    <t>48100316</t>
  </si>
  <si>
    <t>31I</t>
  </si>
  <si>
    <t>48900516</t>
  </si>
  <si>
    <t>31TI</t>
  </si>
  <si>
    <t>41C</t>
  </si>
  <si>
    <t>41I</t>
  </si>
  <si>
    <t>48900116</t>
  </si>
  <si>
    <t>41TC</t>
  </si>
  <si>
    <t>41TI</t>
  </si>
  <si>
    <t>48100506</t>
  </si>
  <si>
    <t>85C</t>
  </si>
  <si>
    <t>48100806</t>
  </si>
  <si>
    <t>85I</t>
  </si>
  <si>
    <t>85TC</t>
  </si>
  <si>
    <t>85TI</t>
  </si>
  <si>
    <t>86C</t>
  </si>
  <si>
    <t>86I</t>
  </si>
  <si>
    <t>86TC</t>
  </si>
  <si>
    <t>86TI</t>
  </si>
  <si>
    <t>87C</t>
  </si>
  <si>
    <t>87TC</t>
  </si>
  <si>
    <t>87TI</t>
  </si>
  <si>
    <t>99</t>
  </si>
  <si>
    <t>CCA Credit Q3 2024</t>
  </si>
  <si>
    <t>Allocation of</t>
  </si>
  <si>
    <r>
      <rPr>
        <vertAlign val="superscript"/>
        <sz val="11"/>
        <color theme="1"/>
        <rFont val="Calibri"/>
        <family val="2"/>
        <scheme val="minor"/>
      </rPr>
      <t>(4)</t>
    </r>
    <r>
      <rPr>
        <sz val="11"/>
        <color theme="1"/>
        <rFont val="Calibri"/>
        <family val="2"/>
        <scheme val="minor"/>
      </rPr>
      <t xml:space="preserve"> F2024 forecast of other customer therms exempted by Ecology including marine and voluntary RNG.</t>
    </r>
  </si>
  <si>
    <t>AB=Z/U</t>
  </si>
  <si>
    <t>Summary of CCA Revenue Requirement Recovered in Rates</t>
  </si>
  <si>
    <t>Low Income</t>
  </si>
  <si>
    <t>Volumetric</t>
  </si>
  <si>
    <t>Non-Volumetric</t>
  </si>
  <si>
    <t>Offset</t>
  </si>
  <si>
    <r>
      <rPr>
        <vertAlign val="superscript"/>
        <sz val="10"/>
        <rFont val="Calibri"/>
        <family val="2"/>
        <scheme val="minor"/>
      </rPr>
      <t xml:space="preserve">(1) </t>
    </r>
    <r>
      <rPr>
        <sz val="10"/>
        <rFont val="Calibri"/>
        <family val="2"/>
        <scheme val="minor"/>
      </rPr>
      <t xml:space="preserve">Low Income customers are forecast assuming a growth rate of 20% in current known low income customers over 12 months. Low Income loads are forecast using actuals customers in Bill Discount Rate as of September 30, 2024, and applying their usage profiles over past 12-months to stay the same for the forecasted 12 months, keeping seasonality patterns the same.  </t>
    </r>
  </si>
  <si>
    <r>
      <rPr>
        <vertAlign val="superscript"/>
        <sz val="11"/>
        <rFont val="Calibri"/>
        <family val="2"/>
        <scheme val="minor"/>
      </rPr>
      <t xml:space="preserve">(4) </t>
    </r>
    <r>
      <rPr>
        <sz val="11"/>
        <rFont val="Calibri"/>
        <family val="2"/>
        <scheme val="minor"/>
      </rPr>
      <t xml:space="preserve">Low Income customers are forecast assuming a growth rate of 20% in current known low income customers over 12 months. Low Income loads are forecast using actuals customers in Bill Discount Rate as of September 30, 2024, and applying their usage profiles over past 12-months to stay the same for the forecasted 12 months, keeping seasonality patterns the same.  </t>
    </r>
  </si>
  <si>
    <t>Increase in recovery for puchases of WCAs</t>
  </si>
  <si>
    <t>Increase in auction proceeds passed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</si>
</sst>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00000_);_(&quot;$&quot;* \(#,##0.00000\);_(&quot;$&quot;* &quot;-&quot;??_);_(@_)"/>
    <numFmt numFmtId="167" formatCode="_(&quot;$&quot;* #,##0_);_(&quot;$&quot;* \(#,##0\);_(&quot;$&quot;* &quot;-&quot;??_);_(@_)"/>
    <numFmt numFmtId="168" formatCode="_(&quot;$&quot;* #,##0_);[Red]_(&quot;$&quot;* \(#,##0\);_(&quot;$&quot;* &quot;-&quot;_);_(@_)"/>
    <numFmt numFmtId="169" formatCode="0.000%"/>
    <numFmt numFmtId="170" formatCode="_(&quot;$&quot;* #,##0.00_);_(&quot;$&quot;* \(#,##0.00\);_(&quot;$&quot;* &quot;-&quot;_);_(@_)"/>
    <numFmt numFmtId="171" formatCode="_(&quot;$&quot;* #,##0.00000_);_(&quot;$&quot;* \(#,##0.00000\);_(&quot;$&quot;* &quot;-&quot;?????_);_(@_)"/>
    <numFmt numFmtId="172" formatCode="0.000000"/>
    <numFmt numFmtId="173" formatCode="&quot;$ &quot;#,##0.00;&quot;$ -&quot;#,##0.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11"/>
      <color rgb="FF008080"/>
      <name val="Calibri"/>
      <family val="2"/>
      <scheme val="minor"/>
    </font>
    <font>
      <sz val="11"/>
      <name val="Calibri"/>
      <family val="2"/>
      <scheme val="minor"/>
    </font>
    <font>
      <sz val="11"/>
      <color theme="1"/>
      <name val="Times New Roman"/>
      <family val="1"/>
    </font>
    <font>
      <b/>
      <sz val="12"/>
      <color theme="1"/>
      <name val="Times New Roman"/>
      <family val="1"/>
    </font>
    <font>
      <sz val="10"/>
      <color theme="1"/>
      <name val="Times New Roman"/>
      <family val="1"/>
    </font>
    <font>
      <sz val="11"/>
      <color rgb="FF0000FF"/>
      <name val="Calibri"/>
      <family val="2"/>
      <scheme val="minor"/>
    </font>
    <font>
      <b/>
      <u/>
      <sz val="11"/>
      <color theme="1"/>
      <name val="Calibri"/>
      <family val="2"/>
      <scheme val="minor"/>
    </font>
    <font>
      <b/>
      <sz val="11"/>
      <color theme="1"/>
      <name val="Calibri"/>
      <family val="2"/>
      <scheme val="minor"/>
    </font>
    <font>
      <b/>
      <u/>
      <vertAlign val="superscript"/>
      <sz val="11"/>
      <color theme="1"/>
      <name val="Calibri"/>
      <family val="2"/>
      <scheme val="minor"/>
    </font>
    <font>
      <b/>
      <u/>
      <sz val="11"/>
      <color rgb="FF0000FF"/>
      <name val="Calibri"/>
      <family val="2"/>
      <scheme val="minor"/>
    </font>
    <font>
      <b/>
      <sz val="14"/>
      <color theme="1"/>
      <name val="Times New Roman"/>
      <family val="1"/>
    </font>
    <font>
      <sz val="8"/>
      <color rgb="FFFF0066"/>
      <name val="Times New Roman"/>
      <family val="1"/>
    </font>
    <font>
      <vertAlign val="superscript"/>
      <sz val="11"/>
      <color theme="1"/>
      <name val="Calibri"/>
      <family val="2"/>
    </font>
    <font>
      <u/>
      <sz val="11"/>
      <name val="Calibri"/>
      <family val="2"/>
    </font>
    <font>
      <b/>
      <sz val="11"/>
      <name val="Calibri"/>
      <family val="2"/>
    </font>
    <font>
      <sz val="11"/>
      <name val="Calibri"/>
      <family val="2"/>
    </font>
    <font>
      <vertAlign val="superscript"/>
      <sz val="11"/>
      <name val="Calibri"/>
      <family val="2"/>
      <scheme val="minor"/>
    </font>
    <font>
      <sz val="11"/>
      <color indexed="12"/>
      <name val="Calibri"/>
      <family val="2"/>
      <scheme val="minor"/>
    </font>
    <font>
      <b/>
      <sz val="11"/>
      <name val="Calibri"/>
      <family val="2"/>
      <scheme val="minor"/>
    </font>
    <font>
      <sz val="10"/>
      <name val="Calibri"/>
      <family val="2"/>
      <scheme val="minor"/>
    </font>
    <font>
      <vertAlign val="superscript"/>
      <sz val="10"/>
      <name val="Calibri"/>
      <family val="2"/>
      <scheme val="minor"/>
    </font>
    <font>
      <b/>
      <sz val="12"/>
      <color rgb="FF0000FF"/>
      <name val="Times New Roman"/>
      <family val="1"/>
    </font>
    <font>
      <b/>
      <sz val="11"/>
      <color theme="1"/>
      <name val="Times New Roman"/>
      <family val="1"/>
    </font>
    <font>
      <sz val="8"/>
      <color theme="1"/>
      <name val="Times New Roman"/>
      <family val="1"/>
    </font>
    <font>
      <sz val="11"/>
      <color theme="0" tint="-0.249977111117893"/>
      <name val="Times New Roman"/>
      <family val="1"/>
    </font>
    <font>
      <sz val="11"/>
      <color theme="0" tint="-0.249977111117893"/>
      <name val="Calibri"/>
      <family val="2"/>
      <scheme val="minor"/>
    </font>
    <font>
      <sz val="11"/>
      <color rgb="FF006666"/>
      <name val="Calibri"/>
      <family val="2"/>
      <scheme val="minor"/>
    </font>
    <font>
      <sz val="11"/>
      <color indexed="8"/>
      <name val="Calibri"/>
      <family val="2"/>
      <scheme val="minor"/>
    </font>
    <font>
      <b/>
      <i/>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59999389629810485"/>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Dot">
        <color auto="1"/>
      </top>
      <bottom/>
      <diagonal/>
    </border>
  </borders>
  <cellStyleXfs count="1">
    <xf numFmtId="0" fontId="0" fillId="0" borderId="0"/>
  </cellStyleXfs>
  <cellXfs count="312">
    <xf numFmtId="0" fontId="0" fillId="0" borderId="0" xfId="0"/>
    <xf numFmtId="0" fontId="1" fillId="0" borderId="0" xfId="0" applyFont="1"/>
    <xf numFmtId="0" fontId="1" fillId="0" borderId="0" xfId="0" applyFont="1" applyAlignment="1">
      <alignment horizontal="centerContinuous"/>
    </xf>
    <xf numFmtId="0" fontId="1" fillId="0"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Fill="1" applyAlignment="1">
      <alignment horizontal="center"/>
    </xf>
    <xf numFmtId="164" fontId="4" fillId="0" borderId="0" xfId="0" applyNumberFormat="1" applyFont="1" applyFill="1"/>
    <xf numFmtId="165" fontId="5" fillId="0" borderId="0" xfId="0" applyNumberFormat="1" applyFont="1"/>
    <xf numFmtId="42" fontId="1" fillId="0" borderId="0" xfId="0" applyNumberFormat="1" applyFont="1"/>
    <xf numFmtId="166" fontId="1" fillId="0" borderId="0" xfId="0" applyNumberFormat="1" applyFont="1" applyFill="1"/>
    <xf numFmtId="44" fontId="1" fillId="0" borderId="0" xfId="0" applyNumberFormat="1" applyFont="1" applyFill="1"/>
    <xf numFmtId="42" fontId="1" fillId="0" borderId="2" xfId="0" applyNumberFormat="1" applyFont="1" applyBorder="1"/>
    <xf numFmtId="42" fontId="1" fillId="0" borderId="0" xfId="0" applyNumberFormat="1" applyFont="1" applyBorder="1"/>
    <xf numFmtId="165" fontId="1" fillId="0" borderId="0" xfId="0" applyNumberFormat="1" applyFont="1"/>
    <xf numFmtId="42" fontId="4" fillId="0" borderId="0" xfId="0" applyNumberFormat="1" applyFont="1" applyFill="1"/>
    <xf numFmtId="42" fontId="2" fillId="0" borderId="0" xfId="0" applyNumberFormat="1" applyFont="1"/>
    <xf numFmtId="0" fontId="1" fillId="0" borderId="0" xfId="0" applyFont="1" applyFill="1"/>
    <xf numFmtId="3" fontId="1" fillId="0" borderId="0" xfId="0" applyNumberFormat="1" applyFont="1" applyFill="1"/>
    <xf numFmtId="164" fontId="1" fillId="0" borderId="2" xfId="0" applyNumberFormat="1" applyFont="1" applyFill="1" applyBorder="1"/>
    <xf numFmtId="165" fontId="1" fillId="0" borderId="2" xfId="0" applyNumberFormat="1" applyFont="1" applyBorder="1"/>
    <xf numFmtId="164" fontId="1" fillId="0" borderId="0" xfId="0" applyNumberFormat="1" applyFont="1" applyFill="1"/>
    <xf numFmtId="0" fontId="0" fillId="0" borderId="0" xfId="0" applyFont="1" applyFill="1" applyBorder="1" applyAlignment="1">
      <alignment horizontal="center"/>
    </xf>
    <xf numFmtId="0" fontId="0" fillId="0" borderId="0" xfId="0" applyFont="1" applyFill="1" applyAlignment="1">
      <alignment horizontal="center"/>
    </xf>
    <xf numFmtId="0" fontId="6" fillId="0" borderId="0" xfId="0" applyFont="1"/>
    <xf numFmtId="0" fontId="7" fillId="0" borderId="0" xfId="0" applyFont="1" applyAlignment="1">
      <alignment horizontal="centerContinuous"/>
    </xf>
    <xf numFmtId="0" fontId="6" fillId="0" borderId="0" xfId="0" applyFont="1" applyAlignment="1">
      <alignment horizontal="centerContinuous"/>
    </xf>
    <xf numFmtId="168" fontId="6" fillId="0" borderId="0" xfId="0" applyNumberFormat="1" applyFont="1" applyFill="1" applyAlignment="1" applyProtection="1">
      <alignment horizontal="left"/>
    </xf>
    <xf numFmtId="9" fontId="8" fillId="0" borderId="0" xfId="0" applyNumberFormat="1" applyFont="1" applyFill="1" applyAlignment="1"/>
    <xf numFmtId="168" fontId="8" fillId="0" borderId="0" xfId="0" applyNumberFormat="1" applyFont="1" applyFill="1" applyAlignment="1" applyProtection="1">
      <alignment horizontal="left"/>
    </xf>
    <xf numFmtId="0" fontId="0" fillId="0" borderId="0" xfId="0" applyFont="1"/>
    <xf numFmtId="0" fontId="0" fillId="0" borderId="0" xfId="0" applyFont="1" applyFill="1" applyAlignment="1">
      <alignment horizontal="centerContinuous"/>
    </xf>
    <xf numFmtId="0" fontId="0" fillId="0" borderId="0" xfId="0" applyFont="1" applyFill="1"/>
    <xf numFmtId="0" fontId="0" fillId="0" borderId="0" xfId="0" applyFont="1" applyFill="1" applyAlignment="1">
      <alignment horizontal="left"/>
    </xf>
    <xf numFmtId="0" fontId="0" fillId="0" borderId="1" xfId="0" applyFont="1" applyFill="1" applyBorder="1"/>
    <xf numFmtId="17" fontId="9" fillId="0" borderId="1" xfId="0" applyNumberFormat="1" applyFont="1" applyFill="1" applyBorder="1" applyAlignment="1">
      <alignment horizontal="center"/>
    </xf>
    <xf numFmtId="17" fontId="0" fillId="0" borderId="1" xfId="0" applyNumberFormat="1" applyFont="1" applyFill="1" applyBorder="1" applyAlignment="1">
      <alignment horizontal="center"/>
    </xf>
    <xf numFmtId="0" fontId="0" fillId="0" borderId="1" xfId="0" applyFont="1" applyFill="1" applyBorder="1" applyAlignment="1">
      <alignment horizontal="center"/>
    </xf>
    <xf numFmtId="3" fontId="9" fillId="0" borderId="0" xfId="0" applyNumberFormat="1" applyFont="1" applyFill="1"/>
    <xf numFmtId="3" fontId="0" fillId="0" borderId="0" xfId="0" applyNumberFormat="1" applyFont="1" applyFill="1"/>
    <xf numFmtId="0" fontId="0" fillId="0" borderId="1" xfId="0" applyFont="1" applyFill="1" applyBorder="1" applyAlignment="1">
      <alignment horizontal="left"/>
    </xf>
    <xf numFmtId="0" fontId="0" fillId="0" borderId="0" xfId="0" applyFont="1" applyAlignment="1">
      <alignment horizontal="left"/>
    </xf>
    <xf numFmtId="3" fontId="0" fillId="0" borderId="2" xfId="0" applyNumberFormat="1" applyFont="1" applyBorder="1"/>
    <xf numFmtId="3" fontId="0" fillId="0" borderId="0" xfId="0" applyNumberFormat="1" applyFont="1"/>
    <xf numFmtId="0" fontId="10" fillId="0" borderId="0" xfId="0" applyFont="1" applyFill="1" applyAlignment="1">
      <alignment horizontal="left"/>
    </xf>
    <xf numFmtId="3"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169" fontId="5" fillId="0" borderId="0" xfId="0" applyNumberFormat="1" applyFont="1"/>
    <xf numFmtId="0" fontId="0" fillId="0" borderId="0" xfId="0" applyFont="1" applyAlignment="1">
      <alignment horizontal="centerContinuous"/>
    </xf>
    <xf numFmtId="0" fontId="0" fillId="0" borderId="0" xfId="0" applyFont="1" applyBorder="1" applyAlignment="1">
      <alignment horizontal="center"/>
    </xf>
    <xf numFmtId="0" fontId="0" fillId="0" borderId="1" xfId="0" applyFont="1" applyBorder="1" applyAlignment="1">
      <alignment horizontal="center"/>
    </xf>
    <xf numFmtId="42" fontId="0" fillId="0" borderId="0" xfId="0" applyNumberFormat="1" applyFont="1"/>
    <xf numFmtId="44" fontId="0" fillId="0" borderId="0" xfId="0" applyNumberFormat="1" applyFont="1" applyFill="1"/>
    <xf numFmtId="44" fontId="0" fillId="0" borderId="0" xfId="0" applyNumberFormat="1" applyFont="1"/>
    <xf numFmtId="164" fontId="0" fillId="0" borderId="2" xfId="0" applyNumberFormat="1" applyFont="1" applyFill="1" applyBorder="1"/>
    <xf numFmtId="165" fontId="0" fillId="0" borderId="2" xfId="0" applyNumberFormat="1" applyFont="1" applyBorder="1"/>
    <xf numFmtId="42" fontId="0" fillId="0" borderId="2" xfId="0" applyNumberFormat="1" applyFont="1" applyBorder="1"/>
    <xf numFmtId="164" fontId="0" fillId="0" borderId="2" xfId="0" applyNumberFormat="1" applyFont="1" applyBorder="1"/>
    <xf numFmtId="165" fontId="0" fillId="0" borderId="0" xfId="0" applyNumberFormat="1" applyFont="1"/>
    <xf numFmtId="44" fontId="0" fillId="0" borderId="2" xfId="0" applyNumberFormat="1" applyFont="1" applyFill="1" applyBorder="1"/>
    <xf numFmtId="166"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0" fontId="0" fillId="0" borderId="0" xfId="0" applyFont="1" applyFill="1" applyAlignment="1">
      <alignment horizontal="center"/>
    </xf>
    <xf numFmtId="3" fontId="0" fillId="0" borderId="0" xfId="0" applyNumberFormat="1" applyFont="1" applyFill="1" applyBorder="1" applyAlignment="1">
      <alignment horizontal="center"/>
    </xf>
    <xf numFmtId="3" fontId="4" fillId="0" borderId="0" xfId="0" applyNumberFormat="1" applyFont="1" applyFill="1" applyAlignment="1">
      <alignment horizontal="center"/>
    </xf>
    <xf numFmtId="10" fontId="0" fillId="0" borderId="0" xfId="0" applyNumberFormat="1" applyFont="1" applyFill="1" applyAlignment="1">
      <alignment horizontal="center"/>
    </xf>
    <xf numFmtId="10" fontId="0" fillId="0" borderId="0" xfId="0" applyNumberFormat="1" applyFont="1" applyFill="1" applyBorder="1" applyAlignment="1">
      <alignment horizontal="center"/>
    </xf>
    <xf numFmtId="0" fontId="11" fillId="0" borderId="0" xfId="0" applyFont="1"/>
    <xf numFmtId="44" fontId="0" fillId="0" borderId="0" xfId="0" applyNumberFormat="1" applyFont="1" applyFill="1" applyAlignment="1">
      <alignment horizontal="center"/>
    </xf>
    <xf numFmtId="44" fontId="0" fillId="0" borderId="0" xfId="0" applyNumberFormat="1" applyFont="1" applyFill="1" applyBorder="1" applyAlignment="1">
      <alignment horizontal="center"/>
    </xf>
    <xf numFmtId="44" fontId="0" fillId="0" borderId="0" xfId="0" applyNumberFormat="1" applyFont="1"/>
    <xf numFmtId="167" fontId="4" fillId="0" borderId="0" xfId="0" applyNumberFormat="1" applyFont="1"/>
    <xf numFmtId="42" fontId="0" fillId="0" borderId="2" xfId="0" applyNumberFormat="1" applyFont="1" applyFill="1" applyBorder="1"/>
    <xf numFmtId="44" fontId="4" fillId="0" borderId="0" xfId="0" applyNumberFormat="1" applyFont="1" applyFill="1" applyBorder="1" applyAlignment="1">
      <alignment horizontal="center"/>
    </xf>
    <xf numFmtId="167" fontId="4" fillId="0" borderId="0" xfId="0" applyNumberFormat="1" applyFont="1"/>
    <xf numFmtId="0" fontId="9" fillId="0" borderId="1" xfId="0" applyFont="1" applyFill="1" applyBorder="1" applyAlignment="1">
      <alignment horizontal="center"/>
    </xf>
    <xf numFmtId="0" fontId="0" fillId="0" borderId="0" xfId="0" applyFont="1" applyFill="1" applyBorder="1" applyAlignment="1">
      <alignment horizontal="left"/>
    </xf>
    <xf numFmtId="0" fontId="10" fillId="0" borderId="0" xfId="0" applyFont="1" applyFill="1" applyBorder="1" applyAlignment="1">
      <alignment horizontal="left"/>
    </xf>
    <xf numFmtId="0" fontId="0" fillId="0" borderId="0" xfId="0" applyFont="1" applyAlignment="1">
      <alignment horizontal="center"/>
    </xf>
    <xf numFmtId="0" fontId="0" fillId="0" borderId="0" xfId="0" applyFont="1" applyAlignment="1">
      <alignment horizontal="center"/>
    </xf>
    <xf numFmtId="0" fontId="2" fillId="0" borderId="0" xfId="0" applyFont="1"/>
    <xf numFmtId="0" fontId="13" fillId="0" borderId="0" xfId="0" applyFont="1" applyFill="1" applyAlignment="1">
      <alignment horizontal="left"/>
    </xf>
    <xf numFmtId="0" fontId="9" fillId="0" borderId="0" xfId="0" applyFont="1" applyAlignment="1">
      <alignment horizontal="center"/>
    </xf>
    <xf numFmtId="0" fontId="0" fillId="0" borderId="0" xfId="0" applyFont="1" applyAlignment="1">
      <alignment vertical="top" wrapText="1"/>
    </xf>
    <xf numFmtId="0" fontId="2" fillId="0" borderId="0" xfId="0" applyFont="1" applyAlignment="1">
      <alignment horizontal="left"/>
    </xf>
    <xf numFmtId="43" fontId="2" fillId="0" borderId="0" xfId="0" applyNumberFormat="1" applyFont="1" applyBorder="1"/>
    <xf numFmtId="0" fontId="14" fillId="0" borderId="0" xfId="0" applyFont="1"/>
    <xf numFmtId="0" fontId="7" fillId="0" borderId="0" xfId="0" applyFont="1"/>
    <xf numFmtId="0" fontId="15" fillId="0" borderId="0" xfId="0" applyFont="1" applyAlignment="1">
      <alignment horizontal="right"/>
    </xf>
    <xf numFmtId="5" fontId="15" fillId="0" borderId="0" xfId="0" applyNumberFormat="1" applyFont="1"/>
    <xf numFmtId="37" fontId="6" fillId="0" borderId="2" xfId="0" applyNumberFormat="1" applyFont="1" applyFill="1" applyBorder="1"/>
    <xf numFmtId="37" fontId="6" fillId="0" borderId="0" xfId="0" applyNumberFormat="1" applyFont="1" applyFill="1"/>
    <xf numFmtId="5" fontId="6" fillId="0" borderId="3" xfId="0" applyNumberFormat="1" applyFont="1" applyFill="1" applyBorder="1"/>
    <xf numFmtId="0" fontId="0" fillId="0" borderId="0" xfId="0" applyFont="1" applyAlignment="1">
      <alignment horizontal="center"/>
    </xf>
    <xf numFmtId="0" fontId="0" fillId="0" borderId="0" xfId="0" applyBorder="1" applyAlignment="1">
      <alignment horizontal="center"/>
    </xf>
    <xf numFmtId="0" fontId="9" fillId="0" borderId="0" xfId="0" applyFont="1" applyBorder="1" applyAlignment="1">
      <alignment horizontal="center"/>
    </xf>
    <xf numFmtId="0" fontId="9" fillId="0" borderId="1" xfId="0" quotePrefix="1" applyFont="1" applyFill="1" applyBorder="1" applyAlignment="1">
      <alignment horizontal="center"/>
    </xf>
    <xf numFmtId="3" fontId="0" fillId="0" borderId="0" xfId="0" applyNumberFormat="1" applyBorder="1" applyAlignment="1">
      <alignment horizontal="center"/>
    </xf>
    <xf numFmtId="42" fontId="0" fillId="0" borderId="0" xfId="0" applyNumberFormat="1" applyBorder="1" applyAlignment="1">
      <alignment horizontal="center"/>
    </xf>
    <xf numFmtId="42" fontId="0" fillId="0" borderId="0" xfId="0" applyNumberFormat="1" applyFont="1" applyBorder="1" applyAlignment="1">
      <alignment horizontal="center"/>
    </xf>
    <xf numFmtId="42" fontId="4" fillId="0" borderId="0" xfId="0" applyNumberFormat="1" applyFont="1"/>
    <xf numFmtId="166" fontId="0" fillId="0" borderId="0" xfId="0" applyNumberFormat="1"/>
    <xf numFmtId="42" fontId="0" fillId="0" borderId="0" xfId="0" applyNumberFormat="1"/>
    <xf numFmtId="42" fontId="5" fillId="0" borderId="0" xfId="0" applyNumberFormat="1" applyFont="1"/>
    <xf numFmtId="42" fontId="9" fillId="0" borderId="0" xfId="0" applyNumberFormat="1" applyFont="1"/>
    <xf numFmtId="166" fontId="0" fillId="0" borderId="1" xfId="0" applyNumberFormat="1" applyBorder="1"/>
    <xf numFmtId="3" fontId="0" fillId="0" borderId="2" xfId="0" applyNumberFormat="1" applyBorder="1"/>
    <xf numFmtId="42" fontId="0" fillId="0" borderId="2" xfId="0" applyNumberFormat="1" applyBorder="1"/>
    <xf numFmtId="42" fontId="5" fillId="0" borderId="2" xfId="0" applyNumberFormat="1" applyFont="1" applyBorder="1"/>
    <xf numFmtId="3" fontId="0" fillId="0" borderId="0" xfId="0" applyNumberFormat="1"/>
    <xf numFmtId="10" fontId="0" fillId="0" borderId="0" xfId="0" applyNumberFormat="1"/>
    <xf numFmtId="0" fontId="17" fillId="0" borderId="0" xfId="0" applyFont="1" applyBorder="1" applyAlignment="1">
      <alignment horizontal="left"/>
    </xf>
    <xf numFmtId="0" fontId="18" fillId="0" borderId="0" xfId="0" applyFont="1" applyAlignment="1">
      <alignment horizontal="left"/>
    </xf>
    <xf numFmtId="3" fontId="19" fillId="0" borderId="0" xfId="0" applyNumberFormat="1" applyFont="1" applyBorder="1"/>
    <xf numFmtId="42" fontId="19" fillId="0" borderId="0" xfId="0" applyNumberFormat="1" applyFont="1" applyBorder="1"/>
    <xf numFmtId="0" fontId="19" fillId="0" borderId="0" xfId="0" applyFont="1"/>
    <xf numFmtId="42" fontId="19" fillId="0" borderId="0" xfId="0" applyNumberFormat="1" applyFont="1"/>
    <xf numFmtId="10" fontId="19" fillId="0" borderId="0" xfId="0" applyNumberFormat="1" applyFont="1"/>
    <xf numFmtId="0" fontId="19" fillId="0" borderId="0" xfId="0" applyFont="1" applyAlignment="1">
      <alignment horizontal="left"/>
    </xf>
    <xf numFmtId="0" fontId="19" fillId="0" borderId="0" xfId="0" applyFont="1" applyAlignment="1">
      <alignment horizontal="center"/>
    </xf>
    <xf numFmtId="164" fontId="19" fillId="0" borderId="0" xfId="0" applyNumberFormat="1" applyFont="1" applyFill="1"/>
    <xf numFmtId="167" fontId="19" fillId="0" borderId="0" xfId="0" applyNumberFormat="1" applyFont="1" applyFill="1"/>
    <xf numFmtId="0" fontId="19" fillId="0" borderId="0" xfId="0" applyFont="1" applyFill="1" applyBorder="1" applyAlignment="1">
      <alignment horizontal="left"/>
    </xf>
    <xf numFmtId="0" fontId="19" fillId="0" borderId="0" xfId="0" applyFont="1" applyBorder="1" applyAlignment="1">
      <alignment horizontal="left"/>
    </xf>
    <xf numFmtId="164" fontId="19" fillId="0" borderId="2" xfId="0" applyNumberFormat="1" applyFont="1" applyFill="1" applyBorder="1"/>
    <xf numFmtId="167" fontId="19" fillId="0" borderId="2" xfId="0" applyNumberFormat="1" applyFont="1" applyFill="1" applyBorder="1"/>
    <xf numFmtId="166" fontId="0" fillId="0" borderId="2" xfId="0" applyNumberFormat="1" applyBorder="1"/>
    <xf numFmtId="0" fontId="19" fillId="0" borderId="0" xfId="0" applyFont="1" applyFill="1"/>
    <xf numFmtId="0" fontId="19" fillId="0" borderId="0" xfId="0" applyFont="1" applyBorder="1"/>
    <xf numFmtId="44" fontId="19" fillId="0" borderId="0" xfId="0" applyNumberFormat="1" applyFont="1"/>
    <xf numFmtId="0" fontId="5" fillId="0" borderId="0" xfId="0" applyFont="1" applyFill="1" applyAlignment="1">
      <alignment horizontal="centerContinuous"/>
    </xf>
    <xf numFmtId="0" fontId="5" fillId="0" borderId="0" xfId="0" applyFont="1"/>
    <xf numFmtId="0" fontId="5" fillId="0" borderId="0" xfId="0" applyFont="1" applyAlignment="1">
      <alignment horizontal="centerContinuous"/>
    </xf>
    <xf numFmtId="0" fontId="5" fillId="0" borderId="0" xfId="0" applyFont="1" applyBorder="1"/>
    <xf numFmtId="0" fontId="5" fillId="0" borderId="0" xfId="0" applyFont="1" applyBorder="1" applyAlignment="1">
      <alignment horizontal="centerContinuous"/>
    </xf>
    <xf numFmtId="0" fontId="5" fillId="0" borderId="1" xfId="0" applyFont="1" applyBorder="1" applyAlignment="1">
      <alignment horizontal="centerContinuous"/>
    </xf>
    <xf numFmtId="0" fontId="5" fillId="0" borderId="0" xfId="0" applyFont="1" applyBorder="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21" fillId="0" borderId="0" xfId="0" applyFont="1"/>
    <xf numFmtId="170" fontId="5" fillId="0" borderId="0" xfId="0" applyNumberFormat="1" applyFont="1"/>
    <xf numFmtId="0" fontId="21" fillId="0" borderId="0" xfId="0" applyFont="1" applyBorder="1"/>
    <xf numFmtId="44" fontId="4" fillId="0" borderId="0" xfId="0" applyNumberFormat="1" applyFont="1"/>
    <xf numFmtId="44" fontId="21" fillId="0" borderId="0" xfId="0" applyNumberFormat="1" applyFont="1" applyBorder="1"/>
    <xf numFmtId="44" fontId="5" fillId="0" borderId="0" xfId="0" applyNumberFormat="1" applyFont="1"/>
    <xf numFmtId="44" fontId="5" fillId="0" borderId="2" xfId="0" applyNumberFormat="1" applyFont="1" applyBorder="1"/>
    <xf numFmtId="44" fontId="5" fillId="0" borderId="0" xfId="0" applyNumberFormat="1" applyFont="1" applyBorder="1"/>
    <xf numFmtId="171" fontId="21" fillId="0" borderId="0" xfId="0" applyNumberFormat="1" applyFont="1" applyBorder="1"/>
    <xf numFmtId="171" fontId="5" fillId="0" borderId="0" xfId="0" applyNumberFormat="1" applyFont="1"/>
    <xf numFmtId="171" fontId="0" fillId="0" borderId="0" xfId="0" applyNumberFormat="1" applyFont="1"/>
    <xf numFmtId="171" fontId="5" fillId="0" borderId="2" xfId="0" applyNumberFormat="1" applyFont="1" applyBorder="1"/>
    <xf numFmtId="170" fontId="5" fillId="0" borderId="2" xfId="0" applyNumberFormat="1" applyFont="1" applyBorder="1"/>
    <xf numFmtId="171" fontId="5" fillId="0" borderId="0" xfId="0" applyNumberFormat="1" applyFont="1" applyBorder="1"/>
    <xf numFmtId="165" fontId="5" fillId="0" borderId="0" xfId="0" applyNumberFormat="1" applyFont="1" applyBorder="1"/>
    <xf numFmtId="10" fontId="5" fillId="0" borderId="0" xfId="0" applyNumberFormat="1" applyFont="1"/>
    <xf numFmtId="0" fontId="5" fillId="0" borderId="0" xfId="0" applyFont="1" applyFill="1" applyAlignment="1"/>
    <xf numFmtId="0" fontId="5" fillId="0" borderId="0" xfId="0" applyFont="1" applyAlignment="1"/>
    <xf numFmtId="0" fontId="22" fillId="0" borderId="0" xfId="0" applyFont="1" applyAlignment="1">
      <alignment horizontal="centerContinuous"/>
    </xf>
    <xf numFmtId="0" fontId="22" fillId="0" borderId="0" xfId="0" applyFont="1"/>
    <xf numFmtId="0" fontId="0" fillId="0" borderId="0" xfId="0" applyFont="1" applyBorder="1"/>
    <xf numFmtId="0" fontId="11" fillId="0" borderId="0" xfId="0" applyFont="1" applyBorder="1" applyAlignment="1">
      <alignment horizontal="center"/>
    </xf>
    <xf numFmtId="166" fontId="9" fillId="0" borderId="0" xfId="0" applyNumberFormat="1" applyFont="1"/>
    <xf numFmtId="166" fontId="0" fillId="0" borderId="0" xfId="0" applyNumberFormat="1" applyFont="1"/>
    <xf numFmtId="166" fontId="4" fillId="0" borderId="0" xfId="0" applyNumberFormat="1" applyFont="1"/>
    <xf numFmtId="42" fontId="11" fillId="0" borderId="0" xfId="0" applyNumberFormat="1" applyFont="1" applyBorder="1" applyAlignment="1">
      <alignment horizontal="center"/>
    </xf>
    <xf numFmtId="3" fontId="0" fillId="0" borderId="0" xfId="0" applyNumberFormat="1" applyFont="1" applyBorder="1"/>
    <xf numFmtId="0" fontId="0" fillId="0" borderId="0" xfId="0" quotePrefix="1" applyFont="1"/>
    <xf numFmtId="0" fontId="3" fillId="0" borderId="0" xfId="0" applyFont="1"/>
    <xf numFmtId="0" fontId="10" fillId="0" borderId="0" xfId="0" applyFont="1"/>
    <xf numFmtId="44" fontId="9" fillId="0" borderId="0" xfId="0" applyNumberFormat="1" applyFont="1"/>
    <xf numFmtId="0" fontId="11" fillId="0" borderId="5" xfId="0" applyFont="1" applyBorder="1"/>
    <xf numFmtId="42" fontId="11" fillId="0" borderId="5" xfId="0" applyNumberFormat="1" applyFont="1" applyBorder="1"/>
    <xf numFmtId="3" fontId="9" fillId="0" borderId="0" xfId="0" applyNumberFormat="1" applyFont="1"/>
    <xf numFmtId="171" fontId="9" fillId="0" borderId="0" xfId="0" applyNumberFormat="1" applyFont="1" applyFill="1"/>
    <xf numFmtId="0" fontId="0" fillId="0" borderId="0" xfId="0" applyFont="1" applyAlignment="1">
      <alignment horizontal="center"/>
    </xf>
    <xf numFmtId="17" fontId="9" fillId="0" borderId="0" xfId="0" applyNumberFormat="1" applyFont="1" applyFill="1" applyBorder="1" applyAlignment="1">
      <alignment horizontal="center"/>
    </xf>
    <xf numFmtId="17" fontId="0" fillId="0" borderId="0" xfId="0" applyNumberFormat="1" applyFont="1" applyFill="1" applyBorder="1" applyAlignment="1">
      <alignment horizontal="center"/>
    </xf>
    <xf numFmtId="5" fontId="0" fillId="0" borderId="0" xfId="0" applyNumberFormat="1"/>
    <xf numFmtId="0" fontId="0" fillId="0" borderId="0" xfId="0" applyBorder="1"/>
    <xf numFmtId="164" fontId="4" fillId="0" borderId="0" xfId="0" applyNumberFormat="1" applyFont="1"/>
    <xf numFmtId="171" fontId="4" fillId="0" borderId="0" xfId="0" applyNumberFormat="1" applyFont="1" applyFill="1"/>
    <xf numFmtId="0" fontId="0" fillId="0" borderId="0" xfId="0" applyFont="1" applyAlignment="1">
      <alignment vertical="top"/>
    </xf>
    <xf numFmtId="0" fontId="0" fillId="0" borderId="0" xfId="0" applyFont="1" applyAlignment="1">
      <alignment horizontal="center"/>
    </xf>
    <xf numFmtId="0" fontId="1" fillId="0" borderId="0" xfId="0" applyFont="1" applyAlignment="1">
      <alignment horizontal="center"/>
    </xf>
    <xf numFmtId="0" fontId="0" fillId="0" borderId="0" xfId="0" applyFont="1" applyAlignment="1">
      <alignment horizontal="center"/>
    </xf>
    <xf numFmtId="0" fontId="23" fillId="0" borderId="0" xfId="0" applyFont="1" applyFill="1" applyAlignment="1">
      <alignment vertical="top" wrapText="1"/>
    </xf>
    <xf numFmtId="0" fontId="11" fillId="0" borderId="0" xfId="0" applyFont="1" applyAlignment="1">
      <alignment horizontal="centerContinuous"/>
    </xf>
    <xf numFmtId="42" fontId="0" fillId="0" borderId="0" xfId="0" applyNumberFormat="1" applyFont="1" applyFill="1" applyBorder="1"/>
    <xf numFmtId="0" fontId="0" fillId="0" borderId="0" xfId="0" applyFont="1" applyAlignment="1">
      <alignment horizontal="center"/>
    </xf>
    <xf numFmtId="0" fontId="0" fillId="0" borderId="0" xfId="0" applyFont="1" applyFill="1" applyAlignment="1">
      <alignment horizontal="center"/>
    </xf>
    <xf numFmtId="0" fontId="25" fillId="0" borderId="0" xfId="0" applyFont="1" applyAlignment="1">
      <alignment horizontal="left"/>
    </xf>
    <xf numFmtId="0" fontId="26" fillId="0" borderId="0" xfId="0" applyFont="1" applyFill="1" applyAlignment="1">
      <alignment horizontal="center" wrapText="1"/>
    </xf>
    <xf numFmtId="0" fontId="25" fillId="2" borderId="0" xfId="0" applyFont="1" applyFill="1" applyAlignment="1">
      <alignment horizontal="center" wrapText="1"/>
    </xf>
    <xf numFmtId="37" fontId="6" fillId="2" borderId="0" xfId="0" applyNumberFormat="1" applyFont="1" applyFill="1"/>
    <xf numFmtId="37" fontId="6" fillId="2" borderId="2" xfId="0" applyNumberFormat="1" applyFont="1" applyFill="1" applyBorder="1"/>
    <xf numFmtId="0" fontId="27" fillId="0" borderId="0" xfId="0" applyFont="1" applyFill="1"/>
    <xf numFmtId="172" fontId="27" fillId="0" borderId="0" xfId="0" applyNumberFormat="1" applyFont="1" applyFill="1"/>
    <xf numFmtId="0" fontId="27" fillId="2" borderId="0" xfId="0" applyFont="1" applyFill="1"/>
    <xf numFmtId="5" fontId="6" fillId="2" borderId="3" xfId="0" applyNumberFormat="1" applyFont="1" applyFill="1" applyBorder="1"/>
    <xf numFmtId="0" fontId="0" fillId="2" borderId="0" xfId="0" applyFill="1"/>
    <xf numFmtId="7" fontId="15" fillId="0" borderId="0" xfId="0" applyNumberFormat="1" applyFont="1"/>
    <xf numFmtId="167" fontId="6" fillId="0" borderId="2" xfId="0" applyNumberFormat="1" applyFont="1" applyFill="1" applyBorder="1"/>
    <xf numFmtId="167" fontId="6" fillId="2" borderId="2" xfId="0" applyNumberFormat="1" applyFont="1" applyFill="1" applyBorder="1"/>
    <xf numFmtId="5" fontId="26" fillId="0" borderId="3" xfId="0" applyNumberFormat="1" applyFont="1" applyFill="1" applyBorder="1"/>
    <xf numFmtId="5" fontId="26" fillId="2" borderId="3" xfId="0" applyNumberFormat="1" applyFont="1" applyFill="1" applyBorder="1"/>
    <xf numFmtId="0" fontId="0" fillId="0" borderId="0" xfId="0" applyAlignment="1">
      <alignment horizontal="left" indent="1"/>
    </xf>
    <xf numFmtId="0" fontId="25" fillId="0" borderId="7" xfId="0" applyFont="1" applyBorder="1" applyAlignment="1">
      <alignment horizontal="left"/>
    </xf>
    <xf numFmtId="0" fontId="0" fillId="0" borderId="7" xfId="0" applyBorder="1"/>
    <xf numFmtId="5" fontId="0" fillId="0" borderId="7" xfId="0" applyNumberFormat="1" applyBorder="1"/>
    <xf numFmtId="0" fontId="6" fillId="0" borderId="7" xfId="0" applyFont="1" applyBorder="1" applyAlignment="1">
      <alignment horizontal="center"/>
    </xf>
    <xf numFmtId="167" fontId="6" fillId="2" borderId="7" xfId="0" applyNumberFormat="1" applyFont="1" applyFill="1" applyBorder="1"/>
    <xf numFmtId="0" fontId="25" fillId="0" borderId="0" xfId="0" applyFont="1" applyBorder="1" applyAlignment="1">
      <alignment horizontal="left"/>
    </xf>
    <xf numFmtId="5" fontId="0" fillId="0" borderId="0" xfId="0" applyNumberFormat="1" applyBorder="1"/>
    <xf numFmtId="0" fontId="6" fillId="0" borderId="0" xfId="0" applyFont="1" applyBorder="1" applyAlignment="1">
      <alignment horizontal="center"/>
    </xf>
    <xf numFmtId="167" fontId="6" fillId="2" borderId="0" xfId="0" applyNumberFormat="1" applyFont="1" applyFill="1" applyBorder="1"/>
    <xf numFmtId="168" fontId="6" fillId="0" borderId="0" xfId="0" applyNumberFormat="1" applyFont="1" applyFill="1" applyAlignment="1" applyProtection="1">
      <alignment horizontal="left" indent="1"/>
    </xf>
    <xf numFmtId="167" fontId="26" fillId="2" borderId="3" xfId="0" applyNumberFormat="1" applyFont="1" applyFill="1" applyBorder="1"/>
    <xf numFmtId="37" fontId="28" fillId="0" borderId="0" xfId="0" applyNumberFormat="1" applyFont="1" applyFill="1"/>
    <xf numFmtId="0" fontId="29" fillId="0" borderId="0" xfId="0" applyFont="1" applyAlignment="1">
      <alignment horizontal="right"/>
    </xf>
    <xf numFmtId="44" fontId="0" fillId="0" borderId="0" xfId="0" applyNumberFormat="1" applyFont="1"/>
    <xf numFmtId="164" fontId="0" fillId="0" borderId="0" xfId="0" applyNumberFormat="1" applyFont="1"/>
    <xf numFmtId="44" fontId="0" fillId="0" borderId="0" xfId="0" applyNumberFormat="1" applyFont="1"/>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168" fontId="6" fillId="0" borderId="0" xfId="0" applyNumberFormat="1" applyFont="1" applyFill="1" applyAlignment="1" applyProtection="1">
      <alignment horizontal="left" indent="4"/>
    </xf>
    <xf numFmtId="0" fontId="0" fillId="0" borderId="0" xfId="0" applyAlignment="1">
      <alignment horizontal="centerContinuous"/>
    </xf>
    <xf numFmtId="10" fontId="0" fillId="0" borderId="0" xfId="0" applyNumberFormat="1" applyFont="1"/>
    <xf numFmtId="10" fontId="0" fillId="0" borderId="2" xfId="0" applyNumberFormat="1" applyFont="1" applyBorder="1"/>
    <xf numFmtId="44" fontId="4" fillId="0" borderId="0" xfId="0" applyNumberFormat="1" applyFont="1" applyFill="1"/>
    <xf numFmtId="44" fontId="5" fillId="0" borderId="2" xfId="0" applyNumberFormat="1" applyFont="1" applyFill="1" applyBorder="1"/>
    <xf numFmtId="44" fontId="5" fillId="0" borderId="0" xfId="0" applyNumberFormat="1" applyFont="1" applyFill="1" applyBorder="1"/>
    <xf numFmtId="44" fontId="21" fillId="0" borderId="0" xfId="0" applyNumberFormat="1" applyFont="1" applyFill="1"/>
    <xf numFmtId="0" fontId="5" fillId="0" borderId="0" xfId="0" applyFont="1" applyFill="1"/>
    <xf numFmtId="171" fontId="0" fillId="0" borderId="0" xfId="0" applyNumberFormat="1" applyFont="1" applyFill="1"/>
    <xf numFmtId="171" fontId="5" fillId="0" borderId="2" xfId="0" applyNumberFormat="1" applyFont="1" applyFill="1" applyBorder="1"/>
    <xf numFmtId="171" fontId="5" fillId="0" borderId="0" xfId="0" applyNumberFormat="1" applyFont="1" applyFill="1"/>
    <xf numFmtId="165" fontId="0" fillId="0" borderId="1" xfId="0" applyNumberFormat="1" applyFont="1" applyBorder="1"/>
    <xf numFmtId="42" fontId="0" fillId="0" borderId="0" xfId="0" applyNumberFormat="1" applyFont="1" applyBorder="1"/>
    <xf numFmtId="165" fontId="11" fillId="0" borderId="5" xfId="0" applyNumberFormat="1" applyFont="1" applyBorder="1"/>
    <xf numFmtId="44" fontId="9" fillId="0" borderId="0" xfId="0" applyNumberFormat="1" applyFont="1" applyFill="1"/>
    <xf numFmtId="0" fontId="0" fillId="0" borderId="0" xfId="0" applyFont="1" applyAlignment="1">
      <alignment horizontal="center"/>
    </xf>
    <xf numFmtId="0" fontId="0" fillId="0" borderId="0" xfId="0" applyFont="1" applyFill="1" applyAlignment="1">
      <alignment horizontal="center"/>
    </xf>
    <xf numFmtId="0" fontId="0" fillId="0" borderId="0" xfId="0" applyFont="1" applyAlignment="1"/>
    <xf numFmtId="0" fontId="0" fillId="0" borderId="2" xfId="0" applyFont="1" applyFill="1" applyBorder="1" applyAlignment="1">
      <alignment horizontal="center"/>
    </xf>
    <xf numFmtId="164" fontId="30" fillId="0" borderId="0" xfId="0" applyNumberFormat="1" applyFont="1" applyFill="1"/>
    <xf numFmtId="164" fontId="0" fillId="0" borderId="0" xfId="0" applyNumberFormat="1" applyFont="1" applyFill="1"/>
    <xf numFmtId="164" fontId="0" fillId="0" borderId="0" xfId="0" applyNumberFormat="1" applyFont="1" applyFill="1" applyBorder="1"/>
    <xf numFmtId="0" fontId="31" fillId="0" borderId="0" xfId="0" applyFont="1"/>
    <xf numFmtId="167" fontId="31" fillId="0" borderId="0" xfId="0" applyNumberFormat="1" applyFont="1"/>
    <xf numFmtId="167" fontId="9" fillId="0" borderId="0" xfId="0" applyNumberFormat="1" applyFont="1"/>
    <xf numFmtId="164" fontId="9" fillId="0" borderId="0" xfId="0" applyNumberFormat="1" applyFont="1" applyFill="1"/>
    <xf numFmtId="164" fontId="9" fillId="0" borderId="0" xfId="0" applyNumberFormat="1" applyFont="1"/>
    <xf numFmtId="167" fontId="9" fillId="0" borderId="0" xfId="0" applyNumberFormat="1" applyFont="1"/>
    <xf numFmtId="0" fontId="2" fillId="0" borderId="0" xfId="0" applyFont="1" applyAlignment="1">
      <alignment horizontal="center"/>
    </xf>
    <xf numFmtId="0" fontId="0" fillId="0" borderId="1" xfId="0" applyFont="1" applyBorder="1" applyAlignment="1">
      <alignment horizontal="left"/>
    </xf>
    <xf numFmtId="167" fontId="9" fillId="0" borderId="2" xfId="0" applyNumberFormat="1" applyFont="1" applyBorder="1"/>
    <xf numFmtId="167" fontId="0" fillId="0" borderId="2" xfId="0" applyNumberFormat="1" applyBorder="1"/>
    <xf numFmtId="167" fontId="0" fillId="0" borderId="0" xfId="0" applyNumberFormat="1"/>
    <xf numFmtId="167" fontId="0" fillId="0" borderId="0" xfId="0" applyNumberFormat="1" applyBorder="1"/>
    <xf numFmtId="0" fontId="0" fillId="0" borderId="2" xfId="0" applyFont="1" applyBorder="1" applyAlignment="1">
      <alignment horizontal="center"/>
    </xf>
    <xf numFmtId="167" fontId="0" fillId="0" borderId="2" xfId="0" applyNumberFormat="1" applyFont="1" applyBorder="1"/>
    <xf numFmtId="167" fontId="0" fillId="0" borderId="0" xfId="0" applyNumberFormat="1" applyFont="1"/>
    <xf numFmtId="0" fontId="1" fillId="0" borderId="0" xfId="0" applyFont="1"/>
    <xf numFmtId="0" fontId="1" fillId="3" borderId="0" xfId="0" applyFont="1" applyFill="1"/>
    <xf numFmtId="43" fontId="0" fillId="0" borderId="0" xfId="0" applyNumberFormat="1" applyFont="1"/>
    <xf numFmtId="43" fontId="0" fillId="3" borderId="0" xfId="0" applyNumberFormat="1" applyFont="1" applyFill="1"/>
    <xf numFmtId="0" fontId="1" fillId="0" borderId="0" xfId="0" applyFont="1" applyAlignment="1">
      <alignment horizontal="left"/>
    </xf>
    <xf numFmtId="43" fontId="1" fillId="0" borderId="0" xfId="0" applyNumberFormat="1" applyFont="1"/>
    <xf numFmtId="43" fontId="0" fillId="0" borderId="0" xfId="0" applyNumberFormat="1" applyFont="1" applyFill="1"/>
    <xf numFmtId="0" fontId="1" fillId="4" borderId="0" xfId="0" applyFont="1" applyFill="1"/>
    <xf numFmtId="0" fontId="1" fillId="0" borderId="0" xfId="0" quotePrefix="1" applyFont="1"/>
    <xf numFmtId="0" fontId="32" fillId="0" borderId="0" xfId="0" applyFont="1" applyAlignment="1">
      <alignment horizontal="right"/>
    </xf>
    <xf numFmtId="0" fontId="1" fillId="0" borderId="0" xfId="0" applyFont="1"/>
    <xf numFmtId="44" fontId="1" fillId="0" borderId="0" xfId="0" applyNumberFormat="1" applyFont="1"/>
    <xf numFmtId="43" fontId="2" fillId="0" borderId="0" xfId="0" applyNumberFormat="1" applyFont="1"/>
    <xf numFmtId="0" fontId="0" fillId="0" borderId="0" xfId="0" applyFont="1" applyAlignment="1">
      <alignment horizontal="center"/>
    </xf>
    <xf numFmtId="10" fontId="1" fillId="0" borderId="0" xfId="0" applyNumberFormat="1" applyFont="1"/>
    <xf numFmtId="167" fontId="4" fillId="0" borderId="0" xfId="0" applyNumberFormat="1" applyFont="1"/>
    <xf numFmtId="42" fontId="1" fillId="0" borderId="0" xfId="0" applyNumberFormat="1" applyFont="1"/>
    <xf numFmtId="10" fontId="1" fillId="0" borderId="2" xfId="0" applyNumberFormat="1" applyFont="1" applyBorder="1"/>
    <xf numFmtId="42" fontId="1" fillId="0" borderId="2" xfId="0" applyNumberFormat="1" applyFont="1" applyBorder="1"/>
    <xf numFmtId="10" fontId="0" fillId="0" borderId="0" xfId="0" applyNumberFormat="1" applyFont="1"/>
    <xf numFmtId="10" fontId="0" fillId="0" borderId="2" xfId="0" applyNumberFormat="1" applyFont="1" applyBorder="1"/>
    <xf numFmtId="164" fontId="2" fillId="0" borderId="0" xfId="0" applyNumberFormat="1" applyFont="1"/>
    <xf numFmtId="167" fontId="11" fillId="0" borderId="5" xfId="0" applyNumberFormat="1" applyFont="1" applyBorder="1"/>
    <xf numFmtId="165" fontId="11" fillId="0" borderId="5" xfId="0" applyNumberFormat="1" applyFont="1" applyBorder="1"/>
    <xf numFmtId="164" fontId="6" fillId="0" borderId="0" xfId="0" applyNumberFormat="1" applyFont="1" applyAlignment="1">
      <alignment horizontal="center"/>
    </xf>
    <xf numFmtId="167" fontId="6" fillId="0" borderId="2" xfId="0" applyNumberFormat="1" applyFont="1" applyFill="1" applyBorder="1"/>
    <xf numFmtId="167" fontId="6" fillId="2" borderId="2" xfId="0" applyNumberFormat="1" applyFont="1" applyFill="1" applyBorder="1"/>
    <xf numFmtId="164" fontId="6" fillId="0" borderId="7" xfId="0" applyNumberFormat="1" applyFont="1" applyBorder="1" applyAlignment="1">
      <alignment horizontal="center"/>
    </xf>
    <xf numFmtId="167" fontId="6" fillId="2" borderId="0" xfId="0" applyNumberFormat="1" applyFont="1" applyFill="1" applyBorder="1"/>
    <xf numFmtId="164" fontId="6" fillId="2" borderId="0" xfId="0" applyNumberFormat="1" applyFont="1" applyFill="1" applyBorder="1"/>
    <xf numFmtId="167" fontId="26" fillId="2" borderId="3" xfId="0" applyNumberFormat="1" applyFont="1" applyFill="1" applyBorder="1"/>
    <xf numFmtId="164" fontId="6" fillId="0" borderId="0" xfId="0" applyNumberFormat="1" applyFont="1" applyBorder="1" applyAlignment="1">
      <alignment horizontal="center"/>
    </xf>
    <xf numFmtId="164" fontId="6" fillId="2" borderId="2" xfId="0" applyNumberFormat="1" applyFont="1" applyFill="1" applyBorder="1"/>
    <xf numFmtId="164" fontId="6" fillId="2" borderId="0" xfId="0" applyNumberFormat="1" applyFont="1" applyFill="1"/>
    <xf numFmtId="164" fontId="6" fillId="2" borderId="5" xfId="0" applyNumberFormat="1" applyFont="1" applyFill="1" applyBorder="1"/>
    <xf numFmtId="0" fontId="0" fillId="0" borderId="0" xfId="0" applyFont="1" applyAlignment="1">
      <alignment horizontal="center"/>
    </xf>
    <xf numFmtId="0" fontId="0" fillId="0" borderId="0" xfId="0" applyFont="1" applyFill="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23" fillId="0" borderId="0" xfId="0" applyFont="1" applyFill="1" applyAlignment="1">
      <alignment horizontal="left" vertical="top" wrapText="1"/>
    </xf>
    <xf numFmtId="0" fontId="0" fillId="0" borderId="0" xfId="0" applyFont="1" applyAlignment="1">
      <alignment horizontal="center"/>
    </xf>
    <xf numFmtId="0" fontId="11" fillId="0" borderId="0" xfId="0" applyFont="1" applyAlignment="1">
      <alignment horizontal="center"/>
    </xf>
    <xf numFmtId="0" fontId="0" fillId="0" borderId="0" xfId="0" applyFont="1" applyFill="1" applyAlignment="1">
      <alignment horizontal="center"/>
    </xf>
    <xf numFmtId="17" fontId="0" fillId="0" borderId="0" xfId="0" applyNumberFormat="1" applyFont="1" applyFill="1" applyAlignment="1">
      <alignment horizontal="center"/>
    </xf>
    <xf numFmtId="0" fontId="5" fillId="0" borderId="0" xfId="0" applyFont="1" applyFill="1" applyAlignment="1">
      <alignment horizontal="left" vertical="top" wrapText="1"/>
    </xf>
  </cellXfs>
  <cellStyles count="1">
    <cellStyle name="Normal" xfId="0" builtinId="0"/>
  </cellStyles>
  <dxfs count="3">
    <dxf>
      <numFmt numFmtId="167" formatCode="_(&quot;$&quot;* #,##0_);_(&quot;$&quot;* \(#,##0\);_(&quot;$&quot;* &quot;-&quot;??_);_(@_)"/>
    </dxf>
    <dxf>
      <numFmt numFmtId="174" formatCode="_(&quot;$&quot;* #,##0.0_);_(&quot;$&quot;* \(#,##0.0\);_(&quot;$&quot;* &quot;-&quot;??_);_(@_)"/>
    </dxf>
    <dxf>
      <numFmt numFmtId="34" formatCode="_(&quot;$&quot;* #,##0.00_);_(&quot;$&quot;* \(#,##0.00\);_(&quot;$&quot;* &quot;-&quot;??_);_(@_)"/>
    </dxf>
  </dxfs>
  <tableStyles count="0" defaultTableStyle="TableStyleMedium2" defaultPivotStyle="PivotStyleLight16"/>
  <colors>
    <mruColors>
      <color rgb="FF0000FF"/>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GrpRates/Public/Gas%20Sch.%20111%20CCA/2025/Effective%20Jan.%201,%202025/Revenue%20Requirement/True%20Up/CCA%20Credit%20Revenue%20Oct23-Sep24/Data/Gas%20Sch.%20111_CCA%20Credit%20Rev_Oct23-Sep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hmidt, Paul" refreshedDate="45586.712195949076" createdVersion="6" refreshedVersion="6" minRefreshableVersion="3" recordCount="93">
  <cacheSource type="worksheet">
    <worksheetSource ref="A5:P98" sheet="Analysis 1" r:id="rId2"/>
  </cacheSource>
  <cacheFields count="16">
    <cacheField name="Rate Category" numFmtId="0">
      <sharedItems count="22">
        <s v="SCH_016GR"/>
        <s v="SCH_023G"/>
        <s v="SCH_031GC"/>
        <s v="SCH_031GI"/>
        <s v="SCH_031GTI"/>
        <s v="SCH_041GC"/>
        <s v="SCH_041GI"/>
        <s v="SCH_041GTC"/>
        <s v="SCH_041GTI"/>
        <s v="SCH_085GC"/>
        <s v="SCH_085GI"/>
        <s v="SCH_085GTC"/>
        <s v="SCH_085GTI"/>
        <s v="SCH_086GC"/>
        <s v="SCH_086GI"/>
        <s v="SCH_086GTC"/>
        <s v="SCH_086GTI"/>
        <s v="SCH_087GC"/>
        <s v="SCH_087GTC"/>
        <s v="SCH_087GTI"/>
        <s v="SCH_099GT"/>
        <s v="Overall Result"/>
      </sharedItems>
    </cacheField>
    <cacheField name="Statistical Rate" numFmtId="0">
      <sharedItems count="13">
        <s v="GSU_111_CP"/>
        <s v="GSU_111"/>
        <s v="Result"/>
        <s v="GSR_111_CP"/>
        <s v="GSR_111_CR"/>
        <s v="GSR_111_LI"/>
        <s v="GRES_111"/>
        <s v="GSC_111"/>
        <s v="GSC_111_CP"/>
        <s v="GSC_111_CR"/>
        <s v="GST_111"/>
        <s v="GST_111_CP"/>
        <s v="GST_111_CR"/>
      </sharedItems>
    </cacheField>
    <cacheField name="Bill Line Item Type" numFmtId="0">
      <sharedItems count="4">
        <s v="State Carbon Reduction Charge"/>
        <s v="State Carbon Reduction Credit"/>
        <s v="Result"/>
        <s v="RNG Participation Credit"/>
      </sharedItems>
    </cacheField>
    <cacheField name="010/2023" numFmtId="0">
      <sharedItems containsString="0" containsBlank="1" containsNumber="1" minValue="-4192565.89" maxValue="3329884.47" count="41">
        <m/>
        <n v="79.86"/>
        <n v="-66.08"/>
        <n v="13.78"/>
        <n v="-4192565.89"/>
        <n v="-41123.54"/>
        <n v="-1832.48"/>
        <n v="-3832.93"/>
        <n v="3329884.47"/>
        <n v="-909470.37"/>
        <n v="-3933.92"/>
        <n v="1418273.57"/>
        <n v="-1871275.08"/>
        <n v="-456935.43"/>
        <n v="-75.319999999999993"/>
        <n v="75092.160000000003"/>
        <n v="-82581.36"/>
        <n v="-7564.52"/>
        <n v="368719.27"/>
        <n v="-514502.37"/>
        <n v="-145783.1"/>
        <n v="75178.75"/>
        <n v="-31590.47"/>
        <n v="43588.28"/>
        <n v="105067.3"/>
        <n v="-57061.93"/>
        <n v="48005.37"/>
        <n v="20396.900000000001"/>
        <n v="-6616.91"/>
        <n v="13779.99"/>
        <n v="-493.59"/>
        <n v="25663.83"/>
        <n v="-32193.91"/>
        <n v="-7023.67"/>
        <n v="2563.35"/>
        <n v="-2663.09"/>
        <n v="-99.74"/>
        <n v="23028.7"/>
        <n v="-8938.0400000000009"/>
        <n v="14090.66"/>
        <n v="-1407398.75"/>
      </sharedItems>
    </cacheField>
    <cacheField name="011/2023" numFmtId="0">
      <sharedItems containsString="0" containsBlank="1" containsNumber="1" minValue="-14987992.26" maxValue="18373265.300000001" count="68">
        <m/>
        <n v="183.62"/>
        <n v="-149.80000000000001"/>
        <n v="33.82"/>
        <n v="-14987992.26"/>
        <n v="-246509.58"/>
        <n v="2.54"/>
        <n v="-11068.17"/>
        <n v="18373265.300000001"/>
        <n v="3127697.83"/>
        <n v="-12278.67"/>
        <n v="6223449.46"/>
        <n v="-5937780.4699999997"/>
        <n v="273390.32"/>
        <n v="-156.82"/>
        <n v="356488.95"/>
        <n v="-249500.69"/>
        <n v="106831.44"/>
        <n v="0"/>
        <n v="-280.73"/>
        <n v="-2141.1999999999998"/>
        <n v="1585182.84"/>
        <n v="-1363706.3"/>
        <n v="219335.34"/>
        <n v="239862.35"/>
        <n v="-76963.48"/>
        <n v="162898.87"/>
        <n v="287055.03999999998"/>
        <n v="-288150.51"/>
        <n v="-1095.47"/>
        <n v="128991.32"/>
        <n v="-65285.1"/>
        <n v="63706.22"/>
        <n v="328256.69"/>
        <n v="-151923.41"/>
        <n v="176333.28"/>
        <n v="95108.21"/>
        <n v="-28891.77"/>
        <n v="66216.44"/>
        <n v="332628"/>
        <n v="-299889.64"/>
        <n v="32738.36"/>
        <n v="931266.42"/>
        <n v="-743204.76"/>
        <n v="188061.66"/>
        <n v="-1091.83"/>
        <n v="127697.76"/>
        <n v="-94405.47"/>
        <n v="32200.46"/>
        <n v="8626.66"/>
        <n v="-6636.18"/>
        <n v="1990.48"/>
        <n v="2207.42"/>
        <n v="-3753.55"/>
        <n v="-1546.13"/>
        <n v="11976.55"/>
        <n v="-15014.2"/>
        <n v="-3037.65"/>
        <n v="105413.56"/>
        <n v="-156612.06"/>
        <n v="-51198.5"/>
        <n v="49266.77"/>
        <n v="-78306.03"/>
        <n v="-29039.26"/>
        <n v="275457.38"/>
        <n v="-239877.61"/>
        <n v="35579.769999999997"/>
        <n v="4400816.55"/>
      </sharedItems>
    </cacheField>
    <cacheField name="012/2023" numFmtId="0">
      <sharedItems containsString="0" containsBlank="1" containsNumber="1" minValue="-26539431.940000001" maxValue="33717160.409999996" count="70">
        <m/>
        <n v="211.69"/>
        <n v="-171.45"/>
        <n v="40.24"/>
        <n v="-26539431.940000001"/>
        <n v="-744477.28"/>
        <n v="0"/>
        <n v="-15353.9"/>
        <n v="33717160.409999996"/>
        <n v="6417897.29"/>
        <n v="-17767.45"/>
        <n v="11272749.720000001"/>
        <n v="-9714427.2300000004"/>
        <n v="1540555.04"/>
        <n v="-180.51"/>
        <n v="671824.14"/>
        <n v="-397721.38"/>
        <n v="273922.25"/>
        <n v="-415"/>
        <n v="-3948.29"/>
        <n v="2789370.51"/>
        <n v="-1800261.27"/>
        <n v="985160.95"/>
        <n v="380828.97"/>
        <n v="-98868.86"/>
        <n v="281960.11"/>
        <n v="523672.27"/>
        <n v="-472562.25"/>
        <n v="51110.02"/>
        <n v="202316.38"/>
        <n v="-107114.11"/>
        <n v="95202.27"/>
        <n v="587512.4"/>
        <n v="-254231.87"/>
        <n v="333280.53000000003"/>
        <n v="114089.57"/>
        <n v="-47083.9"/>
        <n v="67005.67"/>
        <n v="592442.64"/>
        <n v="-477512.43"/>
        <n v="114930.21"/>
        <n v="1440514.27"/>
        <n v="-1183400.3700000001"/>
        <n v="257113.9"/>
        <n v="-1254.33"/>
        <n v="247682.54"/>
        <n v="-129926.11"/>
        <n v="116502.1"/>
        <n v="13837.62"/>
        <n v="-8358.19"/>
        <n v="5479.43"/>
        <n v="218.34"/>
        <n v="-5603.23"/>
        <n v="-5384.89"/>
        <n v="19405.330000000002"/>
        <n v="-22412.92"/>
        <n v="-3007.59"/>
        <n v="58648.92"/>
        <n v="-23463.01"/>
        <n v="35185.910000000003"/>
        <n v="195450.23999999999"/>
        <n v="-430355.48"/>
        <n v="-234905.24"/>
        <n v="92208.12"/>
        <n v="-215177.74"/>
        <n v="-122969.62"/>
        <n v="388437.63"/>
        <n v="-288566.75"/>
        <n v="99870.88"/>
        <n v="10308534.460000001"/>
      </sharedItems>
    </cacheField>
    <cacheField name="001/2024" numFmtId="0">
      <sharedItems containsString="0" containsBlank="1" containsNumber="1" minValue="-27205668.460000001" maxValue="36673923.670000002" count="68">
        <m/>
        <n v="206.78"/>
        <n v="-158.47"/>
        <n v="48.31"/>
        <n v="-27205668.460000001"/>
        <n v="-2710425.7"/>
        <n v="0"/>
        <n v="-15344.95"/>
        <n v="36673923.670000002"/>
        <n v="6742484.5599999996"/>
        <n v="-14919.63"/>
        <n v="12751338.119999999"/>
        <n v="-9597617.6899999995"/>
        <n v="3138800.8"/>
        <n v="-164.71"/>
        <n v="783240.07"/>
        <n v="-385793.01"/>
        <n v="397282.35"/>
        <n v="-456.26"/>
        <n v="-8572.1200000000008"/>
        <n v="3089173.45"/>
        <n v="-1708022.35"/>
        <n v="1372578.98"/>
        <n v="356169.36"/>
        <n v="-92292.66"/>
        <n v="263876.7"/>
        <n v="567744.42000000004"/>
        <n v="-472562.25"/>
        <n v="95182.17"/>
        <n v="192112.31"/>
        <n v="-107114.11"/>
        <n v="84998.2"/>
        <n v="739947.35"/>
        <n v="-280616.89"/>
        <n v="459330.46"/>
        <n v="123587.83"/>
        <n v="-51069.5"/>
        <n v="72518.33"/>
        <n v="590329.21"/>
        <n v="-478204.48"/>
        <n v="112124.73"/>
        <n v="1441929.3"/>
        <n v="-1237961.8700000001"/>
        <n v="203967.43"/>
        <n v="-1220.6600000000001"/>
        <n v="274849.23"/>
        <n v="-129464.41"/>
        <n v="144164.16"/>
        <n v="12819.02"/>
        <n v="-7977.59"/>
        <n v="4841.43"/>
        <n v="-5603.23"/>
        <n v="18950.47"/>
        <n v="-22412.92"/>
        <n v="-3462.45"/>
        <n v="176100.22"/>
        <n v="-68341.740000000005"/>
        <n v="107758.48"/>
        <n v="204177.37"/>
        <n v="-430355.48"/>
        <n v="-226178.11"/>
        <n v="88241.279999999999"/>
        <n v="-215177.74"/>
        <n v="-126936.46"/>
        <n v="859910"/>
        <n v="-464714.87"/>
        <n v="395195.13"/>
        <n v="13232515.710000001"/>
      </sharedItems>
    </cacheField>
    <cacheField name="002/2024" numFmtId="0">
      <sharedItems containsString="0" containsBlank="1" containsNumber="1" minValue="-23542387.82" maxValue="30798731.91" count="68">
        <m/>
        <n v="203.31"/>
        <n v="-149.31"/>
        <n v="54"/>
        <n v="-23542387.82"/>
        <n v="-2513970.4700000002"/>
        <n v="0"/>
        <n v="-15133.09"/>
        <n v="30798731.91"/>
        <n v="4727240.53"/>
        <n v="-14361.69"/>
        <n v="10837028.130000001"/>
        <n v="-7841009.8399999999"/>
        <n v="2981656.6"/>
        <n v="-166.4"/>
        <n v="640831.52"/>
        <n v="-314900.94"/>
        <n v="325764.18"/>
        <n v="-35.72"/>
        <n v="-4369.1000000000004"/>
        <n v="2827701.7"/>
        <n v="-1519948.67"/>
        <n v="1303383.93"/>
        <n v="318184.68"/>
        <n v="-84991.3"/>
        <n v="233193.38"/>
        <n v="575728.97"/>
        <n v="-414743.25"/>
        <n v="160985.72"/>
        <n v="200828.3"/>
        <n v="-94008.47"/>
        <n v="106819.83"/>
        <n v="563708.6"/>
        <n v="-245616.6"/>
        <n v="318092"/>
        <n v="153528.92000000001"/>
        <n v="-67540.33"/>
        <n v="85988.59"/>
        <n v="562710.46"/>
        <n v="-381719.14"/>
        <n v="180991.32"/>
        <n v="1294592.76"/>
        <n v="-988999.59"/>
        <n v="305593.17"/>
        <n v="-1206.03"/>
        <n v="245970.65"/>
        <n v="-113137.87"/>
        <n v="131626.75"/>
        <n v="11342.38"/>
        <n v="-7108.86"/>
        <n v="4233.5200000000004"/>
        <n v="-4150.21"/>
        <n v="15632.7"/>
        <n v="-16600.84"/>
        <n v="-968.14"/>
        <n v="64236.74"/>
        <n v="-37715.730000000003"/>
        <n v="26521.01"/>
        <n v="288924.18"/>
        <n v="-244057.4"/>
        <n v="44866.78"/>
        <n v="127014.18"/>
        <n v="-122028.7"/>
        <n v="4985.4799999999996"/>
        <n v="520700.84"/>
        <n v="-221546.5"/>
        <n v="299154.34000000003"/>
        <n v="11235997.060000001"/>
      </sharedItems>
    </cacheField>
    <cacheField name="003/2024" numFmtId="0">
      <sharedItems containsString="0" containsBlank="1" containsNumber="1" minValue="-20958989.199999999" maxValue="30914764.690000001" count="66">
        <m/>
        <n v="203.31"/>
        <n v="-149.31"/>
        <n v="54"/>
        <n v="-20958989.199999999"/>
        <n v="-2552778.2799999998"/>
        <n v="0"/>
        <n v="-15264.14"/>
        <n v="30914764.690000001"/>
        <n v="7387733.0700000003"/>
        <n v="-14294.5"/>
        <n v="10643118.32"/>
        <n v="-6958004.7300000004"/>
        <n v="3670819.09"/>
        <n v="-166.36"/>
        <n v="667849.52"/>
        <n v="-283006.09000000003"/>
        <n v="384677.07"/>
        <n v="-32.270000000000003"/>
        <n v="2702581.02"/>
        <n v="-1484925.01"/>
        <n v="1217656.01"/>
        <n v="322138.03999999998"/>
        <n v="-82615.27"/>
        <n v="239522.77"/>
        <n v="510818.82"/>
        <n v="-414743.25"/>
        <n v="96075.57"/>
        <n v="181620.36"/>
        <n v="-88478.56"/>
        <n v="93141.8"/>
        <n v="600003.63"/>
        <n v="-293452.07"/>
        <n v="306551.56"/>
        <n v="26950.959999999999"/>
        <n v="-35491.11"/>
        <n v="-8540.15"/>
        <n v="428778.61"/>
        <n v="-347017.4"/>
        <n v="81761.210000000006"/>
        <n v="1309068.92"/>
        <n v="-1006350.46"/>
        <n v="302718.46000000002"/>
        <n v="-1206.03"/>
        <n v="196583.46"/>
        <n v="-109002.58"/>
        <n v="86374.85"/>
        <n v="13211.55"/>
        <n v="-7108.87"/>
        <n v="6102.68"/>
        <n v="666.17"/>
        <n v="-4150.21"/>
        <n v="-3484.04"/>
        <n v="11528.63"/>
        <n v="-16600.84"/>
        <n v="-5072.21"/>
        <n v="426665.7"/>
        <n v="-427100.45"/>
        <n v="-434.75"/>
        <n v="125056.43"/>
        <n v="-122028.7"/>
        <n v="3027.73"/>
        <n v="817236.88"/>
        <n v="-398783.7"/>
        <n v="418453.18"/>
        <n v="14277105.630000001"/>
      </sharedItems>
    </cacheField>
    <cacheField name="004/2024" numFmtId="0">
      <sharedItems containsString="0" containsBlank="1" containsNumber="1" minValue="-17242220.600000001" maxValue="21961696.579999998" count="77">
        <m/>
        <n v="203.31"/>
        <n v="-149.31"/>
        <n v="54"/>
        <n v="-17242220.600000001"/>
        <n v="-1863433.31"/>
        <n v="0"/>
        <n v="-15419.56"/>
        <n v="21961696.579999998"/>
        <n v="2840623.11"/>
        <n v="-14371.93"/>
        <n v="8364424.8899999997"/>
        <n v="-5737470.4199999999"/>
        <n v="2612582.54"/>
        <n v="-166.34"/>
        <n v="464008.14"/>
        <n v="-229546.35"/>
        <n v="234295.45"/>
        <n v="-28.67"/>
        <n v="-8738.19"/>
        <n v="2346500.56"/>
        <n v="-484816.66"/>
        <n v="-911901.58"/>
        <n v="941044.13"/>
        <n v="299277.5"/>
        <n v="-30117.24"/>
        <n v="-46647.46"/>
        <n v="222512.8"/>
        <n v="538811.06000000006"/>
        <n v="-420273.16"/>
        <n v="118537.9"/>
        <n v="209379.34"/>
        <n v="-94008.47"/>
        <n v="115370.87"/>
        <n v="564865.74"/>
        <n v="-83974.62"/>
        <n v="-175749.26"/>
        <n v="305141.86"/>
        <n v="88830.43"/>
        <n v="-15013.16"/>
        <n v="-25935.81"/>
        <n v="47881.46"/>
        <n v="430691.13"/>
        <n v="-347017.4"/>
        <n v="83673.73"/>
        <n v="1721227.61"/>
        <n v="-971648.72"/>
        <n v="749578.89"/>
        <n v="-1206.02"/>
        <n v="247233.21"/>
        <n v="-32083.13"/>
        <n v="-78552.929999999993"/>
        <n v="135391.13"/>
        <n v="11752.21"/>
        <n v="-2859.68"/>
        <n v="-3949.36"/>
        <n v="4943.17"/>
        <n v="354.25"/>
        <n v="-4150.21"/>
        <n v="-3795.96"/>
        <n v="22711.85"/>
        <n v="-16600.84"/>
        <n v="6111.01"/>
        <n v="135412.93"/>
        <n v="-28915.39"/>
        <n v="-49030.45"/>
        <n v="57467.09"/>
        <n v="384659.21"/>
        <n v="-366086.1"/>
        <n v="18573.11"/>
        <n v="118501.75"/>
        <n v="-122028.7"/>
        <n v="-3526.95"/>
        <n v="543325.31999999995"/>
        <n v="-310165.09999999998"/>
        <n v="233160.22"/>
        <n v="8719590.8900000006"/>
      </sharedItems>
    </cacheField>
    <cacheField name="005/2024" numFmtId="0">
      <sharedItems containsString="0" containsBlank="1" containsNumber="1" minValue="-11129306.890000001" maxValue="16044832.880000001" count="77">
        <m/>
        <n v="203.32"/>
        <n v="-149.34"/>
        <n v="53.98"/>
        <n v="-11129306.890000001"/>
        <n v="-1376540.35"/>
        <n v="0"/>
        <n v="-15568.26"/>
        <n v="16044832.880000001"/>
        <n v="3523417.38"/>
        <n v="-9325.01"/>
        <n v="6608997.9500000002"/>
        <n v="-4120570.66"/>
        <n v="2479102.2799999998"/>
        <n v="-166.35"/>
        <n v="320936"/>
        <n v="-161920.6"/>
        <n v="158849.04999999999"/>
        <n v="-20.51"/>
        <n v="-4369.1000000000004"/>
        <n v="2002252.77"/>
        <n v="-1061208.17"/>
        <n v="-59019.3"/>
        <n v="877656.2"/>
        <n v="312439.01"/>
        <n v="-66806.53"/>
        <n v="-5264.72"/>
        <n v="240367.76"/>
        <n v="483349.06"/>
        <n v="-265888.86"/>
        <n v="-5714.24"/>
        <n v="211745.96"/>
        <n v="201365.37"/>
        <n v="-83425.710000000006"/>
        <n v="117939.66"/>
        <n v="393670.5"/>
        <n v="-192013.32"/>
        <n v="-24229.5"/>
        <n v="177427.68"/>
        <n v="102939.05"/>
        <n v="-36467.550000000003"/>
        <n v="-4436.3900000000003"/>
        <n v="62035.11"/>
        <n v="467455.12"/>
        <n v="-270817.71000000002"/>
        <n v="-34701.74"/>
        <n v="161935.67000000001"/>
        <n v="1468581.03"/>
        <n v="-747485.86"/>
        <n v="721095.17"/>
        <n v="-611.58000000000004"/>
        <n v="161459.54"/>
        <n v="-75632.960000000006"/>
        <n v="-3198.98"/>
        <n v="82016.02"/>
        <n v="11988.78"/>
        <n v="-5732.89"/>
        <n v="6255.89"/>
        <n v="8841.4"/>
        <n v="-4150.21"/>
        <n v="4691.1899999999996"/>
        <n v="20874.12"/>
        <n v="-13775.74"/>
        <n v="7098.38"/>
        <n v="45559.87"/>
        <n v="-37715.730000000003"/>
        <n v="7844.14"/>
        <n v="348778.56"/>
        <n v="-288459.89"/>
        <n v="60318.67"/>
        <n v="129198.8"/>
        <n v="-101018.1"/>
        <n v="28180.7"/>
        <n v="483579.38"/>
        <n v="-219542.93"/>
        <n v="264036.45"/>
        <n v="9192046.8300000001"/>
      </sharedItems>
    </cacheField>
    <cacheField name="006/2024" numFmtId="0">
      <sharedItems containsString="0" containsBlank="1" containsNumber="1" minValue="-6803449.7699999996" maxValue="11302853.949999999" count="71">
        <m/>
        <n v="203.31"/>
        <n v="-149.33000000000001"/>
        <n v="53.98"/>
        <n v="-86.97"/>
        <n v="-6803449.7699999996"/>
        <n v="-964137.59"/>
        <n v="0"/>
        <n v="-15787.27"/>
        <n v="11302853.949999999"/>
        <n v="3519392.35"/>
        <n v="-9663.19"/>
        <n v="4925278.1500000004"/>
        <n v="-3086007.32"/>
        <n v="1829607.64"/>
        <n v="-166.35"/>
        <n v="190348.89"/>
        <n v="-123965.79"/>
        <n v="66216.75"/>
        <n v="-14.94"/>
        <n v="-4369.1000000000004"/>
        <n v="1648807.11"/>
        <n v="-977571.4"/>
        <n v="-1209.58"/>
        <n v="665657.03"/>
        <n v="352153.38"/>
        <n v="-76491.58"/>
        <n v="-364.48"/>
        <n v="275297.32"/>
        <n v="480965.22"/>
        <n v="-245190.6"/>
        <n v="235774.62"/>
        <n v="206551.93"/>
        <n v="-85717.95"/>
        <n v="120833.98"/>
        <n v="387769.75"/>
        <n v="-220343.45"/>
        <n v="167426.29999999999"/>
        <n v="60218.41"/>
        <n v="-38568.9"/>
        <n v="21649.51"/>
        <n v="440947.20000000001"/>
        <n v="-300851.45"/>
        <n v="140095.75"/>
        <n v="1376563.46"/>
        <n v="-758265.77"/>
        <n v="618297.68999999994"/>
        <n v="-611.57000000000005"/>
        <n v="140318.70000000001"/>
        <n v="-62863.69"/>
        <n v="76843.44"/>
        <n v="8724.7999999999993"/>
        <n v="-4959.08"/>
        <n v="3765.72"/>
        <n v="9485.93"/>
        <n v="-4150.21"/>
        <n v="5335.72"/>
        <n v="18599.05"/>
        <n v="-14016.21"/>
        <n v="4582.84"/>
        <n v="303148.27"/>
        <n v="-216901.09"/>
        <n v="86247.18"/>
        <n v="127013.97"/>
        <n v="-80596.460000000006"/>
        <n v="46417.51"/>
        <n v="-224694.63"/>
        <n v="-122604.07"/>
        <n v="132927.9"/>
        <n v="-214370.8"/>
        <n v="7669109.5899999999"/>
      </sharedItems>
    </cacheField>
    <cacheField name="007/2024" numFmtId="0">
      <sharedItems containsString="0" containsBlank="1" containsNumber="1" minValue="-2924192.02" maxValue="6190958.1500000004" count="79">
        <n v="124.5"/>
        <n v="-91.43"/>
        <n v="79.569999999999993"/>
        <n v="-58.42"/>
        <n v="54.22"/>
        <n v="-1489126.22"/>
        <n v="-2924192.02"/>
        <n v="-515877.54"/>
        <n v="0"/>
        <n v="-16085.38"/>
        <n v="6190958.1500000004"/>
        <n v="1245676.99"/>
        <n v="-9481.19"/>
        <n v="3425164.46"/>
        <n v="-357758.84"/>
        <n v="-1435640.53"/>
        <n v="1622283.9"/>
        <n v="-166.35"/>
        <n v="176294.36"/>
        <n v="-10931.55"/>
        <n v="-52541.51"/>
        <n v="112654.95"/>
        <m/>
        <n v="-11.98"/>
        <n v="-4369.09"/>
        <n v="1087868.26"/>
        <n v="-677606.12"/>
        <n v="40.49"/>
        <n v="405933.54"/>
        <n v="209207.05"/>
        <n v="-58301.69"/>
        <n v="150905.35999999999"/>
        <n v="424016.15"/>
        <n v="-227579.19"/>
        <n v="196436.96"/>
        <n v="197941.81"/>
        <n v="-85315.37"/>
        <n v="112626.44"/>
        <n v="315532.84000000003"/>
        <n v="-194022.31"/>
        <n v="-7849"/>
        <n v="113661.53"/>
        <n v="80060.91"/>
        <n v="-30713.46"/>
        <n v="49347.45"/>
        <n v="364046.49"/>
        <n v="-268010.58"/>
        <n v="96035.91"/>
        <n v="-224402.75"/>
        <n v="-689227.76"/>
        <n v="106614.11"/>
        <n v="-807016.4"/>
        <n v="-611.58000000000004"/>
        <n v="95603.5"/>
        <n v="-45932.7"/>
        <n v="49059.22"/>
        <n v="6690.35"/>
        <n v="-4274.45"/>
        <n v="2415.9"/>
        <n v="8456.86"/>
        <n v="-4150.21"/>
        <n v="4306.6499999999996"/>
        <n v="12246.85"/>
        <n v="-9927.16"/>
        <n v="2319.69"/>
        <n v="67553.59"/>
        <n v="-63990.33"/>
        <n v="3563.26"/>
        <n v="263151.42"/>
        <n v="-178307.83"/>
        <n v="84843.59"/>
        <n v="128887.7"/>
        <n v="-62871.38"/>
        <n v="66016.320000000007"/>
        <n v="949081.22"/>
        <n v="-289887.21999999997"/>
        <n v="-132927.9"/>
        <n v="526266.1"/>
        <n v="4037379.6"/>
      </sharedItems>
    </cacheField>
    <cacheField name="008/2024" numFmtId="0">
      <sharedItems containsString="0" containsBlank="1" containsNumber="1" minValue="-2924152.74" maxValue="5897954.8300000001" count="72">
        <n v="203.31"/>
        <n v="-149.33000000000001"/>
        <m/>
        <n v="53.98"/>
        <n v="-2924152.74"/>
        <n v="-31327.95"/>
        <n v="-415470.25"/>
        <n v="0"/>
        <n v="-16345.6"/>
        <n v="5016392.79"/>
        <n v="1629096.25"/>
        <n v="-9474.42"/>
        <n v="3048344.17"/>
        <n v="-697125.98"/>
        <n v="-32686.6"/>
        <n v="2309057.17"/>
        <n v="-166.93"/>
        <n v="127827.15"/>
        <n v="-18107.830000000002"/>
        <n v="-1798.36"/>
        <n v="107754.03"/>
        <n v="1036521.48"/>
        <n v="-624224.54"/>
        <n v="-14364.51"/>
        <n v="397932.43"/>
        <n v="221599.47"/>
        <n v="-59126.559999999998"/>
        <n v="162472.91"/>
        <n v="428326.9"/>
        <n v="-210315.6"/>
        <n v="218011.3"/>
        <n v="192400.48"/>
        <n v="-85302.080000000002"/>
        <n v="107098.4"/>
        <n v="315935.68"/>
        <n v="-205015.81"/>
        <n v="110919.87"/>
        <n v="90852.479999999996"/>
        <n v="-45408.84"/>
        <n v="45443.64"/>
        <n v="366868.27"/>
        <n v="-243595.54"/>
        <n v="123272.73"/>
        <n v="1230483.24"/>
        <n v="-755970.68"/>
        <n v="-1735.09"/>
        <n v="472777.47"/>
        <n v="-611.58000000000004"/>
        <n v="46233.2"/>
        <n v="-31408.400000000001"/>
        <n v="14213.22"/>
        <n v="7106.45"/>
        <n v="-4119.92"/>
        <n v="2986.53"/>
        <n v="17226.060000000001"/>
        <n v="-4150.21"/>
        <n v="13075.85"/>
        <n v="9486.4"/>
        <n v="-7677.73"/>
        <n v="1808.67"/>
        <n v="25749.01"/>
        <n v="-25749.01"/>
        <n v="257271.75"/>
        <n v="-178738.83"/>
        <n v="78532.92"/>
        <n v="104314.18"/>
        <n v="-55820.12"/>
        <n v="48494.06"/>
        <n v="249949.54"/>
        <n v="-194996.14"/>
        <n v="54953.4"/>
        <n v="5897954.8300000001"/>
      </sharedItems>
    </cacheField>
    <cacheField name="009/2024" numFmtId="0">
      <sharedItems containsString="0" containsBlank="1" containsNumber="1" minValue="-3457870.75" maxValue="6550718.5999999996" count="69">
        <n v="203.31"/>
        <n v="-149.33000000000001"/>
        <m/>
        <n v="53.98"/>
        <n v="-3457870.75"/>
        <n v="-4052.56"/>
        <n v="-519696.24"/>
        <n v="1.0900000000000001"/>
        <n v="-16573.38"/>
        <n v="6074516.3700000001"/>
        <n v="2076324.53"/>
        <n v="-8364.27"/>
        <n v="3343613.75"/>
        <n v="-868370.7"/>
        <n v="-3041.82"/>
        <n v="2463836.96"/>
        <n v="-168.79"/>
        <n v="135637.46"/>
        <n v="-24865.7"/>
        <n v="-229.18"/>
        <n v="110373.79"/>
        <n v="0"/>
        <n v="1104693.6299999999"/>
        <n v="-690335.92"/>
        <n v="414357.71"/>
        <n v="247408.8"/>
        <n v="-63490.61"/>
        <n v="183918.19"/>
        <n v="456573.25"/>
        <n v="-220814.66"/>
        <n v="235758.59"/>
        <n v="196483.7"/>
        <n v="-83834.23"/>
        <n v="112649.47"/>
        <n v="289142.19"/>
        <n v="-184523.58"/>
        <n v="104618.61"/>
        <n v="67825.36"/>
        <n v="-37581.97"/>
        <n v="30243.39"/>
        <n v="394056.55"/>
        <n v="-269085.49"/>
        <n v="124971.06"/>
        <n v="1170850.8799999999"/>
        <n v="-726418.28"/>
        <n v="444432.6"/>
        <n v="-611.58000000000004"/>
        <n v="57102.01"/>
        <n v="-35209.519999999997"/>
        <n v="21280.91"/>
        <n v="7233.92"/>
        <n v="-3906.94"/>
        <n v="3326.98"/>
        <n v="8913.81"/>
        <n v="-4150.21"/>
        <n v="4763.6000000000004"/>
        <n v="12779.94"/>
        <n v="-8505.93"/>
        <n v="4274.01"/>
        <n v="258112.18"/>
        <n v="-178888.15"/>
        <n v="79224.03"/>
        <n v="123306.89"/>
        <n v="-62871.38"/>
        <n v="60435.51"/>
        <n v="271947.28999999998"/>
        <n v="-196072.61"/>
        <n v="75874.679999999993"/>
        <n v="6550718.5999999996"/>
      </sharedItems>
    </cacheField>
    <cacheField name="Overall Result" numFmtId="164">
      <sharedItems containsSemiMixedTypes="0" containsString="0" containsNumber="1" minValue="-155561585.36000001" maxValue="220398981.16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3">
  <r>
    <x v="0"/>
    <x v="0"/>
    <x v="0"/>
    <x v="0"/>
    <x v="0"/>
    <x v="0"/>
    <x v="0"/>
    <x v="0"/>
    <x v="0"/>
    <x v="0"/>
    <x v="0"/>
    <x v="0"/>
    <x v="0"/>
    <x v="0"/>
    <x v="0"/>
    <n v="531.12"/>
  </r>
  <r>
    <x v="0"/>
    <x v="0"/>
    <x v="1"/>
    <x v="0"/>
    <x v="0"/>
    <x v="0"/>
    <x v="0"/>
    <x v="0"/>
    <x v="0"/>
    <x v="0"/>
    <x v="0"/>
    <x v="0"/>
    <x v="1"/>
    <x v="1"/>
    <x v="1"/>
    <n v="-390.09"/>
  </r>
  <r>
    <x v="0"/>
    <x v="1"/>
    <x v="0"/>
    <x v="1"/>
    <x v="1"/>
    <x v="1"/>
    <x v="1"/>
    <x v="1"/>
    <x v="1"/>
    <x v="1"/>
    <x v="1"/>
    <x v="1"/>
    <x v="2"/>
    <x v="2"/>
    <x v="2"/>
    <n v="1778.08"/>
  </r>
  <r>
    <x v="0"/>
    <x v="1"/>
    <x v="1"/>
    <x v="2"/>
    <x v="2"/>
    <x v="2"/>
    <x v="2"/>
    <x v="2"/>
    <x v="2"/>
    <x v="2"/>
    <x v="2"/>
    <x v="2"/>
    <x v="3"/>
    <x v="2"/>
    <x v="2"/>
    <n v="-1350.82"/>
  </r>
  <r>
    <x v="0"/>
    <x v="2"/>
    <x v="2"/>
    <x v="3"/>
    <x v="3"/>
    <x v="3"/>
    <x v="3"/>
    <x v="3"/>
    <x v="3"/>
    <x v="3"/>
    <x v="3"/>
    <x v="3"/>
    <x v="4"/>
    <x v="3"/>
    <x v="3"/>
    <n v="568.29"/>
  </r>
  <r>
    <x v="1"/>
    <x v="3"/>
    <x v="1"/>
    <x v="0"/>
    <x v="0"/>
    <x v="0"/>
    <x v="0"/>
    <x v="0"/>
    <x v="0"/>
    <x v="0"/>
    <x v="0"/>
    <x v="4"/>
    <x v="5"/>
    <x v="4"/>
    <x v="4"/>
    <n v="-7871236.6799999997"/>
  </r>
  <r>
    <x v="1"/>
    <x v="4"/>
    <x v="1"/>
    <x v="4"/>
    <x v="4"/>
    <x v="4"/>
    <x v="4"/>
    <x v="4"/>
    <x v="4"/>
    <x v="4"/>
    <x v="4"/>
    <x v="5"/>
    <x v="6"/>
    <x v="5"/>
    <x v="5"/>
    <n v="-155561585.36000001"/>
  </r>
  <r>
    <x v="1"/>
    <x v="5"/>
    <x v="1"/>
    <x v="5"/>
    <x v="5"/>
    <x v="5"/>
    <x v="5"/>
    <x v="5"/>
    <x v="5"/>
    <x v="5"/>
    <x v="5"/>
    <x v="6"/>
    <x v="7"/>
    <x v="6"/>
    <x v="6"/>
    <n v="-14464440.130000001"/>
  </r>
  <r>
    <x v="1"/>
    <x v="5"/>
    <x v="1"/>
    <x v="6"/>
    <x v="6"/>
    <x v="6"/>
    <x v="6"/>
    <x v="6"/>
    <x v="6"/>
    <x v="6"/>
    <x v="6"/>
    <x v="7"/>
    <x v="8"/>
    <x v="7"/>
    <x v="7"/>
    <n v="-1828.85"/>
  </r>
  <r>
    <x v="1"/>
    <x v="6"/>
    <x v="3"/>
    <x v="7"/>
    <x v="7"/>
    <x v="7"/>
    <x v="7"/>
    <x v="7"/>
    <x v="7"/>
    <x v="7"/>
    <x v="7"/>
    <x v="8"/>
    <x v="9"/>
    <x v="8"/>
    <x v="8"/>
    <n v="-171776.63"/>
  </r>
  <r>
    <x v="1"/>
    <x v="6"/>
    <x v="0"/>
    <x v="8"/>
    <x v="8"/>
    <x v="8"/>
    <x v="8"/>
    <x v="8"/>
    <x v="8"/>
    <x v="8"/>
    <x v="8"/>
    <x v="9"/>
    <x v="10"/>
    <x v="9"/>
    <x v="9"/>
    <n v="220398981.16999999"/>
  </r>
  <r>
    <x v="1"/>
    <x v="2"/>
    <x v="2"/>
    <x v="9"/>
    <x v="9"/>
    <x v="9"/>
    <x v="9"/>
    <x v="9"/>
    <x v="9"/>
    <x v="9"/>
    <x v="9"/>
    <x v="10"/>
    <x v="11"/>
    <x v="10"/>
    <x v="10"/>
    <n v="42328113.520000003"/>
  </r>
  <r>
    <x v="2"/>
    <x v="7"/>
    <x v="3"/>
    <x v="10"/>
    <x v="10"/>
    <x v="10"/>
    <x v="10"/>
    <x v="10"/>
    <x v="10"/>
    <x v="10"/>
    <x v="10"/>
    <x v="11"/>
    <x v="12"/>
    <x v="11"/>
    <x v="11"/>
    <n v="-138235.87"/>
  </r>
  <r>
    <x v="2"/>
    <x v="7"/>
    <x v="0"/>
    <x v="11"/>
    <x v="11"/>
    <x v="11"/>
    <x v="11"/>
    <x v="11"/>
    <x v="11"/>
    <x v="11"/>
    <x v="11"/>
    <x v="12"/>
    <x v="13"/>
    <x v="12"/>
    <x v="12"/>
    <n v="82861780.689999998"/>
  </r>
  <r>
    <x v="2"/>
    <x v="8"/>
    <x v="1"/>
    <x v="0"/>
    <x v="0"/>
    <x v="0"/>
    <x v="0"/>
    <x v="0"/>
    <x v="0"/>
    <x v="0"/>
    <x v="0"/>
    <x v="0"/>
    <x v="14"/>
    <x v="13"/>
    <x v="13"/>
    <n v="-1923255.52"/>
  </r>
  <r>
    <x v="2"/>
    <x v="9"/>
    <x v="1"/>
    <x v="12"/>
    <x v="12"/>
    <x v="12"/>
    <x v="12"/>
    <x v="12"/>
    <x v="12"/>
    <x v="12"/>
    <x v="12"/>
    <x v="13"/>
    <x v="15"/>
    <x v="14"/>
    <x v="14"/>
    <n v="-56335532.390000001"/>
  </r>
  <r>
    <x v="2"/>
    <x v="2"/>
    <x v="2"/>
    <x v="13"/>
    <x v="13"/>
    <x v="13"/>
    <x v="13"/>
    <x v="13"/>
    <x v="13"/>
    <x v="13"/>
    <x v="13"/>
    <x v="14"/>
    <x v="16"/>
    <x v="15"/>
    <x v="15"/>
    <n v="24464756.91"/>
  </r>
  <r>
    <x v="3"/>
    <x v="7"/>
    <x v="3"/>
    <x v="14"/>
    <x v="14"/>
    <x v="14"/>
    <x v="14"/>
    <x v="14"/>
    <x v="14"/>
    <x v="14"/>
    <x v="14"/>
    <x v="15"/>
    <x v="17"/>
    <x v="16"/>
    <x v="16"/>
    <n v="-1911.23"/>
  </r>
  <r>
    <x v="3"/>
    <x v="7"/>
    <x v="0"/>
    <x v="15"/>
    <x v="15"/>
    <x v="15"/>
    <x v="15"/>
    <x v="15"/>
    <x v="15"/>
    <x v="15"/>
    <x v="15"/>
    <x v="16"/>
    <x v="18"/>
    <x v="17"/>
    <x v="17"/>
    <n v="4610378.3600000003"/>
  </r>
  <r>
    <x v="3"/>
    <x v="8"/>
    <x v="1"/>
    <x v="0"/>
    <x v="0"/>
    <x v="0"/>
    <x v="0"/>
    <x v="0"/>
    <x v="0"/>
    <x v="0"/>
    <x v="0"/>
    <x v="0"/>
    <x v="19"/>
    <x v="18"/>
    <x v="18"/>
    <n v="-53905.08"/>
  </r>
  <r>
    <x v="3"/>
    <x v="9"/>
    <x v="1"/>
    <x v="16"/>
    <x v="16"/>
    <x v="16"/>
    <x v="16"/>
    <x v="16"/>
    <x v="16"/>
    <x v="16"/>
    <x v="16"/>
    <x v="17"/>
    <x v="20"/>
    <x v="19"/>
    <x v="19"/>
    <n v="-2283505.2599999998"/>
  </r>
  <r>
    <x v="3"/>
    <x v="2"/>
    <x v="2"/>
    <x v="17"/>
    <x v="17"/>
    <x v="17"/>
    <x v="17"/>
    <x v="17"/>
    <x v="17"/>
    <x v="17"/>
    <x v="17"/>
    <x v="18"/>
    <x v="21"/>
    <x v="20"/>
    <x v="20"/>
    <n v="2271056.79"/>
  </r>
  <r>
    <x v="4"/>
    <x v="10"/>
    <x v="0"/>
    <x v="0"/>
    <x v="18"/>
    <x v="6"/>
    <x v="6"/>
    <x v="6"/>
    <x v="6"/>
    <x v="6"/>
    <x v="6"/>
    <x v="7"/>
    <x v="8"/>
    <x v="7"/>
    <x v="21"/>
    <n v="0"/>
  </r>
  <r>
    <x v="4"/>
    <x v="11"/>
    <x v="1"/>
    <x v="0"/>
    <x v="0"/>
    <x v="0"/>
    <x v="0"/>
    <x v="0"/>
    <x v="0"/>
    <x v="0"/>
    <x v="0"/>
    <x v="0"/>
    <x v="22"/>
    <x v="7"/>
    <x v="21"/>
    <n v="0"/>
  </r>
  <r>
    <x v="4"/>
    <x v="12"/>
    <x v="1"/>
    <x v="0"/>
    <x v="19"/>
    <x v="18"/>
    <x v="18"/>
    <x v="18"/>
    <x v="18"/>
    <x v="18"/>
    <x v="18"/>
    <x v="19"/>
    <x v="23"/>
    <x v="2"/>
    <x v="2"/>
    <n v="-1296.08"/>
  </r>
  <r>
    <x v="4"/>
    <x v="2"/>
    <x v="2"/>
    <x v="0"/>
    <x v="19"/>
    <x v="18"/>
    <x v="18"/>
    <x v="18"/>
    <x v="18"/>
    <x v="18"/>
    <x v="18"/>
    <x v="19"/>
    <x v="23"/>
    <x v="7"/>
    <x v="21"/>
    <n v="-1296.08"/>
  </r>
  <r>
    <x v="5"/>
    <x v="7"/>
    <x v="3"/>
    <x v="0"/>
    <x v="20"/>
    <x v="19"/>
    <x v="19"/>
    <x v="19"/>
    <x v="0"/>
    <x v="19"/>
    <x v="19"/>
    <x v="20"/>
    <x v="24"/>
    <x v="7"/>
    <x v="2"/>
    <n v="-40876.19"/>
  </r>
  <r>
    <x v="5"/>
    <x v="7"/>
    <x v="0"/>
    <x v="18"/>
    <x v="21"/>
    <x v="20"/>
    <x v="20"/>
    <x v="20"/>
    <x v="19"/>
    <x v="20"/>
    <x v="20"/>
    <x v="21"/>
    <x v="25"/>
    <x v="21"/>
    <x v="22"/>
    <n v="22589372.600000001"/>
  </r>
  <r>
    <x v="5"/>
    <x v="8"/>
    <x v="1"/>
    <x v="0"/>
    <x v="0"/>
    <x v="0"/>
    <x v="0"/>
    <x v="0"/>
    <x v="0"/>
    <x v="21"/>
    <x v="21"/>
    <x v="22"/>
    <x v="26"/>
    <x v="22"/>
    <x v="23"/>
    <n v="-4515762.8099999996"/>
  </r>
  <r>
    <x v="5"/>
    <x v="9"/>
    <x v="1"/>
    <x v="19"/>
    <x v="22"/>
    <x v="21"/>
    <x v="21"/>
    <x v="21"/>
    <x v="20"/>
    <x v="22"/>
    <x v="22"/>
    <x v="23"/>
    <x v="27"/>
    <x v="23"/>
    <x v="21"/>
    <n v="-9377820.4499999993"/>
  </r>
  <r>
    <x v="5"/>
    <x v="2"/>
    <x v="2"/>
    <x v="20"/>
    <x v="23"/>
    <x v="22"/>
    <x v="22"/>
    <x v="22"/>
    <x v="21"/>
    <x v="23"/>
    <x v="23"/>
    <x v="24"/>
    <x v="28"/>
    <x v="24"/>
    <x v="24"/>
    <n v="8654913.1500000004"/>
  </r>
  <r>
    <x v="6"/>
    <x v="7"/>
    <x v="0"/>
    <x v="21"/>
    <x v="24"/>
    <x v="23"/>
    <x v="23"/>
    <x v="23"/>
    <x v="22"/>
    <x v="24"/>
    <x v="24"/>
    <x v="25"/>
    <x v="29"/>
    <x v="25"/>
    <x v="25"/>
    <n v="3334447.36"/>
  </r>
  <r>
    <x v="6"/>
    <x v="8"/>
    <x v="1"/>
    <x v="0"/>
    <x v="0"/>
    <x v="0"/>
    <x v="0"/>
    <x v="0"/>
    <x v="0"/>
    <x v="25"/>
    <x v="25"/>
    <x v="26"/>
    <x v="30"/>
    <x v="26"/>
    <x v="26"/>
    <n v="-354334.21"/>
  </r>
  <r>
    <x v="6"/>
    <x v="9"/>
    <x v="1"/>
    <x v="22"/>
    <x v="25"/>
    <x v="24"/>
    <x v="24"/>
    <x v="24"/>
    <x v="23"/>
    <x v="26"/>
    <x v="26"/>
    <x v="27"/>
    <x v="8"/>
    <x v="2"/>
    <x v="2"/>
    <n v="-519598.7"/>
  </r>
  <r>
    <x v="6"/>
    <x v="2"/>
    <x v="2"/>
    <x v="23"/>
    <x v="26"/>
    <x v="25"/>
    <x v="25"/>
    <x v="25"/>
    <x v="24"/>
    <x v="27"/>
    <x v="27"/>
    <x v="28"/>
    <x v="31"/>
    <x v="27"/>
    <x v="27"/>
    <n v="2460514.4500000002"/>
  </r>
  <r>
    <x v="7"/>
    <x v="10"/>
    <x v="0"/>
    <x v="0"/>
    <x v="27"/>
    <x v="26"/>
    <x v="26"/>
    <x v="26"/>
    <x v="25"/>
    <x v="28"/>
    <x v="28"/>
    <x v="29"/>
    <x v="32"/>
    <x v="28"/>
    <x v="28"/>
    <n v="5277061.16"/>
  </r>
  <r>
    <x v="7"/>
    <x v="11"/>
    <x v="1"/>
    <x v="0"/>
    <x v="0"/>
    <x v="0"/>
    <x v="0"/>
    <x v="0"/>
    <x v="0"/>
    <x v="0"/>
    <x v="29"/>
    <x v="30"/>
    <x v="33"/>
    <x v="29"/>
    <x v="29"/>
    <n v="-1169788.9099999999"/>
  </r>
  <r>
    <x v="7"/>
    <x v="12"/>
    <x v="1"/>
    <x v="0"/>
    <x v="28"/>
    <x v="27"/>
    <x v="27"/>
    <x v="27"/>
    <x v="26"/>
    <x v="29"/>
    <x v="30"/>
    <x v="0"/>
    <x v="22"/>
    <x v="7"/>
    <x v="2"/>
    <n v="-2488748.91"/>
  </r>
  <r>
    <x v="7"/>
    <x v="2"/>
    <x v="2"/>
    <x v="0"/>
    <x v="29"/>
    <x v="28"/>
    <x v="28"/>
    <x v="28"/>
    <x v="27"/>
    <x v="30"/>
    <x v="31"/>
    <x v="31"/>
    <x v="34"/>
    <x v="30"/>
    <x v="30"/>
    <n v="1618523.34"/>
  </r>
  <r>
    <x v="8"/>
    <x v="10"/>
    <x v="0"/>
    <x v="0"/>
    <x v="30"/>
    <x v="29"/>
    <x v="29"/>
    <x v="29"/>
    <x v="28"/>
    <x v="31"/>
    <x v="32"/>
    <x v="32"/>
    <x v="35"/>
    <x v="31"/>
    <x v="31"/>
    <n v="2109991.2999999998"/>
  </r>
  <r>
    <x v="8"/>
    <x v="11"/>
    <x v="1"/>
    <x v="0"/>
    <x v="0"/>
    <x v="0"/>
    <x v="0"/>
    <x v="0"/>
    <x v="0"/>
    <x v="0"/>
    <x v="33"/>
    <x v="33"/>
    <x v="36"/>
    <x v="32"/>
    <x v="32"/>
    <n v="-423595.34"/>
  </r>
  <r>
    <x v="8"/>
    <x v="12"/>
    <x v="1"/>
    <x v="0"/>
    <x v="31"/>
    <x v="30"/>
    <x v="30"/>
    <x v="30"/>
    <x v="29"/>
    <x v="32"/>
    <x v="0"/>
    <x v="0"/>
    <x v="22"/>
    <x v="2"/>
    <x v="2"/>
    <n v="-556008.81999999995"/>
  </r>
  <r>
    <x v="8"/>
    <x v="2"/>
    <x v="2"/>
    <x v="0"/>
    <x v="32"/>
    <x v="31"/>
    <x v="31"/>
    <x v="31"/>
    <x v="30"/>
    <x v="33"/>
    <x v="34"/>
    <x v="34"/>
    <x v="37"/>
    <x v="33"/>
    <x v="33"/>
    <n v="1130387.1399999999"/>
  </r>
  <r>
    <x v="9"/>
    <x v="7"/>
    <x v="0"/>
    <x v="24"/>
    <x v="33"/>
    <x v="32"/>
    <x v="32"/>
    <x v="32"/>
    <x v="31"/>
    <x v="34"/>
    <x v="35"/>
    <x v="35"/>
    <x v="38"/>
    <x v="34"/>
    <x v="34"/>
    <n v="5191412.67"/>
  </r>
  <r>
    <x v="9"/>
    <x v="8"/>
    <x v="1"/>
    <x v="0"/>
    <x v="0"/>
    <x v="0"/>
    <x v="0"/>
    <x v="0"/>
    <x v="0"/>
    <x v="35"/>
    <x v="36"/>
    <x v="36"/>
    <x v="39"/>
    <x v="35"/>
    <x v="35"/>
    <n v="-1079893.0900000001"/>
  </r>
  <r>
    <x v="9"/>
    <x v="9"/>
    <x v="1"/>
    <x v="25"/>
    <x v="34"/>
    <x v="33"/>
    <x v="33"/>
    <x v="33"/>
    <x v="32"/>
    <x v="36"/>
    <x v="37"/>
    <x v="0"/>
    <x v="40"/>
    <x v="2"/>
    <x v="2"/>
    <n v="-1490730.53"/>
  </r>
  <r>
    <x v="9"/>
    <x v="2"/>
    <x v="2"/>
    <x v="26"/>
    <x v="35"/>
    <x v="34"/>
    <x v="34"/>
    <x v="34"/>
    <x v="33"/>
    <x v="37"/>
    <x v="38"/>
    <x v="37"/>
    <x v="41"/>
    <x v="36"/>
    <x v="36"/>
    <n v="2620789.0499999998"/>
  </r>
  <r>
    <x v="10"/>
    <x v="7"/>
    <x v="0"/>
    <x v="27"/>
    <x v="36"/>
    <x v="35"/>
    <x v="35"/>
    <x v="35"/>
    <x v="34"/>
    <x v="38"/>
    <x v="39"/>
    <x v="38"/>
    <x v="42"/>
    <x v="37"/>
    <x v="37"/>
    <n v="1024389.03"/>
  </r>
  <r>
    <x v="10"/>
    <x v="8"/>
    <x v="1"/>
    <x v="0"/>
    <x v="0"/>
    <x v="0"/>
    <x v="0"/>
    <x v="0"/>
    <x v="0"/>
    <x v="39"/>
    <x v="40"/>
    <x v="39"/>
    <x v="43"/>
    <x v="38"/>
    <x v="38"/>
    <n v="-203753.88"/>
  </r>
  <r>
    <x v="10"/>
    <x v="9"/>
    <x v="1"/>
    <x v="28"/>
    <x v="37"/>
    <x v="36"/>
    <x v="36"/>
    <x v="36"/>
    <x v="35"/>
    <x v="40"/>
    <x v="41"/>
    <x v="0"/>
    <x v="22"/>
    <x v="2"/>
    <x v="2"/>
    <n v="-267065.71999999997"/>
  </r>
  <r>
    <x v="10"/>
    <x v="2"/>
    <x v="2"/>
    <x v="29"/>
    <x v="38"/>
    <x v="37"/>
    <x v="37"/>
    <x v="37"/>
    <x v="36"/>
    <x v="41"/>
    <x v="42"/>
    <x v="40"/>
    <x v="44"/>
    <x v="39"/>
    <x v="39"/>
    <n v="553569.43000000005"/>
  </r>
  <r>
    <x v="11"/>
    <x v="10"/>
    <x v="0"/>
    <x v="0"/>
    <x v="39"/>
    <x v="38"/>
    <x v="38"/>
    <x v="38"/>
    <x v="37"/>
    <x v="42"/>
    <x v="43"/>
    <x v="41"/>
    <x v="45"/>
    <x v="40"/>
    <x v="40"/>
    <n v="4970953.68"/>
  </r>
  <r>
    <x v="11"/>
    <x v="11"/>
    <x v="1"/>
    <x v="0"/>
    <x v="0"/>
    <x v="0"/>
    <x v="0"/>
    <x v="0"/>
    <x v="0"/>
    <x v="0"/>
    <x v="44"/>
    <x v="42"/>
    <x v="46"/>
    <x v="41"/>
    <x v="41"/>
    <n v="-1352360.77"/>
  </r>
  <r>
    <x v="11"/>
    <x v="12"/>
    <x v="1"/>
    <x v="0"/>
    <x v="40"/>
    <x v="39"/>
    <x v="39"/>
    <x v="39"/>
    <x v="38"/>
    <x v="43"/>
    <x v="45"/>
    <x v="0"/>
    <x v="22"/>
    <x v="2"/>
    <x v="2"/>
    <n v="-2366062.23"/>
  </r>
  <r>
    <x v="11"/>
    <x v="2"/>
    <x v="2"/>
    <x v="0"/>
    <x v="41"/>
    <x v="40"/>
    <x v="40"/>
    <x v="40"/>
    <x v="39"/>
    <x v="44"/>
    <x v="46"/>
    <x v="43"/>
    <x v="47"/>
    <x v="42"/>
    <x v="42"/>
    <n v="1252530.68"/>
  </r>
  <r>
    <x v="12"/>
    <x v="10"/>
    <x v="0"/>
    <x v="0"/>
    <x v="42"/>
    <x v="41"/>
    <x v="41"/>
    <x v="41"/>
    <x v="40"/>
    <x v="45"/>
    <x v="47"/>
    <x v="44"/>
    <x v="48"/>
    <x v="43"/>
    <x v="43"/>
    <n v="13160675.140000001"/>
  </r>
  <r>
    <x v="12"/>
    <x v="11"/>
    <x v="1"/>
    <x v="0"/>
    <x v="0"/>
    <x v="0"/>
    <x v="0"/>
    <x v="0"/>
    <x v="0"/>
    <x v="0"/>
    <x v="48"/>
    <x v="45"/>
    <x v="49"/>
    <x v="44"/>
    <x v="44"/>
    <n v="-3677368.35"/>
  </r>
  <r>
    <x v="12"/>
    <x v="12"/>
    <x v="1"/>
    <x v="0"/>
    <x v="43"/>
    <x v="42"/>
    <x v="42"/>
    <x v="42"/>
    <x v="41"/>
    <x v="46"/>
    <x v="0"/>
    <x v="0"/>
    <x v="50"/>
    <x v="45"/>
    <x v="2"/>
    <n v="-6026686.75"/>
  </r>
  <r>
    <x v="12"/>
    <x v="2"/>
    <x v="2"/>
    <x v="0"/>
    <x v="44"/>
    <x v="43"/>
    <x v="43"/>
    <x v="43"/>
    <x v="42"/>
    <x v="47"/>
    <x v="49"/>
    <x v="46"/>
    <x v="51"/>
    <x v="46"/>
    <x v="45"/>
    <n v="3456620.04"/>
  </r>
  <r>
    <x v="13"/>
    <x v="7"/>
    <x v="3"/>
    <x v="30"/>
    <x v="45"/>
    <x v="44"/>
    <x v="44"/>
    <x v="44"/>
    <x v="43"/>
    <x v="48"/>
    <x v="50"/>
    <x v="47"/>
    <x v="52"/>
    <x v="47"/>
    <x v="46"/>
    <n v="-10736.38"/>
  </r>
  <r>
    <x v="13"/>
    <x v="7"/>
    <x v="0"/>
    <x v="31"/>
    <x v="46"/>
    <x v="45"/>
    <x v="45"/>
    <x v="45"/>
    <x v="44"/>
    <x v="49"/>
    <x v="51"/>
    <x v="48"/>
    <x v="53"/>
    <x v="48"/>
    <x v="47"/>
    <n v="1866397.63"/>
  </r>
  <r>
    <x v="13"/>
    <x v="8"/>
    <x v="1"/>
    <x v="0"/>
    <x v="0"/>
    <x v="0"/>
    <x v="0"/>
    <x v="0"/>
    <x v="0"/>
    <x v="50"/>
    <x v="52"/>
    <x v="49"/>
    <x v="54"/>
    <x v="49"/>
    <x v="48"/>
    <n v="-283130.40000000002"/>
  </r>
  <r>
    <x v="13"/>
    <x v="9"/>
    <x v="1"/>
    <x v="32"/>
    <x v="47"/>
    <x v="46"/>
    <x v="46"/>
    <x v="46"/>
    <x v="45"/>
    <x v="51"/>
    <x v="53"/>
    <x v="7"/>
    <x v="8"/>
    <x v="2"/>
    <x v="2"/>
    <n v="-689882.26"/>
  </r>
  <r>
    <x v="13"/>
    <x v="2"/>
    <x v="2"/>
    <x v="33"/>
    <x v="48"/>
    <x v="47"/>
    <x v="47"/>
    <x v="47"/>
    <x v="46"/>
    <x v="52"/>
    <x v="54"/>
    <x v="50"/>
    <x v="55"/>
    <x v="50"/>
    <x v="49"/>
    <n v="882648.59"/>
  </r>
  <r>
    <x v="14"/>
    <x v="7"/>
    <x v="0"/>
    <x v="34"/>
    <x v="49"/>
    <x v="48"/>
    <x v="48"/>
    <x v="48"/>
    <x v="47"/>
    <x v="53"/>
    <x v="55"/>
    <x v="51"/>
    <x v="56"/>
    <x v="51"/>
    <x v="50"/>
    <n v="115897.09"/>
  </r>
  <r>
    <x v="14"/>
    <x v="8"/>
    <x v="1"/>
    <x v="0"/>
    <x v="0"/>
    <x v="0"/>
    <x v="0"/>
    <x v="0"/>
    <x v="0"/>
    <x v="54"/>
    <x v="56"/>
    <x v="52"/>
    <x v="57"/>
    <x v="52"/>
    <x v="51"/>
    <n v="-25852.959999999999"/>
  </r>
  <r>
    <x v="14"/>
    <x v="9"/>
    <x v="1"/>
    <x v="35"/>
    <x v="50"/>
    <x v="49"/>
    <x v="49"/>
    <x v="49"/>
    <x v="48"/>
    <x v="55"/>
    <x v="0"/>
    <x v="0"/>
    <x v="22"/>
    <x v="2"/>
    <x v="2"/>
    <n v="-43802.14"/>
  </r>
  <r>
    <x v="14"/>
    <x v="2"/>
    <x v="2"/>
    <x v="36"/>
    <x v="51"/>
    <x v="50"/>
    <x v="50"/>
    <x v="50"/>
    <x v="49"/>
    <x v="56"/>
    <x v="57"/>
    <x v="53"/>
    <x v="58"/>
    <x v="53"/>
    <x v="52"/>
    <n v="46241.99"/>
  </r>
  <r>
    <x v="15"/>
    <x v="10"/>
    <x v="0"/>
    <x v="0"/>
    <x v="52"/>
    <x v="51"/>
    <x v="6"/>
    <x v="6"/>
    <x v="50"/>
    <x v="57"/>
    <x v="58"/>
    <x v="54"/>
    <x v="59"/>
    <x v="54"/>
    <x v="53"/>
    <n v="56370.239999999998"/>
  </r>
  <r>
    <x v="15"/>
    <x v="11"/>
    <x v="1"/>
    <x v="0"/>
    <x v="0"/>
    <x v="0"/>
    <x v="0"/>
    <x v="0"/>
    <x v="0"/>
    <x v="0"/>
    <x v="59"/>
    <x v="55"/>
    <x v="60"/>
    <x v="55"/>
    <x v="54"/>
    <n v="-20751.05"/>
  </r>
  <r>
    <x v="15"/>
    <x v="12"/>
    <x v="1"/>
    <x v="0"/>
    <x v="53"/>
    <x v="52"/>
    <x v="51"/>
    <x v="51"/>
    <x v="51"/>
    <x v="58"/>
    <x v="0"/>
    <x v="0"/>
    <x v="22"/>
    <x v="2"/>
    <x v="2"/>
    <n v="-27410.639999999999"/>
  </r>
  <r>
    <x v="15"/>
    <x v="2"/>
    <x v="2"/>
    <x v="0"/>
    <x v="54"/>
    <x v="53"/>
    <x v="51"/>
    <x v="51"/>
    <x v="52"/>
    <x v="59"/>
    <x v="60"/>
    <x v="56"/>
    <x v="61"/>
    <x v="56"/>
    <x v="55"/>
    <n v="8208.5499999999993"/>
  </r>
  <r>
    <x v="16"/>
    <x v="10"/>
    <x v="0"/>
    <x v="0"/>
    <x v="55"/>
    <x v="54"/>
    <x v="52"/>
    <x v="52"/>
    <x v="53"/>
    <x v="60"/>
    <x v="61"/>
    <x v="57"/>
    <x v="62"/>
    <x v="57"/>
    <x v="56"/>
    <n v="174191.89"/>
  </r>
  <r>
    <x v="16"/>
    <x v="11"/>
    <x v="1"/>
    <x v="0"/>
    <x v="0"/>
    <x v="0"/>
    <x v="0"/>
    <x v="0"/>
    <x v="0"/>
    <x v="0"/>
    <x v="62"/>
    <x v="58"/>
    <x v="63"/>
    <x v="58"/>
    <x v="57"/>
    <n v="-53902.77"/>
  </r>
  <r>
    <x v="16"/>
    <x v="12"/>
    <x v="1"/>
    <x v="0"/>
    <x v="56"/>
    <x v="55"/>
    <x v="53"/>
    <x v="53"/>
    <x v="54"/>
    <x v="61"/>
    <x v="0"/>
    <x v="0"/>
    <x v="22"/>
    <x v="2"/>
    <x v="2"/>
    <n v="-109642.56"/>
  </r>
  <r>
    <x v="16"/>
    <x v="2"/>
    <x v="2"/>
    <x v="0"/>
    <x v="57"/>
    <x v="56"/>
    <x v="54"/>
    <x v="54"/>
    <x v="55"/>
    <x v="62"/>
    <x v="63"/>
    <x v="59"/>
    <x v="64"/>
    <x v="59"/>
    <x v="58"/>
    <n v="10646.56"/>
  </r>
  <r>
    <x v="17"/>
    <x v="7"/>
    <x v="0"/>
    <x v="37"/>
    <x v="0"/>
    <x v="57"/>
    <x v="55"/>
    <x v="55"/>
    <x v="0"/>
    <x v="63"/>
    <x v="64"/>
    <x v="0"/>
    <x v="65"/>
    <x v="60"/>
    <x v="2"/>
    <n v="596289.98"/>
  </r>
  <r>
    <x v="17"/>
    <x v="8"/>
    <x v="1"/>
    <x v="0"/>
    <x v="0"/>
    <x v="0"/>
    <x v="0"/>
    <x v="0"/>
    <x v="0"/>
    <x v="64"/>
    <x v="65"/>
    <x v="0"/>
    <x v="66"/>
    <x v="61"/>
    <x v="2"/>
    <n v="-156370.46"/>
  </r>
  <r>
    <x v="17"/>
    <x v="9"/>
    <x v="1"/>
    <x v="38"/>
    <x v="0"/>
    <x v="58"/>
    <x v="56"/>
    <x v="56"/>
    <x v="0"/>
    <x v="65"/>
    <x v="0"/>
    <x v="0"/>
    <x v="22"/>
    <x v="2"/>
    <x v="2"/>
    <n v="-187488.97"/>
  </r>
  <r>
    <x v="17"/>
    <x v="2"/>
    <x v="2"/>
    <x v="39"/>
    <x v="0"/>
    <x v="59"/>
    <x v="57"/>
    <x v="57"/>
    <x v="0"/>
    <x v="66"/>
    <x v="66"/>
    <x v="0"/>
    <x v="67"/>
    <x v="7"/>
    <x v="2"/>
    <n v="252430.55"/>
  </r>
  <r>
    <x v="18"/>
    <x v="10"/>
    <x v="0"/>
    <x v="0"/>
    <x v="58"/>
    <x v="60"/>
    <x v="58"/>
    <x v="58"/>
    <x v="56"/>
    <x v="67"/>
    <x v="67"/>
    <x v="60"/>
    <x v="68"/>
    <x v="62"/>
    <x v="59"/>
    <n v="3035752.44"/>
  </r>
  <r>
    <x v="18"/>
    <x v="11"/>
    <x v="1"/>
    <x v="0"/>
    <x v="0"/>
    <x v="0"/>
    <x v="0"/>
    <x v="0"/>
    <x v="0"/>
    <x v="0"/>
    <x v="68"/>
    <x v="61"/>
    <x v="69"/>
    <x v="63"/>
    <x v="60"/>
    <n v="-1041295.79"/>
  </r>
  <r>
    <x v="18"/>
    <x v="12"/>
    <x v="1"/>
    <x v="0"/>
    <x v="59"/>
    <x v="61"/>
    <x v="59"/>
    <x v="59"/>
    <x v="57"/>
    <x v="68"/>
    <x v="0"/>
    <x v="0"/>
    <x v="22"/>
    <x v="2"/>
    <x v="2"/>
    <n v="-2054566.97"/>
  </r>
  <r>
    <x v="18"/>
    <x v="2"/>
    <x v="2"/>
    <x v="0"/>
    <x v="60"/>
    <x v="62"/>
    <x v="60"/>
    <x v="60"/>
    <x v="58"/>
    <x v="69"/>
    <x v="69"/>
    <x v="62"/>
    <x v="70"/>
    <x v="64"/>
    <x v="61"/>
    <n v="-60110.32"/>
  </r>
  <r>
    <x v="19"/>
    <x v="10"/>
    <x v="0"/>
    <x v="0"/>
    <x v="61"/>
    <x v="63"/>
    <x v="61"/>
    <x v="61"/>
    <x v="59"/>
    <x v="70"/>
    <x v="70"/>
    <x v="63"/>
    <x v="71"/>
    <x v="65"/>
    <x v="62"/>
    <n v="1213010.07"/>
  </r>
  <r>
    <x v="19"/>
    <x v="11"/>
    <x v="1"/>
    <x v="0"/>
    <x v="0"/>
    <x v="0"/>
    <x v="0"/>
    <x v="0"/>
    <x v="0"/>
    <x v="0"/>
    <x v="71"/>
    <x v="64"/>
    <x v="72"/>
    <x v="66"/>
    <x v="63"/>
    <n v="-363177.44"/>
  </r>
  <r>
    <x v="19"/>
    <x v="12"/>
    <x v="1"/>
    <x v="0"/>
    <x v="62"/>
    <x v="64"/>
    <x v="62"/>
    <x v="62"/>
    <x v="60"/>
    <x v="71"/>
    <x v="0"/>
    <x v="0"/>
    <x v="22"/>
    <x v="2"/>
    <x v="2"/>
    <n v="-874747.61"/>
  </r>
  <r>
    <x v="19"/>
    <x v="2"/>
    <x v="2"/>
    <x v="0"/>
    <x v="63"/>
    <x v="65"/>
    <x v="63"/>
    <x v="63"/>
    <x v="61"/>
    <x v="72"/>
    <x v="72"/>
    <x v="65"/>
    <x v="73"/>
    <x v="67"/>
    <x v="64"/>
    <n v="-24914.98"/>
  </r>
  <r>
    <x v="20"/>
    <x v="10"/>
    <x v="0"/>
    <x v="0"/>
    <x v="64"/>
    <x v="66"/>
    <x v="64"/>
    <x v="64"/>
    <x v="62"/>
    <x v="73"/>
    <x v="73"/>
    <x v="66"/>
    <x v="74"/>
    <x v="68"/>
    <x v="65"/>
    <n v="5134930.8499999996"/>
  </r>
  <r>
    <x v="20"/>
    <x v="11"/>
    <x v="1"/>
    <x v="0"/>
    <x v="0"/>
    <x v="0"/>
    <x v="0"/>
    <x v="0"/>
    <x v="0"/>
    <x v="0"/>
    <x v="74"/>
    <x v="67"/>
    <x v="75"/>
    <x v="69"/>
    <x v="66"/>
    <n v="-1023102.97"/>
  </r>
  <r>
    <x v="20"/>
    <x v="12"/>
    <x v="1"/>
    <x v="0"/>
    <x v="65"/>
    <x v="67"/>
    <x v="65"/>
    <x v="65"/>
    <x v="63"/>
    <x v="74"/>
    <x v="0"/>
    <x v="68"/>
    <x v="76"/>
    <x v="2"/>
    <x v="2"/>
    <n v="-1923654.53"/>
  </r>
  <r>
    <x v="20"/>
    <x v="2"/>
    <x v="2"/>
    <x v="0"/>
    <x v="66"/>
    <x v="68"/>
    <x v="66"/>
    <x v="66"/>
    <x v="64"/>
    <x v="75"/>
    <x v="75"/>
    <x v="69"/>
    <x v="77"/>
    <x v="70"/>
    <x v="67"/>
    <n v="2188173.35"/>
  </r>
  <r>
    <x v="21"/>
    <x v="2"/>
    <x v="2"/>
    <x v="40"/>
    <x v="67"/>
    <x v="69"/>
    <x v="67"/>
    <x v="67"/>
    <x v="65"/>
    <x v="76"/>
    <x v="76"/>
    <x v="70"/>
    <x v="78"/>
    <x v="71"/>
    <x v="68"/>
    <n v="941143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O26" firstHeaderRow="1" firstDataRow="2" firstDataCol="2" rowPageCount="1" colPageCount="1"/>
  <pivotFields count="16">
    <pivotField axis="axisRow" compact="0" outline="0" showAll="0" defaultSubtotal="0">
      <items count="22">
        <item x="21"/>
        <item x="0"/>
        <item x="1"/>
        <item x="2"/>
        <item x="3"/>
        <item x="4"/>
        <item x="5"/>
        <item x="6"/>
        <item x="7"/>
        <item x="8"/>
        <item x="9"/>
        <item x="10"/>
        <item x="11"/>
        <item x="12"/>
        <item x="13"/>
        <item x="14"/>
        <item x="15"/>
        <item x="16"/>
        <item x="17"/>
        <item x="18"/>
        <item x="19"/>
        <item x="20"/>
      </items>
    </pivotField>
    <pivotField axis="axisPage" compact="0" outline="0" multipleItemSelectionAllowed="1" showAll="0">
      <items count="14">
        <item x="6"/>
        <item x="7"/>
        <item x="8"/>
        <item x="9"/>
        <item x="3"/>
        <item x="4"/>
        <item h="1" x="5"/>
        <item x="10"/>
        <item x="11"/>
        <item x="12"/>
        <item x="1"/>
        <item x="0"/>
        <item x="2"/>
        <item t="default"/>
      </items>
    </pivotField>
    <pivotField axis="axisRow" compact="0" outline="0" showAll="0" defaultSubtotal="0">
      <items count="4">
        <item h="1" x="2"/>
        <item h="1" x="3"/>
        <item h="1" x="0"/>
        <item x="1"/>
      </items>
    </pivotField>
    <pivotField dataField="1" compact="0" outline="0" showAll="0">
      <items count="42">
        <item x="4"/>
        <item x="12"/>
        <item x="40"/>
        <item x="9"/>
        <item x="19"/>
        <item x="13"/>
        <item x="20"/>
        <item x="16"/>
        <item x="25"/>
        <item x="5"/>
        <item x="32"/>
        <item x="22"/>
        <item x="38"/>
        <item x="17"/>
        <item x="33"/>
        <item x="28"/>
        <item x="10"/>
        <item x="7"/>
        <item x="35"/>
        <item x="6"/>
        <item x="30"/>
        <item x="36"/>
        <item x="14"/>
        <item x="2"/>
        <item x="3"/>
        <item x="1"/>
        <item x="34"/>
        <item x="29"/>
        <item x="39"/>
        <item x="27"/>
        <item x="37"/>
        <item x="31"/>
        <item x="23"/>
        <item x="26"/>
        <item x="15"/>
        <item x="21"/>
        <item x="24"/>
        <item x="18"/>
        <item x="11"/>
        <item x="8"/>
        <item x="0"/>
        <item t="default"/>
      </items>
    </pivotField>
    <pivotField dataField="1" compact="0" outline="0" showAll="0">
      <items count="69">
        <item x="4"/>
        <item x="12"/>
        <item x="22"/>
        <item x="43"/>
        <item x="40"/>
        <item x="28"/>
        <item x="16"/>
        <item x="5"/>
        <item x="65"/>
        <item x="59"/>
        <item x="34"/>
        <item x="47"/>
        <item x="62"/>
        <item x="25"/>
        <item x="31"/>
        <item x="60"/>
        <item x="63"/>
        <item x="37"/>
        <item x="56"/>
        <item x="10"/>
        <item x="7"/>
        <item x="50"/>
        <item x="53"/>
        <item x="57"/>
        <item x="20"/>
        <item x="54"/>
        <item x="29"/>
        <item x="45"/>
        <item x="19"/>
        <item x="14"/>
        <item x="2"/>
        <item x="18"/>
        <item x="6"/>
        <item x="3"/>
        <item x="1"/>
        <item x="51"/>
        <item x="52"/>
        <item x="49"/>
        <item x="55"/>
        <item x="48"/>
        <item x="41"/>
        <item x="66"/>
        <item x="61"/>
        <item x="32"/>
        <item x="38"/>
        <item x="36"/>
        <item x="58"/>
        <item x="17"/>
        <item x="46"/>
        <item x="30"/>
        <item x="26"/>
        <item x="35"/>
        <item x="44"/>
        <item x="23"/>
        <item x="24"/>
        <item x="13"/>
        <item x="64"/>
        <item x="27"/>
        <item x="33"/>
        <item x="39"/>
        <item x="15"/>
        <item x="42"/>
        <item x="21"/>
        <item x="9"/>
        <item x="67"/>
        <item x="11"/>
        <item x="8"/>
        <item x="0"/>
        <item t="default"/>
      </items>
    </pivotField>
    <pivotField dataField="1" compact="0" outline="0" showAll="0">
      <items count="71">
        <item x="4"/>
        <item x="12"/>
        <item x="21"/>
        <item x="42"/>
        <item x="5"/>
        <item x="39"/>
        <item x="27"/>
        <item x="61"/>
        <item x="16"/>
        <item x="67"/>
        <item x="33"/>
        <item x="62"/>
        <item x="64"/>
        <item x="46"/>
        <item x="65"/>
        <item x="30"/>
        <item x="24"/>
        <item x="36"/>
        <item x="58"/>
        <item x="55"/>
        <item x="10"/>
        <item x="7"/>
        <item x="49"/>
        <item x="52"/>
        <item x="53"/>
        <item x="19"/>
        <item x="56"/>
        <item x="44"/>
        <item x="18"/>
        <item x="14"/>
        <item x="2"/>
        <item x="6"/>
        <item x="3"/>
        <item x="1"/>
        <item x="51"/>
        <item x="50"/>
        <item x="48"/>
        <item x="54"/>
        <item x="59"/>
        <item x="28"/>
        <item x="57"/>
        <item x="37"/>
        <item x="63"/>
        <item x="31"/>
        <item x="68"/>
        <item x="35"/>
        <item x="40"/>
        <item x="47"/>
        <item x="60"/>
        <item x="29"/>
        <item x="45"/>
        <item x="43"/>
        <item x="17"/>
        <item x="25"/>
        <item x="34"/>
        <item x="23"/>
        <item x="66"/>
        <item x="26"/>
        <item x="32"/>
        <item x="38"/>
        <item x="15"/>
        <item x="22"/>
        <item x="41"/>
        <item x="13"/>
        <item x="20"/>
        <item x="9"/>
        <item x="69"/>
        <item x="11"/>
        <item x="8"/>
        <item x="0"/>
        <item t="default"/>
      </items>
    </pivotField>
    <pivotField dataField="1" compact="0" outline="0" showAll="0">
      <items count="69">
        <item x="4"/>
        <item x="12"/>
        <item x="5"/>
        <item x="21"/>
        <item x="42"/>
        <item x="39"/>
        <item x="27"/>
        <item x="65"/>
        <item x="59"/>
        <item x="16"/>
        <item x="33"/>
        <item x="60"/>
        <item x="62"/>
        <item x="46"/>
        <item x="63"/>
        <item x="30"/>
        <item x="24"/>
        <item x="56"/>
        <item x="36"/>
        <item x="53"/>
        <item x="7"/>
        <item x="10"/>
        <item x="19"/>
        <item x="49"/>
        <item x="51"/>
        <item x="54"/>
        <item x="44"/>
        <item x="18"/>
        <item x="14"/>
        <item x="2"/>
        <item x="6"/>
        <item x="3"/>
        <item x="1"/>
        <item x="50"/>
        <item x="48"/>
        <item x="52"/>
        <item x="37"/>
        <item x="31"/>
        <item x="61"/>
        <item x="28"/>
        <item x="57"/>
        <item x="40"/>
        <item x="35"/>
        <item x="47"/>
        <item x="55"/>
        <item x="29"/>
        <item x="43"/>
        <item x="58"/>
        <item x="25"/>
        <item x="45"/>
        <item x="23"/>
        <item x="66"/>
        <item x="17"/>
        <item x="34"/>
        <item x="26"/>
        <item x="38"/>
        <item x="32"/>
        <item x="15"/>
        <item x="64"/>
        <item x="22"/>
        <item x="41"/>
        <item x="20"/>
        <item x="13"/>
        <item x="9"/>
        <item x="11"/>
        <item x="67"/>
        <item x="8"/>
        <item x="0"/>
        <item t="default"/>
      </items>
    </pivotField>
    <pivotField dataField="1" compact="0" outline="0" showAll="0">
      <items count="69">
        <item x="4"/>
        <item x="12"/>
        <item x="5"/>
        <item x="21"/>
        <item x="42"/>
        <item x="27"/>
        <item x="39"/>
        <item x="16"/>
        <item x="33"/>
        <item x="59"/>
        <item x="65"/>
        <item x="62"/>
        <item x="46"/>
        <item x="30"/>
        <item x="24"/>
        <item x="36"/>
        <item x="56"/>
        <item x="53"/>
        <item x="7"/>
        <item x="10"/>
        <item x="49"/>
        <item x="19"/>
        <item x="51"/>
        <item x="44"/>
        <item x="54"/>
        <item x="14"/>
        <item x="2"/>
        <item x="18"/>
        <item x="6"/>
        <item x="3"/>
        <item x="1"/>
        <item x="50"/>
        <item x="63"/>
        <item x="48"/>
        <item x="52"/>
        <item x="57"/>
        <item x="60"/>
        <item x="55"/>
        <item x="37"/>
        <item x="31"/>
        <item x="61"/>
        <item x="47"/>
        <item x="35"/>
        <item x="28"/>
        <item x="40"/>
        <item x="29"/>
        <item x="25"/>
        <item x="45"/>
        <item x="58"/>
        <item x="66"/>
        <item x="43"/>
        <item x="34"/>
        <item x="23"/>
        <item x="17"/>
        <item x="64"/>
        <item x="38"/>
        <item x="32"/>
        <item x="26"/>
        <item x="15"/>
        <item x="41"/>
        <item x="22"/>
        <item x="20"/>
        <item x="13"/>
        <item x="9"/>
        <item x="11"/>
        <item x="67"/>
        <item x="8"/>
        <item x="0"/>
        <item t="default"/>
      </items>
    </pivotField>
    <pivotField dataField="1" compact="0" outline="0" showAll="0">
      <items count="67">
        <item x="4"/>
        <item x="12"/>
        <item x="5"/>
        <item x="20"/>
        <item x="41"/>
        <item x="57"/>
        <item x="26"/>
        <item x="63"/>
        <item x="38"/>
        <item x="32"/>
        <item x="16"/>
        <item x="60"/>
        <item x="45"/>
        <item x="29"/>
        <item x="23"/>
        <item x="35"/>
        <item x="54"/>
        <item x="7"/>
        <item x="10"/>
        <item x="36"/>
        <item x="48"/>
        <item x="55"/>
        <item x="51"/>
        <item x="52"/>
        <item x="43"/>
        <item x="58"/>
        <item x="14"/>
        <item x="2"/>
        <item x="18"/>
        <item x="6"/>
        <item x="3"/>
        <item x="1"/>
        <item x="50"/>
        <item x="61"/>
        <item x="49"/>
        <item x="53"/>
        <item x="47"/>
        <item x="34"/>
        <item x="39"/>
        <item x="46"/>
        <item x="30"/>
        <item x="27"/>
        <item x="59"/>
        <item x="28"/>
        <item x="44"/>
        <item x="24"/>
        <item x="42"/>
        <item x="33"/>
        <item x="22"/>
        <item x="17"/>
        <item x="64"/>
        <item x="56"/>
        <item x="37"/>
        <item x="25"/>
        <item x="31"/>
        <item x="15"/>
        <item x="62"/>
        <item x="21"/>
        <item x="40"/>
        <item x="19"/>
        <item x="13"/>
        <item x="9"/>
        <item x="11"/>
        <item x="65"/>
        <item x="8"/>
        <item x="0"/>
        <item t="default"/>
      </items>
    </pivotField>
    <pivotField dataField="1" compact="0" outline="0" showAll="0">
      <items count="78">
        <item x="4"/>
        <item x="12"/>
        <item x="5"/>
        <item x="46"/>
        <item x="22"/>
        <item x="21"/>
        <item x="29"/>
        <item x="68"/>
        <item x="43"/>
        <item x="74"/>
        <item x="16"/>
        <item x="36"/>
        <item x="71"/>
        <item x="32"/>
        <item x="35"/>
        <item x="51"/>
        <item x="65"/>
        <item x="26"/>
        <item x="50"/>
        <item x="25"/>
        <item x="64"/>
        <item x="40"/>
        <item x="61"/>
        <item x="7"/>
        <item x="39"/>
        <item x="10"/>
        <item x="19"/>
        <item x="58"/>
        <item x="55"/>
        <item x="59"/>
        <item x="72"/>
        <item x="54"/>
        <item x="48"/>
        <item x="14"/>
        <item x="2"/>
        <item x="18"/>
        <item x="6"/>
        <item x="3"/>
        <item x="1"/>
        <item x="57"/>
        <item x="56"/>
        <item x="62"/>
        <item x="53"/>
        <item x="69"/>
        <item x="60"/>
        <item x="41"/>
        <item x="66"/>
        <item x="44"/>
        <item x="38"/>
        <item x="33"/>
        <item x="70"/>
        <item x="30"/>
        <item x="52"/>
        <item x="63"/>
        <item x="31"/>
        <item x="27"/>
        <item x="75"/>
        <item x="17"/>
        <item x="49"/>
        <item x="24"/>
        <item x="37"/>
        <item x="67"/>
        <item x="42"/>
        <item x="15"/>
        <item x="28"/>
        <item x="73"/>
        <item x="34"/>
        <item x="47"/>
        <item x="23"/>
        <item x="45"/>
        <item x="20"/>
        <item x="13"/>
        <item x="9"/>
        <item x="11"/>
        <item x="76"/>
        <item x="8"/>
        <item x="0"/>
        <item t="default"/>
      </items>
    </pivotField>
    <pivotField dataField="1" compact="0" outline="0" showAll="0">
      <items count="78">
        <item x="4"/>
        <item x="12"/>
        <item x="5"/>
        <item x="21"/>
        <item x="48"/>
        <item x="68"/>
        <item x="44"/>
        <item x="29"/>
        <item x="74"/>
        <item x="36"/>
        <item x="16"/>
        <item x="71"/>
        <item x="33"/>
        <item x="52"/>
        <item x="25"/>
        <item x="22"/>
        <item x="65"/>
        <item x="40"/>
        <item x="45"/>
        <item x="37"/>
        <item x="7"/>
        <item x="62"/>
        <item x="10"/>
        <item x="56"/>
        <item x="30"/>
        <item x="26"/>
        <item x="41"/>
        <item x="19"/>
        <item x="59"/>
        <item x="53"/>
        <item x="50"/>
        <item x="14"/>
        <item x="2"/>
        <item x="18"/>
        <item x="6"/>
        <item x="3"/>
        <item x="1"/>
        <item x="60"/>
        <item x="57"/>
        <item x="63"/>
        <item x="66"/>
        <item x="58"/>
        <item x="55"/>
        <item x="61"/>
        <item x="72"/>
        <item x="64"/>
        <item x="69"/>
        <item x="42"/>
        <item x="54"/>
        <item x="39"/>
        <item x="34"/>
        <item x="70"/>
        <item x="17"/>
        <item x="51"/>
        <item x="46"/>
        <item x="38"/>
        <item x="32"/>
        <item x="31"/>
        <item x="27"/>
        <item x="75"/>
        <item x="24"/>
        <item x="15"/>
        <item x="67"/>
        <item x="35"/>
        <item x="43"/>
        <item x="28"/>
        <item x="73"/>
        <item x="49"/>
        <item x="23"/>
        <item x="47"/>
        <item x="20"/>
        <item x="13"/>
        <item x="9"/>
        <item x="11"/>
        <item x="76"/>
        <item x="8"/>
        <item x="0"/>
        <item t="default"/>
      </items>
    </pivotField>
    <pivotField dataField="1" compact="0" outline="0" showAll="0">
      <items count="72">
        <item x="5"/>
        <item x="13"/>
        <item x="22"/>
        <item x="6"/>
        <item x="45"/>
        <item x="42"/>
        <item x="30"/>
        <item x="66"/>
        <item x="36"/>
        <item x="61"/>
        <item x="69"/>
        <item x="17"/>
        <item x="67"/>
        <item x="33"/>
        <item x="64"/>
        <item x="26"/>
        <item x="49"/>
        <item x="39"/>
        <item x="8"/>
        <item x="58"/>
        <item x="11"/>
        <item x="52"/>
        <item x="20"/>
        <item x="55"/>
        <item x="23"/>
        <item x="47"/>
        <item x="27"/>
        <item x="15"/>
        <item x="2"/>
        <item x="4"/>
        <item x="19"/>
        <item x="7"/>
        <item x="3"/>
        <item x="1"/>
        <item x="53"/>
        <item x="59"/>
        <item x="56"/>
        <item x="51"/>
        <item x="54"/>
        <item x="57"/>
        <item x="40"/>
        <item x="65"/>
        <item x="38"/>
        <item x="18"/>
        <item x="50"/>
        <item x="62"/>
        <item x="34"/>
        <item x="63"/>
        <item x="68"/>
        <item x="43"/>
        <item x="48"/>
        <item x="37"/>
        <item x="16"/>
        <item x="32"/>
        <item x="31"/>
        <item x="28"/>
        <item x="60"/>
        <item x="25"/>
        <item x="35"/>
        <item x="41"/>
        <item x="29"/>
        <item x="46"/>
        <item x="24"/>
        <item x="44"/>
        <item x="21"/>
        <item x="14"/>
        <item x="10"/>
        <item x="12"/>
        <item x="70"/>
        <item x="9"/>
        <item x="0"/>
        <item t="default"/>
      </items>
    </pivotField>
    <pivotField dataField="1" compact="0" outline="0" showAll="0">
      <items count="80">
        <item x="6"/>
        <item x="5"/>
        <item x="15"/>
        <item x="51"/>
        <item x="49"/>
        <item x="26"/>
        <item x="7"/>
        <item x="14"/>
        <item x="75"/>
        <item x="46"/>
        <item x="33"/>
        <item x="48"/>
        <item x="39"/>
        <item x="69"/>
        <item x="76"/>
        <item x="36"/>
        <item x="66"/>
        <item x="72"/>
        <item x="30"/>
        <item x="20"/>
        <item x="54"/>
        <item x="43"/>
        <item x="9"/>
        <item x="19"/>
        <item x="63"/>
        <item x="12"/>
        <item x="40"/>
        <item x="24"/>
        <item x="57"/>
        <item x="60"/>
        <item x="52"/>
        <item x="17"/>
        <item x="1"/>
        <item x="3"/>
        <item x="23"/>
        <item x="8"/>
        <item x="27"/>
        <item x="4"/>
        <item x="2"/>
        <item x="0"/>
        <item x="64"/>
        <item x="58"/>
        <item x="67"/>
        <item x="61"/>
        <item x="56"/>
        <item x="59"/>
        <item x="62"/>
        <item x="55"/>
        <item x="44"/>
        <item x="73"/>
        <item x="65"/>
        <item x="42"/>
        <item x="70"/>
        <item x="53"/>
        <item x="47"/>
        <item x="50"/>
        <item x="37"/>
        <item x="21"/>
        <item x="41"/>
        <item x="71"/>
        <item x="31"/>
        <item x="18"/>
        <item x="34"/>
        <item x="35"/>
        <item x="29"/>
        <item x="68"/>
        <item x="38"/>
        <item x="45"/>
        <item x="28"/>
        <item x="32"/>
        <item x="77"/>
        <item x="74"/>
        <item x="25"/>
        <item x="11"/>
        <item x="16"/>
        <item x="13"/>
        <item x="78"/>
        <item x="10"/>
        <item x="22"/>
        <item t="default"/>
      </items>
    </pivotField>
    <pivotField dataField="1" compact="0" outline="0" showAll="0">
      <items count="73">
        <item x="4"/>
        <item x="44"/>
        <item x="13"/>
        <item x="22"/>
        <item x="6"/>
        <item x="41"/>
        <item x="29"/>
        <item x="35"/>
        <item x="69"/>
        <item x="63"/>
        <item x="32"/>
        <item x="26"/>
        <item x="66"/>
        <item x="38"/>
        <item x="14"/>
        <item x="49"/>
        <item x="5"/>
        <item x="61"/>
        <item x="18"/>
        <item x="8"/>
        <item x="23"/>
        <item x="11"/>
        <item x="58"/>
        <item x="55"/>
        <item x="52"/>
        <item x="19"/>
        <item x="45"/>
        <item x="47"/>
        <item x="16"/>
        <item x="1"/>
        <item x="7"/>
        <item x="3"/>
        <item x="0"/>
        <item x="59"/>
        <item x="53"/>
        <item x="51"/>
        <item x="57"/>
        <item x="56"/>
        <item x="50"/>
        <item x="54"/>
        <item x="60"/>
        <item x="39"/>
        <item x="48"/>
        <item x="67"/>
        <item x="70"/>
        <item x="64"/>
        <item x="37"/>
        <item x="65"/>
        <item x="33"/>
        <item x="20"/>
        <item x="36"/>
        <item x="42"/>
        <item x="17"/>
        <item x="27"/>
        <item x="31"/>
        <item x="30"/>
        <item x="25"/>
        <item x="68"/>
        <item x="62"/>
        <item x="34"/>
        <item x="40"/>
        <item x="24"/>
        <item x="28"/>
        <item x="46"/>
        <item x="21"/>
        <item x="43"/>
        <item x="10"/>
        <item x="15"/>
        <item x="12"/>
        <item x="9"/>
        <item x="71"/>
        <item x="2"/>
        <item t="default"/>
      </items>
    </pivotField>
    <pivotField dataField="1" compact="0" outline="0" showAll="0">
      <items count="70">
        <item x="4"/>
        <item x="13"/>
        <item x="44"/>
        <item x="23"/>
        <item x="6"/>
        <item x="41"/>
        <item x="29"/>
        <item x="66"/>
        <item x="35"/>
        <item x="60"/>
        <item x="32"/>
        <item x="26"/>
        <item x="63"/>
        <item x="38"/>
        <item x="48"/>
        <item x="18"/>
        <item x="8"/>
        <item x="57"/>
        <item x="11"/>
        <item x="54"/>
        <item x="5"/>
        <item x="51"/>
        <item x="14"/>
        <item x="46"/>
        <item x="19"/>
        <item x="16"/>
        <item x="1"/>
        <item x="21"/>
        <item x="7"/>
        <item x="3"/>
        <item x="0"/>
        <item x="52"/>
        <item x="58"/>
        <item x="55"/>
        <item x="50"/>
        <item x="53"/>
        <item x="56"/>
        <item x="49"/>
        <item x="39"/>
        <item x="47"/>
        <item x="64"/>
        <item x="37"/>
        <item x="67"/>
        <item x="61"/>
        <item x="36"/>
        <item x="20"/>
        <item x="33"/>
        <item x="62"/>
        <item x="42"/>
        <item x="17"/>
        <item x="27"/>
        <item x="31"/>
        <item x="30"/>
        <item x="25"/>
        <item x="59"/>
        <item x="65"/>
        <item x="34"/>
        <item x="40"/>
        <item x="24"/>
        <item x="45"/>
        <item x="28"/>
        <item x="22"/>
        <item x="43"/>
        <item x="10"/>
        <item x="15"/>
        <item x="12"/>
        <item x="9"/>
        <item x="68"/>
        <item x="2"/>
        <item t="default"/>
      </items>
    </pivotField>
    <pivotField dataField="1" compact="0" numFmtId="173" outline="0" showAll="0"/>
  </pivotFields>
  <rowFields count="2">
    <field x="0"/>
    <field x="2"/>
  </rowFields>
  <rowItems count="22">
    <i>
      <x v="1"/>
      <x v="3"/>
    </i>
    <i>
      <x v="2"/>
      <x v="3"/>
    </i>
    <i>
      <x v="3"/>
      <x v="3"/>
    </i>
    <i>
      <x v="4"/>
      <x v="3"/>
    </i>
    <i>
      <x v="5"/>
      <x v="3"/>
    </i>
    <i>
      <x v="6"/>
      <x v="3"/>
    </i>
    <i>
      <x v="7"/>
      <x v="3"/>
    </i>
    <i>
      <x v="8"/>
      <x v="3"/>
    </i>
    <i>
      <x v="9"/>
      <x v="3"/>
    </i>
    <i>
      <x v="10"/>
      <x v="3"/>
    </i>
    <i>
      <x v="11"/>
      <x v="3"/>
    </i>
    <i>
      <x v="12"/>
      <x v="3"/>
    </i>
    <i>
      <x v="13"/>
      <x v="3"/>
    </i>
    <i>
      <x v="14"/>
      <x v="3"/>
    </i>
    <i>
      <x v="15"/>
      <x v="3"/>
    </i>
    <i>
      <x v="16"/>
      <x v="3"/>
    </i>
    <i>
      <x v="17"/>
      <x v="3"/>
    </i>
    <i>
      <x v="18"/>
      <x v="3"/>
    </i>
    <i>
      <x v="19"/>
      <x v="3"/>
    </i>
    <i>
      <x v="20"/>
      <x v="3"/>
    </i>
    <i>
      <x v="21"/>
      <x v="3"/>
    </i>
    <i t="grand">
      <x/>
    </i>
  </rowItems>
  <colFields count="1">
    <field x="-2"/>
  </colFields>
  <colItems count="13">
    <i>
      <x/>
    </i>
    <i i="1">
      <x v="1"/>
    </i>
    <i i="2">
      <x v="2"/>
    </i>
    <i i="3">
      <x v="3"/>
    </i>
    <i i="4">
      <x v="4"/>
    </i>
    <i i="5">
      <x v="5"/>
    </i>
    <i i="6">
      <x v="6"/>
    </i>
    <i i="7">
      <x v="7"/>
    </i>
    <i i="8">
      <x v="8"/>
    </i>
    <i i="9">
      <x v="9"/>
    </i>
    <i i="10">
      <x v="10"/>
    </i>
    <i i="11">
      <x v="11"/>
    </i>
    <i i="12">
      <x v="12"/>
    </i>
  </colItems>
  <pageFields count="1">
    <pageField fld="1" hier="-1"/>
  </pageFields>
  <dataFields count="13">
    <dataField name="Sum of 010/2023" fld="3" baseField="0" baseItem="0"/>
    <dataField name="Sum of 011/2023" fld="4" baseField="0" baseItem="0"/>
    <dataField name="Sum of 012/2023" fld="5" baseField="0" baseItem="0"/>
    <dataField name="Sum of 001/2024" fld="6" baseField="0" baseItem="0"/>
    <dataField name="Sum of 002/2024" fld="7" baseField="0" baseItem="0"/>
    <dataField name="Sum of 003/2024" fld="8" baseField="0" baseItem="0"/>
    <dataField name="Sum of 004/2024" fld="9" baseField="0" baseItem="0"/>
    <dataField name="Sum of 005/2024" fld="10" baseField="0" baseItem="0"/>
    <dataField name="Sum of 006/2024" fld="11" baseField="0" baseItem="0"/>
    <dataField name="Sum of 007/2024" fld="12" baseField="0" baseItem="0"/>
    <dataField name="Sum of 008/2024" fld="13" baseField="0" baseItem="0"/>
    <dataField name="Sum of 009/2024" fld="14" baseField="0" baseItem="0"/>
    <dataField name="Sum of Overall Result" fld="15" baseField="0" baseItem="0"/>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abSelected="1" zoomScale="90" zoomScaleNormal="90" workbookViewId="0">
      <selection activeCell="A2" sqref="A2"/>
    </sheetView>
  </sheetViews>
  <sheetFormatPr defaultColWidth="8.7109375" defaultRowHeight="15" x14ac:dyDescent="0.25"/>
  <cols>
    <col min="1" max="1" width="45" style="31" bestFit="1" customWidth="1"/>
    <col min="2" max="2" width="9.140625" style="31" bestFit="1" customWidth="1"/>
    <col min="3" max="8" width="13.7109375" style="31" customWidth="1"/>
    <col min="9" max="16384" width="8.7109375" style="31"/>
  </cols>
  <sheetData>
    <row r="1" spans="1:16" s="134" customFormat="1" x14ac:dyDescent="0.25">
      <c r="A1" s="50" t="s">
        <v>0</v>
      </c>
      <c r="B1" s="50"/>
      <c r="C1" s="50"/>
      <c r="D1" s="50"/>
      <c r="E1" s="50"/>
      <c r="F1" s="50"/>
      <c r="G1" s="50"/>
      <c r="H1" s="50"/>
    </row>
    <row r="2" spans="1:16" s="134" customFormat="1" x14ac:dyDescent="0.25">
      <c r="A2" s="50" t="s">
        <v>212</v>
      </c>
      <c r="B2" s="189"/>
      <c r="C2" s="189"/>
      <c r="D2" s="189"/>
      <c r="E2" s="189"/>
      <c r="F2" s="189"/>
      <c r="G2" s="189"/>
      <c r="H2" s="189"/>
      <c r="I2" s="161"/>
      <c r="J2" s="161"/>
      <c r="K2" s="161"/>
      <c r="L2" s="161"/>
      <c r="M2" s="161"/>
      <c r="N2" s="161"/>
      <c r="O2" s="161"/>
      <c r="P2" s="161"/>
    </row>
    <row r="3" spans="1:16" s="134" customFormat="1" x14ac:dyDescent="0.25">
      <c r="A3" s="50" t="s">
        <v>213</v>
      </c>
      <c r="B3" s="50"/>
      <c r="C3" s="50"/>
      <c r="D3" s="50"/>
      <c r="E3" s="50"/>
      <c r="F3" s="50"/>
      <c r="G3" s="50"/>
      <c r="H3" s="50"/>
    </row>
    <row r="4" spans="1:16" s="134" customFormat="1" x14ac:dyDescent="0.25">
      <c r="A4" s="50" t="str">
        <f>'Sch. 111 Charge Rates'!A4:H4</f>
        <v>Proposed Rates Effective January 1, 2025</v>
      </c>
      <c r="B4" s="50"/>
      <c r="C4" s="50"/>
      <c r="D4" s="50"/>
      <c r="E4" s="50"/>
      <c r="F4" s="50"/>
      <c r="G4" s="50"/>
      <c r="H4" s="50"/>
    </row>
    <row r="5" spans="1:16" x14ac:dyDescent="0.25">
      <c r="E5" s="177"/>
      <c r="F5" s="177"/>
      <c r="G5" s="177"/>
      <c r="H5" s="177"/>
    </row>
    <row r="6" spans="1:16" x14ac:dyDescent="0.25">
      <c r="A6" s="171" t="s">
        <v>226</v>
      </c>
      <c r="C6" s="303" t="s">
        <v>209</v>
      </c>
      <c r="D6" s="304"/>
      <c r="E6" s="305"/>
      <c r="F6" s="303" t="s">
        <v>210</v>
      </c>
      <c r="G6" s="304"/>
      <c r="H6" s="305"/>
    </row>
    <row r="7" spans="1:16" x14ac:dyDescent="0.25">
      <c r="A7" s="51"/>
      <c r="B7" s="51"/>
      <c r="C7" s="51" t="s">
        <v>5</v>
      </c>
      <c r="D7" s="51" t="s">
        <v>5</v>
      </c>
      <c r="E7" s="51" t="s">
        <v>2</v>
      </c>
      <c r="F7" s="51" t="s">
        <v>5</v>
      </c>
      <c r="G7" s="51" t="s">
        <v>5</v>
      </c>
      <c r="H7" s="51" t="s">
        <v>2</v>
      </c>
      <c r="M7" s="162"/>
      <c r="N7" s="162"/>
      <c r="O7" s="162"/>
    </row>
    <row r="8" spans="1:16" x14ac:dyDescent="0.25">
      <c r="A8" s="51"/>
      <c r="B8" s="51" t="s">
        <v>105</v>
      </c>
      <c r="C8" s="51" t="s">
        <v>84</v>
      </c>
      <c r="D8" s="51" t="s">
        <v>194</v>
      </c>
      <c r="E8" s="51" t="s">
        <v>5</v>
      </c>
      <c r="F8" s="51" t="s">
        <v>84</v>
      </c>
      <c r="G8" s="51" t="s">
        <v>194</v>
      </c>
      <c r="H8" s="51" t="s">
        <v>5</v>
      </c>
      <c r="M8" s="162"/>
      <c r="N8" s="162"/>
      <c r="O8" s="162"/>
    </row>
    <row r="9" spans="1:16" x14ac:dyDescent="0.25">
      <c r="A9" s="52" t="s">
        <v>7</v>
      </c>
      <c r="B9" s="52" t="s">
        <v>122</v>
      </c>
      <c r="C9" s="38" t="s">
        <v>166</v>
      </c>
      <c r="D9" s="38" t="s">
        <v>166</v>
      </c>
      <c r="E9" s="52" t="s">
        <v>166</v>
      </c>
      <c r="F9" s="38" t="s">
        <v>166</v>
      </c>
      <c r="G9" s="38" t="s">
        <v>166</v>
      </c>
      <c r="H9" s="52" t="s">
        <v>166</v>
      </c>
      <c r="M9" s="162"/>
      <c r="N9" s="163"/>
      <c r="O9" s="162"/>
    </row>
    <row r="10" spans="1:16" x14ac:dyDescent="0.25">
      <c r="A10" s="31" t="s">
        <v>19</v>
      </c>
      <c r="B10" s="177">
        <v>23</v>
      </c>
      <c r="C10" s="164">
        <v>0.23183000000000001</v>
      </c>
      <c r="D10" s="164">
        <v>0</v>
      </c>
      <c r="E10" s="165">
        <f>SUM(C10:D10)</f>
        <v>0.23183000000000001</v>
      </c>
      <c r="F10" s="166">
        <f>'Sch. 111 Charge Rates'!G11</f>
        <v>0.16114999999999999</v>
      </c>
      <c r="G10" s="164">
        <v>0</v>
      </c>
      <c r="H10" s="165">
        <f>SUM(F10:G10)</f>
        <v>0.16114999999999999</v>
      </c>
      <c r="M10" s="162"/>
      <c r="N10" s="167"/>
      <c r="O10" s="162"/>
    </row>
    <row r="11" spans="1:16" x14ac:dyDescent="0.25">
      <c r="A11" s="31" t="s">
        <v>227</v>
      </c>
      <c r="B11" s="177">
        <v>16</v>
      </c>
      <c r="C11" s="172">
        <v>4.4000000000000004</v>
      </c>
      <c r="D11" s="172">
        <v>0</v>
      </c>
      <c r="E11" s="73">
        <f t="shared" ref="E11:E23" si="0">SUM(C11:D11)</f>
        <v>4.4000000000000004</v>
      </c>
      <c r="F11" s="145">
        <f>'Sch. 111 Charge Rates'!H12</f>
        <v>3.06</v>
      </c>
      <c r="G11" s="164">
        <v>0</v>
      </c>
      <c r="H11" s="73">
        <f t="shared" ref="H11:H23" si="1">SUM(F11:G11)</f>
        <v>3.06</v>
      </c>
      <c r="M11" s="162"/>
      <c r="N11" s="162"/>
      <c r="O11" s="162"/>
    </row>
    <row r="12" spans="1:16" x14ac:dyDescent="0.25">
      <c r="A12" s="31" t="s">
        <v>21</v>
      </c>
      <c r="B12" s="177">
        <v>31</v>
      </c>
      <c r="C12" s="164">
        <v>0.23183000000000001</v>
      </c>
      <c r="D12" s="164">
        <v>0</v>
      </c>
      <c r="E12" s="165">
        <f t="shared" si="0"/>
        <v>0.23183000000000001</v>
      </c>
      <c r="F12" s="166">
        <f>'Sch. 111 Charge Rates'!G13</f>
        <v>0.16114999999999999</v>
      </c>
      <c r="G12" s="164">
        <v>0</v>
      </c>
      <c r="H12" s="165">
        <f t="shared" si="1"/>
        <v>0.16114999999999999</v>
      </c>
      <c r="M12" s="162"/>
      <c r="N12" s="162"/>
      <c r="O12" s="162"/>
    </row>
    <row r="13" spans="1:16" x14ac:dyDescent="0.25">
      <c r="A13" s="31" t="s">
        <v>22</v>
      </c>
      <c r="B13" s="177">
        <v>41</v>
      </c>
      <c r="C13" s="164">
        <v>0.23183000000000001</v>
      </c>
      <c r="D13" s="164">
        <v>0</v>
      </c>
      <c r="E13" s="165">
        <f t="shared" si="0"/>
        <v>0.23183000000000001</v>
      </c>
      <c r="F13" s="166">
        <f>'Sch. 111 Charge Rates'!G14</f>
        <v>0.16114999999999999</v>
      </c>
      <c r="G13" s="164">
        <v>0</v>
      </c>
      <c r="H13" s="165">
        <f t="shared" si="1"/>
        <v>0.16114999999999999</v>
      </c>
    </row>
    <row r="14" spans="1:16" x14ac:dyDescent="0.25">
      <c r="A14" s="31" t="s">
        <v>23</v>
      </c>
      <c r="B14" s="177">
        <v>85</v>
      </c>
      <c r="C14" s="164">
        <v>0.23183000000000001</v>
      </c>
      <c r="D14" s="164">
        <v>0</v>
      </c>
      <c r="E14" s="165">
        <f t="shared" si="0"/>
        <v>0.23183000000000001</v>
      </c>
      <c r="F14" s="166">
        <f>'Sch. 111 Charge Rates'!G15</f>
        <v>0.16114999999999999</v>
      </c>
      <c r="G14" s="164">
        <v>0</v>
      </c>
      <c r="H14" s="165">
        <f t="shared" si="1"/>
        <v>0.16114999999999999</v>
      </c>
    </row>
    <row r="15" spans="1:16" x14ac:dyDescent="0.25">
      <c r="A15" s="31" t="s">
        <v>24</v>
      </c>
      <c r="B15" s="177">
        <v>86</v>
      </c>
      <c r="C15" s="164">
        <v>0.23183000000000001</v>
      </c>
      <c r="D15" s="164">
        <v>0</v>
      </c>
      <c r="E15" s="165">
        <f t="shared" si="0"/>
        <v>0.23183000000000001</v>
      </c>
      <c r="F15" s="166">
        <f>'Sch. 111 Charge Rates'!G16</f>
        <v>0.16114999999999999</v>
      </c>
      <c r="G15" s="164">
        <v>0</v>
      </c>
      <c r="H15" s="165">
        <f t="shared" si="1"/>
        <v>0.16114999999999999</v>
      </c>
    </row>
    <row r="16" spans="1:16" x14ac:dyDescent="0.25">
      <c r="A16" s="31" t="s">
        <v>25</v>
      </c>
      <c r="B16" s="177">
        <v>87</v>
      </c>
      <c r="C16" s="164">
        <v>0.23183000000000001</v>
      </c>
      <c r="D16" s="164">
        <v>0</v>
      </c>
      <c r="E16" s="165">
        <f t="shared" si="0"/>
        <v>0.23183000000000001</v>
      </c>
      <c r="F16" s="166">
        <f>'Sch. 111 Charge Rates'!G17</f>
        <v>0.16114999999999999</v>
      </c>
      <c r="G16" s="164">
        <v>0</v>
      </c>
      <c r="H16" s="165">
        <f t="shared" si="1"/>
        <v>0.16114999999999999</v>
      </c>
    </row>
    <row r="17" spans="1:8" x14ac:dyDescent="0.25">
      <c r="A17" s="31" t="s">
        <v>26</v>
      </c>
      <c r="B17" s="177" t="s">
        <v>27</v>
      </c>
      <c r="C17" s="164">
        <v>0.23183000000000001</v>
      </c>
      <c r="D17" s="164">
        <v>0</v>
      </c>
      <c r="E17" s="165">
        <f t="shared" si="0"/>
        <v>0.23183000000000001</v>
      </c>
      <c r="F17" s="166">
        <f>'Sch. 111 Charge Rates'!G18</f>
        <v>0.16114999999999999</v>
      </c>
      <c r="G17" s="164">
        <v>0</v>
      </c>
      <c r="H17" s="165">
        <f t="shared" si="1"/>
        <v>0.16114999999999999</v>
      </c>
    </row>
    <row r="18" spans="1:8" x14ac:dyDescent="0.25">
      <c r="A18" s="31" t="s">
        <v>28</v>
      </c>
      <c r="B18" s="177" t="s">
        <v>29</v>
      </c>
      <c r="C18" s="164">
        <v>0.23183000000000001</v>
      </c>
      <c r="D18" s="164">
        <v>0</v>
      </c>
      <c r="E18" s="165">
        <f t="shared" si="0"/>
        <v>0.23183000000000001</v>
      </c>
      <c r="F18" s="166">
        <f>'Sch. 111 Charge Rates'!G19</f>
        <v>0.16114999999999999</v>
      </c>
      <c r="G18" s="164">
        <v>0</v>
      </c>
      <c r="H18" s="165">
        <f t="shared" si="1"/>
        <v>0.16114999999999999</v>
      </c>
    </row>
    <row r="19" spans="1:8" x14ac:dyDescent="0.25">
      <c r="A19" s="31" t="s">
        <v>30</v>
      </c>
      <c r="B19" s="177" t="s">
        <v>31</v>
      </c>
      <c r="C19" s="164">
        <v>0.23183000000000001</v>
      </c>
      <c r="D19" s="164">
        <v>0</v>
      </c>
      <c r="E19" s="165">
        <f t="shared" si="0"/>
        <v>0.23183000000000001</v>
      </c>
      <c r="F19" s="166">
        <f>'Sch. 111 Charge Rates'!G20</f>
        <v>0.16114999999999999</v>
      </c>
      <c r="G19" s="164">
        <v>0</v>
      </c>
      <c r="H19" s="165">
        <f t="shared" si="1"/>
        <v>0.16114999999999999</v>
      </c>
    </row>
    <row r="20" spans="1:8" x14ac:dyDescent="0.25">
      <c r="A20" s="31" t="s">
        <v>32</v>
      </c>
      <c r="B20" s="177" t="s">
        <v>33</v>
      </c>
      <c r="C20" s="164">
        <v>0.23183000000000001</v>
      </c>
      <c r="D20" s="164">
        <v>0</v>
      </c>
      <c r="E20" s="165">
        <f t="shared" si="0"/>
        <v>0.23183000000000001</v>
      </c>
      <c r="F20" s="166">
        <f>'Sch. 111 Charge Rates'!G21</f>
        <v>0.16114999999999999</v>
      </c>
      <c r="G20" s="164">
        <v>0</v>
      </c>
      <c r="H20" s="165">
        <f t="shared" si="1"/>
        <v>0.16114999999999999</v>
      </c>
    </row>
    <row r="21" spans="1:8" x14ac:dyDescent="0.25">
      <c r="A21" s="31" t="s">
        <v>34</v>
      </c>
      <c r="B21" s="191" t="s">
        <v>35</v>
      </c>
      <c r="C21" s="164">
        <v>0.23183000000000001</v>
      </c>
      <c r="D21" s="164">
        <v>0</v>
      </c>
      <c r="E21" s="165">
        <f t="shared" si="0"/>
        <v>0.23183000000000001</v>
      </c>
      <c r="F21" s="166">
        <f>'Sch. 111 Charge Rates'!G22</f>
        <v>0.16114999999999999</v>
      </c>
      <c r="G21" s="164">
        <v>0</v>
      </c>
      <c r="H21" s="165">
        <f t="shared" si="1"/>
        <v>0.16114999999999999</v>
      </c>
    </row>
    <row r="22" spans="1:8" x14ac:dyDescent="0.25">
      <c r="A22" s="31" t="s">
        <v>246</v>
      </c>
      <c r="B22" s="191" t="s">
        <v>232</v>
      </c>
      <c r="C22" s="164">
        <v>0.23183000000000001</v>
      </c>
      <c r="D22" s="164">
        <v>0</v>
      </c>
      <c r="E22" s="165">
        <f t="shared" ref="E22" si="2">SUM(C22:D22)</f>
        <v>0.23183000000000001</v>
      </c>
      <c r="F22" s="166">
        <f>'Sch. 111 Charge Rates'!G23</f>
        <v>0.16114999999999999</v>
      </c>
      <c r="G22" s="164">
        <v>0</v>
      </c>
      <c r="H22" s="165">
        <f t="shared" ref="H22" si="3">SUM(F22:G22)</f>
        <v>0.16114999999999999</v>
      </c>
    </row>
    <row r="23" spans="1:8" x14ac:dyDescent="0.25">
      <c r="A23" s="31" t="s">
        <v>36</v>
      </c>
      <c r="B23" s="177"/>
      <c r="C23" s="164">
        <v>0.23183000000000001</v>
      </c>
      <c r="D23" s="164">
        <v>0</v>
      </c>
      <c r="E23" s="165">
        <f t="shared" si="0"/>
        <v>0.23183000000000001</v>
      </c>
      <c r="F23" s="166">
        <f>'Sch. 111 Charge Rates'!G24</f>
        <v>0.16114999999999999</v>
      </c>
      <c r="G23" s="164">
        <v>0</v>
      </c>
      <c r="H23" s="165">
        <f t="shared" si="1"/>
        <v>0.16114999999999999</v>
      </c>
    </row>
    <row r="24" spans="1:8" x14ac:dyDescent="0.25">
      <c r="C24" s="168"/>
      <c r="D24" s="168"/>
      <c r="E24" s="165"/>
      <c r="F24" s="165"/>
      <c r="G24" s="165"/>
      <c r="H24" s="165"/>
    </row>
    <row r="25" spans="1:8" x14ac:dyDescent="0.25">
      <c r="A25" s="171" t="s">
        <v>195</v>
      </c>
      <c r="C25" s="303" t="s">
        <v>214</v>
      </c>
      <c r="D25" s="304"/>
      <c r="E25" s="305"/>
      <c r="F25" s="303" t="s">
        <v>215</v>
      </c>
      <c r="G25" s="304"/>
      <c r="H25" s="305"/>
    </row>
    <row r="26" spans="1:8" x14ac:dyDescent="0.25">
      <c r="A26" s="51"/>
      <c r="B26" s="51"/>
      <c r="C26" s="51" t="s">
        <v>5</v>
      </c>
      <c r="D26" s="51" t="s">
        <v>5</v>
      </c>
      <c r="E26" s="51" t="s">
        <v>2</v>
      </c>
      <c r="F26" s="51" t="s">
        <v>5</v>
      </c>
      <c r="G26" s="51" t="s">
        <v>5</v>
      </c>
      <c r="H26" s="51" t="s">
        <v>2</v>
      </c>
    </row>
    <row r="27" spans="1:8" x14ac:dyDescent="0.25">
      <c r="A27" s="51"/>
      <c r="B27" s="51" t="s">
        <v>105</v>
      </c>
      <c r="C27" s="51" t="s">
        <v>84</v>
      </c>
      <c r="D27" s="51" t="s">
        <v>194</v>
      </c>
      <c r="E27" s="51" t="s">
        <v>5</v>
      </c>
      <c r="F27" s="51" t="s">
        <v>84</v>
      </c>
      <c r="G27" s="51" t="s">
        <v>194</v>
      </c>
      <c r="H27" s="51" t="s">
        <v>5</v>
      </c>
    </row>
    <row r="28" spans="1:8" x14ac:dyDescent="0.25">
      <c r="A28" s="52" t="s">
        <v>7</v>
      </c>
      <c r="B28" s="52" t="s">
        <v>122</v>
      </c>
      <c r="C28" s="52" t="s">
        <v>198</v>
      </c>
      <c r="D28" s="52" t="s">
        <v>198</v>
      </c>
      <c r="E28" s="52" t="s">
        <v>198</v>
      </c>
      <c r="F28" s="52" t="s">
        <v>198</v>
      </c>
      <c r="G28" s="52" t="s">
        <v>198</v>
      </c>
      <c r="H28" s="52" t="s">
        <v>198</v>
      </c>
    </row>
    <row r="29" spans="1:8" x14ac:dyDescent="0.25">
      <c r="A29" s="31" t="s">
        <v>19</v>
      </c>
      <c r="B29" s="177">
        <v>23</v>
      </c>
      <c r="C29" s="73" t="s">
        <v>225</v>
      </c>
      <c r="D29" s="164"/>
      <c r="E29" s="73"/>
      <c r="F29" s="172"/>
      <c r="G29" s="145"/>
      <c r="H29" s="73"/>
    </row>
    <row r="30" spans="1:8" x14ac:dyDescent="0.25">
      <c r="A30" s="31" t="s">
        <v>227</v>
      </c>
      <c r="B30" s="177">
        <v>16</v>
      </c>
      <c r="C30" s="172">
        <v>-2.99</v>
      </c>
      <c r="D30" s="172">
        <v>0</v>
      </c>
      <c r="E30" s="73">
        <f t="shared" ref="E30:E42" si="4">SUM(C30:D30)</f>
        <v>-2.99</v>
      </c>
      <c r="F30" s="145">
        <f>'Sch. 111 Non-Vol Credit Rates'!J12</f>
        <v>-3.61</v>
      </c>
      <c r="G30" s="172">
        <v>0</v>
      </c>
      <c r="H30" s="73">
        <f t="shared" ref="H30:H42" si="5">SUM(F30:G30)</f>
        <v>-3.61</v>
      </c>
    </row>
    <row r="31" spans="1:8" x14ac:dyDescent="0.25">
      <c r="A31" s="31" t="s">
        <v>21</v>
      </c>
      <c r="B31" s="177">
        <v>31</v>
      </c>
      <c r="C31" s="73" t="s">
        <v>225</v>
      </c>
      <c r="D31" s="172"/>
      <c r="E31" s="73"/>
      <c r="F31" s="145"/>
      <c r="G31" s="172"/>
      <c r="H31" s="73"/>
    </row>
    <row r="32" spans="1:8" x14ac:dyDescent="0.25">
      <c r="A32" s="31" t="s">
        <v>22</v>
      </c>
      <c r="B32" s="177">
        <v>41</v>
      </c>
      <c r="C32" s="172">
        <v>-654.39</v>
      </c>
      <c r="D32" s="172">
        <v>0</v>
      </c>
      <c r="E32" s="73">
        <f t="shared" si="4"/>
        <v>-654.39</v>
      </c>
      <c r="F32" s="145">
        <f>'Sch. 111 Non-Vol Credit Rates'!J14</f>
        <v>-773.65</v>
      </c>
      <c r="G32" s="172">
        <v>0</v>
      </c>
      <c r="H32" s="73">
        <f t="shared" si="5"/>
        <v>-773.65</v>
      </c>
    </row>
    <row r="33" spans="1:8" x14ac:dyDescent="0.25">
      <c r="A33" s="31" t="s">
        <v>23</v>
      </c>
      <c r="B33" s="177">
        <v>85</v>
      </c>
      <c r="C33" s="172">
        <v>-5508.8</v>
      </c>
      <c r="D33" s="172">
        <v>0</v>
      </c>
      <c r="E33" s="73">
        <f t="shared" si="4"/>
        <v>-5508.8</v>
      </c>
      <c r="F33" s="145">
        <f>'Sch. 111 Non-Vol Credit Rates'!J15</f>
        <v>-8638.41</v>
      </c>
      <c r="G33" s="172">
        <v>0</v>
      </c>
      <c r="H33" s="73">
        <f t="shared" si="5"/>
        <v>-8638.41</v>
      </c>
    </row>
    <row r="34" spans="1:8" x14ac:dyDescent="0.25">
      <c r="A34" s="31" t="s">
        <v>24</v>
      </c>
      <c r="B34" s="177">
        <v>86</v>
      </c>
      <c r="C34" s="172">
        <v>-639</v>
      </c>
      <c r="D34" s="172">
        <v>0</v>
      </c>
      <c r="E34" s="73">
        <f t="shared" si="4"/>
        <v>-639</v>
      </c>
      <c r="F34" s="145">
        <f>'Sch. 111 Non-Vol Credit Rates'!J16</f>
        <v>-925.84</v>
      </c>
      <c r="G34" s="172">
        <v>0</v>
      </c>
      <c r="H34" s="73">
        <f t="shared" si="5"/>
        <v>-925.84</v>
      </c>
    </row>
    <row r="35" spans="1:8" x14ac:dyDescent="0.25">
      <c r="A35" s="31" t="s">
        <v>25</v>
      </c>
      <c r="B35" s="177">
        <v>87</v>
      </c>
      <c r="C35" s="172">
        <v>-20296.77</v>
      </c>
      <c r="D35" s="172">
        <v>0</v>
      </c>
      <c r="E35" s="73">
        <f t="shared" si="4"/>
        <v>-20296.77</v>
      </c>
      <c r="F35" s="145">
        <f>'Sch. 111 Non-Vol Credit Rates'!J17</f>
        <v>-9332.51</v>
      </c>
      <c r="G35" s="172">
        <v>0</v>
      </c>
      <c r="H35" s="73">
        <f t="shared" si="5"/>
        <v>-9332.51</v>
      </c>
    </row>
    <row r="36" spans="1:8" x14ac:dyDescent="0.25">
      <c r="A36" s="31" t="s">
        <v>26</v>
      </c>
      <c r="B36" s="177" t="s">
        <v>27</v>
      </c>
      <c r="C36" s="73" t="s">
        <v>225</v>
      </c>
      <c r="D36" s="172"/>
      <c r="E36" s="73"/>
      <c r="F36" s="145"/>
      <c r="G36" s="172"/>
      <c r="H36" s="73"/>
    </row>
    <row r="37" spans="1:8" x14ac:dyDescent="0.25">
      <c r="A37" s="31" t="s">
        <v>28</v>
      </c>
      <c r="B37" s="177" t="s">
        <v>29</v>
      </c>
      <c r="C37" s="172">
        <v>-2991.39</v>
      </c>
      <c r="D37" s="172">
        <v>0</v>
      </c>
      <c r="E37" s="73">
        <f t="shared" si="4"/>
        <v>-2991.39</v>
      </c>
      <c r="F37" s="145">
        <f>'Sch. 111 Non-Vol Credit Rates'!J19</f>
        <v>-3757.09</v>
      </c>
      <c r="G37" s="172">
        <v>0</v>
      </c>
      <c r="H37" s="73">
        <f t="shared" si="5"/>
        <v>-3757.09</v>
      </c>
    </row>
    <row r="38" spans="1:8" x14ac:dyDescent="0.25">
      <c r="A38" s="31" t="s">
        <v>30</v>
      </c>
      <c r="B38" s="177" t="s">
        <v>31</v>
      </c>
      <c r="C38" s="172">
        <v>-9383.3700000000008</v>
      </c>
      <c r="D38" s="172">
        <v>0</v>
      </c>
      <c r="E38" s="73">
        <f t="shared" si="4"/>
        <v>-9383.3700000000008</v>
      </c>
      <c r="F38" s="145">
        <f>'Sch. 111 Non-Vol Credit Rates'!J20</f>
        <v>-11126.27</v>
      </c>
      <c r="G38" s="172">
        <v>0</v>
      </c>
      <c r="H38" s="73">
        <f t="shared" si="5"/>
        <v>-11126.27</v>
      </c>
    </row>
    <row r="39" spans="1:8" x14ac:dyDescent="0.25">
      <c r="A39" s="31" t="s">
        <v>32</v>
      </c>
      <c r="B39" s="177" t="s">
        <v>33</v>
      </c>
      <c r="C39" s="172">
        <v>-2241.9</v>
      </c>
      <c r="D39" s="172">
        <v>0</v>
      </c>
      <c r="E39" s="73">
        <f t="shared" si="4"/>
        <v>-2241.9</v>
      </c>
      <c r="F39" s="145">
        <f>'Sch. 111 Non-Vol Credit Rates'!J21</f>
        <v>-5499.09</v>
      </c>
      <c r="G39" s="172">
        <v>0</v>
      </c>
      <c r="H39" s="73">
        <f t="shared" si="5"/>
        <v>-5499.09</v>
      </c>
    </row>
    <row r="40" spans="1:8" x14ac:dyDescent="0.25">
      <c r="A40" s="31" t="s">
        <v>34</v>
      </c>
      <c r="B40" s="191" t="s">
        <v>35</v>
      </c>
      <c r="C40" s="172">
        <v>-17940.189999999999</v>
      </c>
      <c r="D40" s="172">
        <v>0</v>
      </c>
      <c r="E40" s="73">
        <f t="shared" si="4"/>
        <v>-17940.189999999999</v>
      </c>
      <c r="F40" s="145">
        <f>'Sch. 111 Non-Vol Credit Rates'!J22</f>
        <v>-17806.3</v>
      </c>
      <c r="G40" s="172">
        <v>0</v>
      </c>
      <c r="H40" s="73">
        <f t="shared" si="5"/>
        <v>-17806.3</v>
      </c>
    </row>
    <row r="41" spans="1:8" x14ac:dyDescent="0.25">
      <c r="A41" s="31" t="s">
        <v>246</v>
      </c>
      <c r="B41" s="191" t="s">
        <v>232</v>
      </c>
      <c r="C41" s="172">
        <v>-63268.47</v>
      </c>
      <c r="D41" s="172">
        <v>0</v>
      </c>
      <c r="E41" s="73">
        <f t="shared" si="4"/>
        <v>-63268.47</v>
      </c>
      <c r="F41" s="145">
        <f>'Sch. 111 Non-Vol Credit Rates'!J23</f>
        <v>-35623.18</v>
      </c>
      <c r="G41" s="172">
        <v>0</v>
      </c>
      <c r="H41" s="73">
        <f t="shared" si="5"/>
        <v>-35623.18</v>
      </c>
    </row>
    <row r="42" spans="1:8" x14ac:dyDescent="0.25">
      <c r="A42" s="31" t="s">
        <v>36</v>
      </c>
      <c r="B42" s="177"/>
      <c r="C42" s="172">
        <v>-24152.47</v>
      </c>
      <c r="D42" s="172">
        <v>0</v>
      </c>
      <c r="E42" s="73">
        <f t="shared" si="4"/>
        <v>-24152.47</v>
      </c>
      <c r="F42" s="145">
        <f>'Sch. 111 Non-Vol Credit Rates'!J24</f>
        <v>-35271.18</v>
      </c>
      <c r="G42" s="172">
        <v>0</v>
      </c>
      <c r="H42" s="73">
        <f t="shared" si="5"/>
        <v>-35271.18</v>
      </c>
    </row>
    <row r="44" spans="1:8" x14ac:dyDescent="0.25">
      <c r="A44" s="171" t="s">
        <v>207</v>
      </c>
      <c r="C44" s="303" t="s">
        <v>216</v>
      </c>
      <c r="D44" s="304"/>
      <c r="E44" s="305"/>
      <c r="F44" s="303" t="s">
        <v>217</v>
      </c>
      <c r="G44" s="304"/>
      <c r="H44" s="305"/>
    </row>
    <row r="45" spans="1:8" x14ac:dyDescent="0.25">
      <c r="A45" s="51"/>
      <c r="B45" s="51"/>
      <c r="C45" s="51" t="s">
        <v>5</v>
      </c>
      <c r="D45" s="51" t="s">
        <v>5</v>
      </c>
      <c r="E45" s="51" t="s">
        <v>2</v>
      </c>
      <c r="F45" s="51" t="s">
        <v>5</v>
      </c>
      <c r="G45" s="51" t="s">
        <v>5</v>
      </c>
      <c r="H45" s="51" t="s">
        <v>2</v>
      </c>
    </row>
    <row r="46" spans="1:8" x14ac:dyDescent="0.25">
      <c r="A46" s="51"/>
      <c r="B46" s="51" t="s">
        <v>105</v>
      </c>
      <c r="C46" s="51" t="s">
        <v>84</v>
      </c>
      <c r="D46" s="51" t="s">
        <v>194</v>
      </c>
      <c r="E46" s="51" t="s">
        <v>5</v>
      </c>
      <c r="F46" s="51" t="s">
        <v>84</v>
      </c>
      <c r="G46" s="51" t="s">
        <v>194</v>
      </c>
      <c r="H46" s="51" t="s">
        <v>5</v>
      </c>
    </row>
    <row r="47" spans="1:8" x14ac:dyDescent="0.25">
      <c r="A47" s="52" t="s">
        <v>7</v>
      </c>
      <c r="B47" s="52" t="s">
        <v>122</v>
      </c>
      <c r="C47" s="52" t="s">
        <v>200</v>
      </c>
      <c r="D47" s="52" t="s">
        <v>200</v>
      </c>
      <c r="E47" s="52" t="s">
        <v>200</v>
      </c>
      <c r="F47" s="52" t="s">
        <v>200</v>
      </c>
      <c r="G47" s="52" t="s">
        <v>200</v>
      </c>
      <c r="H47" s="52" t="s">
        <v>200</v>
      </c>
    </row>
    <row r="48" spans="1:8" x14ac:dyDescent="0.25">
      <c r="A48" s="31" t="s">
        <v>52</v>
      </c>
      <c r="B48" s="177">
        <v>23</v>
      </c>
      <c r="C48" s="164">
        <v>-0.23183000000000001</v>
      </c>
      <c r="D48" s="164">
        <v>0</v>
      </c>
      <c r="E48" s="165">
        <f t="shared" ref="E48" si="6">SUM(C48:D48)</f>
        <v>-0.23183000000000001</v>
      </c>
      <c r="F48" s="166">
        <f>'Sch. 111 Low Inc. Credit Rates'!F11</f>
        <v>-0.16114999999999999</v>
      </c>
      <c r="G48" s="164">
        <v>0</v>
      </c>
      <c r="H48" s="165">
        <f t="shared" ref="H48" si="7">SUM(F48:G48)</f>
        <v>-0.16114999999999999</v>
      </c>
    </row>
    <row r="50" spans="1:8" x14ac:dyDescent="0.25">
      <c r="A50" s="171" t="s">
        <v>218</v>
      </c>
      <c r="C50" s="303" t="s">
        <v>219</v>
      </c>
      <c r="D50" s="304"/>
      <c r="E50" s="305"/>
      <c r="F50" s="303" t="s">
        <v>223</v>
      </c>
      <c r="G50" s="304"/>
      <c r="H50" s="305"/>
    </row>
    <row r="51" spans="1:8" x14ac:dyDescent="0.25">
      <c r="A51" s="51"/>
      <c r="B51" s="51"/>
      <c r="C51" s="51" t="s">
        <v>5</v>
      </c>
      <c r="D51" s="51" t="s">
        <v>5</v>
      </c>
      <c r="E51" s="51" t="s">
        <v>2</v>
      </c>
      <c r="F51" s="51" t="s">
        <v>5</v>
      </c>
      <c r="G51" s="51" t="s">
        <v>5</v>
      </c>
      <c r="H51" s="51" t="s">
        <v>2</v>
      </c>
    </row>
    <row r="52" spans="1:8" x14ac:dyDescent="0.25">
      <c r="A52" s="51"/>
      <c r="B52" s="51"/>
      <c r="C52" s="51" t="s">
        <v>84</v>
      </c>
      <c r="D52" s="51" t="s">
        <v>194</v>
      </c>
      <c r="E52" s="51" t="s">
        <v>5</v>
      </c>
      <c r="F52" s="51" t="s">
        <v>84</v>
      </c>
      <c r="G52" s="51" t="s">
        <v>194</v>
      </c>
      <c r="H52" s="51" t="s">
        <v>5</v>
      </c>
    </row>
    <row r="53" spans="1:8" x14ac:dyDescent="0.25">
      <c r="A53" s="52" t="s">
        <v>44</v>
      </c>
      <c r="B53" s="52" t="s">
        <v>220</v>
      </c>
      <c r="C53" s="52" t="s">
        <v>200</v>
      </c>
      <c r="D53" s="52" t="s">
        <v>200</v>
      </c>
      <c r="E53" s="52" t="s">
        <v>200</v>
      </c>
      <c r="F53" s="52" t="s">
        <v>200</v>
      </c>
      <c r="G53" s="52" t="s">
        <v>200</v>
      </c>
      <c r="H53" s="52" t="s">
        <v>200</v>
      </c>
    </row>
    <row r="54" spans="1:8" x14ac:dyDescent="0.25">
      <c r="A54" s="31" t="s">
        <v>221</v>
      </c>
      <c r="B54" s="178">
        <v>45658</v>
      </c>
      <c r="C54" s="172">
        <v>0</v>
      </c>
      <c r="D54" s="172">
        <v>0</v>
      </c>
      <c r="E54" s="73">
        <f t="shared" ref="E54:E56" si="8">SUM(C54:D54)</f>
        <v>0</v>
      </c>
      <c r="F54" s="145">
        <f>'Sch.111 Non-Vol Credit Seasonal'!$D$21</f>
        <v>-16.09</v>
      </c>
      <c r="G54" s="172">
        <v>0</v>
      </c>
      <c r="H54" s="73">
        <f>SUM(F54:G54)</f>
        <v>-16.09</v>
      </c>
    </row>
    <row r="55" spans="1:8" x14ac:dyDescent="0.25">
      <c r="A55" s="31" t="s">
        <v>221</v>
      </c>
      <c r="B55" s="179">
        <f t="shared" ref="B55:B57" si="9">EDATE(B54,1)</f>
        <v>45689</v>
      </c>
      <c r="C55" s="172">
        <v>0</v>
      </c>
      <c r="D55" s="172">
        <v>0</v>
      </c>
      <c r="E55" s="73">
        <f t="shared" si="8"/>
        <v>0</v>
      </c>
      <c r="F55" s="145">
        <f>'Sch.111 Non-Vol Credit Seasonal'!$E$21</f>
        <v>-13.94</v>
      </c>
      <c r="G55" s="172">
        <v>0</v>
      </c>
      <c r="H55" s="73">
        <f>SUM(F55:G55)</f>
        <v>-13.94</v>
      </c>
    </row>
    <row r="56" spans="1:8" x14ac:dyDescent="0.25">
      <c r="A56" s="31" t="s">
        <v>221</v>
      </c>
      <c r="B56" s="179">
        <f t="shared" si="9"/>
        <v>45717</v>
      </c>
      <c r="C56" s="172">
        <v>0</v>
      </c>
      <c r="D56" s="172">
        <v>0</v>
      </c>
      <c r="E56" s="73">
        <f t="shared" si="8"/>
        <v>0</v>
      </c>
      <c r="F56" s="145">
        <f>'Sch.111 Non-Vol Credit Seasonal'!$F$21</f>
        <v>-12.57</v>
      </c>
      <c r="G56" s="172">
        <v>0</v>
      </c>
      <c r="H56" s="73">
        <f>SUM(F56:G56)</f>
        <v>-12.57</v>
      </c>
    </row>
    <row r="57" spans="1:8" x14ac:dyDescent="0.25">
      <c r="A57" s="31" t="s">
        <v>221</v>
      </c>
      <c r="B57" s="179">
        <f t="shared" si="9"/>
        <v>45748</v>
      </c>
      <c r="C57" s="172">
        <v>0</v>
      </c>
      <c r="D57" s="172">
        <v>0</v>
      </c>
      <c r="E57" s="73">
        <f>SUM(C57:D57)</f>
        <v>0</v>
      </c>
      <c r="F57" s="145">
        <f>'Sch.111 Non-Vol Credit Seasonal'!$G$21</f>
        <v>-8.73</v>
      </c>
      <c r="G57" s="172">
        <v>0</v>
      </c>
      <c r="H57" s="73">
        <f>SUM(F57:G57)</f>
        <v>-8.73</v>
      </c>
    </row>
    <row r="58" spans="1:8" x14ac:dyDescent="0.25">
      <c r="A58" s="31" t="s">
        <v>221</v>
      </c>
      <c r="B58" s="179">
        <f>EDATE(B57,1)</f>
        <v>45778</v>
      </c>
      <c r="C58" s="172">
        <v>0</v>
      </c>
      <c r="D58" s="172">
        <v>0</v>
      </c>
      <c r="E58" s="73">
        <f t="shared" ref="E58:E65" si="10">SUM(C58:D58)</f>
        <v>0</v>
      </c>
      <c r="F58" s="145">
        <f>'Sch.111 Non-Vol Credit Seasonal'!$H$21</f>
        <v>-5.33</v>
      </c>
      <c r="G58" s="172">
        <v>0</v>
      </c>
      <c r="H58" s="73">
        <f t="shared" ref="H58:H65" si="11">SUM(F58:G58)</f>
        <v>-5.33</v>
      </c>
    </row>
    <row r="59" spans="1:8" x14ac:dyDescent="0.25">
      <c r="A59" s="31" t="s">
        <v>221</v>
      </c>
      <c r="B59" s="179">
        <f t="shared" ref="B59:B65" si="12">EDATE(B58,1)</f>
        <v>45809</v>
      </c>
      <c r="C59" s="172">
        <v>0</v>
      </c>
      <c r="D59" s="172">
        <v>0</v>
      </c>
      <c r="E59" s="73">
        <f t="shared" si="10"/>
        <v>0</v>
      </c>
      <c r="F59" s="145">
        <f>'Sch.111 Non-Vol Credit Seasonal'!$I$21</f>
        <v>-3.68</v>
      </c>
      <c r="G59" s="172">
        <v>0</v>
      </c>
      <c r="H59" s="73">
        <f t="shared" si="11"/>
        <v>-3.68</v>
      </c>
    </row>
    <row r="60" spans="1:8" x14ac:dyDescent="0.25">
      <c r="A60" s="31" t="s">
        <v>221</v>
      </c>
      <c r="B60" s="179">
        <f t="shared" si="12"/>
        <v>45839</v>
      </c>
      <c r="C60" s="172">
        <v>0</v>
      </c>
      <c r="D60" s="172">
        <v>0</v>
      </c>
      <c r="E60" s="73">
        <f t="shared" si="10"/>
        <v>0</v>
      </c>
      <c r="F60" s="145">
        <f>'Sch.111 Non-Vol Credit Seasonal'!$J$21</f>
        <v>-2.77</v>
      </c>
      <c r="G60" s="172">
        <v>0</v>
      </c>
      <c r="H60" s="73">
        <f t="shared" si="11"/>
        <v>-2.77</v>
      </c>
    </row>
    <row r="61" spans="1:8" x14ac:dyDescent="0.25">
      <c r="A61" s="31" t="s">
        <v>221</v>
      </c>
      <c r="B61" s="179">
        <f t="shared" si="12"/>
        <v>45870</v>
      </c>
      <c r="C61" s="172">
        <v>0</v>
      </c>
      <c r="D61" s="172">
        <v>0</v>
      </c>
      <c r="E61" s="73">
        <f t="shared" si="10"/>
        <v>0</v>
      </c>
      <c r="F61" s="145">
        <f>'Sch.111 Non-Vol Credit Seasonal'!$K$21</f>
        <v>-2.78</v>
      </c>
      <c r="G61" s="172">
        <v>0</v>
      </c>
      <c r="H61" s="73">
        <f t="shared" si="11"/>
        <v>-2.78</v>
      </c>
    </row>
    <row r="62" spans="1:8" x14ac:dyDescent="0.25">
      <c r="A62" s="31" t="s">
        <v>221</v>
      </c>
      <c r="B62" s="179">
        <f t="shared" si="12"/>
        <v>45901</v>
      </c>
      <c r="C62" s="172">
        <v>0</v>
      </c>
      <c r="D62" s="172">
        <v>0</v>
      </c>
      <c r="E62" s="73">
        <f t="shared" si="10"/>
        <v>0</v>
      </c>
      <c r="F62" s="145">
        <f>'Sch.111 Non-Vol Credit Seasonal'!$L$21</f>
        <v>-3.82</v>
      </c>
      <c r="G62" s="172">
        <v>0</v>
      </c>
      <c r="H62" s="73">
        <f t="shared" si="11"/>
        <v>-3.82</v>
      </c>
    </row>
    <row r="63" spans="1:8" x14ac:dyDescent="0.25">
      <c r="A63" s="31" t="s">
        <v>221</v>
      </c>
      <c r="B63" s="179">
        <f t="shared" si="12"/>
        <v>45931</v>
      </c>
      <c r="C63" s="172">
        <v>0</v>
      </c>
      <c r="D63" s="172">
        <v>0</v>
      </c>
      <c r="E63" s="73">
        <f t="shared" si="10"/>
        <v>0</v>
      </c>
      <c r="F63" s="145">
        <f>'Sch.111 Non-Vol Credit Seasonal'!$M$21</f>
        <v>-8.09</v>
      </c>
      <c r="G63" s="172">
        <v>0</v>
      </c>
      <c r="H63" s="73">
        <f t="shared" si="11"/>
        <v>-8.09</v>
      </c>
    </row>
    <row r="64" spans="1:8" x14ac:dyDescent="0.25">
      <c r="A64" s="31" t="s">
        <v>221</v>
      </c>
      <c r="B64" s="179">
        <f t="shared" si="12"/>
        <v>45962</v>
      </c>
      <c r="C64" s="172">
        <v>0</v>
      </c>
      <c r="D64" s="172">
        <v>0</v>
      </c>
      <c r="E64" s="73">
        <f t="shared" si="10"/>
        <v>0</v>
      </c>
      <c r="F64" s="145">
        <f>'Sch.111 Non-Vol Credit Seasonal'!$N$21</f>
        <v>-12.91</v>
      </c>
      <c r="G64" s="172">
        <v>0</v>
      </c>
      <c r="H64" s="73">
        <f t="shared" si="11"/>
        <v>-12.91</v>
      </c>
    </row>
    <row r="65" spans="1:8" x14ac:dyDescent="0.25">
      <c r="A65" s="31" t="s">
        <v>221</v>
      </c>
      <c r="B65" s="179">
        <f t="shared" si="12"/>
        <v>45992</v>
      </c>
      <c r="C65" s="172">
        <v>0</v>
      </c>
      <c r="D65" s="172">
        <v>0</v>
      </c>
      <c r="E65" s="73">
        <f t="shared" si="10"/>
        <v>0</v>
      </c>
      <c r="F65" s="145">
        <f>'Sch.111 Non-Vol Credit Seasonal'!$O$21</f>
        <v>-16.68</v>
      </c>
      <c r="G65" s="172">
        <v>0</v>
      </c>
      <c r="H65" s="73">
        <f t="shared" si="11"/>
        <v>-16.68</v>
      </c>
    </row>
    <row r="66" spans="1:8" x14ac:dyDescent="0.25">
      <c r="B66" s="179"/>
    </row>
    <row r="67" spans="1:8" x14ac:dyDescent="0.25">
      <c r="A67" s="31" t="s">
        <v>222</v>
      </c>
      <c r="B67" s="178">
        <v>45658</v>
      </c>
      <c r="C67" s="172">
        <v>0</v>
      </c>
      <c r="D67" s="172">
        <v>0</v>
      </c>
      <c r="E67" s="73">
        <f t="shared" ref="E67:E69" si="13">SUM(C67:D67)</f>
        <v>0</v>
      </c>
      <c r="F67" s="145">
        <f>'Sch.111 Non-Vol Credit Seasonal'!$D$25</f>
        <v>-84.99</v>
      </c>
      <c r="G67" s="172">
        <v>0</v>
      </c>
      <c r="H67" s="73">
        <f>SUM(F67:G67)</f>
        <v>-84.99</v>
      </c>
    </row>
    <row r="68" spans="1:8" x14ac:dyDescent="0.25">
      <c r="A68" s="31" t="s">
        <v>222</v>
      </c>
      <c r="B68" s="179">
        <f t="shared" ref="B68:B70" si="14">EDATE(B67,1)</f>
        <v>45689</v>
      </c>
      <c r="C68" s="172">
        <v>0</v>
      </c>
      <c r="D68" s="172">
        <v>0</v>
      </c>
      <c r="E68" s="73">
        <f t="shared" si="13"/>
        <v>0</v>
      </c>
      <c r="F68" s="145">
        <f>'Sch.111 Non-Vol Credit Seasonal'!$E$25</f>
        <v>-75.12</v>
      </c>
      <c r="G68" s="172">
        <v>0</v>
      </c>
      <c r="H68" s="73">
        <f>SUM(F68:G68)</f>
        <v>-75.12</v>
      </c>
    </row>
    <row r="69" spans="1:8" x14ac:dyDescent="0.25">
      <c r="A69" s="31" t="s">
        <v>222</v>
      </c>
      <c r="B69" s="179">
        <f t="shared" si="14"/>
        <v>45717</v>
      </c>
      <c r="C69" s="172">
        <v>0</v>
      </c>
      <c r="D69" s="172">
        <v>0</v>
      </c>
      <c r="E69" s="73">
        <f t="shared" si="13"/>
        <v>0</v>
      </c>
      <c r="F69" s="145">
        <f>'Sch.111 Non-Vol Credit Seasonal'!$F$25</f>
        <v>-67.05</v>
      </c>
      <c r="G69" s="172">
        <v>0</v>
      </c>
      <c r="H69" s="73">
        <f>SUM(F69:G69)</f>
        <v>-67.05</v>
      </c>
    </row>
    <row r="70" spans="1:8" x14ac:dyDescent="0.25">
      <c r="A70" s="31" t="s">
        <v>222</v>
      </c>
      <c r="B70" s="179">
        <f t="shared" si="14"/>
        <v>45748</v>
      </c>
      <c r="C70" s="172">
        <v>0</v>
      </c>
      <c r="D70" s="172">
        <v>0</v>
      </c>
      <c r="E70" s="73">
        <f>SUM(C70:D70)</f>
        <v>0</v>
      </c>
      <c r="F70" s="145">
        <f>'Sch.111 Non-Vol Credit Seasonal'!$G$25</f>
        <v>-48.4</v>
      </c>
      <c r="G70" s="172">
        <v>0</v>
      </c>
      <c r="H70" s="73">
        <f>SUM(F70:G70)</f>
        <v>-48.4</v>
      </c>
    </row>
    <row r="71" spans="1:8" x14ac:dyDescent="0.25">
      <c r="A71" s="31" t="s">
        <v>222</v>
      </c>
      <c r="B71" s="179">
        <f>EDATE(B70,1)</f>
        <v>45778</v>
      </c>
      <c r="C71" s="172">
        <v>0</v>
      </c>
      <c r="D71" s="172">
        <v>0</v>
      </c>
      <c r="E71" s="73">
        <f t="shared" ref="E71:E78" si="15">SUM(C71:D71)</f>
        <v>0</v>
      </c>
      <c r="F71" s="145">
        <f>'Sch.111 Non-Vol Credit Seasonal'!$H$25</f>
        <v>-34.58</v>
      </c>
      <c r="G71" s="172">
        <v>0</v>
      </c>
      <c r="H71" s="73">
        <f t="shared" ref="H71:H78" si="16">SUM(F71:G71)</f>
        <v>-34.58</v>
      </c>
    </row>
    <row r="72" spans="1:8" x14ac:dyDescent="0.25">
      <c r="A72" s="31" t="s">
        <v>222</v>
      </c>
      <c r="B72" s="179">
        <f t="shared" ref="B72:B78" si="17">EDATE(B71,1)</f>
        <v>45809</v>
      </c>
      <c r="C72" s="172">
        <v>0</v>
      </c>
      <c r="D72" s="172">
        <v>0</v>
      </c>
      <c r="E72" s="73">
        <f t="shared" si="15"/>
        <v>0</v>
      </c>
      <c r="F72" s="145">
        <f>'Sch.111 Non-Vol Credit Seasonal'!$I$25</f>
        <v>-28.65</v>
      </c>
      <c r="G72" s="172">
        <v>0</v>
      </c>
      <c r="H72" s="73">
        <f t="shared" si="16"/>
        <v>-28.65</v>
      </c>
    </row>
    <row r="73" spans="1:8" x14ac:dyDescent="0.25">
      <c r="A73" s="31" t="s">
        <v>222</v>
      </c>
      <c r="B73" s="179">
        <f t="shared" si="17"/>
        <v>45839</v>
      </c>
      <c r="C73" s="172">
        <v>0</v>
      </c>
      <c r="D73" s="172">
        <v>0</v>
      </c>
      <c r="E73" s="73">
        <f t="shared" si="15"/>
        <v>0</v>
      </c>
      <c r="F73" s="145">
        <f>'Sch.111 Non-Vol Credit Seasonal'!$J$25</f>
        <v>-25.22</v>
      </c>
      <c r="G73" s="172">
        <v>0</v>
      </c>
      <c r="H73" s="73">
        <f t="shared" si="16"/>
        <v>-25.22</v>
      </c>
    </row>
    <row r="74" spans="1:8" x14ac:dyDescent="0.25">
      <c r="A74" s="31" t="s">
        <v>222</v>
      </c>
      <c r="B74" s="179">
        <f t="shared" si="17"/>
        <v>45870</v>
      </c>
      <c r="C74" s="172">
        <v>0</v>
      </c>
      <c r="D74" s="172">
        <v>0</v>
      </c>
      <c r="E74" s="73">
        <f t="shared" si="15"/>
        <v>0</v>
      </c>
      <c r="F74" s="145">
        <f>'Sch.111 Non-Vol Credit Seasonal'!$K$25</f>
        <v>-28.09</v>
      </c>
      <c r="G74" s="172">
        <v>0</v>
      </c>
      <c r="H74" s="73">
        <f t="shared" si="16"/>
        <v>-28.09</v>
      </c>
    </row>
    <row r="75" spans="1:8" x14ac:dyDescent="0.25">
      <c r="A75" s="31" t="s">
        <v>222</v>
      </c>
      <c r="B75" s="179">
        <f t="shared" si="17"/>
        <v>45901</v>
      </c>
      <c r="C75" s="172">
        <v>0</v>
      </c>
      <c r="D75" s="172">
        <v>0</v>
      </c>
      <c r="E75" s="73">
        <f t="shared" si="15"/>
        <v>0</v>
      </c>
      <c r="F75" s="145">
        <f>'Sch.111 Non-Vol Credit Seasonal'!$L$25</f>
        <v>-33.450000000000003</v>
      </c>
      <c r="G75" s="172">
        <v>0</v>
      </c>
      <c r="H75" s="73">
        <f t="shared" si="16"/>
        <v>-33.450000000000003</v>
      </c>
    </row>
    <row r="76" spans="1:8" x14ac:dyDescent="0.25">
      <c r="A76" s="31" t="s">
        <v>222</v>
      </c>
      <c r="B76" s="179">
        <f t="shared" si="17"/>
        <v>45931</v>
      </c>
      <c r="C76" s="172">
        <v>0</v>
      </c>
      <c r="D76" s="172">
        <v>0</v>
      </c>
      <c r="E76" s="73">
        <f t="shared" si="15"/>
        <v>0</v>
      </c>
      <c r="F76" s="145">
        <f>'Sch.111 Non-Vol Credit Seasonal'!$M$25</f>
        <v>-55.56</v>
      </c>
      <c r="G76" s="172">
        <v>0</v>
      </c>
      <c r="H76" s="73">
        <f t="shared" si="16"/>
        <v>-55.56</v>
      </c>
    </row>
    <row r="77" spans="1:8" x14ac:dyDescent="0.25">
      <c r="A77" s="31" t="s">
        <v>222</v>
      </c>
      <c r="B77" s="179">
        <f t="shared" si="17"/>
        <v>45962</v>
      </c>
      <c r="C77" s="172">
        <v>0</v>
      </c>
      <c r="D77" s="172">
        <v>0</v>
      </c>
      <c r="E77" s="73">
        <f t="shared" si="15"/>
        <v>0</v>
      </c>
      <c r="F77" s="145">
        <f>'Sch.111 Non-Vol Credit Seasonal'!$N$25</f>
        <v>-79.69</v>
      </c>
      <c r="G77" s="172">
        <v>0</v>
      </c>
      <c r="H77" s="73">
        <f t="shared" si="16"/>
        <v>-79.69</v>
      </c>
    </row>
    <row r="78" spans="1:8" x14ac:dyDescent="0.25">
      <c r="A78" s="31" t="s">
        <v>222</v>
      </c>
      <c r="B78" s="179">
        <f t="shared" si="17"/>
        <v>45992</v>
      </c>
      <c r="C78" s="172">
        <v>0</v>
      </c>
      <c r="D78" s="172">
        <v>0</v>
      </c>
      <c r="E78" s="73">
        <f t="shared" si="15"/>
        <v>0</v>
      </c>
      <c r="F78" s="145">
        <f>'Sch.111 Non-Vol Credit Seasonal'!$O$25</f>
        <v>-97.76</v>
      </c>
      <c r="G78" s="172">
        <v>0</v>
      </c>
      <c r="H78" s="73">
        <f t="shared" si="16"/>
        <v>-97.76</v>
      </c>
    </row>
    <row r="80" spans="1:8" x14ac:dyDescent="0.25">
      <c r="A80" s="31" t="s">
        <v>224</v>
      </c>
      <c r="B80" s="178">
        <v>45658</v>
      </c>
      <c r="C80" s="172">
        <v>0</v>
      </c>
      <c r="D80" s="172">
        <v>0</v>
      </c>
      <c r="E80" s="73">
        <f t="shared" ref="E80:E82" si="18">SUM(C80:D80)</f>
        <v>0</v>
      </c>
      <c r="F80" s="145">
        <f>'Sch.111 Non-Vol Credit Seasonal'!$D$29</f>
        <v>-148.62</v>
      </c>
      <c r="G80" s="172">
        <v>0</v>
      </c>
      <c r="H80" s="73">
        <f>SUM(F80:G80)</f>
        <v>-148.62</v>
      </c>
    </row>
    <row r="81" spans="1:8" x14ac:dyDescent="0.25">
      <c r="A81" s="31" t="s">
        <v>224</v>
      </c>
      <c r="B81" s="179">
        <f t="shared" ref="B81:B83" si="19">EDATE(B80,1)</f>
        <v>45689</v>
      </c>
      <c r="C81" s="172">
        <v>0</v>
      </c>
      <c r="D81" s="172">
        <v>0</v>
      </c>
      <c r="E81" s="73">
        <f t="shared" si="18"/>
        <v>0</v>
      </c>
      <c r="F81" s="145">
        <f>'Sch.111 Non-Vol Credit Seasonal'!$E$29</f>
        <v>-131.35</v>
      </c>
      <c r="G81" s="172">
        <v>0</v>
      </c>
      <c r="H81" s="73">
        <f>SUM(F81:G81)</f>
        <v>-131.35</v>
      </c>
    </row>
    <row r="82" spans="1:8" x14ac:dyDescent="0.25">
      <c r="A82" s="31" t="s">
        <v>224</v>
      </c>
      <c r="B82" s="179">
        <f t="shared" si="19"/>
        <v>45717</v>
      </c>
      <c r="C82" s="172">
        <v>0</v>
      </c>
      <c r="D82" s="172">
        <v>0</v>
      </c>
      <c r="E82" s="73">
        <f t="shared" si="18"/>
        <v>0</v>
      </c>
      <c r="F82" s="145">
        <f>'Sch.111 Non-Vol Credit Seasonal'!$F$29</f>
        <v>-117.23</v>
      </c>
      <c r="G82" s="172">
        <v>0</v>
      </c>
      <c r="H82" s="73">
        <f>SUM(F82:G82)</f>
        <v>-117.23</v>
      </c>
    </row>
    <row r="83" spans="1:8" x14ac:dyDescent="0.25">
      <c r="A83" s="31" t="s">
        <v>224</v>
      </c>
      <c r="B83" s="179">
        <f t="shared" si="19"/>
        <v>45748</v>
      </c>
      <c r="C83" s="172">
        <v>0</v>
      </c>
      <c r="D83" s="172">
        <v>0</v>
      </c>
      <c r="E83" s="73">
        <f>SUM(C83:D83)</f>
        <v>0</v>
      </c>
      <c r="F83" s="145">
        <f>'Sch.111 Non-Vol Credit Seasonal'!$G$29</f>
        <v>-84.63</v>
      </c>
      <c r="G83" s="172">
        <v>0</v>
      </c>
      <c r="H83" s="73">
        <f>SUM(F83:G83)</f>
        <v>-84.63</v>
      </c>
    </row>
    <row r="84" spans="1:8" x14ac:dyDescent="0.25">
      <c r="A84" s="31" t="s">
        <v>224</v>
      </c>
      <c r="B84" s="179">
        <f>EDATE(B83,1)</f>
        <v>45778</v>
      </c>
      <c r="C84" s="172">
        <v>0</v>
      </c>
      <c r="D84" s="172">
        <v>0</v>
      </c>
      <c r="E84" s="73">
        <f t="shared" ref="E84:E91" si="20">SUM(C84:D84)</f>
        <v>0</v>
      </c>
      <c r="F84" s="145">
        <f>'Sch.111 Non-Vol Credit Seasonal'!$H$29</f>
        <v>-60.47</v>
      </c>
      <c r="G84" s="172">
        <v>0</v>
      </c>
      <c r="H84" s="73">
        <f t="shared" ref="H84:H91" si="21">SUM(F84:G84)</f>
        <v>-60.47</v>
      </c>
    </row>
    <row r="85" spans="1:8" x14ac:dyDescent="0.25">
      <c r="A85" s="31" t="s">
        <v>224</v>
      </c>
      <c r="B85" s="179">
        <f t="shared" ref="B85:B91" si="22">EDATE(B84,1)</f>
        <v>45809</v>
      </c>
      <c r="C85" s="172">
        <v>0</v>
      </c>
      <c r="D85" s="172">
        <v>0</v>
      </c>
      <c r="E85" s="73">
        <f t="shared" si="20"/>
        <v>0</v>
      </c>
      <c r="F85" s="145">
        <f>'Sch.111 Non-Vol Credit Seasonal'!$I$29</f>
        <v>-50.09</v>
      </c>
      <c r="G85" s="172">
        <v>0</v>
      </c>
      <c r="H85" s="73">
        <f t="shared" si="21"/>
        <v>-50.09</v>
      </c>
    </row>
    <row r="86" spans="1:8" x14ac:dyDescent="0.25">
      <c r="A86" s="31" t="s">
        <v>224</v>
      </c>
      <c r="B86" s="179">
        <f t="shared" si="22"/>
        <v>45839</v>
      </c>
      <c r="C86" s="172">
        <v>0</v>
      </c>
      <c r="D86" s="172">
        <v>0</v>
      </c>
      <c r="E86" s="73">
        <f t="shared" si="20"/>
        <v>0</v>
      </c>
      <c r="F86" s="145">
        <f>'Sch.111 Non-Vol Credit Seasonal'!$J$29</f>
        <v>-44.1</v>
      </c>
      <c r="G86" s="172">
        <v>0</v>
      </c>
      <c r="H86" s="73">
        <f t="shared" si="21"/>
        <v>-44.1</v>
      </c>
    </row>
    <row r="87" spans="1:8" x14ac:dyDescent="0.25">
      <c r="A87" s="31" t="s">
        <v>224</v>
      </c>
      <c r="B87" s="179">
        <f t="shared" si="22"/>
        <v>45870</v>
      </c>
      <c r="C87" s="172">
        <v>0</v>
      </c>
      <c r="D87" s="172">
        <v>0</v>
      </c>
      <c r="E87" s="73">
        <f t="shared" si="20"/>
        <v>0</v>
      </c>
      <c r="F87" s="145">
        <f>'Sch.111 Non-Vol Credit Seasonal'!$K$29</f>
        <v>-49.11</v>
      </c>
      <c r="G87" s="172">
        <v>0</v>
      </c>
      <c r="H87" s="73">
        <f t="shared" si="21"/>
        <v>-49.11</v>
      </c>
    </row>
    <row r="88" spans="1:8" x14ac:dyDescent="0.25">
      <c r="A88" s="31" t="s">
        <v>224</v>
      </c>
      <c r="B88" s="179">
        <f t="shared" si="22"/>
        <v>45901</v>
      </c>
      <c r="C88" s="172">
        <v>0</v>
      </c>
      <c r="D88" s="172">
        <v>0</v>
      </c>
      <c r="E88" s="73">
        <f t="shared" si="20"/>
        <v>0</v>
      </c>
      <c r="F88" s="145">
        <f>'Sch.111 Non-Vol Credit Seasonal'!$L$29</f>
        <v>-58.48</v>
      </c>
      <c r="G88" s="172">
        <v>0</v>
      </c>
      <c r="H88" s="73">
        <f t="shared" si="21"/>
        <v>-58.48</v>
      </c>
    </row>
    <row r="89" spans="1:8" x14ac:dyDescent="0.25">
      <c r="A89" s="31" t="s">
        <v>224</v>
      </c>
      <c r="B89" s="179">
        <f t="shared" si="22"/>
        <v>45931</v>
      </c>
      <c r="C89" s="172">
        <v>0</v>
      </c>
      <c r="D89" s="172">
        <v>0</v>
      </c>
      <c r="E89" s="73">
        <f t="shared" si="20"/>
        <v>0</v>
      </c>
      <c r="F89" s="145">
        <f>'Sch.111 Non-Vol Credit Seasonal'!$M$29</f>
        <v>-97.15</v>
      </c>
      <c r="G89" s="172">
        <v>0</v>
      </c>
      <c r="H89" s="73">
        <f t="shared" si="21"/>
        <v>-97.15</v>
      </c>
    </row>
    <row r="90" spans="1:8" x14ac:dyDescent="0.25">
      <c r="A90" s="31" t="s">
        <v>224</v>
      </c>
      <c r="B90" s="179">
        <f t="shared" si="22"/>
        <v>45962</v>
      </c>
      <c r="C90" s="172">
        <v>0</v>
      </c>
      <c r="D90" s="172">
        <v>0</v>
      </c>
      <c r="E90" s="73">
        <f t="shared" si="20"/>
        <v>0</v>
      </c>
      <c r="F90" s="145">
        <f>'Sch.111 Non-Vol Credit Seasonal'!$N$29</f>
        <v>-139.34</v>
      </c>
      <c r="G90" s="172">
        <v>0</v>
      </c>
      <c r="H90" s="73">
        <f t="shared" si="21"/>
        <v>-139.34</v>
      </c>
    </row>
    <row r="91" spans="1:8" x14ac:dyDescent="0.25">
      <c r="A91" s="31" t="s">
        <v>224</v>
      </c>
      <c r="B91" s="179">
        <f t="shared" si="22"/>
        <v>45992</v>
      </c>
      <c r="C91" s="172">
        <v>0</v>
      </c>
      <c r="D91" s="172">
        <v>0</v>
      </c>
      <c r="E91" s="73">
        <f t="shared" si="20"/>
        <v>0</v>
      </c>
      <c r="F91" s="145">
        <f>'Sch.111 Non-Vol Credit Seasonal'!$O$29</f>
        <v>-170.94</v>
      </c>
      <c r="G91" s="172">
        <v>0</v>
      </c>
      <c r="H91" s="73">
        <f t="shared" si="21"/>
        <v>-170.94</v>
      </c>
    </row>
  </sheetData>
  <mergeCells count="8">
    <mergeCell ref="C50:E50"/>
    <mergeCell ref="F50:H50"/>
    <mergeCell ref="C6:E6"/>
    <mergeCell ref="F6:H6"/>
    <mergeCell ref="C25:E25"/>
    <mergeCell ref="F25:H25"/>
    <mergeCell ref="C44:E44"/>
    <mergeCell ref="F44:H44"/>
  </mergeCells>
  <printOptions horizontalCentered="1"/>
  <pageMargins left="0.7" right="0.7" top="0.75" bottom="0.75" header="0.3" footer="0.3"/>
  <pageSetup scale="80" fitToHeight="2" orientation="landscape" blackAndWhite="1" r:id="rId1"/>
  <headerFooter>
    <oddFooter>&amp;L&amp;F 
&amp;A&amp;C&amp;P&amp;R&amp;D</oddFooter>
  </headerFooter>
  <rowBreaks count="2" manualBreakCount="2">
    <brk id="42" max="7" man="1"/>
    <brk id="7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zoomScale="90" zoomScaleNormal="90" workbookViewId="0">
      <selection activeCell="H36" sqref="H36"/>
    </sheetView>
  </sheetViews>
  <sheetFormatPr defaultColWidth="8.7109375" defaultRowHeight="15" x14ac:dyDescent="0.25"/>
  <cols>
    <col min="1" max="1" width="37.7109375" style="31" customWidth="1"/>
    <col min="2" max="2" width="9.140625" style="31" bestFit="1" customWidth="1"/>
    <col min="3" max="3" width="18.5703125" style="31" bestFit="1" customWidth="1"/>
    <col min="4" max="4" width="13.7109375" style="31" customWidth="1"/>
    <col min="5" max="5" width="14.85546875" style="31" customWidth="1"/>
    <col min="6" max="9" width="13.7109375" style="31" customWidth="1"/>
    <col min="10" max="10" width="15.85546875" style="31" customWidth="1"/>
    <col min="11" max="12" width="15.28515625" style="31" bestFit="1" customWidth="1"/>
    <col min="13" max="13" width="7.85546875" style="31" bestFit="1" customWidth="1"/>
    <col min="14" max="16384" width="8.7109375" style="31"/>
  </cols>
  <sheetData>
    <row r="1" spans="1:25" s="134" customFormat="1" x14ac:dyDescent="0.25">
      <c r="A1" s="307" t="s">
        <v>0</v>
      </c>
      <c r="B1" s="307"/>
      <c r="C1" s="307"/>
      <c r="D1" s="307"/>
      <c r="E1" s="307"/>
      <c r="F1" s="307"/>
      <c r="G1" s="307"/>
      <c r="H1" s="307"/>
      <c r="I1" s="307"/>
      <c r="J1" s="307"/>
      <c r="K1" s="307"/>
      <c r="L1" s="307"/>
      <c r="M1" s="307"/>
      <c r="N1" s="135"/>
    </row>
    <row r="2" spans="1:25" s="134" customFormat="1" x14ac:dyDescent="0.25">
      <c r="A2" s="307" t="s">
        <v>208</v>
      </c>
      <c r="B2" s="308"/>
      <c r="C2" s="308"/>
      <c r="D2" s="308"/>
      <c r="E2" s="308"/>
      <c r="F2" s="308"/>
      <c r="G2" s="308"/>
      <c r="H2" s="308"/>
      <c r="I2" s="308"/>
      <c r="J2" s="308"/>
      <c r="K2" s="308"/>
      <c r="L2" s="308"/>
      <c r="M2" s="308"/>
      <c r="N2" s="160"/>
      <c r="O2" s="161"/>
      <c r="P2" s="161"/>
      <c r="Q2" s="161"/>
      <c r="R2" s="161"/>
      <c r="S2" s="161"/>
      <c r="T2" s="161"/>
      <c r="U2" s="161"/>
      <c r="V2" s="161"/>
      <c r="W2" s="161"/>
      <c r="X2" s="161"/>
      <c r="Y2" s="161"/>
    </row>
    <row r="3" spans="1:25" s="134" customFormat="1" x14ac:dyDescent="0.25">
      <c r="A3" s="307" t="s">
        <v>190</v>
      </c>
      <c r="B3" s="307"/>
      <c r="C3" s="307"/>
      <c r="D3" s="307"/>
      <c r="E3" s="307"/>
      <c r="F3" s="307"/>
      <c r="G3" s="307"/>
      <c r="H3" s="307"/>
      <c r="I3" s="307"/>
      <c r="J3" s="307"/>
      <c r="K3" s="307"/>
      <c r="L3" s="307"/>
      <c r="M3" s="307"/>
      <c r="N3" s="135"/>
    </row>
    <row r="4" spans="1:25" s="134" customFormat="1" x14ac:dyDescent="0.25">
      <c r="A4" s="307" t="s">
        <v>234</v>
      </c>
      <c r="B4" s="307"/>
      <c r="C4" s="307"/>
      <c r="D4" s="307"/>
      <c r="E4" s="307"/>
      <c r="F4" s="307"/>
      <c r="G4" s="307"/>
      <c r="H4" s="307"/>
      <c r="I4" s="307"/>
      <c r="J4" s="307"/>
      <c r="K4" s="307"/>
      <c r="L4" s="307"/>
      <c r="M4" s="307"/>
      <c r="N4" s="135"/>
    </row>
    <row r="5" spans="1:25" x14ac:dyDescent="0.25">
      <c r="F5" s="279"/>
      <c r="G5" s="279"/>
      <c r="H5" s="279"/>
      <c r="I5" s="279"/>
    </row>
    <row r="6" spans="1:25" x14ac:dyDescent="0.25">
      <c r="A6" s="171" t="s">
        <v>195</v>
      </c>
      <c r="D6" s="303" t="s">
        <v>196</v>
      </c>
      <c r="E6" s="304"/>
      <c r="F6" s="305"/>
      <c r="G6" s="303" t="s">
        <v>58</v>
      </c>
      <c r="H6" s="304"/>
      <c r="I6" s="305"/>
    </row>
    <row r="7" spans="1:25" x14ac:dyDescent="0.25">
      <c r="A7" s="51"/>
      <c r="B7" s="51"/>
      <c r="C7" s="51" t="s">
        <v>101</v>
      </c>
      <c r="D7" s="51" t="s">
        <v>192</v>
      </c>
      <c r="E7" s="51" t="s">
        <v>192</v>
      </c>
      <c r="F7" s="51" t="s">
        <v>2</v>
      </c>
      <c r="G7" s="51" t="s">
        <v>192</v>
      </c>
      <c r="H7" s="51" t="s">
        <v>192</v>
      </c>
      <c r="I7" s="51" t="s">
        <v>2</v>
      </c>
      <c r="J7" s="225" t="s">
        <v>101</v>
      </c>
      <c r="K7" s="225" t="s">
        <v>101</v>
      </c>
      <c r="L7" s="51" t="s">
        <v>192</v>
      </c>
      <c r="M7" s="51"/>
      <c r="V7" s="162"/>
      <c r="W7" s="162"/>
      <c r="X7" s="162"/>
    </row>
    <row r="8" spans="1:25" x14ac:dyDescent="0.25">
      <c r="A8" s="51"/>
      <c r="B8" s="51" t="s">
        <v>105</v>
      </c>
      <c r="C8" s="51" t="s">
        <v>197</v>
      </c>
      <c r="D8" s="51" t="s">
        <v>84</v>
      </c>
      <c r="E8" s="51" t="s">
        <v>194</v>
      </c>
      <c r="F8" s="51" t="s">
        <v>192</v>
      </c>
      <c r="G8" s="51" t="s">
        <v>84</v>
      </c>
      <c r="H8" s="51" t="s">
        <v>194</v>
      </c>
      <c r="I8" s="51" t="s">
        <v>192</v>
      </c>
      <c r="J8" s="225" t="s">
        <v>4</v>
      </c>
      <c r="K8" s="225" t="s">
        <v>4</v>
      </c>
      <c r="L8" s="51" t="s">
        <v>4</v>
      </c>
      <c r="M8" s="51" t="s">
        <v>119</v>
      </c>
      <c r="V8" s="162"/>
      <c r="W8" s="162"/>
      <c r="X8" s="162"/>
    </row>
    <row r="9" spans="1:25" x14ac:dyDescent="0.25">
      <c r="A9" s="52" t="s">
        <v>7</v>
      </c>
      <c r="B9" s="52" t="s">
        <v>122</v>
      </c>
      <c r="C9" s="78" t="s">
        <v>296</v>
      </c>
      <c r="D9" s="52" t="s">
        <v>198</v>
      </c>
      <c r="E9" s="52" t="s">
        <v>198</v>
      </c>
      <c r="F9" s="52" t="s">
        <v>198</v>
      </c>
      <c r="G9" s="52" t="s">
        <v>198</v>
      </c>
      <c r="H9" s="52" t="s">
        <v>198</v>
      </c>
      <c r="I9" s="52" t="s">
        <v>198</v>
      </c>
      <c r="J9" s="140" t="s">
        <v>162</v>
      </c>
      <c r="K9" s="140" t="s">
        <v>191</v>
      </c>
      <c r="L9" s="52" t="s">
        <v>126</v>
      </c>
      <c r="M9" s="52" t="s">
        <v>126</v>
      </c>
      <c r="V9" s="162"/>
      <c r="W9" s="163"/>
      <c r="X9" s="162"/>
    </row>
    <row r="10" spans="1:25" x14ac:dyDescent="0.25">
      <c r="A10" s="31" t="s">
        <v>19</v>
      </c>
      <c r="B10" s="279">
        <v>23</v>
      </c>
      <c r="C10" s="175">
        <v>9234251</v>
      </c>
      <c r="D10" s="172">
        <v>-9.9700000000000006</v>
      </c>
      <c r="E10" s="172">
        <v>0</v>
      </c>
      <c r="F10" s="224">
        <f>SUM(D10:E10)</f>
        <v>-9.9700000000000006</v>
      </c>
      <c r="G10" s="145">
        <f>'Sch. 111 Non-Vol Credit Rates'!$J$11</f>
        <v>-8.9499999999999993</v>
      </c>
      <c r="H10" s="172">
        <v>0</v>
      </c>
      <c r="I10" s="224">
        <f>SUM(G10:H10)</f>
        <v>-8.9499999999999993</v>
      </c>
      <c r="J10" s="106">
        <f>C10*F10</f>
        <v>-92065482.469999999</v>
      </c>
      <c r="K10" s="106">
        <f>C10*I10</f>
        <v>-82646546.449999988</v>
      </c>
      <c r="L10" s="53">
        <f>K10-J10</f>
        <v>9418936.0200000107</v>
      </c>
      <c r="M10" s="60">
        <f>IF(J10=0,0,-L10/J10)</f>
        <v>0.10230692076228698</v>
      </c>
      <c r="V10" s="162"/>
      <c r="W10" s="167"/>
      <c r="X10" s="162"/>
    </row>
    <row r="11" spans="1:25" ht="17.25" x14ac:dyDescent="0.25">
      <c r="A11" s="31" t="s">
        <v>199</v>
      </c>
      <c r="B11" s="279">
        <v>16</v>
      </c>
      <c r="C11" s="39">
        <v>324</v>
      </c>
      <c r="D11" s="172">
        <v>-2.99</v>
      </c>
      <c r="E11" s="172">
        <v>0</v>
      </c>
      <c r="F11" s="224">
        <f t="shared" ref="F11:F23" si="0">SUM(D11:E11)</f>
        <v>-2.99</v>
      </c>
      <c r="G11" s="145">
        <f>'Sch. 111 Rate Summary'!F30</f>
        <v>-3.61</v>
      </c>
      <c r="H11" s="145">
        <f>'Sch. 111 Rate Summary'!G30</f>
        <v>0</v>
      </c>
      <c r="I11" s="224">
        <f t="shared" ref="I11:I23" si="1">SUM(G11:H11)</f>
        <v>-3.61</v>
      </c>
      <c r="J11" s="106">
        <f t="shared" ref="J11:J22" si="2">C11*F11</f>
        <v>-968.7600000000001</v>
      </c>
      <c r="K11" s="106">
        <f t="shared" ref="K11:K23" si="3">C11*I11</f>
        <v>-1169.6399999999999</v>
      </c>
      <c r="L11" s="53">
        <f t="shared" ref="L11:L23" si="4">K11-J11</f>
        <v>-200.87999999999977</v>
      </c>
      <c r="M11" s="60">
        <f t="shared" ref="M11:M24" si="5">IF(J11=0,0,-L11/J11)</f>
        <v>-0.20735785953177233</v>
      </c>
      <c r="V11" s="162"/>
      <c r="W11" s="162"/>
      <c r="X11" s="162"/>
    </row>
    <row r="12" spans="1:25" x14ac:dyDescent="0.25">
      <c r="A12" s="31" t="s">
        <v>21</v>
      </c>
      <c r="B12" s="279">
        <v>31</v>
      </c>
      <c r="C12" s="175">
        <v>670116</v>
      </c>
      <c r="D12" s="172">
        <v>-52.27</v>
      </c>
      <c r="E12" s="172">
        <v>0</v>
      </c>
      <c r="F12" s="224">
        <f t="shared" si="0"/>
        <v>-52.27</v>
      </c>
      <c r="G12" s="145">
        <f>'Sch. 111 Non-Vol Credit Rates'!$J$13</f>
        <v>-54.88</v>
      </c>
      <c r="H12" s="172">
        <v>0</v>
      </c>
      <c r="I12" s="224">
        <f t="shared" si="1"/>
        <v>-54.88</v>
      </c>
      <c r="J12" s="106">
        <f t="shared" si="2"/>
        <v>-35026963.32</v>
      </c>
      <c r="K12" s="106">
        <f t="shared" si="3"/>
        <v>-36775966.079999998</v>
      </c>
      <c r="L12" s="53">
        <f t="shared" si="4"/>
        <v>-1749002.7599999979</v>
      </c>
      <c r="M12" s="60">
        <f t="shared" si="5"/>
        <v>-4.9933039984694796E-2</v>
      </c>
      <c r="V12" s="162"/>
      <c r="W12" s="162"/>
      <c r="X12" s="162"/>
    </row>
    <row r="13" spans="1:25" x14ac:dyDescent="0.25">
      <c r="A13" s="31" t="s">
        <v>22</v>
      </c>
      <c r="B13" s="279">
        <v>41</v>
      </c>
      <c r="C13" s="175">
        <v>15227</v>
      </c>
      <c r="D13" s="172">
        <v>-654.39</v>
      </c>
      <c r="E13" s="172">
        <v>0</v>
      </c>
      <c r="F13" s="224">
        <f t="shared" si="0"/>
        <v>-654.39</v>
      </c>
      <c r="G13" s="145">
        <f>'Sch. 111 Rate Summary'!F32</f>
        <v>-773.65</v>
      </c>
      <c r="H13" s="145">
        <f>'Sch. 111 Rate Summary'!G32</f>
        <v>0</v>
      </c>
      <c r="I13" s="224">
        <f t="shared" si="1"/>
        <v>-773.65</v>
      </c>
      <c r="J13" s="106">
        <f t="shared" si="2"/>
        <v>-9964396.5299999993</v>
      </c>
      <c r="K13" s="106">
        <f t="shared" si="3"/>
        <v>-11780368.549999999</v>
      </c>
      <c r="L13" s="53">
        <f t="shared" si="4"/>
        <v>-1815972.0199999996</v>
      </c>
      <c r="M13" s="60">
        <f t="shared" si="5"/>
        <v>-0.18224606121731685</v>
      </c>
    </row>
    <row r="14" spans="1:25" x14ac:dyDescent="0.25">
      <c r="A14" s="31" t="s">
        <v>23</v>
      </c>
      <c r="B14" s="279">
        <v>85</v>
      </c>
      <c r="C14" s="175">
        <v>348</v>
      </c>
      <c r="D14" s="172">
        <v>-5508.8</v>
      </c>
      <c r="E14" s="172">
        <v>0</v>
      </c>
      <c r="F14" s="224">
        <f t="shared" si="0"/>
        <v>-5508.8</v>
      </c>
      <c r="G14" s="145">
        <f>'Sch. 111 Rate Summary'!F33</f>
        <v>-8638.41</v>
      </c>
      <c r="H14" s="145">
        <f>'Sch. 111 Rate Summary'!G33</f>
        <v>0</v>
      </c>
      <c r="I14" s="224">
        <f t="shared" si="1"/>
        <v>-8638.41</v>
      </c>
      <c r="J14" s="106">
        <f t="shared" si="2"/>
        <v>-1917062.4000000001</v>
      </c>
      <c r="K14" s="106">
        <f t="shared" si="3"/>
        <v>-3006166.68</v>
      </c>
      <c r="L14" s="53">
        <f t="shared" si="4"/>
        <v>-1089104.28</v>
      </c>
      <c r="M14" s="60">
        <f t="shared" si="5"/>
        <v>-0.56811102236421718</v>
      </c>
    </row>
    <row r="15" spans="1:25" x14ac:dyDescent="0.25">
      <c r="A15" s="31" t="s">
        <v>24</v>
      </c>
      <c r="B15" s="279">
        <v>86</v>
      </c>
      <c r="C15" s="175">
        <v>1147</v>
      </c>
      <c r="D15" s="172">
        <v>-639</v>
      </c>
      <c r="E15" s="172">
        <v>0</v>
      </c>
      <c r="F15" s="224">
        <f t="shared" si="0"/>
        <v>-639</v>
      </c>
      <c r="G15" s="145">
        <f>'Sch. 111 Rate Summary'!F34</f>
        <v>-925.84</v>
      </c>
      <c r="H15" s="145">
        <f>'Sch. 111 Rate Summary'!G34</f>
        <v>0</v>
      </c>
      <c r="I15" s="224">
        <f t="shared" si="1"/>
        <v>-925.84</v>
      </c>
      <c r="J15" s="106">
        <f t="shared" si="2"/>
        <v>-732933</v>
      </c>
      <c r="K15" s="106">
        <f t="shared" si="3"/>
        <v>-1061938.48</v>
      </c>
      <c r="L15" s="53">
        <f t="shared" si="4"/>
        <v>-329005.48</v>
      </c>
      <c r="M15" s="60">
        <f t="shared" si="5"/>
        <v>-0.44888888888888884</v>
      </c>
    </row>
    <row r="16" spans="1:25" x14ac:dyDescent="0.25">
      <c r="A16" s="31" t="s">
        <v>25</v>
      </c>
      <c r="B16" s="279">
        <v>87</v>
      </c>
      <c r="C16" s="175">
        <v>12</v>
      </c>
      <c r="D16" s="172">
        <v>-20296.77</v>
      </c>
      <c r="E16" s="172">
        <v>0</v>
      </c>
      <c r="F16" s="224">
        <f t="shared" si="0"/>
        <v>-20296.77</v>
      </c>
      <c r="G16" s="145">
        <f>'Sch. 111 Rate Summary'!F35</f>
        <v>-9332.51</v>
      </c>
      <c r="H16" s="145">
        <f>'Sch. 111 Rate Summary'!G35</f>
        <v>0</v>
      </c>
      <c r="I16" s="224">
        <f t="shared" si="1"/>
        <v>-9332.51</v>
      </c>
      <c r="J16" s="106">
        <f t="shared" si="2"/>
        <v>-243561.24</v>
      </c>
      <c r="K16" s="106">
        <f t="shared" si="3"/>
        <v>-111990.12</v>
      </c>
      <c r="L16" s="53">
        <f t="shared" si="4"/>
        <v>131571.12</v>
      </c>
      <c r="M16" s="60">
        <f t="shared" si="5"/>
        <v>0.54019728262181621</v>
      </c>
    </row>
    <row r="17" spans="1:13" x14ac:dyDescent="0.25">
      <c r="A17" s="31" t="s">
        <v>26</v>
      </c>
      <c r="B17" s="279" t="s">
        <v>27</v>
      </c>
      <c r="C17" s="175">
        <v>0</v>
      </c>
      <c r="D17" s="172">
        <v>-12.46</v>
      </c>
      <c r="E17" s="172">
        <v>0</v>
      </c>
      <c r="F17" s="224">
        <f t="shared" si="0"/>
        <v>-12.46</v>
      </c>
      <c r="G17" s="145">
        <f>'Sch. 111 Non-Vol Credit Rates'!$J$18</f>
        <v>-95.96</v>
      </c>
      <c r="H17" s="172">
        <v>0</v>
      </c>
      <c r="I17" s="224">
        <f t="shared" si="1"/>
        <v>-95.96</v>
      </c>
      <c r="J17" s="106">
        <f>C17*F17</f>
        <v>0</v>
      </c>
      <c r="K17" s="106">
        <f t="shared" si="3"/>
        <v>0</v>
      </c>
      <c r="L17" s="53">
        <f t="shared" si="4"/>
        <v>0</v>
      </c>
      <c r="M17" s="60">
        <f t="shared" si="5"/>
        <v>0</v>
      </c>
    </row>
    <row r="18" spans="1:13" x14ac:dyDescent="0.25">
      <c r="A18" s="31" t="s">
        <v>28</v>
      </c>
      <c r="B18" s="279" t="s">
        <v>29</v>
      </c>
      <c r="C18" s="175">
        <v>1128</v>
      </c>
      <c r="D18" s="172">
        <v>-2991.39</v>
      </c>
      <c r="E18" s="172">
        <v>0</v>
      </c>
      <c r="F18" s="224">
        <f t="shared" si="0"/>
        <v>-2991.39</v>
      </c>
      <c r="G18" s="145">
        <f>'Sch. 111 Rate Summary'!F37</f>
        <v>-3757.09</v>
      </c>
      <c r="H18" s="145">
        <f>'Sch. 111 Rate Summary'!G37</f>
        <v>0</v>
      </c>
      <c r="I18" s="224">
        <f t="shared" si="1"/>
        <v>-3757.09</v>
      </c>
      <c r="J18" s="106">
        <f t="shared" si="2"/>
        <v>-3374287.92</v>
      </c>
      <c r="K18" s="106">
        <f t="shared" si="3"/>
        <v>-4237997.5200000005</v>
      </c>
      <c r="L18" s="53">
        <f t="shared" si="4"/>
        <v>-863709.60000000056</v>
      </c>
      <c r="M18" s="60">
        <f t="shared" si="5"/>
        <v>-0.25596796138250127</v>
      </c>
    </row>
    <row r="19" spans="1:13" x14ac:dyDescent="0.25">
      <c r="A19" s="31" t="s">
        <v>30</v>
      </c>
      <c r="B19" s="279" t="s">
        <v>31</v>
      </c>
      <c r="C19" s="175">
        <v>900</v>
      </c>
      <c r="D19" s="172">
        <v>-9383.3700000000008</v>
      </c>
      <c r="E19" s="172">
        <v>0</v>
      </c>
      <c r="F19" s="224">
        <f t="shared" si="0"/>
        <v>-9383.3700000000008</v>
      </c>
      <c r="G19" s="145">
        <f>'Sch. 111 Rate Summary'!F38</f>
        <v>-11126.27</v>
      </c>
      <c r="H19" s="145">
        <f>'Sch. 111 Rate Summary'!G38</f>
        <v>0</v>
      </c>
      <c r="I19" s="224">
        <f t="shared" si="1"/>
        <v>-11126.27</v>
      </c>
      <c r="J19" s="106">
        <f t="shared" si="2"/>
        <v>-8445033</v>
      </c>
      <c r="K19" s="106">
        <f t="shared" si="3"/>
        <v>-10013643</v>
      </c>
      <c r="L19" s="53">
        <f t="shared" si="4"/>
        <v>-1568610</v>
      </c>
      <c r="M19" s="60">
        <f t="shared" si="5"/>
        <v>-0.18574350153516275</v>
      </c>
    </row>
    <row r="20" spans="1:13" x14ac:dyDescent="0.25">
      <c r="A20" s="31" t="s">
        <v>32</v>
      </c>
      <c r="B20" s="279" t="s">
        <v>33</v>
      </c>
      <c r="C20" s="175">
        <v>60</v>
      </c>
      <c r="D20" s="172">
        <v>-2241.9</v>
      </c>
      <c r="E20" s="172">
        <v>0</v>
      </c>
      <c r="F20" s="224">
        <f t="shared" si="0"/>
        <v>-2241.9</v>
      </c>
      <c r="G20" s="145">
        <f>'Sch. 111 Rate Summary'!F39</f>
        <v>-5499.09</v>
      </c>
      <c r="H20" s="145">
        <f>'Sch. 111 Rate Summary'!G39</f>
        <v>0</v>
      </c>
      <c r="I20" s="224">
        <f t="shared" si="1"/>
        <v>-5499.09</v>
      </c>
      <c r="J20" s="106">
        <f t="shared" si="2"/>
        <v>-134514</v>
      </c>
      <c r="K20" s="106">
        <f t="shared" si="3"/>
        <v>-329945.40000000002</v>
      </c>
      <c r="L20" s="53">
        <f t="shared" si="4"/>
        <v>-195431.40000000002</v>
      </c>
      <c r="M20" s="60">
        <f t="shared" si="5"/>
        <v>-1.4528703331995185</v>
      </c>
    </row>
    <row r="21" spans="1:13" x14ac:dyDescent="0.25">
      <c r="A21" s="31" t="s">
        <v>34</v>
      </c>
      <c r="B21" s="279" t="s">
        <v>35</v>
      </c>
      <c r="C21" s="175">
        <v>96</v>
      </c>
      <c r="D21" s="172">
        <v>-17940.189999999999</v>
      </c>
      <c r="E21" s="172">
        <v>0</v>
      </c>
      <c r="F21" s="224">
        <f t="shared" si="0"/>
        <v>-17940.189999999999</v>
      </c>
      <c r="G21" s="145">
        <f>'Sch. 111 Rate Summary'!F40</f>
        <v>-17806.3</v>
      </c>
      <c r="H21" s="145">
        <f>'Sch. 111 Rate Summary'!G40</f>
        <v>0</v>
      </c>
      <c r="I21" s="224">
        <f t="shared" si="1"/>
        <v>-17806.3</v>
      </c>
      <c r="J21" s="106">
        <f t="shared" si="2"/>
        <v>-1722258.2399999998</v>
      </c>
      <c r="K21" s="106">
        <f t="shared" si="3"/>
        <v>-1709404.7999999998</v>
      </c>
      <c r="L21" s="53">
        <f t="shared" si="4"/>
        <v>12853.439999999944</v>
      </c>
      <c r="M21" s="60">
        <f t="shared" si="5"/>
        <v>7.4631316613703331E-3</v>
      </c>
    </row>
    <row r="22" spans="1:13" x14ac:dyDescent="0.25">
      <c r="A22" s="31" t="s">
        <v>246</v>
      </c>
      <c r="B22" s="279" t="s">
        <v>232</v>
      </c>
      <c r="C22" s="175">
        <v>12</v>
      </c>
      <c r="D22" s="172">
        <v>-63268.47</v>
      </c>
      <c r="E22" s="172">
        <v>0</v>
      </c>
      <c r="F22" s="224">
        <f t="shared" si="0"/>
        <v>-63268.47</v>
      </c>
      <c r="G22" s="145">
        <f>'Sch. 111 Rate Summary'!F41</f>
        <v>-35623.18</v>
      </c>
      <c r="H22" s="145">
        <f>'Sch. 111 Rate Summary'!G41</f>
        <v>0</v>
      </c>
      <c r="I22" s="224">
        <f t="shared" si="1"/>
        <v>-35623.18</v>
      </c>
      <c r="J22" s="106">
        <f t="shared" si="2"/>
        <v>-759221.64</v>
      </c>
      <c r="K22" s="106">
        <f t="shared" si="3"/>
        <v>-427478.16000000003</v>
      </c>
      <c r="L22" s="53">
        <f t="shared" si="4"/>
        <v>331743.48</v>
      </c>
      <c r="M22" s="60">
        <f t="shared" si="5"/>
        <v>0.43695208687676496</v>
      </c>
    </row>
    <row r="23" spans="1:13" x14ac:dyDescent="0.25">
      <c r="A23" s="31" t="s">
        <v>36</v>
      </c>
      <c r="B23" s="279"/>
      <c r="C23" s="175">
        <v>84</v>
      </c>
      <c r="D23" s="172">
        <v>-24152.47</v>
      </c>
      <c r="E23" s="172">
        <v>0</v>
      </c>
      <c r="F23" s="224">
        <f t="shared" si="0"/>
        <v>-24152.47</v>
      </c>
      <c r="G23" s="145">
        <f>'Sch. 111 Rate Summary'!F42</f>
        <v>-35271.18</v>
      </c>
      <c r="H23" s="145">
        <f>'Sch. 111 Rate Summary'!G42</f>
        <v>0</v>
      </c>
      <c r="I23" s="224">
        <f t="shared" si="1"/>
        <v>-35271.18</v>
      </c>
      <c r="J23" s="106">
        <f>C23*F23</f>
        <v>-2028807.48</v>
      </c>
      <c r="K23" s="106">
        <f t="shared" si="3"/>
        <v>-2962779.12</v>
      </c>
      <c r="L23" s="53">
        <f t="shared" si="4"/>
        <v>-933971.64000000013</v>
      </c>
      <c r="M23" s="240">
        <f t="shared" si="5"/>
        <v>-0.46035498646722267</v>
      </c>
    </row>
    <row r="24" spans="1:13" x14ac:dyDescent="0.25">
      <c r="A24" s="31" t="s">
        <v>2</v>
      </c>
      <c r="C24" s="43">
        <f>SUM(C10:C23)</f>
        <v>9923705</v>
      </c>
      <c r="D24" s="168"/>
      <c r="E24" s="168"/>
      <c r="F24" s="165"/>
      <c r="G24" s="165"/>
      <c r="H24" s="165"/>
      <c r="I24" s="165"/>
      <c r="J24" s="111">
        <f t="shared" ref="J24:L24" si="6">SUM(J10:J23)</f>
        <v>-156415490</v>
      </c>
      <c r="K24" s="111">
        <f t="shared" si="6"/>
        <v>-155065394.00000003</v>
      </c>
      <c r="L24" s="58">
        <f t="shared" si="6"/>
        <v>1350096.0000000121</v>
      </c>
      <c r="M24" s="60">
        <f t="shared" si="5"/>
        <v>8.6314724967457637E-3</v>
      </c>
    </row>
    <row r="25" spans="1:13" x14ac:dyDescent="0.25">
      <c r="J25" s="53"/>
      <c r="K25" s="53"/>
    </row>
    <row r="26" spans="1:13" x14ac:dyDescent="0.25">
      <c r="A26" s="171" t="s">
        <v>207</v>
      </c>
      <c r="C26" s="44"/>
      <c r="D26" s="303" t="s">
        <v>196</v>
      </c>
      <c r="E26" s="304"/>
      <c r="F26" s="305"/>
      <c r="G26" s="303" t="s">
        <v>58</v>
      </c>
      <c r="H26" s="304"/>
      <c r="I26" s="305"/>
    </row>
    <row r="27" spans="1:13" x14ac:dyDescent="0.25">
      <c r="A27" s="51"/>
      <c r="B27" s="51"/>
      <c r="C27" s="51" t="s">
        <v>101</v>
      </c>
      <c r="D27" s="51" t="s">
        <v>192</v>
      </c>
      <c r="E27" s="51" t="s">
        <v>192</v>
      </c>
      <c r="F27" s="51" t="s">
        <v>2</v>
      </c>
      <c r="G27" s="51" t="s">
        <v>192</v>
      </c>
      <c r="H27" s="51" t="s">
        <v>192</v>
      </c>
      <c r="I27" s="51" t="s">
        <v>2</v>
      </c>
      <c r="J27" s="225" t="s">
        <v>101</v>
      </c>
      <c r="K27" s="225" t="s">
        <v>101</v>
      </c>
      <c r="L27" s="51" t="s">
        <v>192</v>
      </c>
      <c r="M27" s="51"/>
    </row>
    <row r="28" spans="1:13" x14ac:dyDescent="0.25">
      <c r="A28" s="51"/>
      <c r="B28" s="51" t="s">
        <v>105</v>
      </c>
      <c r="C28" s="51" t="s">
        <v>193</v>
      </c>
      <c r="D28" s="51" t="s">
        <v>84</v>
      </c>
      <c r="E28" s="51" t="s">
        <v>194</v>
      </c>
      <c r="F28" s="51" t="s">
        <v>192</v>
      </c>
      <c r="G28" s="51" t="s">
        <v>84</v>
      </c>
      <c r="H28" s="51" t="s">
        <v>194</v>
      </c>
      <c r="I28" s="51" t="s">
        <v>192</v>
      </c>
      <c r="J28" s="225" t="s">
        <v>4</v>
      </c>
      <c r="K28" s="225" t="s">
        <v>4</v>
      </c>
      <c r="L28" s="51" t="s">
        <v>4</v>
      </c>
      <c r="M28" s="51" t="s">
        <v>119</v>
      </c>
    </row>
    <row r="29" spans="1:13" x14ac:dyDescent="0.25">
      <c r="A29" s="52" t="s">
        <v>7</v>
      </c>
      <c r="B29" s="52" t="s">
        <v>122</v>
      </c>
      <c r="C29" s="38" t="str">
        <f>C9</f>
        <v>12ME Dec. 2025</v>
      </c>
      <c r="D29" s="52" t="s">
        <v>200</v>
      </c>
      <c r="E29" s="52" t="s">
        <v>200</v>
      </c>
      <c r="F29" s="52" t="s">
        <v>200</v>
      </c>
      <c r="G29" s="52" t="s">
        <v>200</v>
      </c>
      <c r="H29" s="52" t="s">
        <v>200</v>
      </c>
      <c r="I29" s="52" t="s">
        <v>200</v>
      </c>
      <c r="J29" s="140" t="s">
        <v>162</v>
      </c>
      <c r="K29" s="140" t="s">
        <v>191</v>
      </c>
      <c r="L29" s="52" t="s">
        <v>126</v>
      </c>
      <c r="M29" s="52" t="s">
        <v>126</v>
      </c>
    </row>
    <row r="30" spans="1:13" x14ac:dyDescent="0.25">
      <c r="A30" s="31" t="s">
        <v>52</v>
      </c>
      <c r="B30" s="279">
        <v>23</v>
      </c>
      <c r="C30" s="175">
        <v>21094771.470028158</v>
      </c>
      <c r="D30" s="164">
        <v>-0.23183000000000001</v>
      </c>
      <c r="E30" s="164">
        <v>0</v>
      </c>
      <c r="F30" s="165">
        <f t="shared" ref="F30" si="7">SUM(D30:E30)</f>
        <v>-0.23183000000000001</v>
      </c>
      <c r="G30" s="166">
        <f>'Sch. 111 Rate Summary'!F48</f>
        <v>-0.16114999999999999</v>
      </c>
      <c r="H30" s="166">
        <f>'Sch. 111 Rate Summary'!G48</f>
        <v>0</v>
      </c>
      <c r="I30" s="165">
        <f t="shared" ref="I30" si="8">SUM(G30:H30)</f>
        <v>-0.16114999999999999</v>
      </c>
      <c r="J30" s="106">
        <f t="shared" ref="J30" si="9">C30*F30</f>
        <v>-4890400.869896628</v>
      </c>
      <c r="K30" s="106">
        <f t="shared" ref="K30" si="10">C30*I30</f>
        <v>-3399422.4223950375</v>
      </c>
      <c r="L30" s="53">
        <f t="shared" ref="L30" si="11">K30-J30</f>
        <v>1490978.4475015905</v>
      </c>
      <c r="M30" s="60">
        <f t="shared" ref="M30" si="12">IF(J30=0,0,-L30/J30)</f>
        <v>0.30487857481775443</v>
      </c>
    </row>
    <row r="33" spans="1:13" x14ac:dyDescent="0.25">
      <c r="A33" s="173" t="s">
        <v>201</v>
      </c>
      <c r="B33" s="173"/>
      <c r="C33" s="173"/>
      <c r="D33" s="173"/>
      <c r="E33" s="173"/>
      <c r="F33" s="174"/>
      <c r="G33" s="174"/>
      <c r="H33" s="174"/>
      <c r="I33" s="242"/>
      <c r="J33" s="288">
        <f>SUM(J24,J30)</f>
        <v>-161305890.86989662</v>
      </c>
      <c r="K33" s="288">
        <f t="shared" ref="K33:L33" si="13">SUM(K24,K30)</f>
        <v>-158464816.42239508</v>
      </c>
      <c r="L33" s="288">
        <f t="shared" si="13"/>
        <v>2841074.4475016026</v>
      </c>
      <c r="M33" s="289">
        <f t="shared" ref="M33" si="14">IF(J33=0,0,-L33/J33)</f>
        <v>1.7612961511697726E-2</v>
      </c>
    </row>
    <row r="35" spans="1:13" ht="17.25" x14ac:dyDescent="0.25">
      <c r="A35" s="31" t="s">
        <v>202</v>
      </c>
    </row>
    <row r="39" spans="1:13" x14ac:dyDescent="0.25">
      <c r="F39" s="165"/>
      <c r="I39" s="165"/>
    </row>
    <row r="43" spans="1:13" ht="17.25" x14ac:dyDescent="0.25">
      <c r="B43" s="170"/>
    </row>
  </sheetData>
  <mergeCells count="8">
    <mergeCell ref="D26:F26"/>
    <mergeCell ref="G26:I26"/>
    <mergeCell ref="A1:M1"/>
    <mergeCell ref="A2:M2"/>
    <mergeCell ref="A3:M3"/>
    <mergeCell ref="A4:M4"/>
    <mergeCell ref="D6:F6"/>
    <mergeCell ref="G6:I6"/>
  </mergeCells>
  <printOptions horizontalCentered="1"/>
  <pageMargins left="0.7" right="0.7" top="0.75" bottom="0.75" header="0.3" footer="0.3"/>
  <pageSetup scale="60" orientation="landscape" blackAndWhite="1" r:id="rId1"/>
  <headerFooter>
    <oddFooter>&amp;L&amp;F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3" sqref="L33"/>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B1" zoomScale="80" zoomScaleNormal="80" workbookViewId="0">
      <pane xSplit="3" ySplit="4" topLeftCell="E5" activePane="bottomRight" state="frozen"/>
      <selection activeCell="B1" sqref="B1"/>
      <selection pane="topRight" activeCell="E1" sqref="E1"/>
      <selection pane="bottomLeft" activeCell="B5" sqref="B5"/>
      <selection pane="bottomRight"/>
    </sheetView>
  </sheetViews>
  <sheetFormatPr defaultRowHeight="15" outlineLevelRow="1" x14ac:dyDescent="0.25"/>
  <cols>
    <col min="2" max="2" width="5.140625" customWidth="1"/>
    <col min="3" max="3" width="52" customWidth="1"/>
    <col min="4" max="4" width="6" customWidth="1"/>
    <col min="5" max="5" width="17.5703125" customWidth="1"/>
    <col min="6" max="6" width="17.42578125" bestFit="1" customWidth="1"/>
    <col min="7" max="7" width="17.42578125" customWidth="1"/>
    <col min="8" max="8" width="16.85546875" bestFit="1" customWidth="1"/>
    <col min="9" max="9" width="16.42578125" customWidth="1"/>
    <col min="10" max="10" width="19" customWidth="1"/>
  </cols>
  <sheetData>
    <row r="1" spans="1:10" ht="18.75" x14ac:dyDescent="0.3">
      <c r="A1" s="89" t="s">
        <v>229</v>
      </c>
      <c r="B1" s="25"/>
      <c r="C1" s="25"/>
      <c r="D1" s="25"/>
      <c r="E1" s="25"/>
    </row>
    <row r="2" spans="1:10" ht="15.75" x14ac:dyDescent="0.25">
      <c r="A2" s="90" t="s">
        <v>251</v>
      </c>
      <c r="B2" s="25"/>
      <c r="C2" s="25"/>
      <c r="D2" s="25"/>
      <c r="E2" s="25"/>
    </row>
    <row r="3" spans="1:10" ht="15.75" x14ac:dyDescent="0.25">
      <c r="A3" s="90"/>
      <c r="B3" s="25"/>
      <c r="C3" s="25"/>
      <c r="D3" s="25"/>
      <c r="E3" s="25"/>
    </row>
    <row r="4" spans="1:10" ht="61.5" customHeight="1" x14ac:dyDescent="0.25">
      <c r="A4" s="25"/>
      <c r="B4" s="290">
        <f t="shared" ref="B4:B9" si="0">+ROW()</f>
        <v>4</v>
      </c>
      <c r="C4" s="193" t="s">
        <v>252</v>
      </c>
      <c r="D4" s="25"/>
      <c r="E4" s="194" t="s">
        <v>253</v>
      </c>
      <c r="F4" s="194" t="s">
        <v>254</v>
      </c>
      <c r="G4" s="194" t="s">
        <v>255</v>
      </c>
      <c r="H4" s="194" t="s">
        <v>256</v>
      </c>
      <c r="I4" s="194" t="s">
        <v>257</v>
      </c>
      <c r="J4" s="195" t="s">
        <v>258</v>
      </c>
    </row>
    <row r="5" spans="1:10" x14ac:dyDescent="0.25">
      <c r="A5" s="25"/>
      <c r="B5" s="290">
        <f t="shared" si="0"/>
        <v>5</v>
      </c>
      <c r="C5" s="25" t="s">
        <v>259</v>
      </c>
      <c r="D5" s="25"/>
      <c r="E5" s="291">
        <v>250999780.48959899</v>
      </c>
      <c r="F5" s="291">
        <v>-35462167.823264576</v>
      </c>
      <c r="G5" s="291">
        <v>-53800110.893160731</v>
      </c>
      <c r="H5" s="291">
        <v>-4187708.4725988</v>
      </c>
      <c r="I5" s="291">
        <v>-8567318.0585629791</v>
      </c>
      <c r="J5" s="292">
        <f>SUM(E5:I5)</f>
        <v>148982475.2420119</v>
      </c>
    </row>
    <row r="6" spans="1:10" x14ac:dyDescent="0.25">
      <c r="A6" s="25"/>
      <c r="B6" s="290">
        <f t="shared" si="0"/>
        <v>6</v>
      </c>
      <c r="C6" s="28" t="s">
        <v>39</v>
      </c>
      <c r="D6" s="29">
        <v>0.21</v>
      </c>
      <c r="E6" s="94">
        <f t="shared" ref="E6:J6" si="1">-(E5)*$D6</f>
        <v>-52709953.902815789</v>
      </c>
      <c r="F6" s="94">
        <f t="shared" si="1"/>
        <v>7447055.2428855607</v>
      </c>
      <c r="G6" s="94">
        <f t="shared" si="1"/>
        <v>11298023.287563752</v>
      </c>
      <c r="H6" s="94">
        <f t="shared" si="1"/>
        <v>879418.77924574795</v>
      </c>
      <c r="I6" s="94">
        <f t="shared" si="1"/>
        <v>1799136.7922982255</v>
      </c>
      <c r="J6" s="196">
        <f t="shared" si="1"/>
        <v>-31286319.8008225</v>
      </c>
    </row>
    <row r="7" spans="1:10" x14ac:dyDescent="0.25">
      <c r="A7" s="25"/>
      <c r="B7" s="290">
        <f t="shared" si="0"/>
        <v>7</v>
      </c>
      <c r="C7" s="28" t="s">
        <v>40</v>
      </c>
      <c r="D7" s="30"/>
      <c r="E7" s="93">
        <f t="shared" ref="E7:J7" si="2">-E5-E6</f>
        <v>-198289826.5867832</v>
      </c>
      <c r="F7" s="93">
        <f t="shared" si="2"/>
        <v>28015112.580379017</v>
      </c>
      <c r="G7" s="93">
        <f t="shared" si="2"/>
        <v>42502087.605596974</v>
      </c>
      <c r="H7" s="93">
        <f t="shared" si="2"/>
        <v>3308289.6933530523</v>
      </c>
      <c r="I7" s="93">
        <f t="shared" si="2"/>
        <v>6768181.2662647534</v>
      </c>
      <c r="J7" s="197">
        <f t="shared" si="2"/>
        <v>-117696155.44118941</v>
      </c>
    </row>
    <row r="8" spans="1:10" x14ac:dyDescent="0.25">
      <c r="A8" s="25"/>
      <c r="B8" s="290">
        <f t="shared" si="0"/>
        <v>8</v>
      </c>
      <c r="C8" s="25" t="s">
        <v>41</v>
      </c>
      <c r="D8" s="25"/>
      <c r="E8" s="198">
        <v>0.75222100000000003</v>
      </c>
      <c r="F8" s="198">
        <v>0.75222100000000003</v>
      </c>
      <c r="G8" s="199">
        <v>0.75222100000000003</v>
      </c>
      <c r="H8" s="198">
        <v>0.75222100000000003</v>
      </c>
      <c r="I8" s="198">
        <v>0.75222100000000003</v>
      </c>
      <c r="J8" s="200">
        <v>0.75222100000000003</v>
      </c>
    </row>
    <row r="9" spans="1:10" ht="15.75" thickBot="1" x14ac:dyDescent="0.3">
      <c r="A9" s="25"/>
      <c r="B9" s="290">
        <f t="shared" si="0"/>
        <v>9</v>
      </c>
      <c r="C9" s="25" t="s">
        <v>42</v>
      </c>
      <c r="D9" s="25"/>
      <c r="E9" s="95">
        <f t="shared" ref="E9:J9" si="3">-E7/E8</f>
        <v>263605810.77473667</v>
      </c>
      <c r="F9" s="95">
        <f t="shared" si="3"/>
        <v>-37243193.928883955</v>
      </c>
      <c r="G9" s="95">
        <f t="shared" si="3"/>
        <v>-56502128.504252039</v>
      </c>
      <c r="H9" s="95">
        <f t="shared" si="3"/>
        <v>-4398028.8949032957</v>
      </c>
      <c r="I9" s="95">
        <f t="shared" si="3"/>
        <v>-8997596.8050144222</v>
      </c>
      <c r="J9" s="201">
        <f t="shared" si="3"/>
        <v>156464862.64168298</v>
      </c>
    </row>
    <row r="10" spans="1:10" ht="15.75" thickTop="1" x14ac:dyDescent="0.25">
      <c r="A10" s="25"/>
      <c r="B10" s="25"/>
      <c r="C10" s="25"/>
      <c r="D10" s="91" t="s">
        <v>99</v>
      </c>
      <c r="E10" s="92">
        <v>0</v>
      </c>
      <c r="F10" s="92">
        <v>5.9604644775390625E-8</v>
      </c>
      <c r="G10" s="92">
        <v>0</v>
      </c>
      <c r="H10" s="92"/>
      <c r="I10" s="92"/>
      <c r="J10" s="202"/>
    </row>
    <row r="11" spans="1:10" ht="15.75" x14ac:dyDescent="0.25">
      <c r="A11" s="25"/>
      <c r="D11" s="26"/>
      <c r="E11" s="203"/>
      <c r="J11" s="202"/>
    </row>
    <row r="12" spans="1:10" ht="87" customHeight="1" x14ac:dyDescent="0.25">
      <c r="A12" s="25"/>
      <c r="B12" s="290">
        <f t="shared" ref="B12:B17" si="4">+ROW()</f>
        <v>12</v>
      </c>
      <c r="C12" s="193" t="s">
        <v>260</v>
      </c>
      <c r="D12" s="25"/>
      <c r="E12" s="194" t="str">
        <f>E4</f>
        <v>2025 CCA Obligation</v>
      </c>
      <c r="F12" s="194" t="str">
        <f t="shared" ref="F12:H12" si="5">F4</f>
        <v>2023 Cost/Credit True-Up</v>
      </c>
      <c r="G12" s="194" t="str">
        <f t="shared" si="5"/>
        <v>2024 Cost/Credit True-Up</v>
      </c>
      <c r="H12" s="194" t="str">
        <f t="shared" si="5"/>
        <v>2023-2024 Interest</v>
      </c>
      <c r="I12" s="194" t="s">
        <v>261</v>
      </c>
      <c r="J12" s="195" t="s">
        <v>262</v>
      </c>
    </row>
    <row r="13" spans="1:10" x14ac:dyDescent="0.25">
      <c r="A13" s="25"/>
      <c r="B13" s="290">
        <f t="shared" si="4"/>
        <v>13</v>
      </c>
      <c r="C13" s="25" t="s">
        <v>263</v>
      </c>
      <c r="D13" s="25"/>
      <c r="E13" s="204">
        <v>-181031902.70333335</v>
      </c>
      <c r="F13" s="204">
        <v>-2261707.8993262351</v>
      </c>
      <c r="G13" s="204">
        <v>49199025.146624967</v>
      </c>
      <c r="H13" s="204">
        <v>-1175141.8078084958</v>
      </c>
      <c r="I13" s="204">
        <v>-1943379.4158692444</v>
      </c>
      <c r="J13" s="205">
        <f>SUM(E13:I13)</f>
        <v>-137213106.67971236</v>
      </c>
    </row>
    <row r="14" spans="1:10" x14ac:dyDescent="0.25">
      <c r="A14" s="25"/>
      <c r="B14" s="290">
        <f t="shared" si="4"/>
        <v>14</v>
      </c>
      <c r="C14" s="28" t="s">
        <v>39</v>
      </c>
      <c r="D14" s="29">
        <f>D6</f>
        <v>0.21</v>
      </c>
      <c r="E14" s="94">
        <f t="shared" ref="E14:J14" si="6">-(E13)*$D14</f>
        <v>38016699.567699999</v>
      </c>
      <c r="F14" s="94">
        <f t="shared" si="6"/>
        <v>474958.65885850933</v>
      </c>
      <c r="G14" s="94">
        <f t="shared" si="6"/>
        <v>-10331795.280791244</v>
      </c>
      <c r="H14" s="94">
        <f t="shared" si="6"/>
        <v>246779.7796397841</v>
      </c>
      <c r="I14" s="94">
        <f t="shared" si="6"/>
        <v>408109.67733254132</v>
      </c>
      <c r="J14" s="196">
        <f t="shared" si="6"/>
        <v>28814752.402739592</v>
      </c>
    </row>
    <row r="15" spans="1:10" x14ac:dyDescent="0.25">
      <c r="A15" s="25"/>
      <c r="B15" s="290">
        <f t="shared" si="4"/>
        <v>15</v>
      </c>
      <c r="C15" s="28" t="s">
        <v>40</v>
      </c>
      <c r="D15" s="30"/>
      <c r="E15" s="93">
        <f t="shared" ref="E15:J15" si="7">-E13-E14</f>
        <v>143015203.13563335</v>
      </c>
      <c r="F15" s="93">
        <f t="shared" si="7"/>
        <v>1786749.2404677258</v>
      </c>
      <c r="G15" s="93">
        <f t="shared" si="7"/>
        <v>-38867229.865833722</v>
      </c>
      <c r="H15" s="93">
        <f t="shared" si="7"/>
        <v>928362.02816871169</v>
      </c>
      <c r="I15" s="93">
        <f t="shared" si="7"/>
        <v>1535269.7385367029</v>
      </c>
      <c r="J15" s="197">
        <f t="shared" si="7"/>
        <v>108398354.27697277</v>
      </c>
    </row>
    <row r="16" spans="1:10" x14ac:dyDescent="0.25">
      <c r="A16" s="25"/>
      <c r="B16" s="290">
        <f t="shared" si="4"/>
        <v>16</v>
      </c>
      <c r="C16" s="25" t="s">
        <v>41</v>
      </c>
      <c r="D16" s="25"/>
      <c r="E16" s="198">
        <f>E8</f>
        <v>0.75222100000000003</v>
      </c>
      <c r="F16" s="198">
        <f>F8</f>
        <v>0.75222100000000003</v>
      </c>
      <c r="G16" s="198">
        <f>G8</f>
        <v>0.75222100000000003</v>
      </c>
      <c r="H16" s="198">
        <f>H8</f>
        <v>0.75222100000000003</v>
      </c>
      <c r="I16" s="198">
        <f>I8</f>
        <v>0.75222100000000003</v>
      </c>
      <c r="J16" s="200">
        <v>0.75222100000000003</v>
      </c>
    </row>
    <row r="17" spans="1:10" ht="15.75" thickBot="1" x14ac:dyDescent="0.3">
      <c r="A17" s="25"/>
      <c r="B17" s="290">
        <f t="shared" si="4"/>
        <v>17</v>
      </c>
      <c r="C17" s="25" t="s">
        <v>42</v>
      </c>
      <c r="D17" s="25"/>
      <c r="E17" s="95">
        <f t="shared" ref="E17:J17" si="8">-E15/E16</f>
        <v>-190123917.22064838</v>
      </c>
      <c r="F17" s="95">
        <f t="shared" si="8"/>
        <v>-2375298.2706780662</v>
      </c>
      <c r="G17" s="95">
        <f t="shared" si="8"/>
        <v>51669961.176082186</v>
      </c>
      <c r="H17" s="95">
        <f t="shared" si="8"/>
        <v>-1234161.2746369906</v>
      </c>
      <c r="I17" s="95">
        <f t="shared" si="8"/>
        <v>-2040982.2891632949</v>
      </c>
      <c r="J17" s="201">
        <f t="shared" si="8"/>
        <v>-144104397.87904453</v>
      </c>
    </row>
    <row r="18" spans="1:10" ht="15.75" thickTop="1" x14ac:dyDescent="0.25">
      <c r="A18" s="25"/>
      <c r="B18" s="25"/>
      <c r="C18" s="25"/>
      <c r="D18" s="91" t="s">
        <v>99</v>
      </c>
      <c r="E18" s="92">
        <v>0</v>
      </c>
      <c r="F18" s="92">
        <v>2.9802322387695313E-8</v>
      </c>
      <c r="G18" s="92">
        <v>0</v>
      </c>
      <c r="H18" s="92"/>
      <c r="I18" s="92"/>
      <c r="J18" s="202"/>
    </row>
    <row r="19" spans="1:10" ht="15.75" x14ac:dyDescent="0.25">
      <c r="A19" s="25"/>
      <c r="D19" s="26"/>
      <c r="E19" s="27"/>
      <c r="J19" s="202"/>
    </row>
    <row r="20" spans="1:10" ht="43.5" x14ac:dyDescent="0.25">
      <c r="A20" s="25"/>
      <c r="B20" s="290">
        <f t="shared" ref="B20:B25" si="9">+ROW()</f>
        <v>20</v>
      </c>
      <c r="C20" s="193" t="s">
        <v>264</v>
      </c>
      <c r="D20" s="25"/>
      <c r="E20" s="194" t="str">
        <f>E12</f>
        <v>2025 CCA Obligation</v>
      </c>
      <c r="F20" s="194" t="str">
        <f>F12</f>
        <v>2023 Cost/Credit True-Up</v>
      </c>
      <c r="G20" s="194" t="str">
        <f>G12</f>
        <v>2024 Cost/Credit True-Up</v>
      </c>
      <c r="H20" s="194" t="str">
        <f>H12</f>
        <v>2023-2024 Interest</v>
      </c>
      <c r="I20" s="194" t="s">
        <v>265</v>
      </c>
      <c r="J20" s="195" t="s">
        <v>266</v>
      </c>
    </row>
    <row r="21" spans="1:10" x14ac:dyDescent="0.25">
      <c r="A21" s="25"/>
      <c r="B21" s="290">
        <f t="shared" si="9"/>
        <v>21</v>
      </c>
      <c r="C21" s="25" t="s">
        <v>267</v>
      </c>
      <c r="D21" s="25"/>
      <c r="E21" s="204">
        <f t="shared" ref="E21:J21" si="10">+E5+E13</f>
        <v>69967877.786265641</v>
      </c>
      <c r="F21" s="204">
        <f t="shared" si="10"/>
        <v>-37723875.722590812</v>
      </c>
      <c r="G21" s="204">
        <f t="shared" si="10"/>
        <v>-4601085.7465357631</v>
      </c>
      <c r="H21" s="204">
        <f t="shared" si="10"/>
        <v>-5362850.2804072956</v>
      </c>
      <c r="I21" s="204">
        <f t="shared" si="10"/>
        <v>-10510697.474432223</v>
      </c>
      <c r="J21" s="205">
        <f t="shared" si="10"/>
        <v>11769368.56229955</v>
      </c>
    </row>
    <row r="22" spans="1:10" x14ac:dyDescent="0.25">
      <c r="A22" s="25"/>
      <c r="B22" s="290">
        <f t="shared" si="9"/>
        <v>22</v>
      </c>
      <c r="C22" s="28" t="s">
        <v>39</v>
      </c>
      <c r="D22" s="29">
        <f>D14</f>
        <v>0.21</v>
      </c>
      <c r="E22" s="94">
        <f t="shared" ref="E22:J22" si="11">-(E21)*$D22</f>
        <v>-14693254.335115785</v>
      </c>
      <c r="F22" s="94">
        <f t="shared" si="11"/>
        <v>7922013.9017440705</v>
      </c>
      <c r="G22" s="94">
        <f t="shared" si="11"/>
        <v>966228.00677251024</v>
      </c>
      <c r="H22" s="94">
        <f t="shared" si="11"/>
        <v>1126198.558885532</v>
      </c>
      <c r="I22" s="94">
        <f t="shared" si="11"/>
        <v>2207246.4696307667</v>
      </c>
      <c r="J22" s="196">
        <f t="shared" si="11"/>
        <v>-2471567.3980829054</v>
      </c>
    </row>
    <row r="23" spans="1:10" x14ac:dyDescent="0.25">
      <c r="A23" s="25"/>
      <c r="B23" s="290">
        <f t="shared" si="9"/>
        <v>23</v>
      </c>
      <c r="C23" s="28" t="s">
        <v>40</v>
      </c>
      <c r="D23" s="30"/>
      <c r="E23" s="93">
        <f t="shared" ref="E23:J23" si="12">-E21-E22</f>
        <v>-55274623.451149859</v>
      </c>
      <c r="F23" s="93">
        <f t="shared" si="12"/>
        <v>29801861.82084674</v>
      </c>
      <c r="G23" s="93">
        <f t="shared" si="12"/>
        <v>3634857.7397632529</v>
      </c>
      <c r="H23" s="93">
        <f t="shared" si="12"/>
        <v>4236651.7215217631</v>
      </c>
      <c r="I23" s="93">
        <f t="shared" si="12"/>
        <v>8303451.0048014559</v>
      </c>
      <c r="J23" s="197">
        <f t="shared" si="12"/>
        <v>-9297801.1642166451</v>
      </c>
    </row>
    <row r="24" spans="1:10" x14ac:dyDescent="0.25">
      <c r="A24" s="25"/>
      <c r="B24" s="290">
        <f t="shared" si="9"/>
        <v>24</v>
      </c>
      <c r="C24" s="25" t="s">
        <v>41</v>
      </c>
      <c r="D24" s="25"/>
      <c r="E24" s="198">
        <f t="shared" ref="E24:J24" si="13">E16</f>
        <v>0.75222100000000003</v>
      </c>
      <c r="F24" s="198">
        <f t="shared" si="13"/>
        <v>0.75222100000000003</v>
      </c>
      <c r="G24" s="198">
        <f t="shared" si="13"/>
        <v>0.75222100000000003</v>
      </c>
      <c r="H24" s="198">
        <f t="shared" si="13"/>
        <v>0.75222100000000003</v>
      </c>
      <c r="I24" s="198">
        <f t="shared" si="13"/>
        <v>0.75222100000000003</v>
      </c>
      <c r="J24" s="200">
        <f t="shared" si="13"/>
        <v>0.75222100000000003</v>
      </c>
    </row>
    <row r="25" spans="1:10" ht="15.75" thickBot="1" x14ac:dyDescent="0.3">
      <c r="A25" s="25"/>
      <c r="B25" s="290">
        <f t="shared" si="9"/>
        <v>25</v>
      </c>
      <c r="C25" s="25" t="s">
        <v>268</v>
      </c>
      <c r="D25" s="25"/>
      <c r="E25" s="206">
        <f t="shared" ref="E25:J25" si="14">-E23/E24</f>
        <v>73481893.554088295</v>
      </c>
      <c r="F25" s="206">
        <f t="shared" si="14"/>
        <v>-39618492.199562013</v>
      </c>
      <c r="G25" s="206">
        <f t="shared" si="14"/>
        <v>-4832167.3281698497</v>
      </c>
      <c r="H25" s="206">
        <f t="shared" si="14"/>
        <v>-5632190.1695402851</v>
      </c>
      <c r="I25" s="206">
        <f t="shared" si="14"/>
        <v>-11038579.094177715</v>
      </c>
      <c r="J25" s="207">
        <f t="shared" si="14"/>
        <v>12360464.762638433</v>
      </c>
    </row>
    <row r="26" spans="1:10" ht="15.75" thickTop="1" x14ac:dyDescent="0.25">
      <c r="D26" s="91" t="s">
        <v>99</v>
      </c>
      <c r="E26" s="92">
        <f t="shared" ref="E26:J26" si="15">E9+E17-E25</f>
        <v>0</v>
      </c>
      <c r="F26" s="92">
        <f t="shared" si="15"/>
        <v>0</v>
      </c>
      <c r="G26" s="92">
        <f t="shared" si="15"/>
        <v>0</v>
      </c>
      <c r="H26" s="92">
        <f t="shared" si="15"/>
        <v>0</v>
      </c>
      <c r="I26" s="92">
        <f t="shared" si="15"/>
        <v>0</v>
      </c>
      <c r="J26" s="92">
        <f t="shared" si="15"/>
        <v>1.6763806343078613E-8</v>
      </c>
    </row>
    <row r="27" spans="1:10" x14ac:dyDescent="0.25">
      <c r="D27" s="91"/>
      <c r="E27" s="92"/>
      <c r="F27" s="92"/>
      <c r="G27" s="92"/>
      <c r="H27" s="92"/>
      <c r="I27" s="92"/>
      <c r="J27" s="92"/>
    </row>
    <row r="28" spans="1:10" x14ac:dyDescent="0.25">
      <c r="C28" t="s">
        <v>269</v>
      </c>
    </row>
    <row r="29" spans="1:10" x14ac:dyDescent="0.25">
      <c r="C29" s="208" t="s">
        <v>270</v>
      </c>
    </row>
    <row r="30" spans="1:10" ht="15.75" thickBot="1" x14ac:dyDescent="0.3"/>
    <row r="31" spans="1:10" ht="15.75" x14ac:dyDescent="0.25">
      <c r="B31" s="293">
        <f t="shared" ref="B31:B54" si="16">+ROW()</f>
        <v>31</v>
      </c>
      <c r="C31" s="209" t="s">
        <v>271</v>
      </c>
      <c r="D31" s="210"/>
      <c r="E31" s="211"/>
      <c r="F31" s="210"/>
      <c r="G31" s="212"/>
      <c r="H31" s="212"/>
      <c r="I31" s="212"/>
      <c r="J31" s="213"/>
    </row>
    <row r="32" spans="1:10" x14ac:dyDescent="0.25">
      <c r="B32" s="290">
        <f t="shared" si="16"/>
        <v>32</v>
      </c>
      <c r="C32" t="s">
        <v>272</v>
      </c>
      <c r="J32" s="294">
        <f>J25</f>
        <v>12360464.762638433</v>
      </c>
    </row>
    <row r="33" spans="2:10" x14ac:dyDescent="0.25">
      <c r="B33" s="290">
        <f t="shared" si="16"/>
        <v>33</v>
      </c>
      <c r="C33" t="s">
        <v>273</v>
      </c>
      <c r="J33" s="295">
        <v>-14370173.880434316</v>
      </c>
    </row>
    <row r="34" spans="2:10" ht="15.75" thickBot="1" x14ac:dyDescent="0.3">
      <c r="B34" s="290">
        <f t="shared" si="16"/>
        <v>34</v>
      </c>
      <c r="C34" t="s">
        <v>274</v>
      </c>
      <c r="J34" s="296">
        <f>SUM(J32:J33)</f>
        <v>-2009709.1177958827</v>
      </c>
    </row>
    <row r="35" spans="2:10" ht="15.75" thickTop="1" x14ac:dyDescent="0.25">
      <c r="B35" s="290">
        <f t="shared" si="16"/>
        <v>35</v>
      </c>
    </row>
    <row r="36" spans="2:10" ht="15.75" x14ac:dyDescent="0.25">
      <c r="B36" s="297">
        <f t="shared" si="16"/>
        <v>36</v>
      </c>
      <c r="C36" s="214" t="s">
        <v>275</v>
      </c>
      <c r="D36" s="181"/>
      <c r="E36" s="215"/>
      <c r="F36" s="181"/>
      <c r="G36" s="216"/>
      <c r="H36" s="216"/>
      <c r="I36" s="216"/>
      <c r="J36" s="217"/>
    </row>
    <row r="37" spans="2:10" x14ac:dyDescent="0.25">
      <c r="B37" s="290">
        <f t="shared" si="16"/>
        <v>37</v>
      </c>
      <c r="C37" s="28" t="s">
        <v>276</v>
      </c>
      <c r="E37" s="180"/>
      <c r="J37" s="217">
        <v>58987219.511456713</v>
      </c>
    </row>
    <row r="38" spans="2:10" x14ac:dyDescent="0.25">
      <c r="B38" s="290">
        <f t="shared" si="16"/>
        <v>38</v>
      </c>
      <c r="C38" s="28" t="s">
        <v>443</v>
      </c>
      <c r="E38" s="180"/>
      <c r="J38" s="298">
        <v>39539110.20384714</v>
      </c>
    </row>
    <row r="39" spans="2:10" x14ac:dyDescent="0.25">
      <c r="B39" s="290">
        <f t="shared" si="16"/>
        <v>39</v>
      </c>
      <c r="C39" s="28" t="s">
        <v>444</v>
      </c>
      <c r="E39" s="180"/>
      <c r="J39" s="299">
        <v>-25044436.161215544</v>
      </c>
    </row>
    <row r="40" spans="2:10" x14ac:dyDescent="0.25">
      <c r="B40" s="290">
        <f t="shared" si="16"/>
        <v>40</v>
      </c>
      <c r="C40" s="28" t="s">
        <v>277</v>
      </c>
      <c r="E40" s="180"/>
      <c r="J40" s="298">
        <f>SUM(J38:J39)</f>
        <v>14494674.042631596</v>
      </c>
    </row>
    <row r="41" spans="2:10" x14ac:dyDescent="0.25">
      <c r="B41" s="290">
        <f t="shared" si="16"/>
        <v>41</v>
      </c>
      <c r="C41" s="28" t="s">
        <v>278</v>
      </c>
      <c r="J41" s="295"/>
    </row>
    <row r="42" spans="2:10" x14ac:dyDescent="0.25">
      <c r="B42" s="290">
        <f t="shared" si="16"/>
        <v>42</v>
      </c>
      <c r="C42" s="218" t="s">
        <v>291</v>
      </c>
      <c r="J42" s="295">
        <f>SUM(J43:J46)</f>
        <v>-37956885.247892223</v>
      </c>
    </row>
    <row r="43" spans="2:10" hidden="1" outlineLevel="1" x14ac:dyDescent="0.25">
      <c r="B43" s="290">
        <f t="shared" si="16"/>
        <v>43</v>
      </c>
      <c r="C43" s="228" t="s">
        <v>279</v>
      </c>
      <c r="J43" s="295">
        <v>-7589148.2540294472</v>
      </c>
    </row>
    <row r="44" spans="2:10" hidden="1" outlineLevel="1" x14ac:dyDescent="0.25">
      <c r="B44" s="290">
        <f t="shared" si="16"/>
        <v>44</v>
      </c>
      <c r="C44" s="228" t="s">
        <v>280</v>
      </c>
      <c r="J44" s="295">
        <v>-86145509.209057316</v>
      </c>
    </row>
    <row r="45" spans="2:10" hidden="1" outlineLevel="1" x14ac:dyDescent="0.25">
      <c r="B45" s="290">
        <f t="shared" si="16"/>
        <v>45</v>
      </c>
      <c r="C45" s="228" t="s">
        <v>281</v>
      </c>
      <c r="J45" s="295">
        <v>-10328228.942172782</v>
      </c>
    </row>
    <row r="46" spans="2:10" hidden="1" outlineLevel="1" x14ac:dyDescent="0.25">
      <c r="B46" s="290">
        <f t="shared" si="16"/>
        <v>46</v>
      </c>
      <c r="C46" s="228" t="s">
        <v>282</v>
      </c>
      <c r="J46" s="295">
        <v>66106001.157367326</v>
      </c>
    </row>
    <row r="47" spans="2:10" collapsed="1" x14ac:dyDescent="0.25">
      <c r="B47" s="290">
        <f t="shared" si="16"/>
        <v>47</v>
      </c>
      <c r="C47" s="218" t="s">
        <v>283</v>
      </c>
      <c r="J47" s="295">
        <v>-6496851.9845594699</v>
      </c>
    </row>
    <row r="48" spans="2:10" x14ac:dyDescent="0.25">
      <c r="B48" s="290">
        <f t="shared" si="16"/>
        <v>48</v>
      </c>
      <c r="C48" s="218" t="s">
        <v>284</v>
      </c>
      <c r="J48" s="295">
        <f>H25</f>
        <v>-5632190.1695402851</v>
      </c>
    </row>
    <row r="49" spans="2:10" x14ac:dyDescent="0.25">
      <c r="B49" s="290">
        <f t="shared" si="16"/>
        <v>49</v>
      </c>
      <c r="C49" s="218" t="s">
        <v>292</v>
      </c>
      <c r="J49" s="295">
        <f>SUM(J50:J51)</f>
        <v>-25405675.678369127</v>
      </c>
    </row>
    <row r="50" spans="2:10" hidden="1" outlineLevel="1" x14ac:dyDescent="0.25">
      <c r="B50" s="290">
        <f t="shared" si="16"/>
        <v>50</v>
      </c>
      <c r="C50" s="228" t="s">
        <v>285</v>
      </c>
      <c r="J50" s="295">
        <v>-11035501.797934812</v>
      </c>
    </row>
    <row r="51" spans="2:10" hidden="1" outlineLevel="1" x14ac:dyDescent="0.25">
      <c r="B51" s="290">
        <f t="shared" si="16"/>
        <v>51</v>
      </c>
      <c r="C51" s="228" t="s">
        <v>286</v>
      </c>
      <c r="J51" s="295">
        <f>J33</f>
        <v>-14370173.880434316</v>
      </c>
    </row>
    <row r="52" spans="2:10" collapsed="1" x14ac:dyDescent="0.25">
      <c r="B52" s="290">
        <f t="shared" si="16"/>
        <v>52</v>
      </c>
      <c r="C52" s="218" t="s">
        <v>287</v>
      </c>
      <c r="J52" s="300">
        <f>J42+J47+J48+J49</f>
        <v>-75491603.080361098</v>
      </c>
    </row>
    <row r="53" spans="2:10" x14ac:dyDescent="0.25">
      <c r="B53" s="290">
        <f t="shared" si="16"/>
        <v>53</v>
      </c>
      <c r="C53" s="28" t="s">
        <v>288</v>
      </c>
      <c r="J53" s="300">
        <f>J52+J40</f>
        <v>-60996929.037729502</v>
      </c>
    </row>
    <row r="54" spans="2:10" ht="15.75" thickBot="1" x14ac:dyDescent="0.3">
      <c r="B54" s="290">
        <f t="shared" si="16"/>
        <v>54</v>
      </c>
      <c r="C54" s="28" t="s">
        <v>289</v>
      </c>
      <c r="J54" s="219">
        <f>J37+J53</f>
        <v>-2009709.5262727886</v>
      </c>
    </row>
    <row r="55" spans="2:10" ht="15.75" thickTop="1" x14ac:dyDescent="0.25">
      <c r="B55" s="290"/>
      <c r="J55" s="92"/>
    </row>
    <row r="56" spans="2:10" x14ac:dyDescent="0.25">
      <c r="B56" s="290"/>
    </row>
    <row r="58" spans="2:10" x14ac:dyDescent="0.25">
      <c r="H58" s="221" t="s">
        <v>293</v>
      </c>
      <c r="J58" s="220">
        <f>J54-J34</f>
        <v>-0.40847690589725971</v>
      </c>
    </row>
    <row r="59" spans="2:10" x14ac:dyDescent="0.25">
      <c r="H59" s="221" t="s">
        <v>290</v>
      </c>
      <c r="I59" s="221"/>
      <c r="J59" s="220">
        <v>933131</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90" zoomScaleNormal="90" workbookViewId="0">
      <selection activeCell="B28" sqref="B28"/>
    </sheetView>
  </sheetViews>
  <sheetFormatPr defaultRowHeight="15" x14ac:dyDescent="0.25"/>
  <cols>
    <col min="1" max="1" width="5" customWidth="1"/>
    <col min="2" max="2" width="39.140625" customWidth="1"/>
    <col min="3" max="3" width="10" bestFit="1" customWidth="1"/>
    <col min="4" max="7" width="15.28515625" customWidth="1"/>
    <col min="8" max="8" width="15.42578125" customWidth="1"/>
  </cols>
  <sheetData>
    <row r="1" spans="1:8" x14ac:dyDescent="0.25">
      <c r="A1" s="229" t="s">
        <v>0</v>
      </c>
      <c r="B1" s="229"/>
      <c r="C1" s="229"/>
      <c r="D1" s="229"/>
      <c r="E1" s="229"/>
      <c r="F1" s="229"/>
      <c r="G1" s="229"/>
      <c r="H1" s="229"/>
    </row>
    <row r="2" spans="1:8" x14ac:dyDescent="0.25">
      <c r="A2" s="229" t="str">
        <f>'Sch. 111 Charge Rates'!A2</f>
        <v>2024 Gas Schedule 111 Greenhouse Gas Emissions Cap and Invest Adjustment Filing</v>
      </c>
      <c r="B2" s="229"/>
      <c r="C2" s="229"/>
      <c r="D2" s="229"/>
      <c r="E2" s="229"/>
      <c r="F2" s="229"/>
      <c r="G2" s="229"/>
      <c r="H2" s="229"/>
    </row>
    <row r="3" spans="1:8" x14ac:dyDescent="0.25">
      <c r="A3" s="229" t="s">
        <v>436</v>
      </c>
      <c r="B3" s="229"/>
      <c r="C3" s="229"/>
      <c r="D3" s="229"/>
      <c r="E3" s="229"/>
      <c r="F3" s="229"/>
      <c r="G3" s="229"/>
      <c r="H3" s="229"/>
    </row>
    <row r="4" spans="1:8" x14ac:dyDescent="0.25">
      <c r="A4" s="229" t="str">
        <f>'Sch. 111 Charge Rates'!A4</f>
        <v>Proposed Rates Effective January 1, 2025</v>
      </c>
      <c r="B4" s="229"/>
      <c r="C4" s="229"/>
      <c r="D4" s="229"/>
      <c r="E4" s="229"/>
      <c r="F4" s="229"/>
      <c r="G4" s="229"/>
      <c r="H4" s="229"/>
    </row>
    <row r="6" spans="1:8" x14ac:dyDescent="0.25">
      <c r="A6" s="276"/>
      <c r="B6" s="276"/>
      <c r="C6" s="276"/>
      <c r="F6" s="226" t="s">
        <v>437</v>
      </c>
    </row>
    <row r="7" spans="1:8" x14ac:dyDescent="0.25">
      <c r="A7" s="276"/>
      <c r="B7" s="4"/>
      <c r="C7" s="4"/>
      <c r="D7" s="226"/>
      <c r="E7" s="226"/>
      <c r="F7" s="226" t="s">
        <v>440</v>
      </c>
      <c r="G7" s="226" t="s">
        <v>248</v>
      </c>
    </row>
    <row r="8" spans="1:8" x14ac:dyDescent="0.25">
      <c r="A8" s="186" t="s">
        <v>1</v>
      </c>
      <c r="B8" s="4"/>
      <c r="C8" s="4"/>
      <c r="D8" s="226" t="s">
        <v>438</v>
      </c>
      <c r="E8" s="226" t="s">
        <v>439</v>
      </c>
      <c r="F8" s="226" t="s">
        <v>438</v>
      </c>
      <c r="G8" s="226" t="s">
        <v>439</v>
      </c>
    </row>
    <row r="9" spans="1:8" x14ac:dyDescent="0.25">
      <c r="A9" s="6" t="s">
        <v>6</v>
      </c>
      <c r="B9" s="6" t="s">
        <v>7</v>
      </c>
      <c r="C9" s="6" t="s">
        <v>8</v>
      </c>
      <c r="D9" s="38" t="s">
        <v>397</v>
      </c>
      <c r="E9" s="38" t="s">
        <v>405</v>
      </c>
      <c r="F9" s="227" t="s">
        <v>405</v>
      </c>
      <c r="G9" s="38" t="s">
        <v>405</v>
      </c>
      <c r="H9" s="227" t="s">
        <v>2</v>
      </c>
    </row>
    <row r="10" spans="1:8" x14ac:dyDescent="0.25">
      <c r="A10" s="276"/>
      <c r="B10" s="186" t="s">
        <v>12</v>
      </c>
      <c r="C10" s="186" t="s">
        <v>13</v>
      </c>
      <c r="D10" s="7" t="s">
        <v>14</v>
      </c>
      <c r="E10" s="23" t="s">
        <v>15</v>
      </c>
      <c r="F10" s="7" t="s">
        <v>16</v>
      </c>
      <c r="G10" s="23" t="s">
        <v>17</v>
      </c>
      <c r="H10" s="302" t="s">
        <v>18</v>
      </c>
    </row>
    <row r="11" spans="1:8" x14ac:dyDescent="0.25">
      <c r="A11" s="186">
        <v>1</v>
      </c>
      <c r="B11" s="276" t="s">
        <v>19</v>
      </c>
      <c r="C11" s="186">
        <v>23</v>
      </c>
      <c r="D11" s="105">
        <f>'Sch. 111 Charge Rates'!F11</f>
        <v>90411961.734922364</v>
      </c>
      <c r="E11" s="105">
        <f>'Sch. 111 Non-Vol Credit Rates'!F11</f>
        <v>-81305237.751895979</v>
      </c>
      <c r="F11" s="105">
        <f>'Sch. 111 Low Inc. Credit Rates'!E11</f>
        <v>-3399422.4223950375</v>
      </c>
      <c r="G11" s="105">
        <f>'Sch. 111 Non-Vol Credit Rates'!G11</f>
        <v>-1352421.4517745674</v>
      </c>
      <c r="H11" s="105">
        <f>SUM(D11:G11)</f>
        <v>4354880.1088567805</v>
      </c>
    </row>
    <row r="12" spans="1:8" x14ac:dyDescent="0.25">
      <c r="A12" s="186">
        <f>A11+1</f>
        <v>2</v>
      </c>
      <c r="B12" s="276" t="s">
        <v>20</v>
      </c>
      <c r="C12" s="186">
        <v>16</v>
      </c>
      <c r="D12" s="105">
        <f>'Sch. 111 Charge Rates'!F12</f>
        <v>992.0657473532865</v>
      </c>
      <c r="E12" s="105">
        <f>'Sch. 111 Non-Vol Credit Rates'!F12</f>
        <v>-892.14015387209201</v>
      </c>
      <c r="G12" s="105">
        <f>'Sch. 111 Non-Vol Credit Rates'!G12</f>
        <v>-276.05109060677796</v>
      </c>
      <c r="H12" s="105">
        <f t="shared" ref="H12:H24" si="0">SUM(D12:G12)</f>
        <v>-176.12549712558348</v>
      </c>
    </row>
    <row r="13" spans="1:8" x14ac:dyDescent="0.25">
      <c r="A13" s="186">
        <f t="shared" ref="A13:A25" si="1">A12+1</f>
        <v>3</v>
      </c>
      <c r="B13" s="276" t="s">
        <v>21</v>
      </c>
      <c r="C13" s="186">
        <v>31</v>
      </c>
      <c r="D13" s="105">
        <f>'Sch. 111 Charge Rates'!F13</f>
        <v>36192545.966907561</v>
      </c>
      <c r="E13" s="105">
        <f>'Sch. 111 Non-Vol Credit Rates'!F13</f>
        <v>-32547060.125886232</v>
      </c>
      <c r="G13" s="105">
        <f>'Sch. 111 Non-Vol Credit Rates'!G13</f>
        <v>-4226423.8248614669</v>
      </c>
      <c r="H13" s="105">
        <f t="shared" si="0"/>
        <v>-580937.98384013772</v>
      </c>
    </row>
    <row r="14" spans="1:8" x14ac:dyDescent="0.25">
      <c r="A14" s="186">
        <f t="shared" si="1"/>
        <v>4</v>
      </c>
      <c r="B14" s="276" t="s">
        <v>22</v>
      </c>
      <c r="C14" s="186">
        <v>41</v>
      </c>
      <c r="D14" s="105">
        <f>'Sch. 111 Charge Rates'!F14</f>
        <v>9911286.347857058</v>
      </c>
      <c r="E14" s="105">
        <f>'Sch. 111 Non-Vol Credit Rates'!F14</f>
        <v>-8912974.3175164051</v>
      </c>
      <c r="G14" s="105">
        <f>'Sch. 111 Non-Vol Credit Rates'!G14</f>
        <v>-2867372.0737055428</v>
      </c>
      <c r="H14" s="105">
        <f t="shared" si="0"/>
        <v>-1869060.0433648899</v>
      </c>
    </row>
    <row r="15" spans="1:8" x14ac:dyDescent="0.25">
      <c r="A15" s="186">
        <f t="shared" si="1"/>
        <v>5</v>
      </c>
      <c r="B15" s="276" t="s">
        <v>23</v>
      </c>
      <c r="C15" s="186">
        <v>85</v>
      </c>
      <c r="D15" s="105">
        <f>'Sch. 111 Charge Rates'!F15</f>
        <v>2442604.9502942422</v>
      </c>
      <c r="E15" s="105">
        <f>'Sch. 111 Non-Vol Credit Rates'!F15</f>
        <v>-2196574.1303113648</v>
      </c>
      <c r="G15" s="105">
        <f>'Sch. 111 Non-Vol Credit Rates'!G15</f>
        <v>-809590.99062216328</v>
      </c>
      <c r="H15" s="105">
        <f t="shared" si="0"/>
        <v>-563560.17063928582</v>
      </c>
    </row>
    <row r="16" spans="1:8" x14ac:dyDescent="0.25">
      <c r="A16" s="186">
        <f t="shared" si="1"/>
        <v>6</v>
      </c>
      <c r="B16" s="276" t="s">
        <v>24</v>
      </c>
      <c r="C16" s="186">
        <v>86</v>
      </c>
      <c r="D16" s="105">
        <f>'Sch. 111 Charge Rates'!F16</f>
        <v>803075.11638711835</v>
      </c>
      <c r="E16" s="105">
        <f>'Sch. 111 Non-Vol Credit Rates'!F16</f>
        <v>-722185.56060006132</v>
      </c>
      <c r="G16" s="105">
        <f>'Sch. 111 Non-Vol Credit Rates'!G16</f>
        <v>-339753.5992134118</v>
      </c>
      <c r="H16" s="105">
        <f t="shared" si="0"/>
        <v>-258864.04342635476</v>
      </c>
    </row>
    <row r="17" spans="1:8" x14ac:dyDescent="0.25">
      <c r="A17" s="186">
        <f t="shared" si="1"/>
        <v>7</v>
      </c>
      <c r="B17" s="276" t="s">
        <v>25</v>
      </c>
      <c r="C17" s="186">
        <v>87</v>
      </c>
      <c r="D17" s="105">
        <f>'Sch. 111 Charge Rates'!F17</f>
        <v>25193.252229616875</v>
      </c>
      <c r="E17" s="105">
        <f>'Sch. 111 Non-Vol Credit Rates'!F17</f>
        <v>-22655.667712177226</v>
      </c>
      <c r="G17" s="105">
        <f>'Sch. 111 Non-Vol Credit Rates'!G17</f>
        <v>-89334.46557418583</v>
      </c>
      <c r="H17" s="105">
        <f t="shared" si="0"/>
        <v>-86796.881056746177</v>
      </c>
    </row>
    <row r="18" spans="1:8" x14ac:dyDescent="0.25">
      <c r="A18" s="186">
        <f t="shared" si="1"/>
        <v>8</v>
      </c>
      <c r="B18" s="276" t="s">
        <v>26</v>
      </c>
      <c r="C18" s="186" t="s">
        <v>27</v>
      </c>
      <c r="D18" s="105">
        <f>'Sch. 111 Charge Rates'!F18</f>
        <v>0</v>
      </c>
      <c r="E18" s="105">
        <f>'Sch. 111 Non-Vol Credit Rates'!F18</f>
        <v>0</v>
      </c>
      <c r="G18" s="105">
        <f>'Sch. 111 Non-Vol Credit Rates'!G18</f>
        <v>-1151.5742376222481</v>
      </c>
      <c r="H18" s="105">
        <f t="shared" si="0"/>
        <v>-1151.5742376222481</v>
      </c>
    </row>
    <row r="19" spans="1:8" x14ac:dyDescent="0.25">
      <c r="A19" s="186">
        <f t="shared" si="1"/>
        <v>9</v>
      </c>
      <c r="B19" s="276" t="s">
        <v>28</v>
      </c>
      <c r="C19" s="186" t="s">
        <v>29</v>
      </c>
      <c r="D19" s="105">
        <f>'Sch. 111 Charge Rates'!F19</f>
        <v>3402910.4079887317</v>
      </c>
      <c r="E19" s="105">
        <f>'Sch. 111 Non-Vol Credit Rates'!F19</f>
        <v>-3060153.0423717974</v>
      </c>
      <c r="G19" s="105">
        <f>'Sch. 111 Non-Vol Credit Rates'!G19</f>
        <v>-1177841.0409286348</v>
      </c>
      <c r="H19" s="105">
        <f t="shared" si="0"/>
        <v>-835083.67531170044</v>
      </c>
    </row>
    <row r="20" spans="1:8" x14ac:dyDescent="0.25">
      <c r="A20" s="186">
        <f t="shared" si="1"/>
        <v>10</v>
      </c>
      <c r="B20" s="276" t="s">
        <v>30</v>
      </c>
      <c r="C20" s="186" t="s">
        <v>31</v>
      </c>
      <c r="D20" s="105">
        <f>'Sch. 111 Charge Rates'!F20</f>
        <v>8407382.8474267852</v>
      </c>
      <c r="E20" s="105">
        <f>'Sch. 111 Non-Vol Credit Rates'!F20</f>
        <v>-7560551.1501385197</v>
      </c>
      <c r="G20" s="105">
        <f>'Sch. 111 Non-Vol Credit Rates'!G20</f>
        <v>-2453093.066738341</v>
      </c>
      <c r="H20" s="105">
        <f t="shared" si="0"/>
        <v>-1606261.3694500756</v>
      </c>
    </row>
    <row r="21" spans="1:8" x14ac:dyDescent="0.25">
      <c r="A21" s="186">
        <f t="shared" si="1"/>
        <v>11</v>
      </c>
      <c r="B21" s="276" t="s">
        <v>32</v>
      </c>
      <c r="C21" s="186" t="s">
        <v>33</v>
      </c>
      <c r="D21" s="105">
        <f>'Sch. 111 Charge Rates'!F21</f>
        <v>220982.00060582475</v>
      </c>
      <c r="E21" s="105">
        <f>'Sch. 111 Non-Vol Credit Rates'!F21</f>
        <v>-198723.63958679934</v>
      </c>
      <c r="G21" s="105">
        <f>'Sch. 111 Non-Vol Credit Rates'!G21</f>
        <v>-131222.05935002695</v>
      </c>
      <c r="H21" s="105">
        <f t="shared" si="0"/>
        <v>-108963.69833100153</v>
      </c>
    </row>
    <row r="22" spans="1:8" x14ac:dyDescent="0.25">
      <c r="A22" s="186">
        <f t="shared" si="1"/>
        <v>12</v>
      </c>
      <c r="B22" s="276" t="s">
        <v>34</v>
      </c>
      <c r="C22" s="301" t="s">
        <v>35</v>
      </c>
      <c r="D22" s="105">
        <f>'Sch. 111 Charge Rates'!F22</f>
        <v>1681526.1614919258</v>
      </c>
      <c r="E22" s="105">
        <f>'Sch. 111 Non-Vol Credit Rates'!F22</f>
        <v>-1512154.8268908544</v>
      </c>
      <c r="G22" s="105">
        <f>'Sch. 111 Non-Vol Credit Rates'!G22</f>
        <v>-197249.63728038035</v>
      </c>
      <c r="H22" s="105">
        <f t="shared" si="0"/>
        <v>-27878.302679308923</v>
      </c>
    </row>
    <row r="23" spans="1:8" x14ac:dyDescent="0.25">
      <c r="A23" s="186">
        <f t="shared" si="1"/>
        <v>13</v>
      </c>
      <c r="B23" s="31" t="s">
        <v>246</v>
      </c>
      <c r="C23" s="301" t="s">
        <v>232</v>
      </c>
      <c r="D23" s="105">
        <f>'Sch. 111 Charge Rates'!F23</f>
        <v>475358.59093355905</v>
      </c>
      <c r="E23" s="105">
        <f>'Sch. 111 Non-Vol Credit Rates'!F23</f>
        <v>-427478.20655163086</v>
      </c>
      <c r="G23" s="105">
        <f>'Sch. 111 Non-Vol Credit Rates'!G23</f>
        <v>0</v>
      </c>
      <c r="H23" s="105">
        <f t="shared" si="0"/>
        <v>47880.38438192819</v>
      </c>
    </row>
    <row r="24" spans="1:8" x14ac:dyDescent="0.25">
      <c r="A24" s="186">
        <f t="shared" si="1"/>
        <v>14</v>
      </c>
      <c r="B24" s="276" t="s">
        <v>36</v>
      </c>
      <c r="C24" s="276"/>
      <c r="D24" s="105">
        <f>'Sch. 111 Charge Rates'!F24</f>
        <v>2489043.1988908336</v>
      </c>
      <c r="E24" s="105">
        <f>'Sch. 111 Non-Vol Credit Rates'!F24</f>
        <v>-2238334.8970337738</v>
      </c>
      <c r="G24" s="105">
        <f>'Sch. 111 Non-Vol Credit Rates'!G24</f>
        <v>-724444.0450573666</v>
      </c>
      <c r="H24" s="105">
        <f t="shared" si="0"/>
        <v>-473735.74320030678</v>
      </c>
    </row>
    <row r="25" spans="1:8" x14ac:dyDescent="0.25">
      <c r="A25" s="186">
        <f t="shared" si="1"/>
        <v>15</v>
      </c>
      <c r="B25" s="276" t="s">
        <v>2</v>
      </c>
      <c r="C25" s="276"/>
      <c r="D25" s="110">
        <f>SUM(D11:D24)</f>
        <v>156464862.64168301</v>
      </c>
      <c r="E25" s="110">
        <f t="shared" ref="E25:H25" si="2">SUM(E11:E24)</f>
        <v>-140704975.45664948</v>
      </c>
      <c r="F25" s="110">
        <f>SUM(F11:F24)</f>
        <v>-3399422.4223950375</v>
      </c>
      <c r="G25" s="110">
        <f>SUM(G11:G24)</f>
        <v>-14370173.880434316</v>
      </c>
      <c r="H25" s="110">
        <f t="shared" si="2"/>
        <v>-2009709.1177958471</v>
      </c>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opLeftCell="A19" zoomScale="90" zoomScaleNormal="90" workbookViewId="0">
      <selection activeCell="A44" sqref="A44:N44"/>
    </sheetView>
  </sheetViews>
  <sheetFormatPr defaultColWidth="9.140625" defaultRowHeight="15" x14ac:dyDescent="0.25"/>
  <cols>
    <col min="1" max="1" width="17.85546875" style="31" customWidth="1"/>
    <col min="2" max="4" width="11" style="31" bestFit="1" customWidth="1"/>
    <col min="5" max="6" width="12" style="31" bestFit="1" customWidth="1"/>
    <col min="7" max="13" width="12" style="31" customWidth="1"/>
    <col min="14" max="14" width="13.85546875" style="31" customWidth="1"/>
    <col min="15" max="16384" width="9.140625" style="31"/>
  </cols>
  <sheetData>
    <row r="1" spans="1:14" x14ac:dyDescent="0.25">
      <c r="A1" s="307" t="s">
        <v>0</v>
      </c>
      <c r="B1" s="307"/>
      <c r="C1" s="307"/>
      <c r="D1" s="307"/>
      <c r="E1" s="307"/>
      <c r="F1" s="307"/>
      <c r="G1" s="307"/>
      <c r="H1" s="307"/>
      <c r="I1" s="307"/>
      <c r="J1" s="307"/>
      <c r="K1" s="307"/>
      <c r="L1" s="307"/>
      <c r="M1" s="307"/>
      <c r="N1" s="307"/>
    </row>
    <row r="2" spans="1:14" x14ac:dyDescent="0.25">
      <c r="A2" s="309" t="str">
        <f>'Sch. 111 Charge Rates'!A2</f>
        <v>2024 Gas Schedule 111 Greenhouse Gas Emissions Cap and Invest Adjustment Filing</v>
      </c>
      <c r="B2" s="309"/>
      <c r="C2" s="309"/>
      <c r="D2" s="309"/>
      <c r="E2" s="309"/>
      <c r="F2" s="309"/>
      <c r="G2" s="309"/>
      <c r="H2" s="309"/>
      <c r="I2" s="309"/>
      <c r="J2" s="309"/>
      <c r="K2" s="309"/>
      <c r="L2" s="309"/>
      <c r="M2" s="309"/>
      <c r="N2" s="309"/>
    </row>
    <row r="3" spans="1:14" x14ac:dyDescent="0.25">
      <c r="A3" s="309" t="s">
        <v>206</v>
      </c>
      <c r="B3" s="309"/>
      <c r="C3" s="309"/>
      <c r="D3" s="309"/>
      <c r="E3" s="309"/>
      <c r="F3" s="309"/>
      <c r="G3" s="309"/>
      <c r="H3" s="309"/>
      <c r="I3" s="309"/>
      <c r="J3" s="309"/>
      <c r="K3" s="309"/>
      <c r="L3" s="309"/>
      <c r="M3" s="309"/>
      <c r="N3" s="309"/>
    </row>
    <row r="4" spans="1:14" x14ac:dyDescent="0.25">
      <c r="A4" s="310" t="str">
        <f>'F2024 Forecast'!A4:N4</f>
        <v>January 2025 - December 2025</v>
      </c>
      <c r="B4" s="309"/>
      <c r="C4" s="309"/>
      <c r="D4" s="309"/>
      <c r="E4" s="309"/>
      <c r="F4" s="309"/>
      <c r="G4" s="309"/>
      <c r="H4" s="309"/>
      <c r="I4" s="309"/>
      <c r="J4" s="309"/>
      <c r="K4" s="309"/>
      <c r="L4" s="309"/>
      <c r="M4" s="309"/>
      <c r="N4" s="309"/>
    </row>
    <row r="5" spans="1:14" x14ac:dyDescent="0.25">
      <c r="A5" s="32"/>
      <c r="B5" s="32"/>
      <c r="C5" s="32"/>
      <c r="D5" s="32"/>
      <c r="E5" s="32"/>
      <c r="F5" s="33"/>
      <c r="G5" s="33"/>
      <c r="H5" s="33"/>
      <c r="I5" s="33"/>
      <c r="J5" s="33"/>
      <c r="K5" s="33"/>
      <c r="L5" s="33"/>
      <c r="M5" s="33"/>
      <c r="N5" s="33"/>
    </row>
    <row r="6" spans="1:14" ht="17.25" x14ac:dyDescent="0.25">
      <c r="A6" s="80" t="s">
        <v>71</v>
      </c>
      <c r="B6" s="32"/>
      <c r="C6" s="32"/>
      <c r="D6" s="32"/>
      <c r="E6" s="32"/>
      <c r="F6" s="33"/>
      <c r="G6" s="33"/>
      <c r="H6" s="33"/>
      <c r="I6" s="33"/>
      <c r="J6" s="33"/>
      <c r="K6" s="33"/>
      <c r="L6" s="33"/>
      <c r="M6" s="33"/>
      <c r="N6" s="33"/>
    </row>
    <row r="7" spans="1:14" x14ac:dyDescent="0.25">
      <c r="A7" s="35" t="s">
        <v>44</v>
      </c>
      <c r="B7" s="37">
        <f>'F2024 Forecast'!B7</f>
        <v>45658</v>
      </c>
      <c r="C7" s="37">
        <f>EDATE(B7,1)</f>
        <v>45689</v>
      </c>
      <c r="D7" s="37">
        <f t="shared" ref="D7:F7" si="0">EDATE(C7,1)</f>
        <v>45717</v>
      </c>
      <c r="E7" s="37">
        <f t="shared" si="0"/>
        <v>45748</v>
      </c>
      <c r="F7" s="37">
        <f t="shared" si="0"/>
        <v>45778</v>
      </c>
      <c r="G7" s="37">
        <f t="shared" ref="G7" si="1">EDATE(F7,1)</f>
        <v>45809</v>
      </c>
      <c r="H7" s="37">
        <f t="shared" ref="H7" si="2">EDATE(G7,1)</f>
        <v>45839</v>
      </c>
      <c r="I7" s="37">
        <f t="shared" ref="I7" si="3">EDATE(H7,1)</f>
        <v>45870</v>
      </c>
      <c r="J7" s="37">
        <f t="shared" ref="J7" si="4">EDATE(I7,1)</f>
        <v>45901</v>
      </c>
      <c r="K7" s="37">
        <f t="shared" ref="K7" si="5">EDATE(J7,1)</f>
        <v>45931</v>
      </c>
      <c r="L7" s="37">
        <f t="shared" ref="L7" si="6">EDATE(K7,1)</f>
        <v>45962</v>
      </c>
      <c r="M7" s="37">
        <f t="shared" ref="M7" si="7">EDATE(L7,1)</f>
        <v>45992</v>
      </c>
      <c r="N7" s="38" t="s">
        <v>2</v>
      </c>
    </row>
    <row r="8" spans="1:14" x14ac:dyDescent="0.25">
      <c r="A8" s="34">
        <v>16</v>
      </c>
      <c r="B8" s="39">
        <v>0</v>
      </c>
      <c r="C8" s="39">
        <v>0</v>
      </c>
      <c r="D8" s="39">
        <v>0</v>
      </c>
      <c r="E8" s="39">
        <v>0</v>
      </c>
      <c r="F8" s="39">
        <v>0</v>
      </c>
      <c r="G8" s="39">
        <v>0</v>
      </c>
      <c r="H8" s="39">
        <v>0</v>
      </c>
      <c r="I8" s="39">
        <v>0</v>
      </c>
      <c r="J8" s="39">
        <v>0</v>
      </c>
      <c r="K8" s="39">
        <v>0</v>
      </c>
      <c r="L8" s="39">
        <v>0</v>
      </c>
      <c r="M8" s="39">
        <v>0</v>
      </c>
      <c r="N8" s="40">
        <f>SUM(B8:M8)</f>
        <v>0</v>
      </c>
    </row>
    <row r="9" spans="1:14" x14ac:dyDescent="0.25">
      <c r="A9" s="34">
        <v>23</v>
      </c>
      <c r="B9" s="39">
        <v>3257400.7657182622</v>
      </c>
      <c r="C9" s="39">
        <v>2797813.008309735</v>
      </c>
      <c r="D9" s="39">
        <v>2853916.3734094072</v>
      </c>
      <c r="E9" s="39">
        <v>2053073.4589059276</v>
      </c>
      <c r="F9" s="39">
        <v>1533740.135284377</v>
      </c>
      <c r="G9" s="39">
        <v>1065816.0625972322</v>
      </c>
      <c r="H9" s="39">
        <v>583663.40564362844</v>
      </c>
      <c r="I9" s="39">
        <v>478845.4324668427</v>
      </c>
      <c r="J9" s="39">
        <v>578677.01296384283</v>
      </c>
      <c r="K9" s="39">
        <v>920335.21558227343</v>
      </c>
      <c r="L9" s="39">
        <v>2053394.5231828652</v>
      </c>
      <c r="M9" s="39">
        <v>2918096.0759637631</v>
      </c>
      <c r="N9" s="40">
        <f t="shared" ref="N9:N22" si="8">SUM(B9:M9)</f>
        <v>21094771.470028158</v>
      </c>
    </row>
    <row r="10" spans="1:14" x14ac:dyDescent="0.25">
      <c r="A10" s="34">
        <v>53</v>
      </c>
      <c r="B10" s="39">
        <v>0</v>
      </c>
      <c r="C10" s="39">
        <v>0</v>
      </c>
      <c r="D10" s="39">
        <v>0</v>
      </c>
      <c r="E10" s="39">
        <v>0</v>
      </c>
      <c r="F10" s="39">
        <v>0</v>
      </c>
      <c r="G10" s="39">
        <v>0</v>
      </c>
      <c r="H10" s="39">
        <v>0</v>
      </c>
      <c r="I10" s="39">
        <v>0</v>
      </c>
      <c r="J10" s="39">
        <v>0</v>
      </c>
      <c r="K10" s="39">
        <v>0</v>
      </c>
      <c r="L10" s="39">
        <v>0</v>
      </c>
      <c r="M10" s="39">
        <v>0</v>
      </c>
      <c r="N10" s="40">
        <f t="shared" si="8"/>
        <v>0</v>
      </c>
    </row>
    <row r="11" spans="1:14" x14ac:dyDescent="0.25">
      <c r="A11" s="34">
        <v>31</v>
      </c>
      <c r="B11" s="39">
        <v>0</v>
      </c>
      <c r="C11" s="39">
        <v>0</v>
      </c>
      <c r="D11" s="39">
        <v>0</v>
      </c>
      <c r="E11" s="39">
        <v>0</v>
      </c>
      <c r="F11" s="39">
        <v>0</v>
      </c>
      <c r="G11" s="39">
        <v>0</v>
      </c>
      <c r="H11" s="39">
        <v>0</v>
      </c>
      <c r="I11" s="39">
        <v>0</v>
      </c>
      <c r="J11" s="39">
        <v>0</v>
      </c>
      <c r="K11" s="39">
        <v>0</v>
      </c>
      <c r="L11" s="39">
        <v>0</v>
      </c>
      <c r="M11" s="39">
        <v>0</v>
      </c>
      <c r="N11" s="40">
        <f t="shared" si="8"/>
        <v>0</v>
      </c>
    </row>
    <row r="12" spans="1:14" x14ac:dyDescent="0.25">
      <c r="A12" s="34">
        <v>41</v>
      </c>
      <c r="B12" s="39">
        <v>0</v>
      </c>
      <c r="C12" s="39">
        <v>0</v>
      </c>
      <c r="D12" s="39">
        <v>0</v>
      </c>
      <c r="E12" s="39">
        <v>0</v>
      </c>
      <c r="F12" s="39">
        <v>0</v>
      </c>
      <c r="G12" s="39">
        <v>0</v>
      </c>
      <c r="H12" s="39">
        <v>0</v>
      </c>
      <c r="I12" s="39">
        <v>0</v>
      </c>
      <c r="J12" s="39">
        <v>0</v>
      </c>
      <c r="K12" s="39">
        <v>0</v>
      </c>
      <c r="L12" s="39">
        <v>0</v>
      </c>
      <c r="M12" s="39">
        <v>0</v>
      </c>
      <c r="N12" s="40">
        <f t="shared" si="8"/>
        <v>0</v>
      </c>
    </row>
    <row r="13" spans="1:14" x14ac:dyDescent="0.25">
      <c r="A13" s="34">
        <v>85</v>
      </c>
      <c r="B13" s="39">
        <v>0</v>
      </c>
      <c r="C13" s="39">
        <v>0</v>
      </c>
      <c r="D13" s="39">
        <v>0</v>
      </c>
      <c r="E13" s="39">
        <v>0</v>
      </c>
      <c r="F13" s="39">
        <v>0</v>
      </c>
      <c r="G13" s="39">
        <v>0</v>
      </c>
      <c r="H13" s="39">
        <v>0</v>
      </c>
      <c r="I13" s="39">
        <v>0</v>
      </c>
      <c r="J13" s="39">
        <v>0</v>
      </c>
      <c r="K13" s="39">
        <v>0</v>
      </c>
      <c r="L13" s="39">
        <v>0</v>
      </c>
      <c r="M13" s="39">
        <v>0</v>
      </c>
      <c r="N13" s="40">
        <f t="shared" si="8"/>
        <v>0</v>
      </c>
    </row>
    <row r="14" spans="1:14" x14ac:dyDescent="0.25">
      <c r="A14" s="34">
        <v>86</v>
      </c>
      <c r="B14" s="39">
        <v>0</v>
      </c>
      <c r="C14" s="39">
        <v>0</v>
      </c>
      <c r="D14" s="39">
        <v>0</v>
      </c>
      <c r="E14" s="39">
        <v>0</v>
      </c>
      <c r="F14" s="39">
        <v>0</v>
      </c>
      <c r="G14" s="39">
        <v>0</v>
      </c>
      <c r="H14" s="39">
        <v>0</v>
      </c>
      <c r="I14" s="39">
        <v>0</v>
      </c>
      <c r="J14" s="39">
        <v>0</v>
      </c>
      <c r="K14" s="39">
        <v>0</v>
      </c>
      <c r="L14" s="39">
        <v>0</v>
      </c>
      <c r="M14" s="39">
        <v>0</v>
      </c>
      <c r="N14" s="40">
        <f t="shared" si="8"/>
        <v>0</v>
      </c>
    </row>
    <row r="15" spans="1:14" x14ac:dyDescent="0.25">
      <c r="A15" s="34">
        <v>87</v>
      </c>
      <c r="B15" s="39">
        <v>0</v>
      </c>
      <c r="C15" s="39">
        <v>0</v>
      </c>
      <c r="D15" s="39">
        <v>0</v>
      </c>
      <c r="E15" s="39">
        <v>0</v>
      </c>
      <c r="F15" s="39">
        <v>0</v>
      </c>
      <c r="G15" s="39">
        <v>0</v>
      </c>
      <c r="H15" s="39">
        <v>0</v>
      </c>
      <c r="I15" s="39">
        <v>0</v>
      </c>
      <c r="J15" s="39">
        <v>0</v>
      </c>
      <c r="K15" s="39">
        <v>0</v>
      </c>
      <c r="L15" s="39">
        <v>0</v>
      </c>
      <c r="M15" s="39">
        <v>0</v>
      </c>
      <c r="N15" s="40">
        <f t="shared" si="8"/>
        <v>0</v>
      </c>
    </row>
    <row r="16" spans="1:14" x14ac:dyDescent="0.25">
      <c r="A16" s="34" t="s">
        <v>27</v>
      </c>
      <c r="B16" s="39">
        <v>0</v>
      </c>
      <c r="C16" s="39">
        <v>0</v>
      </c>
      <c r="D16" s="39">
        <v>0</v>
      </c>
      <c r="E16" s="39">
        <v>0</v>
      </c>
      <c r="F16" s="39">
        <v>0</v>
      </c>
      <c r="G16" s="39">
        <v>0</v>
      </c>
      <c r="H16" s="39">
        <v>0</v>
      </c>
      <c r="I16" s="39">
        <v>0</v>
      </c>
      <c r="J16" s="39">
        <v>0</v>
      </c>
      <c r="K16" s="39">
        <v>0</v>
      </c>
      <c r="L16" s="39">
        <v>0</v>
      </c>
      <c r="M16" s="39">
        <v>0</v>
      </c>
      <c r="N16" s="40">
        <f t="shared" si="8"/>
        <v>0</v>
      </c>
    </row>
    <row r="17" spans="1:14" x14ac:dyDescent="0.25">
      <c r="A17" s="34" t="s">
        <v>29</v>
      </c>
      <c r="B17" s="39">
        <v>0</v>
      </c>
      <c r="C17" s="39">
        <v>0</v>
      </c>
      <c r="D17" s="39">
        <v>0</v>
      </c>
      <c r="E17" s="39">
        <v>0</v>
      </c>
      <c r="F17" s="39">
        <v>0</v>
      </c>
      <c r="G17" s="39">
        <v>0</v>
      </c>
      <c r="H17" s="39">
        <v>0</v>
      </c>
      <c r="I17" s="39">
        <v>0</v>
      </c>
      <c r="J17" s="39">
        <v>0</v>
      </c>
      <c r="K17" s="39">
        <v>0</v>
      </c>
      <c r="L17" s="39">
        <v>0</v>
      </c>
      <c r="M17" s="39">
        <v>0</v>
      </c>
      <c r="N17" s="40">
        <f t="shared" si="8"/>
        <v>0</v>
      </c>
    </row>
    <row r="18" spans="1:14" x14ac:dyDescent="0.25">
      <c r="A18" s="34" t="s">
        <v>31</v>
      </c>
      <c r="B18" s="39">
        <v>0</v>
      </c>
      <c r="C18" s="39">
        <v>0</v>
      </c>
      <c r="D18" s="39">
        <v>0</v>
      </c>
      <c r="E18" s="39">
        <v>0</v>
      </c>
      <c r="F18" s="39">
        <v>0</v>
      </c>
      <c r="G18" s="39">
        <v>0</v>
      </c>
      <c r="H18" s="39">
        <v>0</v>
      </c>
      <c r="I18" s="39">
        <v>0</v>
      </c>
      <c r="J18" s="39">
        <v>0</v>
      </c>
      <c r="K18" s="39">
        <v>0</v>
      </c>
      <c r="L18" s="39">
        <v>0</v>
      </c>
      <c r="M18" s="39">
        <v>0</v>
      </c>
      <c r="N18" s="40">
        <f t="shared" si="8"/>
        <v>0</v>
      </c>
    </row>
    <row r="19" spans="1:14" x14ac:dyDescent="0.25">
      <c r="A19" s="34" t="s">
        <v>33</v>
      </c>
      <c r="B19" s="39">
        <v>0</v>
      </c>
      <c r="C19" s="39">
        <v>0</v>
      </c>
      <c r="D19" s="39">
        <v>0</v>
      </c>
      <c r="E19" s="39">
        <v>0</v>
      </c>
      <c r="F19" s="39">
        <v>0</v>
      </c>
      <c r="G19" s="39">
        <v>0</v>
      </c>
      <c r="H19" s="39">
        <v>0</v>
      </c>
      <c r="I19" s="39">
        <v>0</v>
      </c>
      <c r="J19" s="39">
        <v>0</v>
      </c>
      <c r="K19" s="39">
        <v>0</v>
      </c>
      <c r="L19" s="39">
        <v>0</v>
      </c>
      <c r="M19" s="39">
        <v>0</v>
      </c>
      <c r="N19" s="40">
        <f t="shared" si="8"/>
        <v>0</v>
      </c>
    </row>
    <row r="20" spans="1:14" x14ac:dyDescent="0.25">
      <c r="A20" s="34" t="s">
        <v>35</v>
      </c>
      <c r="B20" s="39">
        <v>0</v>
      </c>
      <c r="C20" s="39">
        <v>0</v>
      </c>
      <c r="D20" s="39">
        <v>0</v>
      </c>
      <c r="E20" s="39">
        <v>0</v>
      </c>
      <c r="F20" s="39">
        <v>0</v>
      </c>
      <c r="G20" s="39">
        <v>0</v>
      </c>
      <c r="H20" s="39">
        <v>0</v>
      </c>
      <c r="I20" s="39">
        <v>0</v>
      </c>
      <c r="J20" s="39">
        <v>0</v>
      </c>
      <c r="K20" s="39">
        <v>0</v>
      </c>
      <c r="L20" s="39">
        <v>0</v>
      </c>
      <c r="M20" s="39">
        <v>0</v>
      </c>
      <c r="N20" s="40">
        <f t="shared" si="8"/>
        <v>0</v>
      </c>
    </row>
    <row r="21" spans="1:14" x14ac:dyDescent="0.25">
      <c r="A21" s="34" t="s">
        <v>232</v>
      </c>
      <c r="B21" s="39">
        <v>0</v>
      </c>
      <c r="C21" s="39">
        <v>0</v>
      </c>
      <c r="D21" s="39">
        <v>0</v>
      </c>
      <c r="E21" s="39">
        <v>0</v>
      </c>
      <c r="F21" s="39">
        <v>0</v>
      </c>
      <c r="G21" s="39">
        <v>0</v>
      </c>
      <c r="H21" s="39">
        <v>0</v>
      </c>
      <c r="I21" s="39">
        <v>0</v>
      </c>
      <c r="J21" s="39">
        <v>0</v>
      </c>
      <c r="K21" s="39">
        <v>0</v>
      </c>
      <c r="L21" s="39">
        <v>0</v>
      </c>
      <c r="M21" s="39">
        <v>0</v>
      </c>
      <c r="N21" s="40">
        <f t="shared" ref="N21" si="9">SUM(B21:M21)</f>
        <v>0</v>
      </c>
    </row>
    <row r="22" spans="1:14" x14ac:dyDescent="0.25">
      <c r="A22" s="41" t="s">
        <v>36</v>
      </c>
      <c r="B22" s="39">
        <v>0</v>
      </c>
      <c r="C22" s="39">
        <v>0</v>
      </c>
      <c r="D22" s="39">
        <v>0</v>
      </c>
      <c r="E22" s="39">
        <v>0</v>
      </c>
      <c r="F22" s="39">
        <v>0</v>
      </c>
      <c r="G22" s="39">
        <v>0</v>
      </c>
      <c r="H22" s="39">
        <v>0</v>
      </c>
      <c r="I22" s="39">
        <v>0</v>
      </c>
      <c r="J22" s="39">
        <v>0</v>
      </c>
      <c r="K22" s="39">
        <v>0</v>
      </c>
      <c r="L22" s="39">
        <v>0</v>
      </c>
      <c r="M22" s="39">
        <v>0</v>
      </c>
      <c r="N22" s="40">
        <f t="shared" si="8"/>
        <v>0</v>
      </c>
    </row>
    <row r="23" spans="1:14" x14ac:dyDescent="0.25">
      <c r="A23" s="42" t="s">
        <v>2</v>
      </c>
      <c r="B23" s="43">
        <f>SUM(B8:B22)</f>
        <v>3257400.7657182622</v>
      </c>
      <c r="C23" s="43">
        <f t="shared" ref="C23:N23" si="10">SUM(C8:C22)</f>
        <v>2797813.008309735</v>
      </c>
      <c r="D23" s="43">
        <f t="shared" si="10"/>
        <v>2853916.3734094072</v>
      </c>
      <c r="E23" s="43">
        <f t="shared" si="10"/>
        <v>2053073.4589059276</v>
      </c>
      <c r="F23" s="43">
        <f t="shared" si="10"/>
        <v>1533740.135284377</v>
      </c>
      <c r="G23" s="43">
        <f t="shared" si="10"/>
        <v>1065816.0625972322</v>
      </c>
      <c r="H23" s="43">
        <f t="shared" si="10"/>
        <v>583663.40564362844</v>
      </c>
      <c r="I23" s="43">
        <f t="shared" si="10"/>
        <v>478845.4324668427</v>
      </c>
      <c r="J23" s="43">
        <f t="shared" si="10"/>
        <v>578677.01296384283</v>
      </c>
      <c r="K23" s="43">
        <f t="shared" si="10"/>
        <v>920335.21558227343</v>
      </c>
      <c r="L23" s="43">
        <f t="shared" si="10"/>
        <v>2053394.5231828652</v>
      </c>
      <c r="M23" s="43">
        <f t="shared" si="10"/>
        <v>2918096.0759637631</v>
      </c>
      <c r="N23" s="43">
        <f t="shared" si="10"/>
        <v>21094771.470028158</v>
      </c>
    </row>
    <row r="24" spans="1:14" x14ac:dyDescent="0.25">
      <c r="A24" s="42"/>
      <c r="B24" s="44"/>
      <c r="C24" s="44"/>
      <c r="D24" s="44"/>
      <c r="E24" s="44"/>
      <c r="F24" s="44"/>
      <c r="G24" s="44"/>
      <c r="H24" s="44"/>
      <c r="I24" s="44"/>
      <c r="J24" s="44"/>
      <c r="K24" s="44"/>
      <c r="L24" s="44"/>
      <c r="M24" s="44"/>
      <c r="N24" s="44"/>
    </row>
    <row r="25" spans="1:14" ht="17.25" x14ac:dyDescent="0.25">
      <c r="A25" s="45" t="s">
        <v>205</v>
      </c>
    </row>
    <row r="26" spans="1:14" x14ac:dyDescent="0.25">
      <c r="A26" s="35" t="s">
        <v>44</v>
      </c>
      <c r="B26" s="37">
        <f>B7</f>
        <v>45658</v>
      </c>
      <c r="C26" s="37">
        <f t="shared" ref="C26:M26" si="11">C7</f>
        <v>45689</v>
      </c>
      <c r="D26" s="37">
        <f t="shared" si="11"/>
        <v>45717</v>
      </c>
      <c r="E26" s="37">
        <f t="shared" si="11"/>
        <v>45748</v>
      </c>
      <c r="F26" s="37">
        <f t="shared" si="11"/>
        <v>45778</v>
      </c>
      <c r="G26" s="37">
        <f t="shared" si="11"/>
        <v>45809</v>
      </c>
      <c r="H26" s="37">
        <f t="shared" si="11"/>
        <v>45839</v>
      </c>
      <c r="I26" s="37">
        <f t="shared" si="11"/>
        <v>45870</v>
      </c>
      <c r="J26" s="37">
        <f t="shared" si="11"/>
        <v>45901</v>
      </c>
      <c r="K26" s="37">
        <f t="shared" si="11"/>
        <v>45931</v>
      </c>
      <c r="L26" s="37">
        <f t="shared" si="11"/>
        <v>45962</v>
      </c>
      <c r="M26" s="37">
        <f t="shared" si="11"/>
        <v>45992</v>
      </c>
      <c r="N26" s="38" t="s">
        <v>2</v>
      </c>
    </row>
    <row r="27" spans="1:14" x14ac:dyDescent="0.25">
      <c r="A27" s="34">
        <v>16</v>
      </c>
      <c r="B27" s="39">
        <v>0</v>
      </c>
      <c r="C27" s="39">
        <v>0</v>
      </c>
      <c r="D27" s="39">
        <v>0</v>
      </c>
      <c r="E27" s="39">
        <v>0</v>
      </c>
      <c r="F27" s="39">
        <v>0</v>
      </c>
      <c r="G27" s="39">
        <v>0</v>
      </c>
      <c r="H27" s="39">
        <v>0</v>
      </c>
      <c r="I27" s="39">
        <v>0</v>
      </c>
      <c r="J27" s="39">
        <v>0</v>
      </c>
      <c r="K27" s="39">
        <v>0</v>
      </c>
      <c r="L27" s="39">
        <v>0</v>
      </c>
      <c r="M27" s="39">
        <v>0</v>
      </c>
      <c r="N27" s="40">
        <f>SUM(B27:M27)</f>
        <v>0</v>
      </c>
    </row>
    <row r="28" spans="1:14" x14ac:dyDescent="0.25">
      <c r="A28" s="34">
        <v>23</v>
      </c>
      <c r="B28" s="39">
        <v>26713</v>
      </c>
      <c r="C28" s="39">
        <v>27158</v>
      </c>
      <c r="D28" s="39">
        <v>27611</v>
      </c>
      <c r="E28" s="39">
        <v>28071</v>
      </c>
      <c r="F28" s="39">
        <v>28537</v>
      </c>
      <c r="G28" s="39">
        <v>29014</v>
      </c>
      <c r="H28" s="39">
        <v>29497</v>
      </c>
      <c r="I28" s="39">
        <v>29989</v>
      </c>
      <c r="J28" s="39">
        <v>30488</v>
      </c>
      <c r="K28" s="39">
        <v>30996</v>
      </c>
      <c r="L28" s="39">
        <v>31513</v>
      </c>
      <c r="M28" s="39">
        <v>32038</v>
      </c>
      <c r="N28" s="40">
        <f t="shared" ref="N28:N41" si="12">SUM(B28:M28)</f>
        <v>351625</v>
      </c>
    </row>
    <row r="29" spans="1:14" x14ac:dyDescent="0.25">
      <c r="A29" s="34">
        <v>53</v>
      </c>
      <c r="B29" s="39">
        <v>0</v>
      </c>
      <c r="C29" s="39">
        <v>0</v>
      </c>
      <c r="D29" s="39">
        <v>0</v>
      </c>
      <c r="E29" s="39">
        <v>0</v>
      </c>
      <c r="F29" s="39">
        <v>0</v>
      </c>
      <c r="G29" s="39">
        <v>0</v>
      </c>
      <c r="H29" s="39">
        <v>0</v>
      </c>
      <c r="I29" s="39">
        <v>0</v>
      </c>
      <c r="J29" s="39">
        <v>0</v>
      </c>
      <c r="K29" s="39">
        <v>0</v>
      </c>
      <c r="L29" s="39">
        <v>0</v>
      </c>
      <c r="M29" s="39">
        <v>0</v>
      </c>
      <c r="N29" s="40">
        <f t="shared" si="12"/>
        <v>0</v>
      </c>
    </row>
    <row r="30" spans="1:14" x14ac:dyDescent="0.25">
      <c r="A30" s="34">
        <v>31</v>
      </c>
      <c r="B30" s="39">
        <v>0</v>
      </c>
      <c r="C30" s="39">
        <v>0</v>
      </c>
      <c r="D30" s="39">
        <v>0</v>
      </c>
      <c r="E30" s="39">
        <v>0</v>
      </c>
      <c r="F30" s="39">
        <v>0</v>
      </c>
      <c r="G30" s="39">
        <v>0</v>
      </c>
      <c r="H30" s="39">
        <v>0</v>
      </c>
      <c r="I30" s="39">
        <v>0</v>
      </c>
      <c r="J30" s="39">
        <v>0</v>
      </c>
      <c r="K30" s="39">
        <v>0</v>
      </c>
      <c r="L30" s="39">
        <v>0</v>
      </c>
      <c r="M30" s="39">
        <v>0</v>
      </c>
      <c r="N30" s="40">
        <f t="shared" si="12"/>
        <v>0</v>
      </c>
    </row>
    <row r="31" spans="1:14" x14ac:dyDescent="0.25">
      <c r="A31" s="34">
        <v>41</v>
      </c>
      <c r="B31" s="39">
        <v>0</v>
      </c>
      <c r="C31" s="39">
        <v>0</v>
      </c>
      <c r="D31" s="39">
        <v>0</v>
      </c>
      <c r="E31" s="39">
        <v>0</v>
      </c>
      <c r="F31" s="39">
        <v>0</v>
      </c>
      <c r="G31" s="39">
        <v>0</v>
      </c>
      <c r="H31" s="39">
        <v>0</v>
      </c>
      <c r="I31" s="39">
        <v>0</v>
      </c>
      <c r="J31" s="39">
        <v>0</v>
      </c>
      <c r="K31" s="39">
        <v>0</v>
      </c>
      <c r="L31" s="39">
        <v>0</v>
      </c>
      <c r="M31" s="39">
        <v>0</v>
      </c>
      <c r="N31" s="40">
        <f t="shared" si="12"/>
        <v>0</v>
      </c>
    </row>
    <row r="32" spans="1:14" x14ac:dyDescent="0.25">
      <c r="A32" s="34">
        <v>85</v>
      </c>
      <c r="B32" s="39">
        <v>0</v>
      </c>
      <c r="C32" s="39">
        <v>0</v>
      </c>
      <c r="D32" s="39">
        <v>0</v>
      </c>
      <c r="E32" s="39">
        <v>0</v>
      </c>
      <c r="F32" s="39">
        <v>0</v>
      </c>
      <c r="G32" s="39">
        <v>0</v>
      </c>
      <c r="H32" s="39">
        <v>0</v>
      </c>
      <c r="I32" s="39">
        <v>0</v>
      </c>
      <c r="J32" s="39">
        <v>0</v>
      </c>
      <c r="K32" s="39">
        <v>0</v>
      </c>
      <c r="L32" s="39">
        <v>0</v>
      </c>
      <c r="M32" s="39">
        <v>0</v>
      </c>
      <c r="N32" s="40">
        <f t="shared" si="12"/>
        <v>0</v>
      </c>
    </row>
    <row r="33" spans="1:14" x14ac:dyDescent="0.25">
      <c r="A33" s="34">
        <v>86</v>
      </c>
      <c r="B33" s="39">
        <v>0</v>
      </c>
      <c r="C33" s="39">
        <v>0</v>
      </c>
      <c r="D33" s="39">
        <v>0</v>
      </c>
      <c r="E33" s="39">
        <v>0</v>
      </c>
      <c r="F33" s="39">
        <v>0</v>
      </c>
      <c r="G33" s="39">
        <v>0</v>
      </c>
      <c r="H33" s="39">
        <v>0</v>
      </c>
      <c r="I33" s="39">
        <v>0</v>
      </c>
      <c r="J33" s="39">
        <v>0</v>
      </c>
      <c r="K33" s="39">
        <v>0</v>
      </c>
      <c r="L33" s="39">
        <v>0</v>
      </c>
      <c r="M33" s="39">
        <v>0</v>
      </c>
      <c r="N33" s="40">
        <f t="shared" si="12"/>
        <v>0</v>
      </c>
    </row>
    <row r="34" spans="1:14" x14ac:dyDescent="0.25">
      <c r="A34" s="34">
        <v>87</v>
      </c>
      <c r="B34" s="39">
        <v>0</v>
      </c>
      <c r="C34" s="39">
        <v>0</v>
      </c>
      <c r="D34" s="39">
        <v>0</v>
      </c>
      <c r="E34" s="39">
        <v>0</v>
      </c>
      <c r="F34" s="39">
        <v>0</v>
      </c>
      <c r="G34" s="39">
        <v>0</v>
      </c>
      <c r="H34" s="39">
        <v>0</v>
      </c>
      <c r="I34" s="39">
        <v>0</v>
      </c>
      <c r="J34" s="39">
        <v>0</v>
      </c>
      <c r="K34" s="39">
        <v>0</v>
      </c>
      <c r="L34" s="39">
        <v>0</v>
      </c>
      <c r="M34" s="39">
        <v>0</v>
      </c>
      <c r="N34" s="40">
        <f t="shared" si="12"/>
        <v>0</v>
      </c>
    </row>
    <row r="35" spans="1:14" x14ac:dyDescent="0.25">
      <c r="A35" s="34" t="s">
        <v>27</v>
      </c>
      <c r="B35" s="39">
        <v>0</v>
      </c>
      <c r="C35" s="39">
        <v>0</v>
      </c>
      <c r="D35" s="39">
        <v>0</v>
      </c>
      <c r="E35" s="39">
        <v>0</v>
      </c>
      <c r="F35" s="39">
        <v>0</v>
      </c>
      <c r="G35" s="39">
        <v>0</v>
      </c>
      <c r="H35" s="39">
        <v>0</v>
      </c>
      <c r="I35" s="39">
        <v>0</v>
      </c>
      <c r="J35" s="39">
        <v>0</v>
      </c>
      <c r="K35" s="39">
        <v>0</v>
      </c>
      <c r="L35" s="39">
        <v>0</v>
      </c>
      <c r="M35" s="39">
        <v>0</v>
      </c>
      <c r="N35" s="40">
        <f t="shared" si="12"/>
        <v>0</v>
      </c>
    </row>
    <row r="36" spans="1:14" x14ac:dyDescent="0.25">
      <c r="A36" s="34" t="s">
        <v>29</v>
      </c>
      <c r="B36" s="39">
        <v>0</v>
      </c>
      <c r="C36" s="39">
        <v>0</v>
      </c>
      <c r="D36" s="39">
        <v>0</v>
      </c>
      <c r="E36" s="39">
        <v>0</v>
      </c>
      <c r="F36" s="39">
        <v>0</v>
      </c>
      <c r="G36" s="39">
        <v>0</v>
      </c>
      <c r="H36" s="39">
        <v>0</v>
      </c>
      <c r="I36" s="39">
        <v>0</v>
      </c>
      <c r="J36" s="39">
        <v>0</v>
      </c>
      <c r="K36" s="39">
        <v>0</v>
      </c>
      <c r="L36" s="39">
        <v>0</v>
      </c>
      <c r="M36" s="39">
        <v>0</v>
      </c>
      <c r="N36" s="40">
        <f t="shared" si="12"/>
        <v>0</v>
      </c>
    </row>
    <row r="37" spans="1:14" x14ac:dyDescent="0.25">
      <c r="A37" s="34" t="s">
        <v>31</v>
      </c>
      <c r="B37" s="39">
        <v>0</v>
      </c>
      <c r="C37" s="39">
        <v>0</v>
      </c>
      <c r="D37" s="39">
        <v>0</v>
      </c>
      <c r="E37" s="39">
        <v>0</v>
      </c>
      <c r="F37" s="39">
        <v>0</v>
      </c>
      <c r="G37" s="39">
        <v>0</v>
      </c>
      <c r="H37" s="39">
        <v>0</v>
      </c>
      <c r="I37" s="39">
        <v>0</v>
      </c>
      <c r="J37" s="39">
        <v>0</v>
      </c>
      <c r="K37" s="39">
        <v>0</v>
      </c>
      <c r="L37" s="39">
        <v>0</v>
      </c>
      <c r="M37" s="39">
        <v>0</v>
      </c>
      <c r="N37" s="40">
        <f t="shared" si="12"/>
        <v>0</v>
      </c>
    </row>
    <row r="38" spans="1:14" x14ac:dyDescent="0.25">
      <c r="A38" s="34" t="s">
        <v>33</v>
      </c>
      <c r="B38" s="39">
        <v>0</v>
      </c>
      <c r="C38" s="39">
        <v>0</v>
      </c>
      <c r="D38" s="39">
        <v>0</v>
      </c>
      <c r="E38" s="39">
        <v>0</v>
      </c>
      <c r="F38" s="39">
        <v>0</v>
      </c>
      <c r="G38" s="39">
        <v>0</v>
      </c>
      <c r="H38" s="39">
        <v>0</v>
      </c>
      <c r="I38" s="39">
        <v>0</v>
      </c>
      <c r="J38" s="39">
        <v>0</v>
      </c>
      <c r="K38" s="39">
        <v>0</v>
      </c>
      <c r="L38" s="39">
        <v>0</v>
      </c>
      <c r="M38" s="39">
        <v>0</v>
      </c>
      <c r="N38" s="40">
        <f t="shared" si="12"/>
        <v>0</v>
      </c>
    </row>
    <row r="39" spans="1:14" x14ac:dyDescent="0.25">
      <c r="A39" s="34" t="s">
        <v>35</v>
      </c>
      <c r="B39" s="39">
        <v>0</v>
      </c>
      <c r="C39" s="39">
        <v>0</v>
      </c>
      <c r="D39" s="39">
        <v>0</v>
      </c>
      <c r="E39" s="39">
        <v>0</v>
      </c>
      <c r="F39" s="39">
        <v>0</v>
      </c>
      <c r="G39" s="39">
        <v>0</v>
      </c>
      <c r="H39" s="39">
        <v>0</v>
      </c>
      <c r="I39" s="39">
        <v>0</v>
      </c>
      <c r="J39" s="39">
        <v>0</v>
      </c>
      <c r="K39" s="39">
        <v>0</v>
      </c>
      <c r="L39" s="39">
        <v>0</v>
      </c>
      <c r="M39" s="39">
        <v>0</v>
      </c>
      <c r="N39" s="40">
        <f t="shared" si="12"/>
        <v>0</v>
      </c>
    </row>
    <row r="40" spans="1:14" x14ac:dyDescent="0.25">
      <c r="A40" s="34" t="s">
        <v>232</v>
      </c>
      <c r="B40" s="39">
        <v>0</v>
      </c>
      <c r="C40" s="39">
        <v>0</v>
      </c>
      <c r="D40" s="39">
        <v>0</v>
      </c>
      <c r="E40" s="39">
        <v>0</v>
      </c>
      <c r="F40" s="39">
        <v>0</v>
      </c>
      <c r="G40" s="39">
        <v>0</v>
      </c>
      <c r="H40" s="39">
        <v>0</v>
      </c>
      <c r="I40" s="39">
        <v>0</v>
      </c>
      <c r="J40" s="39">
        <v>0</v>
      </c>
      <c r="K40" s="39">
        <v>0</v>
      </c>
      <c r="L40" s="39">
        <v>0</v>
      </c>
      <c r="M40" s="39">
        <v>0</v>
      </c>
      <c r="N40" s="40">
        <f t="shared" ref="N40" si="13">SUM(B40:M40)</f>
        <v>0</v>
      </c>
    </row>
    <row r="41" spans="1:14" x14ac:dyDescent="0.25">
      <c r="A41" s="41" t="s">
        <v>36</v>
      </c>
      <c r="B41" s="39">
        <v>0</v>
      </c>
      <c r="C41" s="39">
        <v>0</v>
      </c>
      <c r="D41" s="39">
        <v>0</v>
      </c>
      <c r="E41" s="39">
        <v>0</v>
      </c>
      <c r="F41" s="39">
        <v>0</v>
      </c>
      <c r="G41" s="39">
        <v>0</v>
      </c>
      <c r="H41" s="39">
        <v>0</v>
      </c>
      <c r="I41" s="39">
        <v>0</v>
      </c>
      <c r="J41" s="39">
        <v>0</v>
      </c>
      <c r="K41" s="39">
        <v>0</v>
      </c>
      <c r="L41" s="39">
        <v>0</v>
      </c>
      <c r="M41" s="39">
        <v>0</v>
      </c>
      <c r="N41" s="40">
        <f t="shared" si="12"/>
        <v>0</v>
      </c>
    </row>
    <row r="42" spans="1:14" x14ac:dyDescent="0.25">
      <c r="A42" s="42" t="s">
        <v>2</v>
      </c>
      <c r="B42" s="43">
        <f>SUM(B27:B41)</f>
        <v>26713</v>
      </c>
      <c r="C42" s="43">
        <f t="shared" ref="C42:N42" si="14">SUM(C27:C41)</f>
        <v>27158</v>
      </c>
      <c r="D42" s="43">
        <f t="shared" si="14"/>
        <v>27611</v>
      </c>
      <c r="E42" s="43">
        <f t="shared" si="14"/>
        <v>28071</v>
      </c>
      <c r="F42" s="43">
        <f t="shared" si="14"/>
        <v>28537</v>
      </c>
      <c r="G42" s="43">
        <f t="shared" si="14"/>
        <v>29014</v>
      </c>
      <c r="H42" s="43">
        <f t="shared" si="14"/>
        <v>29497</v>
      </c>
      <c r="I42" s="43">
        <f t="shared" si="14"/>
        <v>29989</v>
      </c>
      <c r="J42" s="43">
        <f t="shared" si="14"/>
        <v>30488</v>
      </c>
      <c r="K42" s="43">
        <f t="shared" si="14"/>
        <v>30996</v>
      </c>
      <c r="L42" s="43">
        <f t="shared" si="14"/>
        <v>31513</v>
      </c>
      <c r="M42" s="43">
        <f t="shared" si="14"/>
        <v>32038</v>
      </c>
      <c r="N42" s="43">
        <f t="shared" si="14"/>
        <v>351625</v>
      </c>
    </row>
    <row r="43" spans="1:14" x14ac:dyDescent="0.25">
      <c r="A43" s="42"/>
      <c r="B43" s="168"/>
      <c r="C43" s="168"/>
      <c r="D43" s="168"/>
      <c r="E43" s="168"/>
      <c r="F43" s="168"/>
      <c r="G43" s="168"/>
      <c r="H43" s="168"/>
      <c r="I43" s="168"/>
      <c r="J43" s="168"/>
      <c r="K43" s="168"/>
      <c r="L43" s="168"/>
      <c r="M43" s="168"/>
      <c r="N43" s="168"/>
    </row>
    <row r="44" spans="1:14" ht="30" customHeight="1" x14ac:dyDescent="0.25">
      <c r="A44" s="306" t="s">
        <v>441</v>
      </c>
      <c r="B44" s="306"/>
      <c r="C44" s="306"/>
      <c r="D44" s="306"/>
      <c r="E44" s="306"/>
      <c r="F44" s="306"/>
      <c r="G44" s="306"/>
      <c r="H44" s="306"/>
      <c r="I44" s="306"/>
      <c r="J44" s="306"/>
      <c r="K44" s="306"/>
      <c r="L44" s="306"/>
      <c r="M44" s="306"/>
      <c r="N44" s="306"/>
    </row>
    <row r="45" spans="1:14" x14ac:dyDescent="0.25">
      <c r="A45" s="184"/>
      <c r="B45" s="184"/>
      <c r="C45" s="184"/>
      <c r="D45" s="184"/>
      <c r="E45" s="184"/>
      <c r="F45" s="184"/>
      <c r="G45" s="184"/>
      <c r="H45" s="184"/>
      <c r="I45" s="184"/>
      <c r="J45" s="184"/>
      <c r="K45" s="184"/>
      <c r="L45" s="184"/>
      <c r="M45" s="184"/>
      <c r="N45" s="184"/>
    </row>
    <row r="46" spans="1:14" ht="19.5" customHeight="1" x14ac:dyDescent="0.25">
      <c r="A46" s="184"/>
      <c r="B46" s="184"/>
      <c r="C46" s="184"/>
      <c r="D46" s="184"/>
      <c r="E46" s="184"/>
      <c r="F46" s="184"/>
      <c r="G46" s="184"/>
      <c r="H46" s="184"/>
      <c r="I46" s="184"/>
      <c r="J46" s="184"/>
      <c r="K46" s="184"/>
      <c r="L46" s="184"/>
      <c r="M46" s="184"/>
      <c r="N46" s="184"/>
    </row>
  </sheetData>
  <mergeCells count="5">
    <mergeCell ref="A1:N1"/>
    <mergeCell ref="A2:N2"/>
    <mergeCell ref="A3:N3"/>
    <mergeCell ref="A4:N4"/>
    <mergeCell ref="A44:N44"/>
  </mergeCells>
  <printOptions horizontalCentered="1"/>
  <pageMargins left="0.7" right="0.7" top="0.75" bottom="0.75" header="0.3" footer="0.3"/>
  <pageSetup scale="70" orientation="landscape" blackAndWhite="1" r:id="rId1"/>
  <headerFooter>
    <oddFooter>&amp;L&amp;F 
&amp;A&amp;C&amp;P&amp;R&amp;D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zoomScale="90" zoomScaleNormal="90" workbookViewId="0">
      <pane ySplit="4" topLeftCell="A89" activePane="bottomLeft" state="frozen"/>
      <selection activeCell="L20" sqref="L20"/>
      <selection pane="bottomLeft" activeCell="J122" sqref="J122"/>
    </sheetView>
  </sheetViews>
  <sheetFormatPr defaultColWidth="9.140625" defaultRowHeight="15" x14ac:dyDescent="0.25"/>
  <cols>
    <col min="1" max="1" width="17.85546875" style="31" customWidth="1"/>
    <col min="2" max="6" width="12" style="31" bestFit="1" customWidth="1"/>
    <col min="7" max="13" width="12" style="31" customWidth="1"/>
    <col min="14" max="14" width="13.85546875" style="31" customWidth="1"/>
    <col min="15" max="16384" width="9.140625" style="31"/>
  </cols>
  <sheetData>
    <row r="1" spans="1:14" x14ac:dyDescent="0.25">
      <c r="A1" s="307" t="s">
        <v>0</v>
      </c>
      <c r="B1" s="307"/>
      <c r="C1" s="307"/>
      <c r="D1" s="307"/>
      <c r="E1" s="307"/>
      <c r="F1" s="307"/>
      <c r="G1" s="307"/>
      <c r="H1" s="307"/>
      <c r="I1" s="307"/>
      <c r="J1" s="307"/>
      <c r="K1" s="307"/>
      <c r="L1" s="307"/>
      <c r="M1" s="307"/>
      <c r="N1" s="307"/>
    </row>
    <row r="2" spans="1:14" x14ac:dyDescent="0.25">
      <c r="A2" s="309" t="str">
        <f>'Sch. 111 Charge Rates'!A2</f>
        <v>2024 Gas Schedule 111 Greenhouse Gas Emissions Cap and Invest Adjustment Filing</v>
      </c>
      <c r="B2" s="309"/>
      <c r="C2" s="309"/>
      <c r="D2" s="309"/>
      <c r="E2" s="309"/>
      <c r="F2" s="309"/>
      <c r="G2" s="309"/>
      <c r="H2" s="309"/>
      <c r="I2" s="309"/>
      <c r="J2" s="309"/>
      <c r="K2" s="309"/>
      <c r="L2" s="309"/>
      <c r="M2" s="309"/>
      <c r="N2" s="309"/>
    </row>
    <row r="3" spans="1:14" x14ac:dyDescent="0.25">
      <c r="A3" s="309" t="s">
        <v>47</v>
      </c>
      <c r="B3" s="309"/>
      <c r="C3" s="309"/>
      <c r="D3" s="309"/>
      <c r="E3" s="309"/>
      <c r="F3" s="309"/>
      <c r="G3" s="309"/>
      <c r="H3" s="309"/>
      <c r="I3" s="309"/>
      <c r="J3" s="309"/>
      <c r="K3" s="309"/>
      <c r="L3" s="309"/>
      <c r="M3" s="309"/>
      <c r="N3" s="309"/>
    </row>
    <row r="4" spans="1:14" x14ac:dyDescent="0.25">
      <c r="A4" s="310" t="str">
        <f>'F2024 Forecast'!A4:N4</f>
        <v>January 2025 - December 2025</v>
      </c>
      <c r="B4" s="309"/>
      <c r="C4" s="309"/>
      <c r="D4" s="309"/>
      <c r="E4" s="309"/>
      <c r="F4" s="309"/>
      <c r="G4" s="309"/>
      <c r="H4" s="309"/>
      <c r="I4" s="309"/>
      <c r="J4" s="309"/>
      <c r="K4" s="309"/>
      <c r="L4" s="309"/>
      <c r="M4" s="309"/>
      <c r="N4" s="309"/>
    </row>
    <row r="5" spans="1:14" x14ac:dyDescent="0.25">
      <c r="A5" s="32"/>
      <c r="B5" s="32"/>
      <c r="C5" s="32"/>
      <c r="D5" s="32"/>
      <c r="E5" s="32"/>
      <c r="F5" s="33"/>
      <c r="G5" s="33"/>
      <c r="H5" s="33"/>
      <c r="I5" s="33"/>
      <c r="J5" s="33"/>
      <c r="K5" s="33"/>
      <c r="L5" s="33"/>
      <c r="M5" s="33"/>
      <c r="N5" s="33"/>
    </row>
    <row r="6" spans="1:14" x14ac:dyDescent="0.25">
      <c r="A6" s="84" t="s">
        <v>235</v>
      </c>
      <c r="B6" s="32"/>
      <c r="C6" s="32"/>
      <c r="D6" s="32"/>
      <c r="E6" s="32"/>
      <c r="F6" s="33"/>
      <c r="G6" s="33"/>
      <c r="H6" s="33"/>
      <c r="I6" s="33"/>
      <c r="J6" s="33"/>
      <c r="K6" s="33"/>
      <c r="L6" s="33"/>
      <c r="M6" s="33"/>
      <c r="N6" s="33"/>
    </row>
    <row r="7" spans="1:14" x14ac:dyDescent="0.25">
      <c r="A7" s="35" t="s">
        <v>44</v>
      </c>
      <c r="B7" s="37">
        <f>'F2024 Forecast'!B7</f>
        <v>45658</v>
      </c>
      <c r="C7" s="37">
        <f>EDATE(B7,1)</f>
        <v>45689</v>
      </c>
      <c r="D7" s="37">
        <f t="shared" ref="D7:F7" si="0">EDATE(C7,1)</f>
        <v>45717</v>
      </c>
      <c r="E7" s="37">
        <f t="shared" si="0"/>
        <v>45748</v>
      </c>
      <c r="F7" s="37">
        <f t="shared" si="0"/>
        <v>45778</v>
      </c>
      <c r="G7" s="37">
        <f t="shared" ref="G7" si="1">EDATE(F7,1)</f>
        <v>45809</v>
      </c>
      <c r="H7" s="37">
        <f t="shared" ref="H7" si="2">EDATE(G7,1)</f>
        <v>45839</v>
      </c>
      <c r="I7" s="37">
        <f t="shared" ref="I7" si="3">EDATE(H7,1)</f>
        <v>45870</v>
      </c>
      <c r="J7" s="37">
        <f t="shared" ref="J7" si="4">EDATE(I7,1)</f>
        <v>45901</v>
      </c>
      <c r="K7" s="37">
        <f t="shared" ref="K7" si="5">EDATE(J7,1)</f>
        <v>45931</v>
      </c>
      <c r="L7" s="37">
        <f t="shared" ref="L7" si="6">EDATE(K7,1)</f>
        <v>45962</v>
      </c>
      <c r="M7" s="37">
        <f t="shared" ref="M7" si="7">EDATE(L7,1)</f>
        <v>45992</v>
      </c>
      <c r="N7" s="38" t="s">
        <v>2</v>
      </c>
    </row>
    <row r="8" spans="1:14" x14ac:dyDescent="0.25">
      <c r="A8" s="34">
        <v>16</v>
      </c>
      <c r="B8" s="46">
        <f>'F2024 Forecast'!B8</f>
        <v>513</v>
      </c>
      <c r="C8" s="46">
        <f>'F2024 Forecast'!C8</f>
        <v>513</v>
      </c>
      <c r="D8" s="46">
        <f>'F2024 Forecast'!D8</f>
        <v>513</v>
      </c>
      <c r="E8" s="46">
        <f>'F2024 Forecast'!E8</f>
        <v>513</v>
      </c>
      <c r="F8" s="46">
        <f>'F2024 Forecast'!F8</f>
        <v>513</v>
      </c>
      <c r="G8" s="46">
        <f>'F2024 Forecast'!G8</f>
        <v>513</v>
      </c>
      <c r="H8" s="46">
        <f>'F2024 Forecast'!H8</f>
        <v>513</v>
      </c>
      <c r="I8" s="46">
        <f>'F2024 Forecast'!I8</f>
        <v>513</v>
      </c>
      <c r="J8" s="46">
        <f>'F2024 Forecast'!J8</f>
        <v>513</v>
      </c>
      <c r="K8" s="46">
        <f>'F2024 Forecast'!K8</f>
        <v>513</v>
      </c>
      <c r="L8" s="46">
        <f>'F2024 Forecast'!L8</f>
        <v>513</v>
      </c>
      <c r="M8" s="46">
        <f>'F2024 Forecast'!M8</f>
        <v>513</v>
      </c>
      <c r="N8" s="40">
        <f>SUM(B8:M8)</f>
        <v>6156</v>
      </c>
    </row>
    <row r="9" spans="1:14" x14ac:dyDescent="0.25">
      <c r="A9" s="34">
        <v>23</v>
      </c>
      <c r="B9" s="46">
        <f>'F2024 Forecast'!B9</f>
        <v>84091990</v>
      </c>
      <c r="C9" s="46">
        <f>'F2024 Forecast'!C9</f>
        <v>72855060</v>
      </c>
      <c r="D9" s="46">
        <f>'F2024 Forecast'!D9</f>
        <v>65707108</v>
      </c>
      <c r="E9" s="46">
        <f>'F2024 Forecast'!E9</f>
        <v>45647376</v>
      </c>
      <c r="F9" s="46">
        <f>'F2024 Forecast'!F9</f>
        <v>27871265</v>
      </c>
      <c r="G9" s="46">
        <f>'F2024 Forecast'!G9</f>
        <v>19273637</v>
      </c>
      <c r="H9" s="46">
        <f>'F2024 Forecast'!H9</f>
        <v>14492879</v>
      </c>
      <c r="I9" s="46">
        <f>'F2024 Forecast'!I9</f>
        <v>14574848</v>
      </c>
      <c r="J9" s="46">
        <f>'F2024 Forecast'!J9</f>
        <v>19979616</v>
      </c>
      <c r="K9" s="46">
        <f>'F2024 Forecast'!K9</f>
        <v>42276981</v>
      </c>
      <c r="L9" s="46">
        <f>'F2024 Forecast'!L9</f>
        <v>67463742</v>
      </c>
      <c r="M9" s="46">
        <f>'F2024 Forecast'!M9</f>
        <v>87179749</v>
      </c>
      <c r="N9" s="40">
        <f t="shared" ref="N9:N22" si="8">SUM(B9:M9)</f>
        <v>561414251</v>
      </c>
    </row>
    <row r="10" spans="1:14" x14ac:dyDescent="0.25">
      <c r="A10" s="34">
        <v>53</v>
      </c>
      <c r="B10" s="46">
        <f>'F2024 Forecast'!B10</f>
        <v>0</v>
      </c>
      <c r="C10" s="46">
        <f>'F2024 Forecast'!C10</f>
        <v>0</v>
      </c>
      <c r="D10" s="46">
        <f>'F2024 Forecast'!D10</f>
        <v>0</v>
      </c>
      <c r="E10" s="46">
        <f>'F2024 Forecast'!E10</f>
        <v>0</v>
      </c>
      <c r="F10" s="46">
        <f>'F2024 Forecast'!F10</f>
        <v>0</v>
      </c>
      <c r="G10" s="46">
        <f>'F2024 Forecast'!G10</f>
        <v>0</v>
      </c>
      <c r="H10" s="46">
        <f>'F2024 Forecast'!H10</f>
        <v>0</v>
      </c>
      <c r="I10" s="46">
        <f>'F2024 Forecast'!I10</f>
        <v>0</v>
      </c>
      <c r="J10" s="46">
        <f>'F2024 Forecast'!J10</f>
        <v>0</v>
      </c>
      <c r="K10" s="46">
        <f>'F2024 Forecast'!K10</f>
        <v>0</v>
      </c>
      <c r="L10" s="46">
        <f>'F2024 Forecast'!L10</f>
        <v>0</v>
      </c>
      <c r="M10" s="46">
        <f>'F2024 Forecast'!M10</f>
        <v>0</v>
      </c>
      <c r="N10" s="40">
        <f t="shared" si="8"/>
        <v>0</v>
      </c>
    </row>
    <row r="11" spans="1:14" x14ac:dyDescent="0.25">
      <c r="A11" s="34">
        <v>31</v>
      </c>
      <c r="B11" s="46">
        <f>'F2024 Forecast'!B11</f>
        <v>29692885</v>
      </c>
      <c r="C11" s="46">
        <f>'F2024 Forecast'!C11</f>
        <v>26316395</v>
      </c>
      <c r="D11" s="46">
        <f>'F2024 Forecast'!D11</f>
        <v>23569963</v>
      </c>
      <c r="E11" s="46">
        <f>'F2024 Forecast'!E11</f>
        <v>16996414</v>
      </c>
      <c r="F11" s="46">
        <f>'F2024 Forecast'!F11</f>
        <v>12050268</v>
      </c>
      <c r="G11" s="46">
        <f>'F2024 Forecast'!G11</f>
        <v>9905036</v>
      </c>
      <c r="H11" s="46">
        <f>'F2024 Forecast'!H11</f>
        <v>8713537</v>
      </c>
      <c r="I11" s="46">
        <f>'F2024 Forecast'!I11</f>
        <v>9689232</v>
      </c>
      <c r="J11" s="46">
        <f>'F2024 Forecast'!J11</f>
        <v>11580729</v>
      </c>
      <c r="K11" s="46">
        <f>'F2024 Forecast'!K11</f>
        <v>19315268</v>
      </c>
      <c r="L11" s="46">
        <f>'F2024 Forecast'!L11</f>
        <v>27775687</v>
      </c>
      <c r="M11" s="46">
        <f>'F2024 Forecast'!M11</f>
        <v>34075567</v>
      </c>
      <c r="N11" s="40">
        <f t="shared" si="8"/>
        <v>229680981</v>
      </c>
    </row>
    <row r="12" spans="1:14" x14ac:dyDescent="0.25">
      <c r="A12" s="34">
        <v>41</v>
      </c>
      <c r="B12" s="46">
        <f>'F2024 Forecast'!B12</f>
        <v>7128146</v>
      </c>
      <c r="C12" s="46">
        <f>'F2024 Forecast'!C12</f>
        <v>6663689</v>
      </c>
      <c r="D12" s="46">
        <f>'F2024 Forecast'!D12</f>
        <v>6195978</v>
      </c>
      <c r="E12" s="46">
        <f>'F2024 Forecast'!E12</f>
        <v>4825720</v>
      </c>
      <c r="F12" s="46">
        <f>'F2024 Forecast'!F12</f>
        <v>3787419</v>
      </c>
      <c r="G12" s="46">
        <f>'F2024 Forecast'!G12</f>
        <v>3273804</v>
      </c>
      <c r="H12" s="46">
        <f>'F2024 Forecast'!H12</f>
        <v>2790751</v>
      </c>
      <c r="I12" s="46">
        <f>'F2024 Forecast'!I12</f>
        <v>3064107</v>
      </c>
      <c r="J12" s="46">
        <f>'F2024 Forecast'!J12</f>
        <v>3691483</v>
      </c>
      <c r="K12" s="46">
        <f>'F2024 Forecast'!K12</f>
        <v>5652301</v>
      </c>
      <c r="L12" s="46">
        <f>'F2024 Forecast'!L12</f>
        <v>7486386</v>
      </c>
      <c r="M12" s="46">
        <f>'F2024 Forecast'!M12</f>
        <v>8238591</v>
      </c>
      <c r="N12" s="40">
        <f t="shared" si="8"/>
        <v>62798375</v>
      </c>
    </row>
    <row r="13" spans="1:14" x14ac:dyDescent="0.25">
      <c r="A13" s="34">
        <v>85</v>
      </c>
      <c r="B13" s="46">
        <f>'F2024 Forecast'!B13</f>
        <v>1910561</v>
      </c>
      <c r="C13" s="46">
        <f>'F2024 Forecast'!C13</f>
        <v>1650567</v>
      </c>
      <c r="D13" s="46">
        <f>'F2024 Forecast'!D13</f>
        <v>1719109</v>
      </c>
      <c r="E13" s="46">
        <f>'F2024 Forecast'!E13</f>
        <v>1552464</v>
      </c>
      <c r="F13" s="46">
        <f>'F2024 Forecast'!F13</f>
        <v>1422984</v>
      </c>
      <c r="G13" s="46">
        <f>'F2024 Forecast'!G13</f>
        <v>1209166</v>
      </c>
      <c r="H13" s="46">
        <f>'F2024 Forecast'!H13</f>
        <v>1112660</v>
      </c>
      <c r="I13" s="46">
        <f>'F2024 Forecast'!I13</f>
        <v>1070071</v>
      </c>
      <c r="J13" s="46">
        <f>'F2024 Forecast'!J13</f>
        <v>1005779</v>
      </c>
      <c r="K13" s="46">
        <f>'F2024 Forecast'!K13</f>
        <v>1463922</v>
      </c>
      <c r="L13" s="46">
        <f>'F2024 Forecast'!L13</f>
        <v>1455079</v>
      </c>
      <c r="M13" s="46">
        <f>'F2024 Forecast'!M13</f>
        <v>1821391</v>
      </c>
      <c r="N13" s="40">
        <f t="shared" si="8"/>
        <v>17393753</v>
      </c>
    </row>
    <row r="14" spans="1:14" x14ac:dyDescent="0.25">
      <c r="A14" s="34">
        <v>86</v>
      </c>
      <c r="B14" s="46">
        <f>'F2024 Forecast'!B14</f>
        <v>800487</v>
      </c>
      <c r="C14" s="46">
        <f>'F2024 Forecast'!C14</f>
        <v>670382</v>
      </c>
      <c r="D14" s="46">
        <f>'F2024 Forecast'!D14</f>
        <v>676505</v>
      </c>
      <c r="E14" s="46">
        <f>'F2024 Forecast'!E14</f>
        <v>514139</v>
      </c>
      <c r="F14" s="46">
        <f>'F2024 Forecast'!F14</f>
        <v>381780</v>
      </c>
      <c r="G14" s="46">
        <f>'F2024 Forecast'!G14</f>
        <v>224267</v>
      </c>
      <c r="H14" s="46">
        <f>'F2024 Forecast'!H14</f>
        <v>109878</v>
      </c>
      <c r="I14" s="46">
        <f>'F2024 Forecast'!I14</f>
        <v>44384</v>
      </c>
      <c r="J14" s="46">
        <f>'F2024 Forecast'!J14</f>
        <v>69259</v>
      </c>
      <c r="K14" s="46">
        <f>'F2024 Forecast'!K14</f>
        <v>294326</v>
      </c>
      <c r="L14" s="46">
        <f>'F2024 Forecast'!L14</f>
        <v>477731</v>
      </c>
      <c r="M14" s="46">
        <f>'F2024 Forecast'!M14</f>
        <v>745018</v>
      </c>
      <c r="N14" s="40">
        <f t="shared" si="8"/>
        <v>5008156</v>
      </c>
    </row>
    <row r="15" spans="1:14" x14ac:dyDescent="0.25">
      <c r="A15" s="34">
        <v>87</v>
      </c>
      <c r="B15" s="46">
        <f>'F2024 Forecast'!B15</f>
        <v>2060563</v>
      </c>
      <c r="C15" s="46">
        <f>'F2024 Forecast'!C15</f>
        <v>1710298</v>
      </c>
      <c r="D15" s="46">
        <f>'F2024 Forecast'!D15</f>
        <v>1713137</v>
      </c>
      <c r="E15" s="46">
        <f>'F2024 Forecast'!E15</f>
        <v>1452440</v>
      </c>
      <c r="F15" s="46">
        <f>'F2024 Forecast'!F15</f>
        <v>1346088</v>
      </c>
      <c r="G15" s="46">
        <f>'F2024 Forecast'!G15</f>
        <v>1193038</v>
      </c>
      <c r="H15" s="46">
        <f>'F2024 Forecast'!H15</f>
        <v>1170945</v>
      </c>
      <c r="I15" s="46">
        <f>'F2024 Forecast'!I15</f>
        <v>1098169</v>
      </c>
      <c r="J15" s="46">
        <f>'F2024 Forecast'!J15</f>
        <v>1005515</v>
      </c>
      <c r="K15" s="46">
        <f>'F2024 Forecast'!K15</f>
        <v>1783820</v>
      </c>
      <c r="L15" s="46">
        <f>'F2024 Forecast'!L15</f>
        <v>1650516</v>
      </c>
      <c r="M15" s="46">
        <f>'F2024 Forecast'!M15</f>
        <v>2067159</v>
      </c>
      <c r="N15" s="40">
        <f t="shared" si="8"/>
        <v>18251688</v>
      </c>
    </row>
    <row r="16" spans="1:14" x14ac:dyDescent="0.25">
      <c r="A16" s="34" t="s">
        <v>27</v>
      </c>
      <c r="B16" s="46">
        <f>'F2024 Forecast'!B16</f>
        <v>0</v>
      </c>
      <c r="C16" s="46">
        <f>'F2024 Forecast'!C16</f>
        <v>0</v>
      </c>
      <c r="D16" s="46">
        <f>'F2024 Forecast'!D16</f>
        <v>0</v>
      </c>
      <c r="E16" s="46">
        <f>'F2024 Forecast'!E16</f>
        <v>0</v>
      </c>
      <c r="F16" s="46">
        <f>'F2024 Forecast'!F16</f>
        <v>0</v>
      </c>
      <c r="G16" s="46">
        <f>'F2024 Forecast'!G16</f>
        <v>0</v>
      </c>
      <c r="H16" s="46">
        <f>'F2024 Forecast'!H16</f>
        <v>0</v>
      </c>
      <c r="I16" s="46">
        <f>'F2024 Forecast'!I16</f>
        <v>0</v>
      </c>
      <c r="J16" s="46">
        <f>'F2024 Forecast'!J16</f>
        <v>0</v>
      </c>
      <c r="K16" s="46">
        <f>'F2024 Forecast'!K16</f>
        <v>0</v>
      </c>
      <c r="L16" s="46">
        <f>'F2024 Forecast'!L16</f>
        <v>0</v>
      </c>
      <c r="M16" s="46">
        <f>'F2024 Forecast'!M16</f>
        <v>0</v>
      </c>
      <c r="N16" s="40">
        <f t="shared" si="8"/>
        <v>0</v>
      </c>
    </row>
    <row r="17" spans="1:14" x14ac:dyDescent="0.25">
      <c r="A17" s="34" t="s">
        <v>29</v>
      </c>
      <c r="B17" s="46">
        <f>'F2024 Forecast'!B17</f>
        <v>1787398</v>
      </c>
      <c r="C17" s="46">
        <f>'F2024 Forecast'!C17</f>
        <v>1944865</v>
      </c>
      <c r="D17" s="46">
        <f>'F2024 Forecast'!D17</f>
        <v>1713007</v>
      </c>
      <c r="E17" s="46">
        <f>'F2024 Forecast'!E17</f>
        <v>1817525</v>
      </c>
      <c r="F17" s="46">
        <f>'F2024 Forecast'!F17</f>
        <v>1715751</v>
      </c>
      <c r="G17" s="46">
        <f>'F2024 Forecast'!G17</f>
        <v>1834118</v>
      </c>
      <c r="H17" s="46">
        <f>'F2024 Forecast'!H17</f>
        <v>1639656</v>
      </c>
      <c r="I17" s="46">
        <f>'F2024 Forecast'!I17</f>
        <v>1657073</v>
      </c>
      <c r="J17" s="46">
        <f>'F2024 Forecast'!J17</f>
        <v>1664657</v>
      </c>
      <c r="K17" s="46">
        <f>'F2024 Forecast'!K17</f>
        <v>1620165</v>
      </c>
      <c r="L17" s="46">
        <f>'F2024 Forecast'!L17</f>
        <v>1867820</v>
      </c>
      <c r="M17" s="46">
        <f>'F2024 Forecast'!M17</f>
        <v>1853820</v>
      </c>
      <c r="N17" s="40">
        <f t="shared" si="8"/>
        <v>21115855</v>
      </c>
    </row>
    <row r="18" spans="1:14" x14ac:dyDescent="0.25">
      <c r="A18" s="34" t="s">
        <v>31</v>
      </c>
      <c r="B18" s="46">
        <f>'F2024 Forecast'!B18</f>
        <v>4307272</v>
      </c>
      <c r="C18" s="46">
        <f>'F2024 Forecast'!C18</f>
        <v>5013043</v>
      </c>
      <c r="D18" s="46">
        <f>'F2024 Forecast'!D18</f>
        <v>4437443</v>
      </c>
      <c r="E18" s="46">
        <f>'F2024 Forecast'!E18</f>
        <v>4895422</v>
      </c>
      <c r="F18" s="46">
        <f>'F2024 Forecast'!F18</f>
        <v>4556924</v>
      </c>
      <c r="G18" s="46">
        <f>'F2024 Forecast'!G18</f>
        <v>4680219</v>
      </c>
      <c r="H18" s="46">
        <f>'F2024 Forecast'!H18</f>
        <v>4330088</v>
      </c>
      <c r="I18" s="46">
        <f>'F2024 Forecast'!I18</f>
        <v>4365135</v>
      </c>
      <c r="J18" s="46">
        <f>'F2024 Forecast'!J18</f>
        <v>4729457</v>
      </c>
      <c r="K18" s="46">
        <f>'F2024 Forecast'!K18</f>
        <v>4625269</v>
      </c>
      <c r="L18" s="46">
        <f>'F2024 Forecast'!L18</f>
        <v>4807079</v>
      </c>
      <c r="M18" s="46">
        <f>'F2024 Forecast'!M18</f>
        <v>5096644</v>
      </c>
      <c r="N18" s="40">
        <f t="shared" si="8"/>
        <v>55843995</v>
      </c>
    </row>
    <row r="19" spans="1:14" x14ac:dyDescent="0.25">
      <c r="A19" s="34" t="s">
        <v>33</v>
      </c>
      <c r="B19" s="46">
        <f>'F2024 Forecast'!B19</f>
        <v>105817</v>
      </c>
      <c r="C19" s="46">
        <f>'F2024 Forecast'!C19</f>
        <v>123254</v>
      </c>
      <c r="D19" s="46">
        <f>'F2024 Forecast'!D19</f>
        <v>110382</v>
      </c>
      <c r="E19" s="46">
        <f>'F2024 Forecast'!E19</f>
        <v>125657</v>
      </c>
      <c r="F19" s="46">
        <f>'F2024 Forecast'!F19</f>
        <v>113495</v>
      </c>
      <c r="G19" s="46">
        <f>'F2024 Forecast'!G19</f>
        <v>121199</v>
      </c>
      <c r="H19" s="46">
        <f>'F2024 Forecast'!H19</f>
        <v>106268</v>
      </c>
      <c r="I19" s="46">
        <f>'F2024 Forecast'!I19</f>
        <v>102961</v>
      </c>
      <c r="J19" s="46">
        <f>'F2024 Forecast'!J19</f>
        <v>115379</v>
      </c>
      <c r="K19" s="46">
        <f>'F2024 Forecast'!K19</f>
        <v>107961</v>
      </c>
      <c r="L19" s="46">
        <f>'F2024 Forecast'!L19</f>
        <v>120350</v>
      </c>
      <c r="M19" s="46">
        <f>'F2024 Forecast'!M19</f>
        <v>118522</v>
      </c>
      <c r="N19" s="40">
        <f t="shared" si="8"/>
        <v>1371245</v>
      </c>
    </row>
    <row r="20" spans="1:14" x14ac:dyDescent="0.25">
      <c r="A20" s="34" t="s">
        <v>35</v>
      </c>
      <c r="B20" s="46">
        <f>'F2024 Forecast'!B20</f>
        <v>5343507</v>
      </c>
      <c r="C20" s="46">
        <f>'F2024 Forecast'!C20</f>
        <v>7091666</v>
      </c>
      <c r="D20" s="46">
        <f>'F2024 Forecast'!D20</f>
        <v>5600959</v>
      </c>
      <c r="E20" s="46">
        <f>'F2024 Forecast'!E20</f>
        <v>6304355</v>
      </c>
      <c r="F20" s="46">
        <f>'F2024 Forecast'!F20</f>
        <v>6072939</v>
      </c>
      <c r="G20" s="46">
        <f>'F2024 Forecast'!G20</f>
        <v>6159153</v>
      </c>
      <c r="H20" s="46">
        <f>'F2024 Forecast'!H20</f>
        <v>6412814</v>
      </c>
      <c r="I20" s="46">
        <f>'F2024 Forecast'!I20</f>
        <v>6009451</v>
      </c>
      <c r="J20" s="46">
        <f>'F2024 Forecast'!J20</f>
        <v>6460599</v>
      </c>
      <c r="K20" s="46">
        <f>'F2024 Forecast'!K20</f>
        <v>5693897</v>
      </c>
      <c r="L20" s="46">
        <f>'F2024 Forecast'!L20</f>
        <v>5928224</v>
      </c>
      <c r="M20" s="46">
        <f>'F2024 Forecast'!M20</f>
        <v>6961545</v>
      </c>
      <c r="N20" s="40">
        <f t="shared" si="8"/>
        <v>74039109</v>
      </c>
    </row>
    <row r="21" spans="1:14" x14ac:dyDescent="0.25">
      <c r="A21" s="34" t="s">
        <v>232</v>
      </c>
      <c r="B21" s="46">
        <f>'F2024 Forecast'!B21</f>
        <v>2799650</v>
      </c>
      <c r="C21" s="46">
        <f>'F2024 Forecast'!C21</f>
        <v>2799650</v>
      </c>
      <c r="D21" s="46">
        <f>'F2024 Forecast'!D21</f>
        <v>2799650</v>
      </c>
      <c r="E21" s="46">
        <f>'F2024 Forecast'!E21</f>
        <v>2799650</v>
      </c>
      <c r="F21" s="46">
        <f>'F2024 Forecast'!F21</f>
        <v>2799650</v>
      </c>
      <c r="G21" s="46">
        <f>'F2024 Forecast'!G21</f>
        <v>2799650</v>
      </c>
      <c r="H21" s="46">
        <f>'F2024 Forecast'!H21</f>
        <v>2799650</v>
      </c>
      <c r="I21" s="46">
        <f>'F2024 Forecast'!I21</f>
        <v>2799650</v>
      </c>
      <c r="J21" s="46">
        <f>'F2024 Forecast'!J21</f>
        <v>2799650</v>
      </c>
      <c r="K21" s="46">
        <f>'F2024 Forecast'!K21</f>
        <v>2799650</v>
      </c>
      <c r="L21" s="46">
        <f>'F2024 Forecast'!L21</f>
        <v>2799650</v>
      </c>
      <c r="M21" s="46">
        <f>'F2024 Forecast'!M21</f>
        <v>2799650</v>
      </c>
      <c r="N21" s="40">
        <f t="shared" ref="N21" si="9">SUM(B21:M21)</f>
        <v>33595800</v>
      </c>
    </row>
    <row r="22" spans="1:14" x14ac:dyDescent="0.25">
      <c r="A22" s="41" t="s">
        <v>36</v>
      </c>
      <c r="B22" s="46">
        <f>'F2024 Forecast'!B22</f>
        <v>3482501</v>
      </c>
      <c r="C22" s="46">
        <f>'F2024 Forecast'!C22</f>
        <v>4191398</v>
      </c>
      <c r="D22" s="46">
        <f>'F2024 Forecast'!D22</f>
        <v>3055281</v>
      </c>
      <c r="E22" s="46">
        <f>'F2024 Forecast'!E22</f>
        <v>2967362</v>
      </c>
      <c r="F22" s="46">
        <f>'F2024 Forecast'!F22</f>
        <v>2280034</v>
      </c>
      <c r="G22" s="46">
        <f>'F2024 Forecast'!G22</f>
        <v>2083748</v>
      </c>
      <c r="H22" s="46">
        <f>'F2024 Forecast'!H22</f>
        <v>1865291</v>
      </c>
      <c r="I22" s="46">
        <f>'F2024 Forecast'!I22</f>
        <v>1746292</v>
      </c>
      <c r="J22" s="46">
        <f>'F2024 Forecast'!J22</f>
        <v>2093490</v>
      </c>
      <c r="K22" s="46">
        <f>'F2024 Forecast'!K22</f>
        <v>2578594</v>
      </c>
      <c r="L22" s="46">
        <f>'F2024 Forecast'!L22</f>
        <v>3487417</v>
      </c>
      <c r="M22" s="46">
        <f>'F2024 Forecast'!M22</f>
        <v>4215409</v>
      </c>
      <c r="N22" s="40">
        <f t="shared" si="8"/>
        <v>34046817</v>
      </c>
    </row>
    <row r="23" spans="1:14" x14ac:dyDescent="0.25">
      <c r="A23" s="42" t="s">
        <v>2</v>
      </c>
      <c r="B23" s="43">
        <f>SUM(B8:B22)</f>
        <v>143511290</v>
      </c>
      <c r="C23" s="43">
        <f t="shared" ref="C23:N23" si="10">SUM(C8:C22)</f>
        <v>131030780</v>
      </c>
      <c r="D23" s="43">
        <f t="shared" si="10"/>
        <v>117299035</v>
      </c>
      <c r="E23" s="43">
        <f t="shared" si="10"/>
        <v>89899037</v>
      </c>
      <c r="F23" s="43">
        <f t="shared" si="10"/>
        <v>64399110</v>
      </c>
      <c r="G23" s="43">
        <f t="shared" si="10"/>
        <v>52757548</v>
      </c>
      <c r="H23" s="43">
        <f t="shared" si="10"/>
        <v>45544930</v>
      </c>
      <c r="I23" s="43">
        <f t="shared" si="10"/>
        <v>46221886</v>
      </c>
      <c r="J23" s="43">
        <f t="shared" si="10"/>
        <v>55196126</v>
      </c>
      <c r="K23" s="43">
        <f t="shared" si="10"/>
        <v>88212667</v>
      </c>
      <c r="L23" s="43">
        <f t="shared" si="10"/>
        <v>125320194</v>
      </c>
      <c r="M23" s="43">
        <f t="shared" si="10"/>
        <v>155173578</v>
      </c>
      <c r="N23" s="43">
        <f t="shared" si="10"/>
        <v>1114566181</v>
      </c>
    </row>
    <row r="24" spans="1:14" x14ac:dyDescent="0.25">
      <c r="A24" s="42"/>
      <c r="B24" s="44"/>
      <c r="C24" s="44"/>
      <c r="D24" s="44"/>
      <c r="E24" s="44"/>
      <c r="F24" s="44"/>
      <c r="G24" s="44"/>
      <c r="H24" s="44"/>
      <c r="I24" s="44"/>
      <c r="J24" s="44"/>
      <c r="K24" s="44"/>
      <c r="L24" s="44"/>
      <c r="M24" s="44"/>
      <c r="N24" s="44"/>
    </row>
    <row r="25" spans="1:14" ht="17.25" x14ac:dyDescent="0.25">
      <c r="A25" s="45" t="s">
        <v>78</v>
      </c>
    </row>
    <row r="26" spans="1:14" x14ac:dyDescent="0.25">
      <c r="A26" s="35" t="s">
        <v>44</v>
      </c>
      <c r="B26" s="37">
        <f>B7</f>
        <v>45658</v>
      </c>
      <c r="C26" s="37">
        <f t="shared" ref="C26:M26" si="11">C7</f>
        <v>45689</v>
      </c>
      <c r="D26" s="37">
        <f t="shared" si="11"/>
        <v>45717</v>
      </c>
      <c r="E26" s="37">
        <f t="shared" si="11"/>
        <v>45748</v>
      </c>
      <c r="F26" s="37">
        <f t="shared" si="11"/>
        <v>45778</v>
      </c>
      <c r="G26" s="37">
        <f t="shared" si="11"/>
        <v>45809</v>
      </c>
      <c r="H26" s="37">
        <f t="shared" si="11"/>
        <v>45839</v>
      </c>
      <c r="I26" s="37">
        <f t="shared" si="11"/>
        <v>45870</v>
      </c>
      <c r="J26" s="37">
        <f t="shared" si="11"/>
        <v>45901</v>
      </c>
      <c r="K26" s="37">
        <f t="shared" si="11"/>
        <v>45931</v>
      </c>
      <c r="L26" s="37">
        <f t="shared" si="11"/>
        <v>45962</v>
      </c>
      <c r="M26" s="37">
        <f t="shared" si="11"/>
        <v>45992</v>
      </c>
      <c r="N26" s="38" t="s">
        <v>2</v>
      </c>
    </row>
    <row r="27" spans="1:14" x14ac:dyDescent="0.25">
      <c r="A27" s="34">
        <v>16</v>
      </c>
      <c r="B27" s="39">
        <v>0</v>
      </c>
      <c r="C27" s="39">
        <v>0</v>
      </c>
      <c r="D27" s="39">
        <v>0</v>
      </c>
      <c r="E27" s="39">
        <v>0</v>
      </c>
      <c r="F27" s="39">
        <v>0</v>
      </c>
      <c r="G27" s="39">
        <v>0</v>
      </c>
      <c r="H27" s="39">
        <v>0</v>
      </c>
      <c r="I27" s="39">
        <v>0</v>
      </c>
      <c r="J27" s="39">
        <v>0</v>
      </c>
      <c r="K27" s="39">
        <v>0</v>
      </c>
      <c r="L27" s="39">
        <v>0</v>
      </c>
      <c r="M27" s="39">
        <v>0</v>
      </c>
      <c r="N27" s="40">
        <f>SUM(B27:M27)</f>
        <v>0</v>
      </c>
    </row>
    <row r="28" spans="1:14" x14ac:dyDescent="0.25">
      <c r="A28" s="34">
        <v>23</v>
      </c>
      <c r="B28" s="39">
        <v>0</v>
      </c>
      <c r="C28" s="39">
        <v>0</v>
      </c>
      <c r="D28" s="39">
        <v>0</v>
      </c>
      <c r="E28" s="39">
        <v>0</v>
      </c>
      <c r="F28" s="39">
        <v>0</v>
      </c>
      <c r="G28" s="39">
        <v>0</v>
      </c>
      <c r="H28" s="39">
        <v>0</v>
      </c>
      <c r="I28" s="39">
        <v>0</v>
      </c>
      <c r="J28" s="39">
        <v>0</v>
      </c>
      <c r="K28" s="39">
        <v>0</v>
      </c>
      <c r="L28" s="39">
        <v>0</v>
      </c>
      <c r="M28" s="39">
        <v>0</v>
      </c>
      <c r="N28" s="40">
        <f t="shared" ref="N28:N41" si="12">SUM(B28:M28)</f>
        <v>0</v>
      </c>
    </row>
    <row r="29" spans="1:14" x14ac:dyDescent="0.25">
      <c r="A29" s="34">
        <v>53</v>
      </c>
      <c r="B29" s="39">
        <v>0</v>
      </c>
      <c r="C29" s="39">
        <v>0</v>
      </c>
      <c r="D29" s="39">
        <v>0</v>
      </c>
      <c r="E29" s="39">
        <v>0</v>
      </c>
      <c r="F29" s="39">
        <v>0</v>
      </c>
      <c r="G29" s="39">
        <v>0</v>
      </c>
      <c r="H29" s="39">
        <v>0</v>
      </c>
      <c r="I29" s="39">
        <v>0</v>
      </c>
      <c r="J29" s="39">
        <v>0</v>
      </c>
      <c r="K29" s="39">
        <v>0</v>
      </c>
      <c r="L29" s="39">
        <v>0</v>
      </c>
      <c r="M29" s="39">
        <v>0</v>
      </c>
      <c r="N29" s="40">
        <f t="shared" si="12"/>
        <v>0</v>
      </c>
    </row>
    <row r="30" spans="1:14" x14ac:dyDescent="0.25">
      <c r="A30" s="34">
        <v>31</v>
      </c>
      <c r="B30" s="39">
        <v>75739.544000000009</v>
      </c>
      <c r="C30" s="39">
        <v>72091.035000000003</v>
      </c>
      <c r="D30" s="39">
        <v>69950.444000000003</v>
      </c>
      <c r="E30" s="39">
        <v>52922.802000000003</v>
      </c>
      <c r="F30" s="39">
        <v>26902.799999999996</v>
      </c>
      <c r="G30" s="39">
        <v>16819.431</v>
      </c>
      <c r="H30" s="39">
        <v>11232.736999999999</v>
      </c>
      <c r="I30" s="39">
        <v>10962.258</v>
      </c>
      <c r="J30" s="39">
        <v>15287.759999999998</v>
      </c>
      <c r="K30" s="39">
        <v>30469.032999999999</v>
      </c>
      <c r="L30" s="39">
        <v>55771.706000000006</v>
      </c>
      <c r="M30" s="39">
        <v>64789.900000000009</v>
      </c>
      <c r="N30" s="40">
        <f t="shared" si="12"/>
        <v>502939.45000000007</v>
      </c>
    </row>
    <row r="31" spans="1:14" x14ac:dyDescent="0.25">
      <c r="A31" s="34">
        <v>41</v>
      </c>
      <c r="B31" s="39">
        <v>109241.357</v>
      </c>
      <c r="C31" s="39">
        <v>111706.928</v>
      </c>
      <c r="D31" s="39">
        <v>109712.59499999999</v>
      </c>
      <c r="E31" s="39">
        <v>90012.909</v>
      </c>
      <c r="F31" s="39">
        <v>64029.764000000003</v>
      </c>
      <c r="G31" s="39">
        <v>46611.032000000007</v>
      </c>
      <c r="H31" s="39">
        <v>45642.271999999997</v>
      </c>
      <c r="I31" s="39">
        <v>42070.616000000009</v>
      </c>
      <c r="J31" s="39">
        <v>46558.659000000007</v>
      </c>
      <c r="K31" s="39">
        <v>74033.153000000006</v>
      </c>
      <c r="L31" s="39">
        <v>108099.181</v>
      </c>
      <c r="M31" s="39">
        <v>107811.74599999998</v>
      </c>
      <c r="N31" s="40">
        <f t="shared" si="12"/>
        <v>955530.21200000006</v>
      </c>
    </row>
    <row r="32" spans="1:14" x14ac:dyDescent="0.25">
      <c r="A32" s="34">
        <v>85</v>
      </c>
      <c r="B32" s="39">
        <v>0</v>
      </c>
      <c r="C32" s="39">
        <v>0</v>
      </c>
      <c r="D32" s="39">
        <v>0</v>
      </c>
      <c r="E32" s="39">
        <v>0</v>
      </c>
      <c r="F32" s="39">
        <v>0</v>
      </c>
      <c r="G32" s="39">
        <v>0</v>
      </c>
      <c r="H32" s="39">
        <v>0</v>
      </c>
      <c r="I32" s="39">
        <v>0</v>
      </c>
      <c r="J32" s="39">
        <v>0</v>
      </c>
      <c r="K32" s="39">
        <v>0</v>
      </c>
      <c r="L32" s="39">
        <v>0</v>
      </c>
      <c r="M32" s="39">
        <v>0</v>
      </c>
      <c r="N32" s="40">
        <f t="shared" si="12"/>
        <v>0</v>
      </c>
    </row>
    <row r="33" spans="1:14" x14ac:dyDescent="0.25">
      <c r="A33" s="34">
        <v>86</v>
      </c>
      <c r="B33" s="39">
        <v>0</v>
      </c>
      <c r="C33" s="39">
        <v>0</v>
      </c>
      <c r="D33" s="39">
        <v>0</v>
      </c>
      <c r="E33" s="39">
        <v>0</v>
      </c>
      <c r="F33" s="39">
        <v>0</v>
      </c>
      <c r="G33" s="39">
        <v>0</v>
      </c>
      <c r="H33" s="39">
        <v>0</v>
      </c>
      <c r="I33" s="39">
        <v>0</v>
      </c>
      <c r="J33" s="39">
        <v>0</v>
      </c>
      <c r="K33" s="39">
        <v>0</v>
      </c>
      <c r="L33" s="39">
        <v>0</v>
      </c>
      <c r="M33" s="39">
        <v>0</v>
      </c>
      <c r="N33" s="40">
        <f t="shared" si="12"/>
        <v>0</v>
      </c>
    </row>
    <row r="34" spans="1:14" x14ac:dyDescent="0.25">
      <c r="A34" s="34">
        <v>87</v>
      </c>
      <c r="B34" s="39">
        <v>1636013.11</v>
      </c>
      <c r="C34" s="39">
        <v>1500393.9</v>
      </c>
      <c r="D34" s="39">
        <v>1542261.7</v>
      </c>
      <c r="E34" s="39">
        <v>1322232.27</v>
      </c>
      <c r="F34" s="39">
        <v>880980.34</v>
      </c>
      <c r="G34" s="39">
        <v>823145.31</v>
      </c>
      <c r="H34" s="39">
        <v>693866.77</v>
      </c>
      <c r="I34" s="39">
        <v>664934.23</v>
      </c>
      <c r="J34" s="39">
        <v>820722.33</v>
      </c>
      <c r="K34" s="39">
        <v>1193186.8500000001</v>
      </c>
      <c r="L34" s="39">
        <v>1499028.16</v>
      </c>
      <c r="M34" s="39">
        <v>1527055.51</v>
      </c>
      <c r="N34" s="40">
        <f t="shared" si="12"/>
        <v>14103820.48</v>
      </c>
    </row>
    <row r="35" spans="1:14" x14ac:dyDescent="0.25">
      <c r="A35" s="34" t="s">
        <v>27</v>
      </c>
      <c r="B35" s="39">
        <v>0</v>
      </c>
      <c r="C35" s="39">
        <v>0</v>
      </c>
      <c r="D35" s="39">
        <v>0</v>
      </c>
      <c r="E35" s="39">
        <v>0</v>
      </c>
      <c r="F35" s="39">
        <v>0</v>
      </c>
      <c r="G35" s="39">
        <v>0</v>
      </c>
      <c r="H35" s="39">
        <v>0</v>
      </c>
      <c r="I35" s="39">
        <v>0</v>
      </c>
      <c r="J35" s="39">
        <v>0</v>
      </c>
      <c r="K35" s="39">
        <v>0</v>
      </c>
      <c r="L35" s="39">
        <v>0</v>
      </c>
      <c r="M35" s="39">
        <v>0</v>
      </c>
      <c r="N35" s="40">
        <f t="shared" si="12"/>
        <v>0</v>
      </c>
    </row>
    <row r="36" spans="1:14" x14ac:dyDescent="0.25">
      <c r="A36" s="34" t="s">
        <v>29</v>
      </c>
      <c r="B36" s="39">
        <v>0</v>
      </c>
      <c r="C36" s="39">
        <v>0</v>
      </c>
      <c r="D36" s="39">
        <v>0</v>
      </c>
      <c r="E36" s="39">
        <v>0</v>
      </c>
      <c r="F36" s="39">
        <v>0</v>
      </c>
      <c r="G36" s="39">
        <v>0</v>
      </c>
      <c r="H36" s="39">
        <v>0</v>
      </c>
      <c r="I36" s="39">
        <v>0</v>
      </c>
      <c r="J36" s="39">
        <v>0</v>
      </c>
      <c r="K36" s="39">
        <v>0</v>
      </c>
      <c r="L36" s="39">
        <v>0</v>
      </c>
      <c r="M36" s="39">
        <v>0</v>
      </c>
      <c r="N36" s="40">
        <f t="shared" si="12"/>
        <v>0</v>
      </c>
    </row>
    <row r="37" spans="1:14" x14ac:dyDescent="0.25">
      <c r="A37" s="34" t="s">
        <v>31</v>
      </c>
      <c r="B37" s="39">
        <v>133782.59</v>
      </c>
      <c r="C37" s="39">
        <v>447022.72</v>
      </c>
      <c r="D37" s="39">
        <v>270768.98</v>
      </c>
      <c r="E37" s="39">
        <v>453709.05</v>
      </c>
      <c r="F37" s="39">
        <v>237398.07</v>
      </c>
      <c r="G37" s="39">
        <v>112447.41</v>
      </c>
      <c r="H37" s="39">
        <v>124079.03</v>
      </c>
      <c r="I37" s="39">
        <v>100541.82</v>
      </c>
      <c r="J37" s="39">
        <v>152753.59</v>
      </c>
      <c r="K37" s="39">
        <v>406484.42</v>
      </c>
      <c r="L37" s="39">
        <v>502173.91</v>
      </c>
      <c r="M37" s="39">
        <v>733056.41</v>
      </c>
      <c r="N37" s="40">
        <f t="shared" si="12"/>
        <v>3674218.0000000005</v>
      </c>
    </row>
    <row r="38" spans="1:14" x14ac:dyDescent="0.25">
      <c r="A38" s="34" t="s">
        <v>33</v>
      </c>
      <c r="B38" s="39">
        <v>0</v>
      </c>
      <c r="C38" s="39">
        <v>0</v>
      </c>
      <c r="D38" s="39">
        <v>0</v>
      </c>
      <c r="E38" s="39">
        <v>0</v>
      </c>
      <c r="F38" s="39">
        <v>0</v>
      </c>
      <c r="G38" s="39">
        <v>0</v>
      </c>
      <c r="H38" s="39">
        <v>0</v>
      </c>
      <c r="I38" s="39">
        <v>0</v>
      </c>
      <c r="J38" s="39">
        <v>0</v>
      </c>
      <c r="K38" s="39">
        <v>0</v>
      </c>
      <c r="L38" s="39">
        <v>0</v>
      </c>
      <c r="M38" s="39">
        <v>0</v>
      </c>
      <c r="N38" s="40">
        <f t="shared" si="12"/>
        <v>0</v>
      </c>
    </row>
    <row r="39" spans="1:14" x14ac:dyDescent="0.25">
      <c r="A39" s="34" t="s">
        <v>35</v>
      </c>
      <c r="B39" s="39">
        <v>5945425.5499999998</v>
      </c>
      <c r="C39" s="39">
        <v>5076550.2399999993</v>
      </c>
      <c r="D39" s="39">
        <v>6071901.7299999986</v>
      </c>
      <c r="E39" s="39">
        <v>5582912.9400000013</v>
      </c>
      <c r="F39" s="39">
        <v>6021938.2199999997</v>
      </c>
      <c r="G39" s="39">
        <v>4743029.9800000004</v>
      </c>
      <c r="H39" s="39">
        <v>5170318.5</v>
      </c>
      <c r="I39" s="39">
        <v>4324859.78</v>
      </c>
      <c r="J39" s="39">
        <v>3917660.9499999993</v>
      </c>
      <c r="K39" s="39">
        <v>5534537.7999999998</v>
      </c>
      <c r="L39" s="39">
        <v>5431250.3399999999</v>
      </c>
      <c r="M39" s="39">
        <v>5784459.8399999999</v>
      </c>
      <c r="N39" s="40">
        <f t="shared" si="12"/>
        <v>63604845.870000005</v>
      </c>
    </row>
    <row r="40" spans="1:14" x14ac:dyDescent="0.25">
      <c r="A40" s="34" t="s">
        <v>232</v>
      </c>
      <c r="B40" s="39">
        <v>0</v>
      </c>
      <c r="C40" s="39">
        <v>0</v>
      </c>
      <c r="D40" s="39">
        <v>0</v>
      </c>
      <c r="E40" s="39">
        <v>0</v>
      </c>
      <c r="F40" s="39">
        <v>0</v>
      </c>
      <c r="G40" s="39">
        <v>0</v>
      </c>
      <c r="H40" s="39">
        <v>0</v>
      </c>
      <c r="I40" s="39">
        <v>0</v>
      </c>
      <c r="J40" s="39">
        <v>0</v>
      </c>
      <c r="K40" s="39">
        <v>0</v>
      </c>
      <c r="L40" s="39">
        <v>0</v>
      </c>
      <c r="M40" s="39">
        <v>0</v>
      </c>
      <c r="N40" s="40">
        <f t="shared" si="12"/>
        <v>0</v>
      </c>
    </row>
    <row r="41" spans="1:14" x14ac:dyDescent="0.25">
      <c r="A41" s="41" t="s">
        <v>36</v>
      </c>
      <c r="B41" s="39">
        <v>2178674.88</v>
      </c>
      <c r="C41" s="39">
        <v>1980002.98</v>
      </c>
      <c r="D41" s="39">
        <v>2022951.52</v>
      </c>
      <c r="E41" s="39">
        <v>1725323.9699999997</v>
      </c>
      <c r="F41" s="39">
        <v>1203116.5900000001</v>
      </c>
      <c r="G41" s="39">
        <v>1042433.82</v>
      </c>
      <c r="H41" s="39">
        <v>951312.39000000013</v>
      </c>
      <c r="I41" s="39">
        <v>954873.81</v>
      </c>
      <c r="J41" s="39">
        <v>1075483.74</v>
      </c>
      <c r="K41" s="39">
        <v>1467085.47</v>
      </c>
      <c r="L41" s="39">
        <v>1895166.6099999999</v>
      </c>
      <c r="M41" s="39">
        <v>2105296</v>
      </c>
      <c r="N41" s="40">
        <f t="shared" si="12"/>
        <v>18601721.780000001</v>
      </c>
    </row>
    <row r="42" spans="1:14" x14ac:dyDescent="0.25">
      <c r="A42" s="42" t="s">
        <v>2</v>
      </c>
      <c r="B42" s="43">
        <f>SUM(B27:B41)</f>
        <v>10078877.030999999</v>
      </c>
      <c r="C42" s="43">
        <f t="shared" ref="C42:N42" si="13">SUM(C27:C41)</f>
        <v>9187767.8029999994</v>
      </c>
      <c r="D42" s="43">
        <f t="shared" si="13"/>
        <v>10087546.968999999</v>
      </c>
      <c r="E42" s="43">
        <f t="shared" si="13"/>
        <v>9227113.9410000015</v>
      </c>
      <c r="F42" s="43">
        <f t="shared" si="13"/>
        <v>8434365.784</v>
      </c>
      <c r="G42" s="43">
        <f t="shared" si="13"/>
        <v>6784486.9830000009</v>
      </c>
      <c r="H42" s="43">
        <f t="shared" si="13"/>
        <v>6996451.699000001</v>
      </c>
      <c r="I42" s="43">
        <f t="shared" si="13"/>
        <v>6098242.5140000004</v>
      </c>
      <c r="J42" s="43">
        <f t="shared" si="13"/>
        <v>6028467.0289999992</v>
      </c>
      <c r="K42" s="43">
        <f t="shared" si="13"/>
        <v>8705796.7259999998</v>
      </c>
      <c r="L42" s="43">
        <f t="shared" si="13"/>
        <v>9491489.9069999997</v>
      </c>
      <c r="M42" s="43">
        <f t="shared" si="13"/>
        <v>10322469.405999999</v>
      </c>
      <c r="N42" s="43">
        <f t="shared" si="13"/>
        <v>101443075.79200001</v>
      </c>
    </row>
    <row r="44" spans="1:14" ht="17.25" x14ac:dyDescent="0.25">
      <c r="A44" s="45" t="s">
        <v>72</v>
      </c>
    </row>
    <row r="45" spans="1:14" x14ac:dyDescent="0.25">
      <c r="A45" s="35" t="s">
        <v>44</v>
      </c>
      <c r="B45" s="37">
        <f>B7</f>
        <v>45658</v>
      </c>
      <c r="C45" s="37">
        <f t="shared" ref="C45:M45" si="14">C7</f>
        <v>45689</v>
      </c>
      <c r="D45" s="37">
        <f t="shared" si="14"/>
        <v>45717</v>
      </c>
      <c r="E45" s="37">
        <f t="shared" si="14"/>
        <v>45748</v>
      </c>
      <c r="F45" s="37">
        <f t="shared" si="14"/>
        <v>45778</v>
      </c>
      <c r="G45" s="37">
        <f t="shared" si="14"/>
        <v>45809</v>
      </c>
      <c r="H45" s="37">
        <f t="shared" si="14"/>
        <v>45839</v>
      </c>
      <c r="I45" s="37">
        <f t="shared" si="14"/>
        <v>45870</v>
      </c>
      <c r="J45" s="37">
        <f t="shared" si="14"/>
        <v>45901</v>
      </c>
      <c r="K45" s="37">
        <f t="shared" si="14"/>
        <v>45931</v>
      </c>
      <c r="L45" s="37">
        <f t="shared" si="14"/>
        <v>45962</v>
      </c>
      <c r="M45" s="37">
        <f t="shared" si="14"/>
        <v>45992</v>
      </c>
      <c r="N45" s="38" t="s">
        <v>2</v>
      </c>
    </row>
    <row r="46" spans="1:14" x14ac:dyDescent="0.25">
      <c r="A46" s="34">
        <v>16</v>
      </c>
      <c r="B46" s="39">
        <v>0</v>
      </c>
      <c r="C46" s="39">
        <v>0</v>
      </c>
      <c r="D46" s="39">
        <v>0</v>
      </c>
      <c r="E46" s="39">
        <v>0</v>
      </c>
      <c r="F46" s="39">
        <v>0</v>
      </c>
      <c r="G46" s="39">
        <v>0</v>
      </c>
      <c r="H46" s="39">
        <v>0</v>
      </c>
      <c r="I46" s="39">
        <v>0</v>
      </c>
      <c r="J46" s="39">
        <v>0</v>
      </c>
      <c r="K46" s="39">
        <v>0</v>
      </c>
      <c r="L46" s="39">
        <v>0</v>
      </c>
      <c r="M46" s="39">
        <v>0</v>
      </c>
      <c r="N46" s="40">
        <f>SUM(B46:M46)</f>
        <v>0</v>
      </c>
    </row>
    <row r="47" spans="1:14" x14ac:dyDescent="0.25">
      <c r="A47" s="34">
        <v>23</v>
      </c>
      <c r="B47" s="39">
        <v>0</v>
      </c>
      <c r="C47" s="39">
        <v>0</v>
      </c>
      <c r="D47" s="39">
        <v>0</v>
      </c>
      <c r="E47" s="39">
        <v>0</v>
      </c>
      <c r="F47" s="39">
        <v>0</v>
      </c>
      <c r="G47" s="39">
        <v>0</v>
      </c>
      <c r="H47" s="39">
        <v>0</v>
      </c>
      <c r="I47" s="39">
        <v>0</v>
      </c>
      <c r="J47" s="39">
        <v>0</v>
      </c>
      <c r="K47" s="39">
        <v>0</v>
      </c>
      <c r="L47" s="39">
        <v>0</v>
      </c>
      <c r="M47" s="39">
        <v>0</v>
      </c>
      <c r="N47" s="40">
        <f t="shared" ref="N47:N60" si="15">SUM(B47:M47)</f>
        <v>0</v>
      </c>
    </row>
    <row r="48" spans="1:14" x14ac:dyDescent="0.25">
      <c r="A48" s="34">
        <v>53</v>
      </c>
      <c r="B48" s="39">
        <v>0</v>
      </c>
      <c r="C48" s="39">
        <v>0</v>
      </c>
      <c r="D48" s="39">
        <v>0</v>
      </c>
      <c r="E48" s="39">
        <v>0</v>
      </c>
      <c r="F48" s="39">
        <v>0</v>
      </c>
      <c r="G48" s="39">
        <v>0</v>
      </c>
      <c r="H48" s="39">
        <v>0</v>
      </c>
      <c r="I48" s="39">
        <v>0</v>
      </c>
      <c r="J48" s="39">
        <v>0</v>
      </c>
      <c r="K48" s="39">
        <v>0</v>
      </c>
      <c r="L48" s="39">
        <v>0</v>
      </c>
      <c r="M48" s="39">
        <v>0</v>
      </c>
      <c r="N48" s="40">
        <f t="shared" si="15"/>
        <v>0</v>
      </c>
    </row>
    <row r="49" spans="1:14" x14ac:dyDescent="0.25">
      <c r="A49" s="34">
        <v>31</v>
      </c>
      <c r="B49" s="39">
        <v>620399.29399999941</v>
      </c>
      <c r="C49" s="39">
        <v>613931.51399999997</v>
      </c>
      <c r="D49" s="39">
        <v>623516.09899999981</v>
      </c>
      <c r="E49" s="39">
        <v>424695.83799999987</v>
      </c>
      <c r="F49" s="39">
        <v>214972.42599999998</v>
      </c>
      <c r="G49" s="39">
        <v>103168.16499999999</v>
      </c>
      <c r="H49" s="39">
        <v>83966.771999999983</v>
      </c>
      <c r="I49" s="39">
        <v>80663.790000000023</v>
      </c>
      <c r="J49" s="39">
        <v>141685.67700000005</v>
      </c>
      <c r="K49" s="39">
        <v>321063.8459999999</v>
      </c>
      <c r="L49" s="39">
        <v>532119.20900000015</v>
      </c>
      <c r="M49" s="39">
        <v>658916.66599999985</v>
      </c>
      <c r="N49" s="40">
        <f t="shared" si="15"/>
        <v>4419099.2959999992</v>
      </c>
    </row>
    <row r="50" spans="1:14" x14ac:dyDescent="0.25">
      <c r="A50" s="34">
        <v>41</v>
      </c>
      <c r="B50" s="39">
        <v>0</v>
      </c>
      <c r="C50" s="39">
        <v>0</v>
      </c>
      <c r="D50" s="39">
        <v>0</v>
      </c>
      <c r="E50" s="39">
        <v>0</v>
      </c>
      <c r="F50" s="39">
        <v>0</v>
      </c>
      <c r="G50" s="39">
        <v>0</v>
      </c>
      <c r="H50" s="39">
        <v>0</v>
      </c>
      <c r="I50" s="39">
        <v>0</v>
      </c>
      <c r="J50" s="39">
        <v>0</v>
      </c>
      <c r="K50" s="39">
        <v>0</v>
      </c>
      <c r="L50" s="39">
        <v>0</v>
      </c>
      <c r="M50" s="39">
        <v>0</v>
      </c>
      <c r="N50" s="40">
        <f t="shared" si="15"/>
        <v>0</v>
      </c>
    </row>
    <row r="51" spans="1:14" x14ac:dyDescent="0.25">
      <c r="A51" s="34">
        <v>85</v>
      </c>
      <c r="B51" s="39">
        <v>321399.38199999998</v>
      </c>
      <c r="C51" s="39">
        <v>275567.80600000016</v>
      </c>
      <c r="D51" s="39">
        <v>283853.31099999993</v>
      </c>
      <c r="E51" s="39">
        <v>211957.92899999995</v>
      </c>
      <c r="F51" s="39">
        <v>109774.96700000003</v>
      </c>
      <c r="G51" s="39">
        <v>40211.349999999984</v>
      </c>
      <c r="H51" s="39">
        <v>32737.287000000008</v>
      </c>
      <c r="I51" s="39">
        <v>31445.771999999994</v>
      </c>
      <c r="J51" s="39">
        <v>78985.977999999974</v>
      </c>
      <c r="K51" s="39">
        <v>177100.11499999999</v>
      </c>
      <c r="L51" s="39">
        <v>262235.29599999991</v>
      </c>
      <c r="M51" s="39">
        <v>311905.18400000007</v>
      </c>
      <c r="N51" s="40">
        <f t="shared" si="15"/>
        <v>2137174.3769999999</v>
      </c>
    </row>
    <row r="52" spans="1:14" x14ac:dyDescent="0.25">
      <c r="A52" s="34">
        <v>86</v>
      </c>
      <c r="B52" s="39">
        <v>0</v>
      </c>
      <c r="C52" s="39">
        <v>0</v>
      </c>
      <c r="D52" s="39">
        <v>0</v>
      </c>
      <c r="E52" s="39">
        <v>0</v>
      </c>
      <c r="F52" s="39">
        <v>0</v>
      </c>
      <c r="G52" s="39">
        <v>0</v>
      </c>
      <c r="H52" s="39">
        <v>0</v>
      </c>
      <c r="I52" s="39">
        <v>0</v>
      </c>
      <c r="J52" s="39">
        <v>0</v>
      </c>
      <c r="K52" s="39">
        <v>0</v>
      </c>
      <c r="L52" s="39">
        <v>0</v>
      </c>
      <c r="M52" s="39">
        <v>0</v>
      </c>
      <c r="N52" s="40">
        <f t="shared" si="15"/>
        <v>0</v>
      </c>
    </row>
    <row r="53" spans="1:14" x14ac:dyDescent="0.25">
      <c r="A53" s="34">
        <v>87</v>
      </c>
      <c r="B53" s="39">
        <v>449537.40399999998</v>
      </c>
      <c r="C53" s="39">
        <v>418824.11300000001</v>
      </c>
      <c r="D53" s="39">
        <v>450635.83499999996</v>
      </c>
      <c r="E53" s="39">
        <v>359727.05299999996</v>
      </c>
      <c r="F53" s="39">
        <v>283485.636</v>
      </c>
      <c r="G53" s="39">
        <v>204954.177</v>
      </c>
      <c r="H53" s="39">
        <v>185636.51699999999</v>
      </c>
      <c r="I53" s="39">
        <v>185415.96299999999</v>
      </c>
      <c r="J53" s="39">
        <v>210551.20799999998</v>
      </c>
      <c r="K53" s="39">
        <v>303999.10600000003</v>
      </c>
      <c r="L53" s="39">
        <v>392453.88600000006</v>
      </c>
      <c r="M53" s="39">
        <v>442886.07999999996</v>
      </c>
      <c r="N53" s="40">
        <f t="shared" si="15"/>
        <v>3888106.9780000001</v>
      </c>
    </row>
    <row r="54" spans="1:14" x14ac:dyDescent="0.25">
      <c r="A54" s="34" t="s">
        <v>27</v>
      </c>
      <c r="B54" s="39">
        <v>0</v>
      </c>
      <c r="C54" s="39">
        <v>0</v>
      </c>
      <c r="D54" s="39">
        <v>0</v>
      </c>
      <c r="E54" s="39">
        <v>0</v>
      </c>
      <c r="F54" s="39">
        <v>0</v>
      </c>
      <c r="G54" s="39">
        <v>0</v>
      </c>
      <c r="H54" s="39">
        <v>0</v>
      </c>
      <c r="I54" s="39">
        <v>0</v>
      </c>
      <c r="J54" s="39">
        <v>0</v>
      </c>
      <c r="K54" s="39">
        <v>0</v>
      </c>
      <c r="L54" s="39">
        <v>0</v>
      </c>
      <c r="M54" s="39">
        <v>0</v>
      </c>
      <c r="N54" s="40">
        <f t="shared" si="15"/>
        <v>0</v>
      </c>
    </row>
    <row r="55" spans="1:14" x14ac:dyDescent="0.25">
      <c r="A55" s="34" t="s">
        <v>29</v>
      </c>
      <c r="B55" s="39">
        <v>0</v>
      </c>
      <c r="C55" s="39">
        <v>0</v>
      </c>
      <c r="D55" s="39">
        <v>0</v>
      </c>
      <c r="E55" s="39">
        <v>0</v>
      </c>
      <c r="F55" s="39">
        <v>0</v>
      </c>
      <c r="G55" s="39">
        <v>0</v>
      </c>
      <c r="H55" s="39">
        <v>0</v>
      </c>
      <c r="I55" s="39">
        <v>0</v>
      </c>
      <c r="J55" s="39">
        <v>0</v>
      </c>
      <c r="K55" s="39">
        <v>0</v>
      </c>
      <c r="L55" s="39">
        <v>0</v>
      </c>
      <c r="M55" s="39">
        <v>0</v>
      </c>
      <c r="N55" s="40">
        <f t="shared" si="15"/>
        <v>0</v>
      </c>
    </row>
    <row r="56" spans="1:14" x14ac:dyDescent="0.25">
      <c r="A56" s="34" t="s">
        <v>31</v>
      </c>
      <c r="B56" s="39">
        <v>0</v>
      </c>
      <c r="C56" s="39">
        <v>0</v>
      </c>
      <c r="D56" s="39">
        <v>0</v>
      </c>
      <c r="E56" s="39">
        <v>0</v>
      </c>
      <c r="F56" s="39">
        <v>0</v>
      </c>
      <c r="G56" s="39">
        <v>0</v>
      </c>
      <c r="H56" s="39">
        <v>0</v>
      </c>
      <c r="I56" s="39">
        <v>0</v>
      </c>
      <c r="J56" s="39">
        <v>0</v>
      </c>
      <c r="K56" s="39">
        <v>0</v>
      </c>
      <c r="L56" s="39">
        <v>0</v>
      </c>
      <c r="M56" s="39">
        <v>0</v>
      </c>
      <c r="N56" s="40">
        <f t="shared" si="15"/>
        <v>0</v>
      </c>
    </row>
    <row r="57" spans="1:14" x14ac:dyDescent="0.25">
      <c r="A57" s="34" t="s">
        <v>33</v>
      </c>
      <c r="B57" s="39">
        <v>0</v>
      </c>
      <c r="C57" s="39">
        <v>0</v>
      </c>
      <c r="D57" s="39">
        <v>0</v>
      </c>
      <c r="E57" s="39">
        <v>0</v>
      </c>
      <c r="F57" s="39">
        <v>0</v>
      </c>
      <c r="G57" s="39">
        <v>0</v>
      </c>
      <c r="H57" s="39">
        <v>0</v>
      </c>
      <c r="I57" s="39">
        <v>0</v>
      </c>
      <c r="J57" s="39">
        <v>0</v>
      </c>
      <c r="K57" s="39">
        <v>0</v>
      </c>
      <c r="L57" s="39">
        <v>0</v>
      </c>
      <c r="M57" s="39">
        <v>0</v>
      </c>
      <c r="N57" s="40">
        <f t="shared" si="15"/>
        <v>0</v>
      </c>
    </row>
    <row r="58" spans="1:14" x14ac:dyDescent="0.25">
      <c r="A58" s="34" t="s">
        <v>35</v>
      </c>
      <c r="B58" s="39">
        <v>0</v>
      </c>
      <c r="C58" s="39">
        <v>0</v>
      </c>
      <c r="D58" s="39">
        <v>0</v>
      </c>
      <c r="E58" s="39">
        <v>0</v>
      </c>
      <c r="F58" s="39">
        <v>0</v>
      </c>
      <c r="G58" s="39">
        <v>0</v>
      </c>
      <c r="H58" s="39">
        <v>0</v>
      </c>
      <c r="I58" s="39">
        <v>0</v>
      </c>
      <c r="J58" s="39">
        <v>0</v>
      </c>
      <c r="K58" s="39">
        <v>0</v>
      </c>
      <c r="L58" s="39">
        <v>0</v>
      </c>
      <c r="M58" s="39">
        <v>0</v>
      </c>
      <c r="N58" s="40">
        <f t="shared" si="15"/>
        <v>0</v>
      </c>
    </row>
    <row r="59" spans="1:14" x14ac:dyDescent="0.25">
      <c r="A59" s="34" t="s">
        <v>232</v>
      </c>
      <c r="B59" s="39">
        <v>0</v>
      </c>
      <c r="C59" s="39">
        <v>0</v>
      </c>
      <c r="D59" s="39">
        <v>0</v>
      </c>
      <c r="E59" s="39">
        <v>0</v>
      </c>
      <c r="F59" s="39">
        <v>0</v>
      </c>
      <c r="G59" s="39">
        <v>0</v>
      </c>
      <c r="H59" s="39">
        <v>0</v>
      </c>
      <c r="I59" s="39">
        <v>0</v>
      </c>
      <c r="J59" s="39">
        <v>0</v>
      </c>
      <c r="K59" s="39">
        <v>0</v>
      </c>
      <c r="L59" s="39">
        <v>0</v>
      </c>
      <c r="M59" s="39">
        <v>0</v>
      </c>
      <c r="N59" s="40">
        <f t="shared" ref="N59" si="16">SUM(B59:M59)</f>
        <v>0</v>
      </c>
    </row>
    <row r="60" spans="1:14" x14ac:dyDescent="0.25">
      <c r="A60" s="41" t="s">
        <v>36</v>
      </c>
      <c r="B60" s="39">
        <v>0</v>
      </c>
      <c r="C60" s="39">
        <v>0</v>
      </c>
      <c r="D60" s="39">
        <v>0</v>
      </c>
      <c r="E60" s="39">
        <v>0</v>
      </c>
      <c r="F60" s="39">
        <v>0</v>
      </c>
      <c r="G60" s="39">
        <v>0</v>
      </c>
      <c r="H60" s="39">
        <v>0</v>
      </c>
      <c r="I60" s="39">
        <v>0</v>
      </c>
      <c r="J60" s="39">
        <v>0</v>
      </c>
      <c r="K60" s="39">
        <v>0</v>
      </c>
      <c r="L60" s="39">
        <v>0</v>
      </c>
      <c r="M60" s="39">
        <v>0</v>
      </c>
      <c r="N60" s="40">
        <f t="shared" si="15"/>
        <v>0</v>
      </c>
    </row>
    <row r="61" spans="1:14" x14ac:dyDescent="0.25">
      <c r="A61" s="42" t="s">
        <v>2</v>
      </c>
      <c r="B61" s="43">
        <f>SUM(B46:B60)</f>
        <v>1391336.0799999994</v>
      </c>
      <c r="C61" s="43">
        <f t="shared" ref="C61:N61" si="17">SUM(C46:C60)</f>
        <v>1308323.4330000002</v>
      </c>
      <c r="D61" s="43">
        <f t="shared" si="17"/>
        <v>1358005.2449999996</v>
      </c>
      <c r="E61" s="43">
        <f t="shared" si="17"/>
        <v>996380.81999999972</v>
      </c>
      <c r="F61" s="43">
        <f t="shared" si="17"/>
        <v>608233.0290000001</v>
      </c>
      <c r="G61" s="43">
        <f t="shared" si="17"/>
        <v>348333.69199999998</v>
      </c>
      <c r="H61" s="43">
        <f t="shared" si="17"/>
        <v>302340.576</v>
      </c>
      <c r="I61" s="43">
        <f t="shared" si="17"/>
        <v>297525.52500000002</v>
      </c>
      <c r="J61" s="43">
        <f t="shared" si="17"/>
        <v>431222.86300000001</v>
      </c>
      <c r="K61" s="43">
        <f t="shared" si="17"/>
        <v>802163.06699999992</v>
      </c>
      <c r="L61" s="43">
        <f t="shared" si="17"/>
        <v>1186808.3910000003</v>
      </c>
      <c r="M61" s="43">
        <f t="shared" si="17"/>
        <v>1413707.9299999997</v>
      </c>
      <c r="N61" s="43">
        <f t="shared" si="17"/>
        <v>10444380.650999999</v>
      </c>
    </row>
    <row r="63" spans="1:14" ht="17.25" x14ac:dyDescent="0.25">
      <c r="A63" s="45" t="s">
        <v>73</v>
      </c>
    </row>
    <row r="64" spans="1:14" x14ac:dyDescent="0.25">
      <c r="A64" s="35" t="s">
        <v>44</v>
      </c>
      <c r="B64" s="37">
        <f>B7</f>
        <v>45658</v>
      </c>
      <c r="C64" s="37">
        <f t="shared" ref="C64:M64" si="18">C7</f>
        <v>45689</v>
      </c>
      <c r="D64" s="37">
        <f t="shared" si="18"/>
        <v>45717</v>
      </c>
      <c r="E64" s="37">
        <f t="shared" si="18"/>
        <v>45748</v>
      </c>
      <c r="F64" s="37">
        <f t="shared" si="18"/>
        <v>45778</v>
      </c>
      <c r="G64" s="37">
        <f t="shared" si="18"/>
        <v>45809</v>
      </c>
      <c r="H64" s="37">
        <f t="shared" si="18"/>
        <v>45839</v>
      </c>
      <c r="I64" s="37">
        <f t="shared" si="18"/>
        <v>45870</v>
      </c>
      <c r="J64" s="37">
        <f t="shared" si="18"/>
        <v>45901</v>
      </c>
      <c r="K64" s="37">
        <f t="shared" si="18"/>
        <v>45931</v>
      </c>
      <c r="L64" s="37">
        <f t="shared" si="18"/>
        <v>45962</v>
      </c>
      <c r="M64" s="37">
        <f t="shared" si="18"/>
        <v>45992</v>
      </c>
      <c r="N64" s="38" t="s">
        <v>2</v>
      </c>
    </row>
    <row r="65" spans="1:14" x14ac:dyDescent="0.25">
      <c r="A65" s="34">
        <v>16</v>
      </c>
      <c r="B65" s="39">
        <v>0</v>
      </c>
      <c r="C65" s="39">
        <v>0</v>
      </c>
      <c r="D65" s="39">
        <v>0</v>
      </c>
      <c r="E65" s="39">
        <v>0</v>
      </c>
      <c r="F65" s="39">
        <v>0</v>
      </c>
      <c r="G65" s="39">
        <v>0</v>
      </c>
      <c r="H65" s="39">
        <v>0</v>
      </c>
      <c r="I65" s="39">
        <v>0</v>
      </c>
      <c r="J65" s="39">
        <v>0</v>
      </c>
      <c r="K65" s="39">
        <v>0</v>
      </c>
      <c r="L65" s="39">
        <v>0</v>
      </c>
      <c r="M65" s="39">
        <v>0</v>
      </c>
      <c r="N65" s="40">
        <f>SUM(B65:M65)</f>
        <v>0</v>
      </c>
    </row>
    <row r="66" spans="1:14" x14ac:dyDescent="0.25">
      <c r="A66" s="34">
        <v>23</v>
      </c>
      <c r="B66" s="39">
        <v>0</v>
      </c>
      <c r="C66" s="39">
        <v>0</v>
      </c>
      <c r="D66" s="39">
        <v>0</v>
      </c>
      <c r="E66" s="39">
        <v>0</v>
      </c>
      <c r="F66" s="39">
        <v>0</v>
      </c>
      <c r="G66" s="39">
        <v>0</v>
      </c>
      <c r="H66" s="39">
        <v>0</v>
      </c>
      <c r="I66" s="39">
        <v>0</v>
      </c>
      <c r="J66" s="39">
        <v>0</v>
      </c>
      <c r="K66" s="39">
        <v>0</v>
      </c>
      <c r="L66" s="39">
        <v>0</v>
      </c>
      <c r="M66" s="39">
        <v>0</v>
      </c>
      <c r="N66" s="40">
        <f t="shared" ref="N66:N79" si="19">SUM(B66:M66)</f>
        <v>0</v>
      </c>
    </row>
    <row r="67" spans="1:14" x14ac:dyDescent="0.25">
      <c r="A67" s="34">
        <v>53</v>
      </c>
      <c r="B67" s="39">
        <v>0</v>
      </c>
      <c r="C67" s="39">
        <v>0</v>
      </c>
      <c r="D67" s="39">
        <v>0</v>
      </c>
      <c r="E67" s="39">
        <v>0</v>
      </c>
      <c r="F67" s="39">
        <v>0</v>
      </c>
      <c r="G67" s="39">
        <v>0</v>
      </c>
      <c r="H67" s="39">
        <v>0</v>
      </c>
      <c r="I67" s="39">
        <v>0</v>
      </c>
      <c r="J67" s="39">
        <v>0</v>
      </c>
      <c r="K67" s="39">
        <v>0</v>
      </c>
      <c r="L67" s="39">
        <v>0</v>
      </c>
      <c r="M67" s="39">
        <v>0</v>
      </c>
      <c r="N67" s="40">
        <f t="shared" si="19"/>
        <v>0</v>
      </c>
    </row>
    <row r="68" spans="1:14" x14ac:dyDescent="0.25">
      <c r="A68" s="34">
        <v>31</v>
      </c>
      <c r="B68" s="39">
        <v>0</v>
      </c>
      <c r="C68" s="39">
        <v>0</v>
      </c>
      <c r="D68" s="39">
        <v>0</v>
      </c>
      <c r="E68" s="39">
        <v>0</v>
      </c>
      <c r="F68" s="39">
        <v>0</v>
      </c>
      <c r="G68" s="39">
        <v>0</v>
      </c>
      <c r="H68" s="39">
        <v>0</v>
      </c>
      <c r="I68" s="39">
        <v>0</v>
      </c>
      <c r="J68" s="39">
        <v>0</v>
      </c>
      <c r="K68" s="39">
        <v>0</v>
      </c>
      <c r="L68" s="39">
        <v>0</v>
      </c>
      <c r="M68" s="39">
        <v>0</v>
      </c>
      <c r="N68" s="40">
        <f t="shared" si="19"/>
        <v>0</v>
      </c>
    </row>
    <row r="69" spans="1:14" x14ac:dyDescent="0.25">
      <c r="A69" s="34">
        <v>41</v>
      </c>
      <c r="B69" s="39">
        <v>0</v>
      </c>
      <c r="C69" s="39">
        <v>0</v>
      </c>
      <c r="D69" s="39">
        <v>0</v>
      </c>
      <c r="E69" s="39">
        <v>0</v>
      </c>
      <c r="F69" s="39">
        <v>0</v>
      </c>
      <c r="G69" s="39">
        <v>0</v>
      </c>
      <c r="H69" s="39">
        <v>0</v>
      </c>
      <c r="I69" s="39">
        <v>0</v>
      </c>
      <c r="J69" s="39">
        <v>0</v>
      </c>
      <c r="K69" s="39">
        <v>0</v>
      </c>
      <c r="L69" s="39">
        <v>0</v>
      </c>
      <c r="M69" s="39">
        <v>0</v>
      </c>
      <c r="N69" s="40">
        <f t="shared" si="19"/>
        <v>0</v>
      </c>
    </row>
    <row r="70" spans="1:14" x14ac:dyDescent="0.25">
      <c r="A70" s="34">
        <v>85</v>
      </c>
      <c r="B70" s="39">
        <v>0</v>
      </c>
      <c r="C70" s="39">
        <v>0</v>
      </c>
      <c r="D70" s="39">
        <v>0</v>
      </c>
      <c r="E70" s="39">
        <v>0</v>
      </c>
      <c r="F70" s="39">
        <v>0</v>
      </c>
      <c r="G70" s="39">
        <v>0</v>
      </c>
      <c r="H70" s="39">
        <v>0</v>
      </c>
      <c r="I70" s="39">
        <v>0</v>
      </c>
      <c r="J70" s="39">
        <v>0</v>
      </c>
      <c r="K70" s="39">
        <v>0</v>
      </c>
      <c r="L70" s="39">
        <v>0</v>
      </c>
      <c r="M70" s="39">
        <v>0</v>
      </c>
      <c r="N70" s="40">
        <f t="shared" si="19"/>
        <v>0</v>
      </c>
    </row>
    <row r="71" spans="1:14" x14ac:dyDescent="0.25">
      <c r="A71" s="34">
        <v>86</v>
      </c>
      <c r="B71" s="39">
        <v>0</v>
      </c>
      <c r="C71" s="39">
        <v>0</v>
      </c>
      <c r="D71" s="39">
        <v>0</v>
      </c>
      <c r="E71" s="39">
        <v>0</v>
      </c>
      <c r="F71" s="39">
        <v>0</v>
      </c>
      <c r="G71" s="39">
        <v>0</v>
      </c>
      <c r="H71" s="39">
        <v>0</v>
      </c>
      <c r="I71" s="39">
        <v>0</v>
      </c>
      <c r="J71" s="39">
        <v>0</v>
      </c>
      <c r="K71" s="39">
        <v>0</v>
      </c>
      <c r="L71" s="39">
        <v>0</v>
      </c>
      <c r="M71" s="39">
        <v>0</v>
      </c>
      <c r="N71" s="40">
        <f t="shared" si="19"/>
        <v>0</v>
      </c>
    </row>
    <row r="72" spans="1:14" x14ac:dyDescent="0.25">
      <c r="A72" s="34">
        <v>87</v>
      </c>
      <c r="B72" s="39">
        <v>0</v>
      </c>
      <c r="C72" s="39">
        <v>0</v>
      </c>
      <c r="D72" s="39">
        <v>0</v>
      </c>
      <c r="E72" s="39">
        <v>0</v>
      </c>
      <c r="F72" s="39">
        <v>0</v>
      </c>
      <c r="G72" s="39">
        <v>0</v>
      </c>
      <c r="H72" s="39">
        <v>0</v>
      </c>
      <c r="I72" s="39">
        <v>0</v>
      </c>
      <c r="J72" s="39">
        <v>0</v>
      </c>
      <c r="K72" s="39">
        <v>0</v>
      </c>
      <c r="L72" s="39">
        <v>0</v>
      </c>
      <c r="M72" s="39">
        <v>0</v>
      </c>
      <c r="N72" s="40">
        <f t="shared" si="19"/>
        <v>0</v>
      </c>
    </row>
    <row r="73" spans="1:14" x14ac:dyDescent="0.25">
      <c r="A73" s="34" t="s">
        <v>27</v>
      </c>
      <c r="B73" s="39">
        <v>0</v>
      </c>
      <c r="C73" s="39">
        <v>0</v>
      </c>
      <c r="D73" s="39">
        <v>0</v>
      </c>
      <c r="E73" s="39">
        <v>0</v>
      </c>
      <c r="F73" s="39">
        <v>0</v>
      </c>
      <c r="G73" s="39">
        <v>0</v>
      </c>
      <c r="H73" s="39">
        <v>0</v>
      </c>
      <c r="I73" s="39">
        <v>0</v>
      </c>
      <c r="J73" s="39">
        <v>0</v>
      </c>
      <c r="K73" s="39">
        <v>0</v>
      </c>
      <c r="L73" s="39">
        <v>0</v>
      </c>
      <c r="M73" s="39">
        <v>0</v>
      </c>
      <c r="N73" s="40">
        <f t="shared" si="19"/>
        <v>0</v>
      </c>
    </row>
    <row r="74" spans="1:14" x14ac:dyDescent="0.25">
      <c r="A74" s="34" t="s">
        <v>29</v>
      </c>
      <c r="B74" s="39">
        <v>0</v>
      </c>
      <c r="C74" s="39">
        <v>0</v>
      </c>
      <c r="D74" s="39">
        <v>0</v>
      </c>
      <c r="E74" s="39">
        <v>0</v>
      </c>
      <c r="F74" s="39">
        <v>0</v>
      </c>
      <c r="G74" s="39">
        <v>0</v>
      </c>
      <c r="H74" s="39">
        <v>0</v>
      </c>
      <c r="I74" s="39">
        <v>0</v>
      </c>
      <c r="J74" s="39">
        <v>0</v>
      </c>
      <c r="K74" s="39">
        <v>0</v>
      </c>
      <c r="L74" s="39">
        <v>0</v>
      </c>
      <c r="M74" s="39">
        <v>0</v>
      </c>
      <c r="N74" s="40">
        <f t="shared" si="19"/>
        <v>0</v>
      </c>
    </row>
    <row r="75" spans="1:14" x14ac:dyDescent="0.25">
      <c r="A75" s="34" t="s">
        <v>31</v>
      </c>
      <c r="B75" s="39">
        <v>0</v>
      </c>
      <c r="C75" s="39">
        <v>0</v>
      </c>
      <c r="D75" s="39">
        <v>0</v>
      </c>
      <c r="E75" s="39">
        <v>0</v>
      </c>
      <c r="F75" s="39">
        <v>0</v>
      </c>
      <c r="G75" s="39">
        <v>0</v>
      </c>
      <c r="H75" s="39">
        <v>0</v>
      </c>
      <c r="I75" s="39">
        <v>0</v>
      </c>
      <c r="J75" s="39">
        <v>0</v>
      </c>
      <c r="K75" s="39">
        <v>0</v>
      </c>
      <c r="L75" s="39">
        <v>0</v>
      </c>
      <c r="M75" s="39">
        <v>0</v>
      </c>
      <c r="N75" s="40">
        <f t="shared" si="19"/>
        <v>0</v>
      </c>
    </row>
    <row r="76" spans="1:14" x14ac:dyDescent="0.25">
      <c r="A76" s="34" t="s">
        <v>33</v>
      </c>
      <c r="B76" s="39">
        <v>0</v>
      </c>
      <c r="C76" s="39">
        <v>0</v>
      </c>
      <c r="D76" s="39">
        <v>0</v>
      </c>
      <c r="E76" s="39">
        <v>0</v>
      </c>
      <c r="F76" s="39">
        <v>0</v>
      </c>
      <c r="G76" s="39">
        <v>0</v>
      </c>
      <c r="H76" s="39">
        <v>0</v>
      </c>
      <c r="I76" s="39">
        <v>0</v>
      </c>
      <c r="J76" s="39">
        <v>0</v>
      </c>
      <c r="K76" s="39">
        <v>0</v>
      </c>
      <c r="L76" s="39">
        <v>0</v>
      </c>
      <c r="M76" s="39">
        <v>0</v>
      </c>
      <c r="N76" s="40">
        <f t="shared" si="19"/>
        <v>0</v>
      </c>
    </row>
    <row r="77" spans="1:14" x14ac:dyDescent="0.25">
      <c r="A77" s="34" t="s">
        <v>35</v>
      </c>
      <c r="B77" s="39">
        <v>0</v>
      </c>
      <c r="C77" s="39">
        <v>0</v>
      </c>
      <c r="D77" s="39">
        <v>0</v>
      </c>
      <c r="E77" s="39">
        <v>0</v>
      </c>
      <c r="F77" s="39">
        <v>0</v>
      </c>
      <c r="G77" s="39">
        <v>0</v>
      </c>
      <c r="H77" s="39">
        <v>0</v>
      </c>
      <c r="I77" s="39">
        <v>0</v>
      </c>
      <c r="J77" s="39">
        <v>0</v>
      </c>
      <c r="K77" s="39">
        <v>0</v>
      </c>
      <c r="L77" s="39">
        <v>0</v>
      </c>
      <c r="M77" s="39">
        <v>0</v>
      </c>
      <c r="N77" s="40">
        <f t="shared" si="19"/>
        <v>0</v>
      </c>
    </row>
    <row r="78" spans="1:14" x14ac:dyDescent="0.25">
      <c r="A78" s="34" t="s">
        <v>232</v>
      </c>
      <c r="B78" s="39">
        <v>0</v>
      </c>
      <c r="C78" s="39">
        <v>0</v>
      </c>
      <c r="D78" s="39">
        <v>0</v>
      </c>
      <c r="E78" s="39">
        <v>0</v>
      </c>
      <c r="F78" s="39">
        <v>0</v>
      </c>
      <c r="G78" s="39">
        <v>0</v>
      </c>
      <c r="H78" s="39">
        <v>0</v>
      </c>
      <c r="I78" s="39">
        <v>0</v>
      </c>
      <c r="J78" s="39">
        <v>0</v>
      </c>
      <c r="K78" s="39">
        <v>0</v>
      </c>
      <c r="L78" s="39">
        <v>0</v>
      </c>
      <c r="M78" s="39">
        <v>0</v>
      </c>
      <c r="N78" s="40">
        <f t="shared" ref="N78" si="20">SUM(B78:M78)</f>
        <v>0</v>
      </c>
    </row>
    <row r="79" spans="1:14" x14ac:dyDescent="0.25">
      <c r="A79" s="41" t="s">
        <v>36</v>
      </c>
      <c r="B79" s="39">
        <v>0</v>
      </c>
      <c r="C79" s="39">
        <v>0</v>
      </c>
      <c r="D79" s="39">
        <v>0</v>
      </c>
      <c r="E79" s="39">
        <v>0</v>
      </c>
      <c r="F79" s="39">
        <v>0</v>
      </c>
      <c r="G79" s="39">
        <v>0</v>
      </c>
      <c r="H79" s="39">
        <v>0</v>
      </c>
      <c r="I79" s="39">
        <v>0</v>
      </c>
      <c r="J79" s="39">
        <v>0</v>
      </c>
      <c r="K79" s="39">
        <v>0</v>
      </c>
      <c r="L79" s="39">
        <v>0</v>
      </c>
      <c r="M79" s="39">
        <v>0</v>
      </c>
      <c r="N79" s="40">
        <f t="shared" si="19"/>
        <v>0</v>
      </c>
    </row>
    <row r="80" spans="1:14" x14ac:dyDescent="0.25">
      <c r="A80" s="42" t="s">
        <v>2</v>
      </c>
      <c r="B80" s="43">
        <f>SUM(B65:B79)</f>
        <v>0</v>
      </c>
      <c r="C80" s="43">
        <f t="shared" ref="C80:N80" si="21">SUM(C65:C79)</f>
        <v>0</v>
      </c>
      <c r="D80" s="43">
        <f t="shared" si="21"/>
        <v>0</v>
      </c>
      <c r="E80" s="43">
        <f t="shared" si="21"/>
        <v>0</v>
      </c>
      <c r="F80" s="43">
        <f t="shared" si="21"/>
        <v>0</v>
      </c>
      <c r="G80" s="43">
        <f t="shared" si="21"/>
        <v>0</v>
      </c>
      <c r="H80" s="43">
        <f t="shared" si="21"/>
        <v>0</v>
      </c>
      <c r="I80" s="43">
        <f t="shared" si="21"/>
        <v>0</v>
      </c>
      <c r="J80" s="43">
        <f t="shared" si="21"/>
        <v>0</v>
      </c>
      <c r="K80" s="43">
        <f t="shared" si="21"/>
        <v>0</v>
      </c>
      <c r="L80" s="43">
        <f t="shared" si="21"/>
        <v>0</v>
      </c>
      <c r="M80" s="43">
        <f t="shared" si="21"/>
        <v>0</v>
      </c>
      <c r="N80" s="43">
        <f t="shared" si="21"/>
        <v>0</v>
      </c>
    </row>
    <row r="82" spans="1:14" ht="17.25" x14ac:dyDescent="0.25">
      <c r="A82" s="45" t="s">
        <v>233</v>
      </c>
    </row>
    <row r="83" spans="1:14" x14ac:dyDescent="0.25">
      <c r="A83" s="35" t="s">
        <v>44</v>
      </c>
      <c r="B83" s="37">
        <f>B26</f>
        <v>45658</v>
      </c>
      <c r="C83" s="37">
        <f t="shared" ref="C83:M83" si="22">C26</f>
        <v>45689</v>
      </c>
      <c r="D83" s="37">
        <f t="shared" si="22"/>
        <v>45717</v>
      </c>
      <c r="E83" s="37">
        <f t="shared" si="22"/>
        <v>45748</v>
      </c>
      <c r="F83" s="37">
        <f t="shared" si="22"/>
        <v>45778</v>
      </c>
      <c r="G83" s="37">
        <f t="shared" si="22"/>
        <v>45809</v>
      </c>
      <c r="H83" s="37">
        <f t="shared" si="22"/>
        <v>45839</v>
      </c>
      <c r="I83" s="37">
        <f t="shared" si="22"/>
        <v>45870</v>
      </c>
      <c r="J83" s="37">
        <f t="shared" si="22"/>
        <v>45901</v>
      </c>
      <c r="K83" s="37">
        <f t="shared" si="22"/>
        <v>45931</v>
      </c>
      <c r="L83" s="37">
        <f t="shared" si="22"/>
        <v>45962</v>
      </c>
      <c r="M83" s="37">
        <f t="shared" si="22"/>
        <v>45992</v>
      </c>
      <c r="N83" s="38" t="s">
        <v>2</v>
      </c>
    </row>
    <row r="84" spans="1:14" x14ac:dyDescent="0.25">
      <c r="A84" s="34">
        <v>16</v>
      </c>
      <c r="B84" s="39"/>
      <c r="C84" s="39"/>
      <c r="D84" s="39"/>
      <c r="E84" s="39"/>
      <c r="F84" s="39"/>
      <c r="G84" s="39"/>
      <c r="H84" s="39"/>
      <c r="I84" s="39"/>
      <c r="J84" s="39"/>
      <c r="K84" s="39"/>
      <c r="L84" s="39"/>
      <c r="M84" s="39"/>
      <c r="N84" s="40">
        <f>SUM(B84:M84)</f>
        <v>0</v>
      </c>
    </row>
    <row r="85" spans="1:14" x14ac:dyDescent="0.25">
      <c r="A85" s="34">
        <v>23</v>
      </c>
      <c r="B85" s="39">
        <v>33156.454575882773</v>
      </c>
      <c r="C85" s="39">
        <v>33381.923522247409</v>
      </c>
      <c r="D85" s="39">
        <v>33868.09126876486</v>
      </c>
      <c r="E85" s="39">
        <v>33953.646995113166</v>
      </c>
      <c r="F85" s="39">
        <v>32933.885175326308</v>
      </c>
      <c r="G85" s="39">
        <v>31540.713546157498</v>
      </c>
      <c r="H85" s="39">
        <v>30182.443906504133</v>
      </c>
      <c r="I85" s="39">
        <v>29376.655380628486</v>
      </c>
      <c r="J85" s="39">
        <v>31325.112539549234</v>
      </c>
      <c r="K85" s="39">
        <v>34362.606613406824</v>
      </c>
      <c r="L85" s="39">
        <v>30960.971378104336</v>
      </c>
      <c r="M85" s="39">
        <v>31839.164929610179</v>
      </c>
      <c r="N85" s="40">
        <f t="shared" ref="N85:N98" si="23">SUM(B85:M85)</f>
        <v>386881.66983129515</v>
      </c>
    </row>
    <row r="86" spans="1:14" x14ac:dyDescent="0.25">
      <c r="A86" s="34">
        <v>53</v>
      </c>
      <c r="B86" s="39"/>
      <c r="C86" s="39"/>
      <c r="D86" s="39"/>
      <c r="E86" s="39"/>
      <c r="F86" s="39"/>
      <c r="G86" s="39"/>
      <c r="H86" s="39"/>
      <c r="I86" s="39"/>
      <c r="J86" s="39"/>
      <c r="K86" s="39"/>
      <c r="L86" s="39"/>
      <c r="M86" s="39"/>
      <c r="N86" s="40">
        <f t="shared" si="23"/>
        <v>0</v>
      </c>
    </row>
    <row r="87" spans="1:14" x14ac:dyDescent="0.25">
      <c r="A87" s="34">
        <v>31</v>
      </c>
      <c r="B87" s="39">
        <v>11707.545424117221</v>
      </c>
      <c r="C87" s="39">
        <v>12058.076477752595</v>
      </c>
      <c r="D87" s="39">
        <v>12148.908731235146</v>
      </c>
      <c r="E87" s="39">
        <v>12642.353004886836</v>
      </c>
      <c r="F87" s="39">
        <v>14239.114824673692</v>
      </c>
      <c r="G87" s="39">
        <v>16209.286453842502</v>
      </c>
      <c r="H87" s="39">
        <v>18146.556093495867</v>
      </c>
      <c r="I87" s="39">
        <v>19529.344619371514</v>
      </c>
      <c r="J87" s="39">
        <v>18156.887460450766</v>
      </c>
      <c r="K87" s="39">
        <v>15699.393386593172</v>
      </c>
      <c r="L87" s="39">
        <v>12747.028621895666</v>
      </c>
      <c r="M87" s="39">
        <v>12444.835070389821</v>
      </c>
      <c r="N87" s="40">
        <f t="shared" si="23"/>
        <v>175729.33016870479</v>
      </c>
    </row>
    <row r="88" spans="1:14" x14ac:dyDescent="0.25">
      <c r="A88" s="34">
        <v>41</v>
      </c>
      <c r="B88" s="39">
        <v>28401.150233403929</v>
      </c>
      <c r="C88" s="39">
        <v>29541.596747937529</v>
      </c>
      <c r="D88" s="39">
        <v>28508.261101674776</v>
      </c>
      <c r="E88" s="39">
        <v>27418.617204586877</v>
      </c>
      <c r="F88" s="39">
        <v>25881.50521174512</v>
      </c>
      <c r="G88" s="39">
        <v>26307.395681048765</v>
      </c>
      <c r="H88" s="39">
        <v>25523.12977442762</v>
      </c>
      <c r="I88" s="39">
        <v>27531.914208057984</v>
      </c>
      <c r="J88" s="39">
        <v>30322.798312241986</v>
      </c>
      <c r="K88" s="39">
        <v>29147.464857349099</v>
      </c>
      <c r="L88" s="39">
        <v>32065.15394601052</v>
      </c>
      <c r="M88" s="39">
        <v>30345.827384745637</v>
      </c>
      <c r="N88" s="40">
        <f t="shared" si="23"/>
        <v>340994.81466322986</v>
      </c>
    </row>
    <row r="89" spans="1:14" x14ac:dyDescent="0.25">
      <c r="A89" s="34">
        <v>85</v>
      </c>
      <c r="B89" s="39">
        <v>7612.3763445757759</v>
      </c>
      <c r="C89" s="39">
        <v>7317.3259915720855</v>
      </c>
      <c r="D89" s="39">
        <v>7909.7776386938458</v>
      </c>
      <c r="E89" s="39">
        <v>8820.738903189942</v>
      </c>
      <c r="F89" s="39">
        <v>9724.0278438244932</v>
      </c>
      <c r="G89" s="39">
        <v>9716.5280530144773</v>
      </c>
      <c r="H89" s="39">
        <v>10175.958218706948</v>
      </c>
      <c r="I89" s="39">
        <v>9614.9067145928038</v>
      </c>
      <c r="J89" s="39">
        <v>8261.7294360256947</v>
      </c>
      <c r="K89" s="39">
        <v>7549.0698476426169</v>
      </c>
      <c r="L89" s="39">
        <v>6232.2904721459781</v>
      </c>
      <c r="M89" s="39">
        <v>6708.8676796953796</v>
      </c>
      <c r="N89" s="40">
        <f t="shared" si="23"/>
        <v>99643.597143680032</v>
      </c>
    </row>
    <row r="90" spans="1:14" x14ac:dyDescent="0.25">
      <c r="A90" s="34">
        <v>86</v>
      </c>
      <c r="B90" s="39">
        <v>3189.434047350715</v>
      </c>
      <c r="C90" s="39">
        <v>2971.9506284095578</v>
      </c>
      <c r="D90" s="39">
        <v>3112.6613387892107</v>
      </c>
      <c r="E90" s="39">
        <v>2921.2180629935206</v>
      </c>
      <c r="F90" s="39">
        <v>2608.9115198873033</v>
      </c>
      <c r="G90" s="39">
        <v>1802.1484203702371</v>
      </c>
      <c r="H90" s="39">
        <v>1004.9017104551993</v>
      </c>
      <c r="I90" s="39">
        <v>398.80346221931723</v>
      </c>
      <c r="J90" s="39">
        <v>568.91138014385217</v>
      </c>
      <c r="K90" s="39">
        <v>1517.7636048759846</v>
      </c>
      <c r="L90" s="39">
        <v>2046.1833065756364</v>
      </c>
      <c r="M90" s="39">
        <v>2744.1813322846619</v>
      </c>
      <c r="N90" s="40">
        <f t="shared" si="23"/>
        <v>24887.068814355196</v>
      </c>
    </row>
    <row r="91" spans="1:14" x14ac:dyDescent="0.25">
      <c r="A91" s="34">
        <v>87</v>
      </c>
      <c r="B91" s="39">
        <v>8210.0393746695845</v>
      </c>
      <c r="C91" s="39">
        <v>7582.1266320808272</v>
      </c>
      <c r="D91" s="39">
        <v>7882.2999208421679</v>
      </c>
      <c r="E91" s="39">
        <v>8252.4258292296618</v>
      </c>
      <c r="F91" s="39">
        <v>9198.5554245430885</v>
      </c>
      <c r="G91" s="39">
        <v>9586.9278455665208</v>
      </c>
      <c r="H91" s="39">
        <v>10709.010296410232</v>
      </c>
      <c r="I91" s="39">
        <v>9867.3756151298985</v>
      </c>
      <c r="J91" s="39">
        <v>8259.5608715884646</v>
      </c>
      <c r="K91" s="39">
        <v>9198.7016901322968</v>
      </c>
      <c r="L91" s="39">
        <v>7069.3722752678668</v>
      </c>
      <c r="M91" s="39">
        <v>7614.1236032743218</v>
      </c>
      <c r="N91" s="40">
        <f t="shared" si="23"/>
        <v>103430.51937873493</v>
      </c>
    </row>
    <row r="92" spans="1:14" x14ac:dyDescent="0.25">
      <c r="A92" s="34" t="s">
        <v>27</v>
      </c>
      <c r="B92" s="39">
        <v>0</v>
      </c>
      <c r="C92" s="39">
        <v>0</v>
      </c>
      <c r="D92" s="39">
        <v>0</v>
      </c>
      <c r="E92" s="39">
        <v>0</v>
      </c>
      <c r="F92" s="39">
        <v>0</v>
      </c>
      <c r="G92" s="39">
        <v>0</v>
      </c>
      <c r="H92" s="39">
        <v>0</v>
      </c>
      <c r="I92" s="39">
        <v>0</v>
      </c>
      <c r="J92" s="39">
        <v>0</v>
      </c>
      <c r="K92" s="39">
        <v>0</v>
      </c>
      <c r="L92" s="39">
        <v>0</v>
      </c>
      <c r="M92" s="39">
        <v>0</v>
      </c>
      <c r="N92" s="40">
        <f t="shared" si="23"/>
        <v>0</v>
      </c>
    </row>
    <row r="93" spans="1:14" x14ac:dyDescent="0.25">
      <c r="A93" s="34" t="s">
        <v>29</v>
      </c>
      <c r="B93" s="39">
        <v>0</v>
      </c>
      <c r="C93" s="39">
        <v>0</v>
      </c>
      <c r="D93" s="39">
        <v>0</v>
      </c>
      <c r="E93" s="39">
        <v>0</v>
      </c>
      <c r="F93" s="39">
        <v>0</v>
      </c>
      <c r="G93" s="39">
        <v>0</v>
      </c>
      <c r="H93" s="39">
        <v>0</v>
      </c>
      <c r="I93" s="39">
        <v>0</v>
      </c>
      <c r="J93" s="39">
        <v>0</v>
      </c>
      <c r="K93" s="39">
        <v>0</v>
      </c>
      <c r="L93" s="39">
        <v>0</v>
      </c>
      <c r="M93" s="39">
        <v>0</v>
      </c>
      <c r="N93" s="40">
        <f t="shared" si="23"/>
        <v>0</v>
      </c>
    </row>
    <row r="94" spans="1:14" x14ac:dyDescent="0.25">
      <c r="A94" s="34" t="s">
        <v>31</v>
      </c>
      <c r="B94" s="39">
        <v>0</v>
      </c>
      <c r="C94" s="39">
        <v>0</v>
      </c>
      <c r="D94" s="39">
        <v>0</v>
      </c>
      <c r="E94" s="39">
        <v>0</v>
      </c>
      <c r="F94" s="39">
        <v>0</v>
      </c>
      <c r="G94" s="39">
        <v>0</v>
      </c>
      <c r="H94" s="39">
        <v>0</v>
      </c>
      <c r="I94" s="39">
        <v>0</v>
      </c>
      <c r="J94" s="39">
        <v>0</v>
      </c>
      <c r="K94" s="39">
        <v>0</v>
      </c>
      <c r="L94" s="39">
        <v>0</v>
      </c>
      <c r="M94" s="39">
        <v>0</v>
      </c>
      <c r="N94" s="40">
        <f t="shared" si="23"/>
        <v>0</v>
      </c>
    </row>
    <row r="95" spans="1:14" x14ac:dyDescent="0.25">
      <c r="A95" s="34" t="s">
        <v>33</v>
      </c>
      <c r="B95" s="39">
        <v>0</v>
      </c>
      <c r="C95" s="39">
        <v>0</v>
      </c>
      <c r="D95" s="39">
        <v>0</v>
      </c>
      <c r="E95" s="39">
        <v>0</v>
      </c>
      <c r="F95" s="39">
        <v>0</v>
      </c>
      <c r="G95" s="39">
        <v>0</v>
      </c>
      <c r="H95" s="39">
        <v>0</v>
      </c>
      <c r="I95" s="39">
        <v>0</v>
      </c>
      <c r="J95" s="39">
        <v>0</v>
      </c>
      <c r="K95" s="39">
        <v>0</v>
      </c>
      <c r="L95" s="39">
        <v>0</v>
      </c>
      <c r="M95" s="39">
        <v>0</v>
      </c>
      <c r="N95" s="40">
        <f t="shared" si="23"/>
        <v>0</v>
      </c>
    </row>
    <row r="96" spans="1:14" x14ac:dyDescent="0.25">
      <c r="A96" s="34" t="s">
        <v>35</v>
      </c>
      <c r="B96" s="39">
        <v>0</v>
      </c>
      <c r="C96" s="39">
        <v>0</v>
      </c>
      <c r="D96" s="39">
        <v>0</v>
      </c>
      <c r="E96" s="39">
        <v>0</v>
      </c>
      <c r="F96" s="39">
        <v>0</v>
      </c>
      <c r="G96" s="39">
        <v>0</v>
      </c>
      <c r="H96" s="39">
        <v>0</v>
      </c>
      <c r="I96" s="39">
        <v>0</v>
      </c>
      <c r="J96" s="39">
        <v>0</v>
      </c>
      <c r="K96" s="39">
        <v>0</v>
      </c>
      <c r="L96" s="39">
        <v>0</v>
      </c>
      <c r="M96" s="39">
        <v>0</v>
      </c>
      <c r="N96" s="40">
        <f t="shared" si="23"/>
        <v>0</v>
      </c>
    </row>
    <row r="97" spans="1:14" x14ac:dyDescent="0.25">
      <c r="A97" s="34" t="s">
        <v>232</v>
      </c>
      <c r="B97" s="40">
        <f>B21*0.9122</f>
        <v>2553840.73</v>
      </c>
      <c r="C97" s="40">
        <f t="shared" ref="C97:M97" si="24">C21*0.9122</f>
        <v>2553840.73</v>
      </c>
      <c r="D97" s="40">
        <f t="shared" si="24"/>
        <v>2553840.73</v>
      </c>
      <c r="E97" s="40">
        <f t="shared" si="24"/>
        <v>2553840.73</v>
      </c>
      <c r="F97" s="40">
        <f t="shared" si="24"/>
        <v>2553840.73</v>
      </c>
      <c r="G97" s="40">
        <f t="shared" si="24"/>
        <v>2553840.73</v>
      </c>
      <c r="H97" s="40">
        <f t="shared" si="24"/>
        <v>2553840.73</v>
      </c>
      <c r="I97" s="40">
        <f t="shared" si="24"/>
        <v>2553840.73</v>
      </c>
      <c r="J97" s="40">
        <f t="shared" si="24"/>
        <v>2553840.73</v>
      </c>
      <c r="K97" s="40">
        <f t="shared" si="24"/>
        <v>2553840.73</v>
      </c>
      <c r="L97" s="40">
        <f t="shared" si="24"/>
        <v>2553840.73</v>
      </c>
      <c r="M97" s="40">
        <f t="shared" si="24"/>
        <v>2553840.73</v>
      </c>
      <c r="N97" s="40">
        <f t="shared" ref="N97" si="25">SUM(B97:M97)</f>
        <v>30646088.760000002</v>
      </c>
    </row>
    <row r="98" spans="1:14" x14ac:dyDescent="0.25">
      <c r="A98" s="41" t="s">
        <v>36</v>
      </c>
      <c r="B98" s="39">
        <v>0</v>
      </c>
      <c r="C98" s="39">
        <v>0</v>
      </c>
      <c r="D98" s="39">
        <v>0</v>
      </c>
      <c r="E98" s="39">
        <v>0</v>
      </c>
      <c r="F98" s="39">
        <v>0</v>
      </c>
      <c r="G98" s="39">
        <v>0</v>
      </c>
      <c r="H98" s="39">
        <v>0</v>
      </c>
      <c r="I98" s="39">
        <v>0</v>
      </c>
      <c r="J98" s="39">
        <v>0</v>
      </c>
      <c r="K98" s="39">
        <v>0</v>
      </c>
      <c r="L98" s="39">
        <v>0</v>
      </c>
      <c r="M98" s="39">
        <v>0</v>
      </c>
      <c r="N98" s="40">
        <f t="shared" si="23"/>
        <v>0</v>
      </c>
    </row>
    <row r="99" spans="1:14" x14ac:dyDescent="0.25">
      <c r="A99" s="42" t="s">
        <v>2</v>
      </c>
      <c r="B99" s="43">
        <f>SUM(B84:B98)</f>
        <v>2646117.73</v>
      </c>
      <c r="C99" s="43">
        <f t="shared" ref="C99:N99" si="26">SUM(C84:C98)</f>
        <v>2646693.73</v>
      </c>
      <c r="D99" s="43">
        <f t="shared" si="26"/>
        <v>2647270.73</v>
      </c>
      <c r="E99" s="43">
        <f t="shared" si="26"/>
        <v>2647849.73</v>
      </c>
      <c r="F99" s="43">
        <f t="shared" si="26"/>
        <v>2648426.73</v>
      </c>
      <c r="G99" s="43">
        <f t="shared" si="26"/>
        <v>2649003.73</v>
      </c>
      <c r="H99" s="43">
        <f t="shared" si="26"/>
        <v>2649582.73</v>
      </c>
      <c r="I99" s="43">
        <f t="shared" si="26"/>
        <v>2650159.73</v>
      </c>
      <c r="J99" s="43">
        <f t="shared" si="26"/>
        <v>2650735.73</v>
      </c>
      <c r="K99" s="43">
        <f t="shared" si="26"/>
        <v>2651315.73</v>
      </c>
      <c r="L99" s="43">
        <f t="shared" si="26"/>
        <v>2644961.73</v>
      </c>
      <c r="M99" s="43">
        <f t="shared" si="26"/>
        <v>2645537.73</v>
      </c>
      <c r="N99" s="43">
        <f t="shared" si="26"/>
        <v>31777655.760000002</v>
      </c>
    </row>
    <row r="100" spans="1:14" x14ac:dyDescent="0.25">
      <c r="A100" s="42"/>
      <c r="B100" s="168"/>
      <c r="C100" s="168"/>
      <c r="D100" s="168"/>
      <c r="E100" s="168"/>
      <c r="F100" s="168"/>
      <c r="G100" s="168"/>
      <c r="H100" s="168"/>
      <c r="I100" s="168"/>
      <c r="J100" s="168"/>
      <c r="K100" s="168"/>
      <c r="L100" s="168"/>
      <c r="M100" s="168"/>
      <c r="N100" s="168"/>
    </row>
    <row r="101" spans="1:14" x14ac:dyDescent="0.25">
      <c r="A101" s="45" t="s">
        <v>48</v>
      </c>
    </row>
    <row r="102" spans="1:14" x14ac:dyDescent="0.25">
      <c r="A102" s="35" t="s">
        <v>44</v>
      </c>
      <c r="B102" s="37">
        <f>B7</f>
        <v>45658</v>
      </c>
      <c r="C102" s="37">
        <f t="shared" ref="C102:M102" si="27">C7</f>
        <v>45689</v>
      </c>
      <c r="D102" s="37">
        <f t="shared" si="27"/>
        <v>45717</v>
      </c>
      <c r="E102" s="37">
        <f t="shared" si="27"/>
        <v>45748</v>
      </c>
      <c r="F102" s="37">
        <f t="shared" si="27"/>
        <v>45778</v>
      </c>
      <c r="G102" s="37">
        <f t="shared" si="27"/>
        <v>45809</v>
      </c>
      <c r="H102" s="37">
        <f t="shared" si="27"/>
        <v>45839</v>
      </c>
      <c r="I102" s="37">
        <f t="shared" si="27"/>
        <v>45870</v>
      </c>
      <c r="J102" s="37">
        <f t="shared" si="27"/>
        <v>45901</v>
      </c>
      <c r="K102" s="37">
        <f t="shared" si="27"/>
        <v>45931</v>
      </c>
      <c r="L102" s="37">
        <f t="shared" si="27"/>
        <v>45962</v>
      </c>
      <c r="M102" s="37">
        <f t="shared" si="27"/>
        <v>45992</v>
      </c>
      <c r="N102" s="38" t="s">
        <v>2</v>
      </c>
    </row>
    <row r="103" spans="1:14" x14ac:dyDescent="0.25">
      <c r="A103" s="34">
        <v>16</v>
      </c>
      <c r="B103" s="40">
        <f t="shared" ref="B103:B116" si="28">B8-B27-B46-B65-B84</f>
        <v>513</v>
      </c>
      <c r="C103" s="40">
        <f t="shared" ref="C103:M103" si="29">C8-C27-C46-C65-C84</f>
        <v>513</v>
      </c>
      <c r="D103" s="40">
        <f t="shared" si="29"/>
        <v>513</v>
      </c>
      <c r="E103" s="40">
        <f t="shared" si="29"/>
        <v>513</v>
      </c>
      <c r="F103" s="40">
        <f t="shared" si="29"/>
        <v>513</v>
      </c>
      <c r="G103" s="40">
        <f t="shared" si="29"/>
        <v>513</v>
      </c>
      <c r="H103" s="40">
        <f t="shared" si="29"/>
        <v>513</v>
      </c>
      <c r="I103" s="40">
        <f t="shared" si="29"/>
        <v>513</v>
      </c>
      <c r="J103" s="40">
        <f t="shared" si="29"/>
        <v>513</v>
      </c>
      <c r="K103" s="40">
        <f t="shared" si="29"/>
        <v>513</v>
      </c>
      <c r="L103" s="40">
        <f t="shared" si="29"/>
        <v>513</v>
      </c>
      <c r="M103" s="40">
        <f t="shared" si="29"/>
        <v>513</v>
      </c>
      <c r="N103" s="40">
        <f>SUM(B103:M103)</f>
        <v>6156</v>
      </c>
    </row>
    <row r="104" spans="1:14" x14ac:dyDescent="0.25">
      <c r="A104" s="34">
        <v>23</v>
      </c>
      <c r="B104" s="40">
        <f t="shared" si="28"/>
        <v>84058833.545424119</v>
      </c>
      <c r="C104" s="40">
        <f t="shared" ref="C104:M104" si="30">C9-C28-C47-C66-C85</f>
        <v>72821678.076477751</v>
      </c>
      <c r="D104" s="40">
        <f t="shared" si="30"/>
        <v>65673239.908731237</v>
      </c>
      <c r="E104" s="40">
        <f t="shared" si="30"/>
        <v>45613422.353004888</v>
      </c>
      <c r="F104" s="40">
        <f t="shared" si="30"/>
        <v>27838331.114824675</v>
      </c>
      <c r="G104" s="40">
        <f t="shared" si="30"/>
        <v>19242096.286453843</v>
      </c>
      <c r="H104" s="40">
        <f t="shared" si="30"/>
        <v>14462696.556093495</v>
      </c>
      <c r="I104" s="40">
        <f t="shared" si="30"/>
        <v>14545471.344619371</v>
      </c>
      <c r="J104" s="40">
        <f t="shared" si="30"/>
        <v>19948290.887460452</v>
      </c>
      <c r="K104" s="40">
        <f t="shared" si="30"/>
        <v>42242618.393386595</v>
      </c>
      <c r="L104" s="40">
        <f t="shared" si="30"/>
        <v>67432781.028621897</v>
      </c>
      <c r="M104" s="40">
        <f t="shared" si="30"/>
        <v>87147909.835070387</v>
      </c>
      <c r="N104" s="40">
        <f t="shared" ref="N104:N117" si="31">SUM(B104:M104)</f>
        <v>561027369.33016872</v>
      </c>
    </row>
    <row r="105" spans="1:14" x14ac:dyDescent="0.25">
      <c r="A105" s="34">
        <v>53</v>
      </c>
      <c r="B105" s="40">
        <f t="shared" si="28"/>
        <v>0</v>
      </c>
      <c r="C105" s="40">
        <f t="shared" ref="C105:M105" si="32">C10-C29-C48-C67-C86</f>
        <v>0</v>
      </c>
      <c r="D105" s="40">
        <f t="shared" si="32"/>
        <v>0</v>
      </c>
      <c r="E105" s="40">
        <f t="shared" si="32"/>
        <v>0</v>
      </c>
      <c r="F105" s="40">
        <f t="shared" si="32"/>
        <v>0</v>
      </c>
      <c r="G105" s="40">
        <f t="shared" si="32"/>
        <v>0</v>
      </c>
      <c r="H105" s="40">
        <f t="shared" si="32"/>
        <v>0</v>
      </c>
      <c r="I105" s="40">
        <f t="shared" si="32"/>
        <v>0</v>
      </c>
      <c r="J105" s="40">
        <f t="shared" si="32"/>
        <v>0</v>
      </c>
      <c r="K105" s="40">
        <f t="shared" si="32"/>
        <v>0</v>
      </c>
      <c r="L105" s="40">
        <f t="shared" si="32"/>
        <v>0</v>
      </c>
      <c r="M105" s="40">
        <f t="shared" si="32"/>
        <v>0</v>
      </c>
      <c r="N105" s="40">
        <f t="shared" si="31"/>
        <v>0</v>
      </c>
    </row>
    <row r="106" spans="1:14" x14ac:dyDescent="0.25">
      <c r="A106" s="34">
        <v>31</v>
      </c>
      <c r="B106" s="40">
        <f t="shared" si="28"/>
        <v>28985038.616575882</v>
      </c>
      <c r="C106" s="40">
        <f t="shared" ref="C106:M106" si="33">C11-C30-C49-C68-C87</f>
        <v>25618314.37452225</v>
      </c>
      <c r="D106" s="40">
        <f t="shared" si="33"/>
        <v>22864347.548268769</v>
      </c>
      <c r="E106" s="40">
        <f t="shared" si="33"/>
        <v>16506153.006995112</v>
      </c>
      <c r="F106" s="40">
        <f t="shared" si="33"/>
        <v>11794153.659175327</v>
      </c>
      <c r="G106" s="40">
        <f t="shared" si="33"/>
        <v>9768839.1175461579</v>
      </c>
      <c r="H106" s="40">
        <f t="shared" si="33"/>
        <v>8600190.934906505</v>
      </c>
      <c r="I106" s="40">
        <f t="shared" si="33"/>
        <v>9578076.6073806304</v>
      </c>
      <c r="J106" s="40">
        <f t="shared" si="33"/>
        <v>11405598.675539549</v>
      </c>
      <c r="K106" s="40">
        <f t="shared" si="33"/>
        <v>18948035.727613404</v>
      </c>
      <c r="L106" s="40">
        <f t="shared" si="33"/>
        <v>27175049.056378104</v>
      </c>
      <c r="M106" s="40">
        <f t="shared" si="33"/>
        <v>33339415.59892961</v>
      </c>
      <c r="N106" s="40">
        <f t="shared" si="31"/>
        <v>224583212.92383128</v>
      </c>
    </row>
    <row r="107" spans="1:14" x14ac:dyDescent="0.25">
      <c r="A107" s="34">
        <v>41</v>
      </c>
      <c r="B107" s="40">
        <f t="shared" si="28"/>
        <v>6990503.4927665964</v>
      </c>
      <c r="C107" s="40">
        <f t="shared" ref="C107:M107" si="34">C12-C31-C50-C69-C88</f>
        <v>6522440.4752520621</v>
      </c>
      <c r="D107" s="40">
        <f t="shared" si="34"/>
        <v>6057757.143898325</v>
      </c>
      <c r="E107" s="40">
        <f t="shared" si="34"/>
        <v>4708288.473795413</v>
      </c>
      <c r="F107" s="40">
        <f t="shared" si="34"/>
        <v>3697507.7307882551</v>
      </c>
      <c r="G107" s="40">
        <f t="shared" si="34"/>
        <v>3200885.5723189511</v>
      </c>
      <c r="H107" s="40">
        <f t="shared" si="34"/>
        <v>2719585.5982255726</v>
      </c>
      <c r="I107" s="40">
        <f t="shared" si="34"/>
        <v>2994504.4697919423</v>
      </c>
      <c r="J107" s="40">
        <f t="shared" si="34"/>
        <v>3614601.5426877579</v>
      </c>
      <c r="K107" s="40">
        <f t="shared" si="34"/>
        <v>5549120.3821426509</v>
      </c>
      <c r="L107" s="40">
        <f t="shared" si="34"/>
        <v>7346221.6650539897</v>
      </c>
      <c r="M107" s="40">
        <f t="shared" si="34"/>
        <v>8100433.426615254</v>
      </c>
      <c r="N107" s="40">
        <f t="shared" si="31"/>
        <v>61501849.973336771</v>
      </c>
    </row>
    <row r="108" spans="1:14" x14ac:dyDescent="0.25">
      <c r="A108" s="34">
        <v>85</v>
      </c>
      <c r="B108" s="40">
        <f t="shared" si="28"/>
        <v>1581549.2416554242</v>
      </c>
      <c r="C108" s="40">
        <f t="shared" ref="C108:M108" si="35">C13-C32-C51-C70-C89</f>
        <v>1367681.8680084278</v>
      </c>
      <c r="D108" s="40">
        <f t="shared" si="35"/>
        <v>1427345.9113613062</v>
      </c>
      <c r="E108" s="40">
        <f t="shared" si="35"/>
        <v>1331685.33209681</v>
      </c>
      <c r="F108" s="40">
        <f t="shared" si="35"/>
        <v>1303485.0051561755</v>
      </c>
      <c r="G108" s="40">
        <f t="shared" si="35"/>
        <v>1159238.1219469854</v>
      </c>
      <c r="H108" s="40">
        <f t="shared" si="35"/>
        <v>1069746.754781293</v>
      </c>
      <c r="I108" s="40">
        <f t="shared" si="35"/>
        <v>1029010.3212854072</v>
      </c>
      <c r="J108" s="40">
        <f t="shared" si="35"/>
        <v>918531.29256397428</v>
      </c>
      <c r="K108" s="40">
        <f t="shared" si="35"/>
        <v>1279272.8151523573</v>
      </c>
      <c r="L108" s="40">
        <f t="shared" si="35"/>
        <v>1186611.4135278543</v>
      </c>
      <c r="M108" s="40">
        <f t="shared" si="35"/>
        <v>1502776.9483203045</v>
      </c>
      <c r="N108" s="40">
        <f t="shared" si="31"/>
        <v>15156935.025856322</v>
      </c>
    </row>
    <row r="109" spans="1:14" x14ac:dyDescent="0.25">
      <c r="A109" s="34">
        <v>86</v>
      </c>
      <c r="B109" s="40">
        <f t="shared" si="28"/>
        <v>797297.56595264934</v>
      </c>
      <c r="C109" s="40">
        <f t="shared" ref="C109:M109" si="36">C14-C33-C52-C71-C90</f>
        <v>667410.04937159049</v>
      </c>
      <c r="D109" s="40">
        <f t="shared" si="36"/>
        <v>673392.33866121084</v>
      </c>
      <c r="E109" s="40">
        <f t="shared" si="36"/>
        <v>511217.78193700645</v>
      </c>
      <c r="F109" s="40">
        <f t="shared" si="36"/>
        <v>379171.08848011272</v>
      </c>
      <c r="G109" s="40">
        <f t="shared" si="36"/>
        <v>222464.85157962976</v>
      </c>
      <c r="H109" s="40">
        <f t="shared" si="36"/>
        <v>108873.0982895448</v>
      </c>
      <c r="I109" s="40">
        <f t="shared" si="36"/>
        <v>43985.196537780685</v>
      </c>
      <c r="J109" s="40">
        <f t="shared" si="36"/>
        <v>68690.088619856149</v>
      </c>
      <c r="K109" s="40">
        <f t="shared" si="36"/>
        <v>292808.236395124</v>
      </c>
      <c r="L109" s="40">
        <f t="shared" si="36"/>
        <v>475684.81669342436</v>
      </c>
      <c r="M109" s="40">
        <f t="shared" si="36"/>
        <v>742273.8186677153</v>
      </c>
      <c r="N109" s="40">
        <f t="shared" si="31"/>
        <v>4983268.9311856451</v>
      </c>
    </row>
    <row r="110" spans="1:14" x14ac:dyDescent="0.25">
      <c r="A110" s="34">
        <v>87</v>
      </c>
      <c r="B110" s="40">
        <f t="shared" si="28"/>
        <v>-33197.553374669667</v>
      </c>
      <c r="C110" s="40">
        <f t="shared" ref="C110:M110" si="37">C15-C34-C53-C72-C91</f>
        <v>-216502.13963208074</v>
      </c>
      <c r="D110" s="40">
        <f t="shared" si="37"/>
        <v>-287642.83492084208</v>
      </c>
      <c r="E110" s="40">
        <f t="shared" si="37"/>
        <v>-237771.74882922965</v>
      </c>
      <c r="F110" s="40">
        <f t="shared" si="37"/>
        <v>172423.46857545694</v>
      </c>
      <c r="G110" s="40">
        <f t="shared" si="37"/>
        <v>155351.58515443341</v>
      </c>
      <c r="H110" s="40">
        <f t="shared" si="37"/>
        <v>280732.70270358975</v>
      </c>
      <c r="I110" s="40">
        <f t="shared" si="37"/>
        <v>237951.43138487014</v>
      </c>
      <c r="J110" s="40">
        <f t="shared" si="37"/>
        <v>-34018.098871588409</v>
      </c>
      <c r="K110" s="40">
        <f t="shared" si="37"/>
        <v>277435.34230986756</v>
      </c>
      <c r="L110" s="40">
        <f t="shared" si="37"/>
        <v>-248035.41827526785</v>
      </c>
      <c r="M110" s="40">
        <f t="shared" si="37"/>
        <v>89603.286396725714</v>
      </c>
      <c r="N110" s="40">
        <f t="shared" si="31"/>
        <v>156330.02262126503</v>
      </c>
    </row>
    <row r="111" spans="1:14" x14ac:dyDescent="0.25">
      <c r="A111" s="34" t="s">
        <v>27</v>
      </c>
      <c r="B111" s="40">
        <f t="shared" si="28"/>
        <v>0</v>
      </c>
      <c r="C111" s="40">
        <f t="shared" ref="C111:M111" si="38">C16-C35-C54-C73-C92</f>
        <v>0</v>
      </c>
      <c r="D111" s="40">
        <f t="shared" si="38"/>
        <v>0</v>
      </c>
      <c r="E111" s="40">
        <f t="shared" si="38"/>
        <v>0</v>
      </c>
      <c r="F111" s="40">
        <f t="shared" si="38"/>
        <v>0</v>
      </c>
      <c r="G111" s="40">
        <f t="shared" si="38"/>
        <v>0</v>
      </c>
      <c r="H111" s="40">
        <f t="shared" si="38"/>
        <v>0</v>
      </c>
      <c r="I111" s="40">
        <f t="shared" si="38"/>
        <v>0</v>
      </c>
      <c r="J111" s="40">
        <f t="shared" si="38"/>
        <v>0</v>
      </c>
      <c r="K111" s="40">
        <f t="shared" si="38"/>
        <v>0</v>
      </c>
      <c r="L111" s="40">
        <f t="shared" si="38"/>
        <v>0</v>
      </c>
      <c r="M111" s="40">
        <f t="shared" si="38"/>
        <v>0</v>
      </c>
      <c r="N111" s="40">
        <f t="shared" si="31"/>
        <v>0</v>
      </c>
    </row>
    <row r="112" spans="1:14" x14ac:dyDescent="0.25">
      <c r="A112" s="34" t="s">
        <v>29</v>
      </c>
      <c r="B112" s="40">
        <f t="shared" si="28"/>
        <v>1787398</v>
      </c>
      <c r="C112" s="40">
        <f t="shared" ref="C112:M112" si="39">C17-C36-C55-C74-C93</f>
        <v>1944865</v>
      </c>
      <c r="D112" s="40">
        <f t="shared" si="39"/>
        <v>1713007</v>
      </c>
      <c r="E112" s="40">
        <f t="shared" si="39"/>
        <v>1817525</v>
      </c>
      <c r="F112" s="40">
        <f t="shared" si="39"/>
        <v>1715751</v>
      </c>
      <c r="G112" s="40">
        <f t="shared" si="39"/>
        <v>1834118</v>
      </c>
      <c r="H112" s="40">
        <f t="shared" si="39"/>
        <v>1639656</v>
      </c>
      <c r="I112" s="40">
        <f t="shared" si="39"/>
        <v>1657073</v>
      </c>
      <c r="J112" s="40">
        <f t="shared" si="39"/>
        <v>1664657</v>
      </c>
      <c r="K112" s="40">
        <f t="shared" si="39"/>
        <v>1620165</v>
      </c>
      <c r="L112" s="40">
        <f t="shared" si="39"/>
        <v>1867820</v>
      </c>
      <c r="M112" s="40">
        <f t="shared" si="39"/>
        <v>1853820</v>
      </c>
      <c r="N112" s="40">
        <f t="shared" si="31"/>
        <v>21115855</v>
      </c>
    </row>
    <row r="113" spans="1:14" x14ac:dyDescent="0.25">
      <c r="A113" s="34" t="s">
        <v>31</v>
      </c>
      <c r="B113" s="40">
        <f t="shared" si="28"/>
        <v>4173489.41</v>
      </c>
      <c r="C113" s="40">
        <f t="shared" ref="C113:M113" si="40">C18-C37-C56-C75-C94</f>
        <v>4566020.28</v>
      </c>
      <c r="D113" s="40">
        <f t="shared" si="40"/>
        <v>4166674.02</v>
      </c>
      <c r="E113" s="40">
        <f t="shared" si="40"/>
        <v>4441712.95</v>
      </c>
      <c r="F113" s="40">
        <f t="shared" si="40"/>
        <v>4319525.93</v>
      </c>
      <c r="G113" s="40">
        <f t="shared" si="40"/>
        <v>4567771.59</v>
      </c>
      <c r="H113" s="40">
        <f t="shared" si="40"/>
        <v>4206008.97</v>
      </c>
      <c r="I113" s="40">
        <f t="shared" si="40"/>
        <v>4264593.18</v>
      </c>
      <c r="J113" s="40">
        <f t="shared" si="40"/>
        <v>4576703.41</v>
      </c>
      <c r="K113" s="40">
        <f t="shared" si="40"/>
        <v>4218784.58</v>
      </c>
      <c r="L113" s="40">
        <f t="shared" si="40"/>
        <v>4304905.09</v>
      </c>
      <c r="M113" s="40">
        <f t="shared" si="40"/>
        <v>4363587.59</v>
      </c>
      <c r="N113" s="40">
        <f t="shared" si="31"/>
        <v>52169777</v>
      </c>
    </row>
    <row r="114" spans="1:14" x14ac:dyDescent="0.25">
      <c r="A114" s="34" t="s">
        <v>33</v>
      </c>
      <c r="B114" s="40">
        <f t="shared" si="28"/>
        <v>105817</v>
      </c>
      <c r="C114" s="40">
        <f t="shared" ref="C114:M114" si="41">C19-C38-C57-C76-C95</f>
        <v>123254</v>
      </c>
      <c r="D114" s="40">
        <f t="shared" si="41"/>
        <v>110382</v>
      </c>
      <c r="E114" s="40">
        <f t="shared" si="41"/>
        <v>125657</v>
      </c>
      <c r="F114" s="40">
        <f t="shared" si="41"/>
        <v>113495</v>
      </c>
      <c r="G114" s="40">
        <f t="shared" si="41"/>
        <v>121199</v>
      </c>
      <c r="H114" s="40">
        <f t="shared" si="41"/>
        <v>106268</v>
      </c>
      <c r="I114" s="40">
        <f t="shared" si="41"/>
        <v>102961</v>
      </c>
      <c r="J114" s="40">
        <f t="shared" si="41"/>
        <v>115379</v>
      </c>
      <c r="K114" s="40">
        <f t="shared" si="41"/>
        <v>107961</v>
      </c>
      <c r="L114" s="40">
        <f t="shared" si="41"/>
        <v>120350</v>
      </c>
      <c r="M114" s="40">
        <f t="shared" si="41"/>
        <v>118522</v>
      </c>
      <c r="N114" s="40">
        <f t="shared" si="31"/>
        <v>1371245</v>
      </c>
    </row>
    <row r="115" spans="1:14" x14ac:dyDescent="0.25">
      <c r="A115" s="34" t="s">
        <v>35</v>
      </c>
      <c r="B115" s="40">
        <f t="shared" si="28"/>
        <v>-601918.54999999981</v>
      </c>
      <c r="C115" s="40">
        <f t="shared" ref="C115:M116" si="42">C20-C39-C58-C77-C96</f>
        <v>2015115.7600000007</v>
      </c>
      <c r="D115" s="40">
        <f t="shared" si="42"/>
        <v>-470942.72999999858</v>
      </c>
      <c r="E115" s="40">
        <f t="shared" si="42"/>
        <v>721442.05999999866</v>
      </c>
      <c r="F115" s="40">
        <f t="shared" si="42"/>
        <v>51000.780000000261</v>
      </c>
      <c r="G115" s="40">
        <f t="shared" si="42"/>
        <v>1416123.0199999996</v>
      </c>
      <c r="H115" s="40">
        <f t="shared" si="42"/>
        <v>1242495.5</v>
      </c>
      <c r="I115" s="40">
        <f t="shared" si="42"/>
        <v>1684591.2199999997</v>
      </c>
      <c r="J115" s="40">
        <f t="shared" si="42"/>
        <v>2542938.0500000007</v>
      </c>
      <c r="K115" s="40">
        <f t="shared" si="42"/>
        <v>159359.20000000019</v>
      </c>
      <c r="L115" s="40">
        <f t="shared" si="42"/>
        <v>496973.66000000015</v>
      </c>
      <c r="M115" s="40">
        <f t="shared" si="42"/>
        <v>1177085.1600000001</v>
      </c>
      <c r="N115" s="40">
        <f t="shared" si="31"/>
        <v>10434263.130000003</v>
      </c>
    </row>
    <row r="116" spans="1:14" x14ac:dyDescent="0.25">
      <c r="A116" s="34" t="s">
        <v>232</v>
      </c>
      <c r="B116" s="40">
        <f t="shared" si="28"/>
        <v>245809.27000000002</v>
      </c>
      <c r="C116" s="40">
        <f t="shared" si="42"/>
        <v>245809.27000000002</v>
      </c>
      <c r="D116" s="40">
        <f t="shared" si="42"/>
        <v>245809.27000000002</v>
      </c>
      <c r="E116" s="40">
        <f t="shared" si="42"/>
        <v>245809.27000000002</v>
      </c>
      <c r="F116" s="40">
        <f t="shared" si="42"/>
        <v>245809.27000000002</v>
      </c>
      <c r="G116" s="40">
        <f t="shared" si="42"/>
        <v>245809.27000000002</v>
      </c>
      <c r="H116" s="40">
        <f t="shared" si="42"/>
        <v>245809.27000000002</v>
      </c>
      <c r="I116" s="40">
        <f t="shared" si="42"/>
        <v>245809.27000000002</v>
      </c>
      <c r="J116" s="40">
        <f t="shared" si="42"/>
        <v>245809.27000000002</v>
      </c>
      <c r="K116" s="40">
        <f t="shared" si="42"/>
        <v>245809.27000000002</v>
      </c>
      <c r="L116" s="40">
        <f t="shared" si="42"/>
        <v>245809.27000000002</v>
      </c>
      <c r="M116" s="40">
        <f t="shared" si="42"/>
        <v>245809.27000000002</v>
      </c>
      <c r="N116" s="40">
        <f t="shared" ref="N116" si="43">SUM(B116:M116)</f>
        <v>2949711.24</v>
      </c>
    </row>
    <row r="117" spans="1:14" x14ac:dyDescent="0.25">
      <c r="A117" s="41" t="s">
        <v>36</v>
      </c>
      <c r="B117" s="40">
        <f t="shared" ref="B117" si="44">B22-B41-B60-B79-B98</f>
        <v>1303826.1200000001</v>
      </c>
      <c r="C117" s="40">
        <f t="shared" ref="C117:M117" si="45">C22-C41-C60-C79-C98</f>
        <v>2211395.02</v>
      </c>
      <c r="D117" s="40">
        <f t="shared" si="45"/>
        <v>1032329.48</v>
      </c>
      <c r="E117" s="40">
        <f t="shared" si="45"/>
        <v>1242038.0300000003</v>
      </c>
      <c r="F117" s="40">
        <f t="shared" si="45"/>
        <v>1076917.4099999999</v>
      </c>
      <c r="G117" s="40">
        <f t="shared" si="45"/>
        <v>1041314.18</v>
      </c>
      <c r="H117" s="40">
        <f t="shared" si="45"/>
        <v>913978.60999999987</v>
      </c>
      <c r="I117" s="40">
        <f t="shared" si="45"/>
        <v>791418.19</v>
      </c>
      <c r="J117" s="40">
        <f t="shared" si="45"/>
        <v>1018006.26</v>
      </c>
      <c r="K117" s="40">
        <f t="shared" si="45"/>
        <v>1111508.53</v>
      </c>
      <c r="L117" s="40">
        <f t="shared" si="45"/>
        <v>1592250.3900000001</v>
      </c>
      <c r="M117" s="40">
        <f t="shared" si="45"/>
        <v>2110113</v>
      </c>
      <c r="N117" s="40">
        <f t="shared" si="31"/>
        <v>15445095.219999999</v>
      </c>
    </row>
    <row r="118" spans="1:14" x14ac:dyDescent="0.25">
      <c r="A118" s="42" t="s">
        <v>2</v>
      </c>
      <c r="B118" s="43">
        <f>SUM(B103:B117)</f>
        <v>129394959.15899999</v>
      </c>
      <c r="C118" s="43">
        <f t="shared" ref="C118:N118" si="46">SUM(C103:C117)</f>
        <v>117887995.03400001</v>
      </c>
      <c r="D118" s="43">
        <f t="shared" si="46"/>
        <v>103206212.05599999</v>
      </c>
      <c r="E118" s="43">
        <f t="shared" si="46"/>
        <v>77027692.509000003</v>
      </c>
      <c r="F118" s="43">
        <f t="shared" si="46"/>
        <v>52708084.457000002</v>
      </c>
      <c r="G118" s="43">
        <f t="shared" si="46"/>
        <v>42975723.594999999</v>
      </c>
      <c r="H118" s="43">
        <f t="shared" si="46"/>
        <v>35596554.995000005</v>
      </c>
      <c r="I118" s="43">
        <f t="shared" si="46"/>
        <v>37175958.230999999</v>
      </c>
      <c r="J118" s="43">
        <f t="shared" si="46"/>
        <v>46085700.378000006</v>
      </c>
      <c r="K118" s="43">
        <f t="shared" si="46"/>
        <v>76053391.476999983</v>
      </c>
      <c r="L118" s="43">
        <f t="shared" si="46"/>
        <v>111996933.97200002</v>
      </c>
      <c r="M118" s="43">
        <f t="shared" si="46"/>
        <v>140791862.93399999</v>
      </c>
      <c r="N118" s="43">
        <f t="shared" si="46"/>
        <v>970901068.79700005</v>
      </c>
    </row>
    <row r="119" spans="1:14" x14ac:dyDescent="0.25">
      <c r="A119" s="87" t="s">
        <v>98</v>
      </c>
      <c r="B119" s="88">
        <f>B23-B42-B61-B80-B99-B118</f>
        <v>0</v>
      </c>
      <c r="C119" s="88">
        <f t="shared" ref="C119:N119" si="47">C23-C42-C61-C80-C99-C118</f>
        <v>0</v>
      </c>
      <c r="D119" s="88">
        <f t="shared" si="47"/>
        <v>0</v>
      </c>
      <c r="E119" s="88">
        <f t="shared" si="47"/>
        <v>0</v>
      </c>
      <c r="F119" s="88">
        <f t="shared" si="47"/>
        <v>0</v>
      </c>
      <c r="G119" s="88">
        <f t="shared" si="47"/>
        <v>0</v>
      </c>
      <c r="H119" s="88">
        <f t="shared" si="47"/>
        <v>0</v>
      </c>
      <c r="I119" s="88">
        <f t="shared" si="47"/>
        <v>0</v>
      </c>
      <c r="J119" s="88">
        <f t="shared" si="47"/>
        <v>0</v>
      </c>
      <c r="K119" s="88">
        <f t="shared" si="47"/>
        <v>0</v>
      </c>
      <c r="L119" s="88">
        <f t="shared" si="47"/>
        <v>0</v>
      </c>
      <c r="M119" s="88">
        <f t="shared" si="47"/>
        <v>0</v>
      </c>
      <c r="N119" s="88">
        <f t="shared" si="47"/>
        <v>0</v>
      </c>
    </row>
    <row r="121" spans="1:14" ht="17.25" x14ac:dyDescent="0.25">
      <c r="A121" s="31" t="s">
        <v>240</v>
      </c>
    </row>
    <row r="122" spans="1:14" ht="17.25" x14ac:dyDescent="0.25">
      <c r="A122" s="31" t="s">
        <v>241</v>
      </c>
    </row>
    <row r="123" spans="1:14" ht="17.25" x14ac:dyDescent="0.25">
      <c r="A123" s="31" t="s">
        <v>242</v>
      </c>
    </row>
    <row r="124" spans="1:14" ht="17.25" x14ac:dyDescent="0.25">
      <c r="A124" s="31" t="s">
        <v>434</v>
      </c>
    </row>
  </sheetData>
  <mergeCells count="4">
    <mergeCell ref="A1:N1"/>
    <mergeCell ref="A2:N2"/>
    <mergeCell ref="A3:N3"/>
    <mergeCell ref="A4:N4"/>
  </mergeCells>
  <printOptions horizontalCentered="1"/>
  <pageMargins left="0.7" right="0.7" top="0.75" bottom="0.75" header="0.3" footer="0.3"/>
  <pageSetup scale="68" fitToHeight="3" orientation="landscape" blackAndWhite="1" r:id="rId1"/>
  <headerFooter>
    <oddFooter>&amp;L&amp;F 
&amp;A&amp;C&amp;P&amp;R&amp;D</oddFooter>
  </headerFooter>
  <rowBreaks count="2" manualBreakCount="2">
    <brk id="42" max="13" man="1"/>
    <brk id="80"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zoomScale="90" zoomScaleNormal="90" workbookViewId="0">
      <pane ySplit="4" topLeftCell="A113" activePane="bottomLeft" state="frozen"/>
      <selection activeCell="L20" sqref="L20"/>
      <selection pane="bottomLeft" activeCell="L140" sqref="L140"/>
    </sheetView>
  </sheetViews>
  <sheetFormatPr defaultColWidth="9.140625" defaultRowHeight="15" x14ac:dyDescent="0.25"/>
  <cols>
    <col min="1" max="1" width="17.85546875" style="31" customWidth="1"/>
    <col min="2" max="4" width="11" style="31" bestFit="1" customWidth="1"/>
    <col min="5" max="6" width="12" style="31" bestFit="1" customWidth="1"/>
    <col min="7" max="13" width="12" style="31" customWidth="1"/>
    <col min="14" max="14" width="13.85546875" style="31" customWidth="1"/>
    <col min="15" max="16384" width="9.140625" style="31"/>
  </cols>
  <sheetData>
    <row r="1" spans="1:14" x14ac:dyDescent="0.25">
      <c r="A1" s="307" t="s">
        <v>0</v>
      </c>
      <c r="B1" s="307"/>
      <c r="C1" s="307"/>
      <c r="D1" s="307"/>
      <c r="E1" s="307"/>
      <c r="F1" s="307"/>
      <c r="G1" s="307"/>
      <c r="H1" s="307"/>
      <c r="I1" s="307"/>
      <c r="J1" s="307"/>
      <c r="K1" s="307"/>
      <c r="L1" s="307"/>
      <c r="M1" s="307"/>
      <c r="N1" s="307"/>
    </row>
    <row r="2" spans="1:14" x14ac:dyDescent="0.25">
      <c r="A2" s="309" t="str">
        <f>'Sch. 111 Charge Rates'!A2</f>
        <v>2024 Gas Schedule 111 Greenhouse Gas Emissions Cap and Invest Adjustment Filing</v>
      </c>
      <c r="B2" s="309"/>
      <c r="C2" s="309"/>
      <c r="D2" s="309"/>
      <c r="E2" s="309"/>
      <c r="F2" s="309"/>
      <c r="G2" s="309"/>
      <c r="H2" s="309"/>
      <c r="I2" s="309"/>
      <c r="J2" s="309"/>
      <c r="K2" s="309"/>
      <c r="L2" s="309"/>
      <c r="M2" s="309"/>
      <c r="N2" s="309"/>
    </row>
    <row r="3" spans="1:14" x14ac:dyDescent="0.25">
      <c r="A3" s="309" t="s">
        <v>49</v>
      </c>
      <c r="B3" s="309"/>
      <c r="C3" s="309"/>
      <c r="D3" s="309"/>
      <c r="E3" s="309"/>
      <c r="F3" s="309"/>
      <c r="G3" s="309"/>
      <c r="H3" s="309"/>
      <c r="I3" s="309"/>
      <c r="J3" s="309"/>
      <c r="K3" s="309"/>
      <c r="L3" s="309"/>
      <c r="M3" s="309"/>
      <c r="N3" s="309"/>
    </row>
    <row r="4" spans="1:14" x14ac:dyDescent="0.25">
      <c r="A4" s="310" t="str">
        <f>'F2024 Forecast'!A4:N4</f>
        <v>January 2025 - December 2025</v>
      </c>
      <c r="B4" s="309"/>
      <c r="C4" s="309"/>
      <c r="D4" s="309"/>
      <c r="E4" s="309"/>
      <c r="F4" s="309"/>
      <c r="G4" s="309"/>
      <c r="H4" s="309"/>
      <c r="I4" s="309"/>
      <c r="J4" s="309"/>
      <c r="K4" s="309"/>
      <c r="L4" s="309"/>
      <c r="M4" s="309"/>
      <c r="N4" s="309"/>
    </row>
    <row r="5" spans="1:14" x14ac:dyDescent="0.25">
      <c r="A5" s="32"/>
      <c r="B5" s="32"/>
      <c r="C5" s="32"/>
      <c r="D5" s="32"/>
      <c r="E5" s="32"/>
      <c r="F5" s="33"/>
      <c r="G5" s="33"/>
      <c r="H5" s="33"/>
      <c r="I5" s="33"/>
      <c r="J5" s="33"/>
      <c r="K5" s="33"/>
      <c r="L5" s="33"/>
      <c r="M5" s="33"/>
      <c r="N5" s="33"/>
    </row>
    <row r="6" spans="1:14" x14ac:dyDescent="0.25">
      <c r="A6" s="84" t="s">
        <v>235</v>
      </c>
      <c r="B6" s="32"/>
      <c r="C6" s="32"/>
      <c r="D6" s="32"/>
      <c r="E6" s="32"/>
      <c r="F6" s="33"/>
      <c r="G6" s="33"/>
      <c r="H6" s="33"/>
      <c r="I6" s="33"/>
      <c r="J6" s="33"/>
      <c r="K6" s="33"/>
      <c r="L6" s="33"/>
      <c r="M6" s="33"/>
      <c r="N6" s="33"/>
    </row>
    <row r="7" spans="1:14" x14ac:dyDescent="0.25">
      <c r="A7" s="35" t="s">
        <v>44</v>
      </c>
      <c r="B7" s="37">
        <f>'F2024 Forecast'!B7</f>
        <v>45658</v>
      </c>
      <c r="C7" s="37">
        <f>EDATE(B7,1)</f>
        <v>45689</v>
      </c>
      <c r="D7" s="37">
        <f t="shared" ref="D7:F7" si="0">EDATE(C7,1)</f>
        <v>45717</v>
      </c>
      <c r="E7" s="37">
        <f t="shared" si="0"/>
        <v>45748</v>
      </c>
      <c r="F7" s="37">
        <f t="shared" si="0"/>
        <v>45778</v>
      </c>
      <c r="G7" s="37">
        <f t="shared" ref="G7" si="1">EDATE(F7,1)</f>
        <v>45809</v>
      </c>
      <c r="H7" s="37">
        <f t="shared" ref="H7" si="2">EDATE(G7,1)</f>
        <v>45839</v>
      </c>
      <c r="I7" s="37">
        <f t="shared" ref="I7" si="3">EDATE(H7,1)</f>
        <v>45870</v>
      </c>
      <c r="J7" s="37">
        <f t="shared" ref="J7" si="4">EDATE(I7,1)</f>
        <v>45901</v>
      </c>
      <c r="K7" s="37">
        <f t="shared" ref="K7" si="5">EDATE(J7,1)</f>
        <v>45931</v>
      </c>
      <c r="L7" s="37">
        <f t="shared" ref="L7" si="6">EDATE(K7,1)</f>
        <v>45962</v>
      </c>
      <c r="M7" s="37">
        <f t="shared" ref="M7" si="7">EDATE(L7,1)</f>
        <v>45992</v>
      </c>
      <c r="N7" s="38" t="s">
        <v>2</v>
      </c>
    </row>
    <row r="8" spans="1:14" x14ac:dyDescent="0.25">
      <c r="A8" s="34">
        <v>16</v>
      </c>
      <c r="B8" s="46">
        <f>'F2024 Forecast'!B27</f>
        <v>3</v>
      </c>
      <c r="C8" s="46">
        <f>'F2024 Forecast'!C27</f>
        <v>3</v>
      </c>
      <c r="D8" s="46">
        <f>'F2024 Forecast'!D27</f>
        <v>3</v>
      </c>
      <c r="E8" s="46">
        <f>'F2024 Forecast'!E27</f>
        <v>3</v>
      </c>
      <c r="F8" s="46">
        <f>'F2024 Forecast'!F27</f>
        <v>3</v>
      </c>
      <c r="G8" s="46">
        <f>'F2024 Forecast'!G27</f>
        <v>3</v>
      </c>
      <c r="H8" s="46">
        <f>'F2024 Forecast'!H27</f>
        <v>3</v>
      </c>
      <c r="I8" s="46">
        <f>'F2024 Forecast'!I27</f>
        <v>3</v>
      </c>
      <c r="J8" s="46">
        <f>'F2024 Forecast'!J27</f>
        <v>3</v>
      </c>
      <c r="K8" s="46">
        <f>'F2024 Forecast'!K27</f>
        <v>3</v>
      </c>
      <c r="L8" s="46">
        <f>'F2024 Forecast'!L27</f>
        <v>3</v>
      </c>
      <c r="M8" s="46">
        <f>'F2024 Forecast'!M27</f>
        <v>3</v>
      </c>
      <c r="N8" s="40">
        <f>SUM(B8:M8)</f>
        <v>36</v>
      </c>
    </row>
    <row r="9" spans="1:14" x14ac:dyDescent="0.25">
      <c r="A9" s="34">
        <v>23</v>
      </c>
      <c r="B9" s="46">
        <f>'F2024 Forecast'!B28</f>
        <v>819697</v>
      </c>
      <c r="C9" s="46">
        <f>'F2024 Forecast'!C28</f>
        <v>819697</v>
      </c>
      <c r="D9" s="46">
        <f>'F2024 Forecast'!D28</f>
        <v>819697</v>
      </c>
      <c r="E9" s="46">
        <f>'F2024 Forecast'!E28</f>
        <v>819697</v>
      </c>
      <c r="F9" s="46">
        <f>'F2024 Forecast'!F28</f>
        <v>819697</v>
      </c>
      <c r="G9" s="46">
        <f>'F2024 Forecast'!G28</f>
        <v>819697</v>
      </c>
      <c r="H9" s="46">
        <f>'F2024 Forecast'!H28</f>
        <v>819697</v>
      </c>
      <c r="I9" s="46">
        <f>'F2024 Forecast'!I28</f>
        <v>819697</v>
      </c>
      <c r="J9" s="46">
        <f>'F2024 Forecast'!J28</f>
        <v>819697</v>
      </c>
      <c r="K9" s="46">
        <f>'F2024 Forecast'!K28</f>
        <v>819697</v>
      </c>
      <c r="L9" s="46">
        <f>'F2024 Forecast'!L28</f>
        <v>819697</v>
      </c>
      <c r="M9" s="46">
        <f>'F2024 Forecast'!M28</f>
        <v>819697</v>
      </c>
      <c r="N9" s="40">
        <f t="shared" ref="N9:N22" si="8">SUM(B9:M9)</f>
        <v>9836364</v>
      </c>
    </row>
    <row r="10" spans="1:14" x14ac:dyDescent="0.25">
      <c r="A10" s="34">
        <v>53</v>
      </c>
      <c r="B10" s="46">
        <f>'F2024 Forecast'!B29</f>
        <v>0</v>
      </c>
      <c r="C10" s="46">
        <f>'F2024 Forecast'!C29</f>
        <v>0</v>
      </c>
      <c r="D10" s="46">
        <f>'F2024 Forecast'!D29</f>
        <v>0</v>
      </c>
      <c r="E10" s="46">
        <f>'F2024 Forecast'!E29</f>
        <v>0</v>
      </c>
      <c r="F10" s="46">
        <f>'F2024 Forecast'!F29</f>
        <v>0</v>
      </c>
      <c r="G10" s="46">
        <f>'F2024 Forecast'!G29</f>
        <v>0</v>
      </c>
      <c r="H10" s="46">
        <f>'F2024 Forecast'!H29</f>
        <v>0</v>
      </c>
      <c r="I10" s="46">
        <f>'F2024 Forecast'!I29</f>
        <v>0</v>
      </c>
      <c r="J10" s="46">
        <f>'F2024 Forecast'!J29</f>
        <v>0</v>
      </c>
      <c r="K10" s="46">
        <f>'F2024 Forecast'!K29</f>
        <v>0</v>
      </c>
      <c r="L10" s="46">
        <f>'F2024 Forecast'!L29</f>
        <v>0</v>
      </c>
      <c r="M10" s="46">
        <f>'F2024 Forecast'!M29</f>
        <v>0</v>
      </c>
      <c r="N10" s="40">
        <f t="shared" si="8"/>
        <v>0</v>
      </c>
    </row>
    <row r="11" spans="1:14" x14ac:dyDescent="0.25">
      <c r="A11" s="34">
        <v>31</v>
      </c>
      <c r="B11" s="46">
        <f>'F2024 Forecast'!B30</f>
        <v>58101</v>
      </c>
      <c r="C11" s="46">
        <f>'F2024 Forecast'!C30</f>
        <v>58109</v>
      </c>
      <c r="D11" s="46">
        <f>'F2024 Forecast'!D30</f>
        <v>58111</v>
      </c>
      <c r="E11" s="46">
        <f>'F2024 Forecast'!E30</f>
        <v>58111</v>
      </c>
      <c r="F11" s="46">
        <f>'F2024 Forecast'!F30</f>
        <v>58115</v>
      </c>
      <c r="G11" s="46">
        <f>'F2024 Forecast'!G30</f>
        <v>58112</v>
      </c>
      <c r="H11" s="46">
        <f>'F2024 Forecast'!H30</f>
        <v>58116</v>
      </c>
      <c r="I11" s="46">
        <f>'F2024 Forecast'!I30</f>
        <v>58118</v>
      </c>
      <c r="J11" s="46">
        <f>'F2024 Forecast'!J30</f>
        <v>58117</v>
      </c>
      <c r="K11" s="46">
        <f>'F2024 Forecast'!K30</f>
        <v>58114</v>
      </c>
      <c r="L11" s="46">
        <f>'F2024 Forecast'!L30</f>
        <v>58113</v>
      </c>
      <c r="M11" s="46">
        <f>'F2024 Forecast'!M30</f>
        <v>58131</v>
      </c>
      <c r="N11" s="40">
        <f t="shared" si="8"/>
        <v>697368</v>
      </c>
    </row>
    <row r="12" spans="1:14" x14ac:dyDescent="0.25">
      <c r="A12" s="34">
        <v>41</v>
      </c>
      <c r="B12" s="46">
        <f>'F2024 Forecast'!B31</f>
        <v>1295</v>
      </c>
      <c r="C12" s="46">
        <f>'F2024 Forecast'!C31</f>
        <v>1291</v>
      </c>
      <c r="D12" s="46">
        <f>'F2024 Forecast'!D31</f>
        <v>1291</v>
      </c>
      <c r="E12" s="46">
        <f>'F2024 Forecast'!E31</f>
        <v>1289</v>
      </c>
      <c r="F12" s="46">
        <f>'F2024 Forecast'!F31</f>
        <v>1286</v>
      </c>
      <c r="G12" s="46">
        <f>'F2024 Forecast'!G31</f>
        <v>1283</v>
      </c>
      <c r="H12" s="46">
        <f>'F2024 Forecast'!H31</f>
        <v>1280</v>
      </c>
      <c r="I12" s="46">
        <f>'F2024 Forecast'!I31</f>
        <v>1281</v>
      </c>
      <c r="J12" s="46">
        <f>'F2024 Forecast'!J31</f>
        <v>1283</v>
      </c>
      <c r="K12" s="46">
        <f>'F2024 Forecast'!K31</f>
        <v>1285</v>
      </c>
      <c r="L12" s="46">
        <f>'F2024 Forecast'!L31</f>
        <v>1289</v>
      </c>
      <c r="M12" s="46">
        <f>'F2024 Forecast'!M31</f>
        <v>1278</v>
      </c>
      <c r="N12" s="40">
        <f t="shared" si="8"/>
        <v>15431</v>
      </c>
    </row>
    <row r="13" spans="1:14" x14ac:dyDescent="0.25">
      <c r="A13" s="34">
        <v>85</v>
      </c>
      <c r="B13" s="46">
        <f>'F2024 Forecast'!B32</f>
        <v>30</v>
      </c>
      <c r="C13" s="46">
        <f>'F2024 Forecast'!C32</f>
        <v>30</v>
      </c>
      <c r="D13" s="46">
        <f>'F2024 Forecast'!D32</f>
        <v>30</v>
      </c>
      <c r="E13" s="46">
        <f>'F2024 Forecast'!E32</f>
        <v>30</v>
      </c>
      <c r="F13" s="46">
        <f>'F2024 Forecast'!F32</f>
        <v>30</v>
      </c>
      <c r="G13" s="46">
        <f>'F2024 Forecast'!G32</f>
        <v>30</v>
      </c>
      <c r="H13" s="46">
        <f>'F2024 Forecast'!H32</f>
        <v>30</v>
      </c>
      <c r="I13" s="46">
        <f>'F2024 Forecast'!I32</f>
        <v>30</v>
      </c>
      <c r="J13" s="46">
        <f>'F2024 Forecast'!J32</f>
        <v>30</v>
      </c>
      <c r="K13" s="46">
        <f>'F2024 Forecast'!K32</f>
        <v>30</v>
      </c>
      <c r="L13" s="46">
        <f>'F2024 Forecast'!L32</f>
        <v>30</v>
      </c>
      <c r="M13" s="46">
        <f>'F2024 Forecast'!M32</f>
        <v>30</v>
      </c>
      <c r="N13" s="40">
        <f t="shared" si="8"/>
        <v>360</v>
      </c>
    </row>
    <row r="14" spans="1:14" x14ac:dyDescent="0.25">
      <c r="A14" s="34">
        <v>86</v>
      </c>
      <c r="B14" s="46">
        <f>'F2024 Forecast'!B33</f>
        <v>98</v>
      </c>
      <c r="C14" s="46">
        <f>'F2024 Forecast'!C33</f>
        <v>97</v>
      </c>
      <c r="D14" s="46">
        <f>'F2024 Forecast'!D33</f>
        <v>97</v>
      </c>
      <c r="E14" s="46">
        <f>'F2024 Forecast'!E33</f>
        <v>97</v>
      </c>
      <c r="F14" s="46">
        <f>'F2024 Forecast'!F33</f>
        <v>96</v>
      </c>
      <c r="G14" s="46">
        <f>'F2024 Forecast'!G33</f>
        <v>96</v>
      </c>
      <c r="H14" s="46">
        <f>'F2024 Forecast'!H33</f>
        <v>95</v>
      </c>
      <c r="I14" s="46">
        <f>'F2024 Forecast'!I33</f>
        <v>95</v>
      </c>
      <c r="J14" s="46">
        <f>'F2024 Forecast'!J33</f>
        <v>95</v>
      </c>
      <c r="K14" s="46">
        <f>'F2024 Forecast'!K33</f>
        <v>94</v>
      </c>
      <c r="L14" s="46">
        <f>'F2024 Forecast'!L33</f>
        <v>94</v>
      </c>
      <c r="M14" s="46">
        <f>'F2024 Forecast'!M33</f>
        <v>93</v>
      </c>
      <c r="N14" s="40">
        <f t="shared" si="8"/>
        <v>1147</v>
      </c>
    </row>
    <row r="15" spans="1:14" x14ac:dyDescent="0.25">
      <c r="A15" s="34">
        <v>87</v>
      </c>
      <c r="B15" s="46">
        <f>'F2024 Forecast'!B34</f>
        <v>4</v>
      </c>
      <c r="C15" s="46">
        <f>'F2024 Forecast'!C34</f>
        <v>4</v>
      </c>
      <c r="D15" s="46">
        <f>'F2024 Forecast'!D34</f>
        <v>4</v>
      </c>
      <c r="E15" s="46">
        <f>'F2024 Forecast'!E34</f>
        <v>4</v>
      </c>
      <c r="F15" s="46">
        <f>'F2024 Forecast'!F34</f>
        <v>4</v>
      </c>
      <c r="G15" s="46">
        <f>'F2024 Forecast'!G34</f>
        <v>4</v>
      </c>
      <c r="H15" s="46">
        <f>'F2024 Forecast'!H34</f>
        <v>4</v>
      </c>
      <c r="I15" s="46">
        <f>'F2024 Forecast'!I34</f>
        <v>4</v>
      </c>
      <c r="J15" s="46">
        <f>'F2024 Forecast'!J34</f>
        <v>4</v>
      </c>
      <c r="K15" s="46">
        <f>'F2024 Forecast'!K34</f>
        <v>4</v>
      </c>
      <c r="L15" s="46">
        <f>'F2024 Forecast'!L34</f>
        <v>4</v>
      </c>
      <c r="M15" s="46">
        <f>'F2024 Forecast'!M34</f>
        <v>4</v>
      </c>
      <c r="N15" s="40">
        <f t="shared" si="8"/>
        <v>48</v>
      </c>
    </row>
    <row r="16" spans="1:14" x14ac:dyDescent="0.25">
      <c r="A16" s="34" t="s">
        <v>27</v>
      </c>
      <c r="B16" s="46">
        <f>'F2024 Forecast'!B35</f>
        <v>1</v>
      </c>
      <c r="C16" s="46">
        <f>'F2024 Forecast'!C35</f>
        <v>1</v>
      </c>
      <c r="D16" s="46">
        <f>'F2024 Forecast'!D35</f>
        <v>1</v>
      </c>
      <c r="E16" s="46">
        <f>'F2024 Forecast'!E35</f>
        <v>1</v>
      </c>
      <c r="F16" s="46">
        <f>'F2024 Forecast'!F35</f>
        <v>1</v>
      </c>
      <c r="G16" s="46">
        <f>'F2024 Forecast'!G35</f>
        <v>1</v>
      </c>
      <c r="H16" s="46">
        <f>'F2024 Forecast'!H35</f>
        <v>1</v>
      </c>
      <c r="I16" s="46">
        <f>'F2024 Forecast'!I35</f>
        <v>1</v>
      </c>
      <c r="J16" s="46">
        <f>'F2024 Forecast'!J35</f>
        <v>1</v>
      </c>
      <c r="K16" s="46">
        <f>'F2024 Forecast'!K35</f>
        <v>1</v>
      </c>
      <c r="L16" s="46">
        <f>'F2024 Forecast'!L35</f>
        <v>1</v>
      </c>
      <c r="M16" s="46">
        <f>'F2024 Forecast'!M35</f>
        <v>1</v>
      </c>
      <c r="N16" s="40">
        <f t="shared" si="8"/>
        <v>12</v>
      </c>
    </row>
    <row r="17" spans="1:14" x14ac:dyDescent="0.25">
      <c r="A17" s="34" t="s">
        <v>29</v>
      </c>
      <c r="B17" s="46">
        <f>'F2024 Forecast'!B36</f>
        <v>94</v>
      </c>
      <c r="C17" s="46">
        <f>'F2024 Forecast'!C36</f>
        <v>94</v>
      </c>
      <c r="D17" s="46">
        <f>'F2024 Forecast'!D36</f>
        <v>94</v>
      </c>
      <c r="E17" s="46">
        <f>'F2024 Forecast'!E36</f>
        <v>94</v>
      </c>
      <c r="F17" s="46">
        <f>'F2024 Forecast'!F36</f>
        <v>94</v>
      </c>
      <c r="G17" s="46">
        <f>'F2024 Forecast'!G36</f>
        <v>94</v>
      </c>
      <c r="H17" s="46">
        <f>'F2024 Forecast'!H36</f>
        <v>94</v>
      </c>
      <c r="I17" s="46">
        <f>'F2024 Forecast'!I36</f>
        <v>94</v>
      </c>
      <c r="J17" s="46">
        <f>'F2024 Forecast'!J36</f>
        <v>94</v>
      </c>
      <c r="K17" s="46">
        <f>'F2024 Forecast'!K36</f>
        <v>94</v>
      </c>
      <c r="L17" s="46">
        <f>'F2024 Forecast'!L36</f>
        <v>94</v>
      </c>
      <c r="M17" s="46">
        <f>'F2024 Forecast'!M36</f>
        <v>94</v>
      </c>
      <c r="N17" s="40">
        <f t="shared" si="8"/>
        <v>1128</v>
      </c>
    </row>
    <row r="18" spans="1:14" x14ac:dyDescent="0.25">
      <c r="A18" s="34" t="s">
        <v>31</v>
      </c>
      <c r="B18" s="46">
        <f>'F2024 Forecast'!B37</f>
        <v>76</v>
      </c>
      <c r="C18" s="46">
        <f>'F2024 Forecast'!C37</f>
        <v>76</v>
      </c>
      <c r="D18" s="46">
        <f>'F2024 Forecast'!D37</f>
        <v>76</v>
      </c>
      <c r="E18" s="46">
        <f>'F2024 Forecast'!E37</f>
        <v>76</v>
      </c>
      <c r="F18" s="46">
        <f>'F2024 Forecast'!F37</f>
        <v>76</v>
      </c>
      <c r="G18" s="46">
        <f>'F2024 Forecast'!G37</f>
        <v>76</v>
      </c>
      <c r="H18" s="46">
        <f>'F2024 Forecast'!H37</f>
        <v>76</v>
      </c>
      <c r="I18" s="46">
        <f>'F2024 Forecast'!I37</f>
        <v>76</v>
      </c>
      <c r="J18" s="46">
        <f>'F2024 Forecast'!J37</f>
        <v>76</v>
      </c>
      <c r="K18" s="46">
        <f>'F2024 Forecast'!K37</f>
        <v>76</v>
      </c>
      <c r="L18" s="46">
        <f>'F2024 Forecast'!L37</f>
        <v>76</v>
      </c>
      <c r="M18" s="46">
        <f>'F2024 Forecast'!M37</f>
        <v>76</v>
      </c>
      <c r="N18" s="40">
        <f t="shared" si="8"/>
        <v>912</v>
      </c>
    </row>
    <row r="19" spans="1:14" x14ac:dyDescent="0.25">
      <c r="A19" s="34" t="s">
        <v>33</v>
      </c>
      <c r="B19" s="46">
        <f>'F2024 Forecast'!B38</f>
        <v>5</v>
      </c>
      <c r="C19" s="46">
        <f>'F2024 Forecast'!C38</f>
        <v>5</v>
      </c>
      <c r="D19" s="46">
        <f>'F2024 Forecast'!D38</f>
        <v>5</v>
      </c>
      <c r="E19" s="46">
        <f>'F2024 Forecast'!E38</f>
        <v>5</v>
      </c>
      <c r="F19" s="46">
        <f>'F2024 Forecast'!F38</f>
        <v>5</v>
      </c>
      <c r="G19" s="46">
        <f>'F2024 Forecast'!G38</f>
        <v>5</v>
      </c>
      <c r="H19" s="46">
        <f>'F2024 Forecast'!H38</f>
        <v>5</v>
      </c>
      <c r="I19" s="46">
        <f>'F2024 Forecast'!I38</f>
        <v>5</v>
      </c>
      <c r="J19" s="46">
        <f>'F2024 Forecast'!J38</f>
        <v>5</v>
      </c>
      <c r="K19" s="46">
        <f>'F2024 Forecast'!K38</f>
        <v>5</v>
      </c>
      <c r="L19" s="46">
        <f>'F2024 Forecast'!L38</f>
        <v>5</v>
      </c>
      <c r="M19" s="46">
        <f>'F2024 Forecast'!M38</f>
        <v>5</v>
      </c>
      <c r="N19" s="40">
        <f t="shared" si="8"/>
        <v>60</v>
      </c>
    </row>
    <row r="20" spans="1:14" x14ac:dyDescent="0.25">
      <c r="A20" s="34" t="s">
        <v>35</v>
      </c>
      <c r="B20" s="46">
        <f>'F2024 Forecast'!B39</f>
        <v>14</v>
      </c>
      <c r="C20" s="46">
        <f>'F2024 Forecast'!C39</f>
        <v>14</v>
      </c>
      <c r="D20" s="46">
        <f>'F2024 Forecast'!D39</f>
        <v>14</v>
      </c>
      <c r="E20" s="46">
        <f>'F2024 Forecast'!E39</f>
        <v>14</v>
      </c>
      <c r="F20" s="46">
        <f>'F2024 Forecast'!F39</f>
        <v>14</v>
      </c>
      <c r="G20" s="46">
        <f>'F2024 Forecast'!G39</f>
        <v>14</v>
      </c>
      <c r="H20" s="46">
        <f>'F2024 Forecast'!H39</f>
        <v>14</v>
      </c>
      <c r="I20" s="46">
        <f>'F2024 Forecast'!I39</f>
        <v>14</v>
      </c>
      <c r="J20" s="46">
        <f>'F2024 Forecast'!J39</f>
        <v>14</v>
      </c>
      <c r="K20" s="46">
        <f>'F2024 Forecast'!K39</f>
        <v>14</v>
      </c>
      <c r="L20" s="46">
        <f>'F2024 Forecast'!L39</f>
        <v>14</v>
      </c>
      <c r="M20" s="46">
        <f>'F2024 Forecast'!M39</f>
        <v>14</v>
      </c>
      <c r="N20" s="40">
        <f t="shared" si="8"/>
        <v>168</v>
      </c>
    </row>
    <row r="21" spans="1:14" x14ac:dyDescent="0.25">
      <c r="A21" s="34" t="s">
        <v>232</v>
      </c>
      <c r="B21" s="46">
        <f>'F2024 Forecast'!B40</f>
        <v>1</v>
      </c>
      <c r="C21" s="46">
        <f>'F2024 Forecast'!C40</f>
        <v>1</v>
      </c>
      <c r="D21" s="46">
        <f>'F2024 Forecast'!D40</f>
        <v>1</v>
      </c>
      <c r="E21" s="46">
        <f>'F2024 Forecast'!E40</f>
        <v>1</v>
      </c>
      <c r="F21" s="46">
        <f>'F2024 Forecast'!F40</f>
        <v>1</v>
      </c>
      <c r="G21" s="46">
        <f>'F2024 Forecast'!G40</f>
        <v>1</v>
      </c>
      <c r="H21" s="46">
        <f>'F2024 Forecast'!H40</f>
        <v>1</v>
      </c>
      <c r="I21" s="46">
        <f>'F2024 Forecast'!I40</f>
        <v>1</v>
      </c>
      <c r="J21" s="46">
        <f>'F2024 Forecast'!J40</f>
        <v>1</v>
      </c>
      <c r="K21" s="46">
        <f>'F2024 Forecast'!K40</f>
        <v>1</v>
      </c>
      <c r="L21" s="46">
        <f>'F2024 Forecast'!L40</f>
        <v>1</v>
      </c>
      <c r="M21" s="46">
        <f>'F2024 Forecast'!M40</f>
        <v>1</v>
      </c>
      <c r="N21" s="40">
        <f t="shared" si="8"/>
        <v>12</v>
      </c>
    </row>
    <row r="22" spans="1:14" x14ac:dyDescent="0.25">
      <c r="A22" s="41" t="s">
        <v>36</v>
      </c>
      <c r="B22" s="46">
        <f>'F2024 Forecast'!B41</f>
        <v>9</v>
      </c>
      <c r="C22" s="46">
        <f>'F2024 Forecast'!C41</f>
        <v>9</v>
      </c>
      <c r="D22" s="46">
        <f>'F2024 Forecast'!D41</f>
        <v>9</v>
      </c>
      <c r="E22" s="46">
        <f>'F2024 Forecast'!E41</f>
        <v>9</v>
      </c>
      <c r="F22" s="46">
        <f>'F2024 Forecast'!F41</f>
        <v>9</v>
      </c>
      <c r="G22" s="46">
        <f>'F2024 Forecast'!G41</f>
        <v>9</v>
      </c>
      <c r="H22" s="46">
        <f>'F2024 Forecast'!H41</f>
        <v>9</v>
      </c>
      <c r="I22" s="46">
        <f>'F2024 Forecast'!I41</f>
        <v>9</v>
      </c>
      <c r="J22" s="46">
        <f>'F2024 Forecast'!J41</f>
        <v>9</v>
      </c>
      <c r="K22" s="46">
        <f>'F2024 Forecast'!K41</f>
        <v>9</v>
      </c>
      <c r="L22" s="46">
        <f>'F2024 Forecast'!L41</f>
        <v>9</v>
      </c>
      <c r="M22" s="46">
        <f>'F2024 Forecast'!M41</f>
        <v>9</v>
      </c>
      <c r="N22" s="40">
        <f t="shared" si="8"/>
        <v>108</v>
      </c>
    </row>
    <row r="23" spans="1:14" x14ac:dyDescent="0.25">
      <c r="A23" s="42" t="s">
        <v>2</v>
      </c>
      <c r="B23" s="43">
        <f>SUM(B8:B22)</f>
        <v>879428</v>
      </c>
      <c r="C23" s="43">
        <f t="shared" ref="C23:N23" si="9">SUM(C8:C22)</f>
        <v>879431</v>
      </c>
      <c r="D23" s="43">
        <f t="shared" si="9"/>
        <v>879433</v>
      </c>
      <c r="E23" s="43">
        <f t="shared" si="9"/>
        <v>879431</v>
      </c>
      <c r="F23" s="43">
        <f t="shared" si="9"/>
        <v>879431</v>
      </c>
      <c r="G23" s="43">
        <f t="shared" si="9"/>
        <v>879425</v>
      </c>
      <c r="H23" s="43">
        <f t="shared" si="9"/>
        <v>879425</v>
      </c>
      <c r="I23" s="43">
        <f t="shared" si="9"/>
        <v>879428</v>
      </c>
      <c r="J23" s="43">
        <f t="shared" si="9"/>
        <v>879429</v>
      </c>
      <c r="K23" s="43">
        <f t="shared" si="9"/>
        <v>879427</v>
      </c>
      <c r="L23" s="43">
        <f t="shared" si="9"/>
        <v>879430</v>
      </c>
      <c r="M23" s="43">
        <f t="shared" si="9"/>
        <v>879436</v>
      </c>
      <c r="N23" s="43">
        <f t="shared" si="9"/>
        <v>10553154</v>
      </c>
    </row>
    <row r="24" spans="1:14" x14ac:dyDescent="0.25">
      <c r="A24" s="42"/>
      <c r="B24" s="44"/>
      <c r="C24" s="44"/>
      <c r="D24" s="44"/>
      <c r="E24" s="44"/>
      <c r="F24" s="44"/>
      <c r="G24" s="44"/>
      <c r="H24" s="44"/>
      <c r="I24" s="44"/>
      <c r="J24" s="44"/>
      <c r="K24" s="44"/>
      <c r="L24" s="44"/>
      <c r="M24" s="44"/>
      <c r="N24" s="44"/>
    </row>
    <row r="25" spans="1:14" ht="17.25" x14ac:dyDescent="0.25">
      <c r="A25" s="45" t="s">
        <v>79</v>
      </c>
    </row>
    <row r="26" spans="1:14" x14ac:dyDescent="0.25">
      <c r="A26" s="35" t="s">
        <v>44</v>
      </c>
      <c r="B26" s="37">
        <f>B7</f>
        <v>45658</v>
      </c>
      <c r="C26" s="37">
        <f t="shared" ref="C26:M26" si="10">C7</f>
        <v>45689</v>
      </c>
      <c r="D26" s="37">
        <f t="shared" si="10"/>
        <v>45717</v>
      </c>
      <c r="E26" s="37">
        <f t="shared" si="10"/>
        <v>45748</v>
      </c>
      <c r="F26" s="37">
        <f t="shared" si="10"/>
        <v>45778</v>
      </c>
      <c r="G26" s="37">
        <f t="shared" si="10"/>
        <v>45809</v>
      </c>
      <c r="H26" s="37">
        <f t="shared" si="10"/>
        <v>45839</v>
      </c>
      <c r="I26" s="37">
        <f t="shared" si="10"/>
        <v>45870</v>
      </c>
      <c r="J26" s="37">
        <f t="shared" si="10"/>
        <v>45901</v>
      </c>
      <c r="K26" s="37">
        <f t="shared" si="10"/>
        <v>45931</v>
      </c>
      <c r="L26" s="37">
        <f t="shared" si="10"/>
        <v>45962</v>
      </c>
      <c r="M26" s="37">
        <f t="shared" si="10"/>
        <v>45992</v>
      </c>
      <c r="N26" s="38" t="s">
        <v>2</v>
      </c>
    </row>
    <row r="27" spans="1:14" x14ac:dyDescent="0.25">
      <c r="A27" s="34">
        <v>16</v>
      </c>
      <c r="B27" s="39">
        <v>0</v>
      </c>
      <c r="C27" s="39">
        <v>0</v>
      </c>
      <c r="D27" s="39">
        <v>0</v>
      </c>
      <c r="E27" s="39">
        <v>0</v>
      </c>
      <c r="F27" s="39">
        <v>0</v>
      </c>
      <c r="G27" s="39">
        <v>0</v>
      </c>
      <c r="H27" s="39">
        <v>0</v>
      </c>
      <c r="I27" s="39">
        <v>0</v>
      </c>
      <c r="J27" s="39">
        <v>0</v>
      </c>
      <c r="K27" s="39">
        <v>0</v>
      </c>
      <c r="L27" s="39">
        <v>0</v>
      </c>
      <c r="M27" s="39">
        <v>0</v>
      </c>
      <c r="N27" s="40">
        <f>SUM(B27:M27)</f>
        <v>0</v>
      </c>
    </row>
    <row r="28" spans="1:14" x14ac:dyDescent="0.25">
      <c r="A28" s="34">
        <v>23</v>
      </c>
      <c r="B28" s="39">
        <v>0</v>
      </c>
      <c r="C28" s="39">
        <v>0</v>
      </c>
      <c r="D28" s="39">
        <v>0</v>
      </c>
      <c r="E28" s="39">
        <v>0</v>
      </c>
      <c r="F28" s="39">
        <v>0</v>
      </c>
      <c r="G28" s="39">
        <v>0</v>
      </c>
      <c r="H28" s="39">
        <v>0</v>
      </c>
      <c r="I28" s="39">
        <v>0</v>
      </c>
      <c r="J28" s="39">
        <v>0</v>
      </c>
      <c r="K28" s="39">
        <v>0</v>
      </c>
      <c r="L28" s="39">
        <v>0</v>
      </c>
      <c r="M28" s="39">
        <v>0</v>
      </c>
      <c r="N28" s="40">
        <f t="shared" ref="N28:N41" si="11">SUM(B28:M28)</f>
        <v>0</v>
      </c>
    </row>
    <row r="29" spans="1:14" x14ac:dyDescent="0.25">
      <c r="A29" s="34">
        <v>53</v>
      </c>
      <c r="B29" s="39">
        <v>0</v>
      </c>
      <c r="C29" s="39">
        <v>0</v>
      </c>
      <c r="D29" s="39">
        <v>0</v>
      </c>
      <c r="E29" s="39">
        <v>0</v>
      </c>
      <c r="F29" s="39">
        <v>0</v>
      </c>
      <c r="G29" s="39">
        <v>0</v>
      </c>
      <c r="H29" s="39">
        <v>0</v>
      </c>
      <c r="I29" s="39">
        <v>0</v>
      </c>
      <c r="J29" s="39">
        <v>0</v>
      </c>
      <c r="K29" s="39">
        <v>0</v>
      </c>
      <c r="L29" s="39">
        <v>0</v>
      </c>
      <c r="M29" s="39">
        <v>0</v>
      </c>
      <c r="N29" s="40">
        <f t="shared" si="11"/>
        <v>0</v>
      </c>
    </row>
    <row r="30" spans="1:14" x14ac:dyDescent="0.25">
      <c r="A30" s="34">
        <v>31</v>
      </c>
      <c r="B30" s="39">
        <v>4</v>
      </c>
      <c r="C30" s="39">
        <v>4</v>
      </c>
      <c r="D30" s="39">
        <v>4</v>
      </c>
      <c r="E30" s="39">
        <v>4</v>
      </c>
      <c r="F30" s="39">
        <v>4</v>
      </c>
      <c r="G30" s="39">
        <v>4</v>
      </c>
      <c r="H30" s="39">
        <v>4</v>
      </c>
      <c r="I30" s="39">
        <v>4</v>
      </c>
      <c r="J30" s="39">
        <v>4</v>
      </c>
      <c r="K30" s="39">
        <v>4</v>
      </c>
      <c r="L30" s="39">
        <v>4</v>
      </c>
      <c r="M30" s="39">
        <v>4</v>
      </c>
      <c r="N30" s="40">
        <f>SUM(B30:M30)</f>
        <v>48</v>
      </c>
    </row>
    <row r="31" spans="1:14" x14ac:dyDescent="0.25">
      <c r="A31" s="34">
        <v>41</v>
      </c>
      <c r="B31" s="39">
        <v>2</v>
      </c>
      <c r="C31" s="39">
        <v>2</v>
      </c>
      <c r="D31" s="39">
        <v>2</v>
      </c>
      <c r="E31" s="39">
        <v>2</v>
      </c>
      <c r="F31" s="39">
        <v>2</v>
      </c>
      <c r="G31" s="39">
        <v>2</v>
      </c>
      <c r="H31" s="39">
        <v>2</v>
      </c>
      <c r="I31" s="39">
        <v>2</v>
      </c>
      <c r="J31" s="39">
        <v>2</v>
      </c>
      <c r="K31" s="39">
        <v>2</v>
      </c>
      <c r="L31" s="39">
        <v>2</v>
      </c>
      <c r="M31" s="39">
        <v>2</v>
      </c>
      <c r="N31" s="40">
        <f t="shared" si="11"/>
        <v>24</v>
      </c>
    </row>
    <row r="32" spans="1:14" x14ac:dyDescent="0.25">
      <c r="A32" s="34">
        <v>85</v>
      </c>
      <c r="B32" s="39">
        <v>0</v>
      </c>
      <c r="C32" s="39">
        <v>0</v>
      </c>
      <c r="D32" s="39">
        <v>0</v>
      </c>
      <c r="E32" s="39">
        <v>0</v>
      </c>
      <c r="F32" s="39">
        <v>0</v>
      </c>
      <c r="G32" s="39">
        <v>0</v>
      </c>
      <c r="H32" s="39">
        <v>0</v>
      </c>
      <c r="I32" s="39">
        <v>0</v>
      </c>
      <c r="J32" s="39">
        <v>0</v>
      </c>
      <c r="K32" s="39">
        <v>0</v>
      </c>
      <c r="L32" s="39">
        <v>0</v>
      </c>
      <c r="M32" s="39">
        <v>0</v>
      </c>
      <c r="N32" s="40">
        <f t="shared" si="11"/>
        <v>0</v>
      </c>
    </row>
    <row r="33" spans="1:14" x14ac:dyDescent="0.25">
      <c r="A33" s="34">
        <v>86</v>
      </c>
      <c r="B33" s="39">
        <v>0</v>
      </c>
      <c r="C33" s="39">
        <v>0</v>
      </c>
      <c r="D33" s="39">
        <v>0</v>
      </c>
      <c r="E33" s="39">
        <v>0</v>
      </c>
      <c r="F33" s="39">
        <v>0</v>
      </c>
      <c r="G33" s="39">
        <v>0</v>
      </c>
      <c r="H33" s="39">
        <v>0</v>
      </c>
      <c r="I33" s="39">
        <v>0</v>
      </c>
      <c r="J33" s="39">
        <v>0</v>
      </c>
      <c r="K33" s="39">
        <v>0</v>
      </c>
      <c r="L33" s="39">
        <v>0</v>
      </c>
      <c r="M33" s="39">
        <v>0</v>
      </c>
      <c r="N33" s="40">
        <f t="shared" si="11"/>
        <v>0</v>
      </c>
    </row>
    <row r="34" spans="1:14" x14ac:dyDescent="0.25">
      <c r="A34" s="34">
        <v>87</v>
      </c>
      <c r="B34" s="39">
        <v>1</v>
      </c>
      <c r="C34" s="39">
        <v>1</v>
      </c>
      <c r="D34" s="39">
        <v>1</v>
      </c>
      <c r="E34" s="39">
        <v>1</v>
      </c>
      <c r="F34" s="39">
        <v>1</v>
      </c>
      <c r="G34" s="39">
        <v>1</v>
      </c>
      <c r="H34" s="39">
        <v>1</v>
      </c>
      <c r="I34" s="39">
        <v>1</v>
      </c>
      <c r="J34" s="39">
        <v>1</v>
      </c>
      <c r="K34" s="39">
        <v>1</v>
      </c>
      <c r="L34" s="39">
        <v>1</v>
      </c>
      <c r="M34" s="39">
        <v>1</v>
      </c>
      <c r="N34" s="40">
        <f t="shared" si="11"/>
        <v>12</v>
      </c>
    </row>
    <row r="35" spans="1:14" x14ac:dyDescent="0.25">
      <c r="A35" s="34" t="s">
        <v>27</v>
      </c>
      <c r="B35" s="39">
        <v>0</v>
      </c>
      <c r="C35" s="39">
        <v>0</v>
      </c>
      <c r="D35" s="39">
        <v>0</v>
      </c>
      <c r="E35" s="39">
        <v>0</v>
      </c>
      <c r="F35" s="39">
        <v>0</v>
      </c>
      <c r="G35" s="39">
        <v>0</v>
      </c>
      <c r="H35" s="39">
        <v>0</v>
      </c>
      <c r="I35" s="39">
        <v>0</v>
      </c>
      <c r="J35" s="39">
        <v>0</v>
      </c>
      <c r="K35" s="39">
        <v>0</v>
      </c>
      <c r="L35" s="39">
        <v>0</v>
      </c>
      <c r="M35" s="39">
        <v>0</v>
      </c>
      <c r="N35" s="40">
        <f>SUM(B35:M35)</f>
        <v>0</v>
      </c>
    </row>
    <row r="36" spans="1:14" x14ac:dyDescent="0.25">
      <c r="A36" s="34" t="s">
        <v>29</v>
      </c>
      <c r="B36" s="39">
        <v>0</v>
      </c>
      <c r="C36" s="39">
        <v>0</v>
      </c>
      <c r="D36" s="39">
        <v>0</v>
      </c>
      <c r="E36" s="39">
        <v>0</v>
      </c>
      <c r="F36" s="39">
        <v>0</v>
      </c>
      <c r="G36" s="39">
        <v>0</v>
      </c>
      <c r="H36" s="39">
        <v>0</v>
      </c>
      <c r="I36" s="39">
        <v>0</v>
      </c>
      <c r="J36" s="39">
        <v>0</v>
      </c>
      <c r="K36" s="39">
        <v>0</v>
      </c>
      <c r="L36" s="39">
        <v>0</v>
      </c>
      <c r="M36" s="39">
        <v>0</v>
      </c>
      <c r="N36" s="40">
        <f t="shared" si="11"/>
        <v>0</v>
      </c>
    </row>
    <row r="37" spans="1:14" x14ac:dyDescent="0.25">
      <c r="A37" s="34" t="s">
        <v>31</v>
      </c>
      <c r="B37" s="39">
        <v>1</v>
      </c>
      <c r="C37" s="39">
        <v>1</v>
      </c>
      <c r="D37" s="39">
        <v>1</v>
      </c>
      <c r="E37" s="39">
        <v>1</v>
      </c>
      <c r="F37" s="39">
        <v>1</v>
      </c>
      <c r="G37" s="39">
        <v>1</v>
      </c>
      <c r="H37" s="39">
        <v>1</v>
      </c>
      <c r="I37" s="39">
        <v>1</v>
      </c>
      <c r="J37" s="39">
        <v>1</v>
      </c>
      <c r="K37" s="39">
        <v>1</v>
      </c>
      <c r="L37" s="39">
        <v>1</v>
      </c>
      <c r="M37" s="39">
        <v>1</v>
      </c>
      <c r="N37" s="40">
        <f t="shared" si="11"/>
        <v>12</v>
      </c>
    </row>
    <row r="38" spans="1:14" x14ac:dyDescent="0.25">
      <c r="A38" s="34" t="s">
        <v>33</v>
      </c>
      <c r="B38" s="39">
        <v>0</v>
      </c>
      <c r="C38" s="39">
        <v>0</v>
      </c>
      <c r="D38" s="39">
        <v>0</v>
      </c>
      <c r="E38" s="39">
        <v>0</v>
      </c>
      <c r="F38" s="39">
        <v>0</v>
      </c>
      <c r="G38" s="39">
        <v>0</v>
      </c>
      <c r="H38" s="39">
        <v>0</v>
      </c>
      <c r="I38" s="39">
        <v>0</v>
      </c>
      <c r="J38" s="39">
        <v>0</v>
      </c>
      <c r="K38" s="39">
        <v>0</v>
      </c>
      <c r="L38" s="39">
        <v>0</v>
      </c>
      <c r="M38" s="39">
        <v>0</v>
      </c>
      <c r="N38" s="40">
        <f t="shared" si="11"/>
        <v>0</v>
      </c>
    </row>
    <row r="39" spans="1:14" x14ac:dyDescent="0.25">
      <c r="A39" s="34" t="s">
        <v>35</v>
      </c>
      <c r="B39" s="39">
        <v>6</v>
      </c>
      <c r="C39" s="39">
        <v>6</v>
      </c>
      <c r="D39" s="39">
        <v>6</v>
      </c>
      <c r="E39" s="39">
        <v>6</v>
      </c>
      <c r="F39" s="39">
        <v>6</v>
      </c>
      <c r="G39" s="39">
        <v>6</v>
      </c>
      <c r="H39" s="39">
        <v>6</v>
      </c>
      <c r="I39" s="39">
        <v>6</v>
      </c>
      <c r="J39" s="39">
        <v>6</v>
      </c>
      <c r="K39" s="39">
        <v>6</v>
      </c>
      <c r="L39" s="39">
        <v>6</v>
      </c>
      <c r="M39" s="39">
        <v>6</v>
      </c>
      <c r="N39" s="40">
        <f t="shared" si="11"/>
        <v>72</v>
      </c>
    </row>
    <row r="40" spans="1:14" x14ac:dyDescent="0.25">
      <c r="A40" s="34" t="s">
        <v>232</v>
      </c>
      <c r="B40" s="39">
        <v>0</v>
      </c>
      <c r="C40" s="39">
        <v>0</v>
      </c>
      <c r="D40" s="39">
        <v>0</v>
      </c>
      <c r="E40" s="39">
        <v>0</v>
      </c>
      <c r="F40" s="39">
        <v>0</v>
      </c>
      <c r="G40" s="39">
        <v>0</v>
      </c>
      <c r="H40" s="39">
        <v>0</v>
      </c>
      <c r="I40" s="39">
        <v>0</v>
      </c>
      <c r="J40" s="39">
        <v>0</v>
      </c>
      <c r="K40" s="39">
        <v>0</v>
      </c>
      <c r="L40" s="39">
        <v>0</v>
      </c>
      <c r="M40" s="39">
        <v>0</v>
      </c>
      <c r="N40" s="40">
        <f t="shared" si="11"/>
        <v>0</v>
      </c>
    </row>
    <row r="41" spans="1:14" x14ac:dyDescent="0.25">
      <c r="A41" s="41" t="s">
        <v>36</v>
      </c>
      <c r="B41" s="39">
        <v>2</v>
      </c>
      <c r="C41" s="39">
        <v>2</v>
      </c>
      <c r="D41" s="39">
        <v>2</v>
      </c>
      <c r="E41" s="39">
        <v>2</v>
      </c>
      <c r="F41" s="39">
        <v>2</v>
      </c>
      <c r="G41" s="39">
        <v>2</v>
      </c>
      <c r="H41" s="39">
        <v>2</v>
      </c>
      <c r="I41" s="39">
        <v>2</v>
      </c>
      <c r="J41" s="39">
        <v>2</v>
      </c>
      <c r="K41" s="39">
        <v>2</v>
      </c>
      <c r="L41" s="39">
        <v>2</v>
      </c>
      <c r="M41" s="39">
        <v>2</v>
      </c>
      <c r="N41" s="40">
        <f t="shared" si="11"/>
        <v>24</v>
      </c>
    </row>
    <row r="42" spans="1:14" x14ac:dyDescent="0.25">
      <c r="A42" s="42" t="s">
        <v>2</v>
      </c>
      <c r="B42" s="43">
        <f>SUM(B27:B41)</f>
        <v>16</v>
      </c>
      <c r="C42" s="43">
        <f t="shared" ref="C42:N42" si="12">SUM(C27:C41)</f>
        <v>16</v>
      </c>
      <c r="D42" s="43">
        <f t="shared" si="12"/>
        <v>16</v>
      </c>
      <c r="E42" s="43">
        <f t="shared" si="12"/>
        <v>16</v>
      </c>
      <c r="F42" s="43">
        <f t="shared" si="12"/>
        <v>16</v>
      </c>
      <c r="G42" s="43">
        <f t="shared" si="12"/>
        <v>16</v>
      </c>
      <c r="H42" s="43">
        <f t="shared" si="12"/>
        <v>16</v>
      </c>
      <c r="I42" s="43">
        <f t="shared" si="12"/>
        <v>16</v>
      </c>
      <c r="J42" s="43">
        <f t="shared" si="12"/>
        <v>16</v>
      </c>
      <c r="K42" s="43">
        <f t="shared" si="12"/>
        <v>16</v>
      </c>
      <c r="L42" s="43">
        <f t="shared" si="12"/>
        <v>16</v>
      </c>
      <c r="M42" s="43">
        <f t="shared" si="12"/>
        <v>16</v>
      </c>
      <c r="N42" s="43">
        <f t="shared" si="12"/>
        <v>192</v>
      </c>
    </row>
    <row r="44" spans="1:14" ht="17.25" x14ac:dyDescent="0.25">
      <c r="A44" s="45" t="s">
        <v>74</v>
      </c>
    </row>
    <row r="45" spans="1:14" x14ac:dyDescent="0.25">
      <c r="A45" s="35" t="s">
        <v>44</v>
      </c>
      <c r="B45" s="37">
        <f>B7</f>
        <v>45658</v>
      </c>
      <c r="C45" s="37">
        <f t="shared" ref="C45:M45" si="13">C7</f>
        <v>45689</v>
      </c>
      <c r="D45" s="37">
        <f t="shared" si="13"/>
        <v>45717</v>
      </c>
      <c r="E45" s="37">
        <f t="shared" si="13"/>
        <v>45748</v>
      </c>
      <c r="F45" s="37">
        <f t="shared" si="13"/>
        <v>45778</v>
      </c>
      <c r="G45" s="37">
        <f t="shared" si="13"/>
        <v>45809</v>
      </c>
      <c r="H45" s="37">
        <f t="shared" si="13"/>
        <v>45839</v>
      </c>
      <c r="I45" s="37">
        <f t="shared" si="13"/>
        <v>45870</v>
      </c>
      <c r="J45" s="37">
        <f t="shared" si="13"/>
        <v>45901</v>
      </c>
      <c r="K45" s="37">
        <f t="shared" si="13"/>
        <v>45931</v>
      </c>
      <c r="L45" s="37">
        <f t="shared" si="13"/>
        <v>45962</v>
      </c>
      <c r="M45" s="37">
        <f t="shared" si="13"/>
        <v>45992</v>
      </c>
      <c r="N45" s="38" t="s">
        <v>2</v>
      </c>
    </row>
    <row r="46" spans="1:14" x14ac:dyDescent="0.25">
      <c r="A46" s="34">
        <v>16</v>
      </c>
      <c r="B46" s="39">
        <v>0</v>
      </c>
      <c r="C46" s="39">
        <v>0</v>
      </c>
      <c r="D46" s="39">
        <v>0</v>
      </c>
      <c r="E46" s="39">
        <v>0</v>
      </c>
      <c r="F46" s="39">
        <v>0</v>
      </c>
      <c r="G46" s="39">
        <v>0</v>
      </c>
      <c r="H46" s="39">
        <v>0</v>
      </c>
      <c r="I46" s="39">
        <v>0</v>
      </c>
      <c r="J46" s="39">
        <v>0</v>
      </c>
      <c r="K46" s="39">
        <v>0</v>
      </c>
      <c r="L46" s="39">
        <v>0</v>
      </c>
      <c r="M46" s="39">
        <v>0</v>
      </c>
      <c r="N46" s="40">
        <f>SUM(B46:M46)</f>
        <v>0</v>
      </c>
    </row>
    <row r="47" spans="1:14" x14ac:dyDescent="0.25">
      <c r="A47" s="34">
        <v>23</v>
      </c>
      <c r="B47" s="39">
        <v>0</v>
      </c>
      <c r="C47" s="39">
        <v>0</v>
      </c>
      <c r="D47" s="39">
        <v>0</v>
      </c>
      <c r="E47" s="39">
        <v>0</v>
      </c>
      <c r="F47" s="39">
        <v>0</v>
      </c>
      <c r="G47" s="39">
        <v>0</v>
      </c>
      <c r="H47" s="39">
        <v>0</v>
      </c>
      <c r="I47" s="39">
        <v>0</v>
      </c>
      <c r="J47" s="39">
        <v>0</v>
      </c>
      <c r="K47" s="39">
        <v>0</v>
      </c>
      <c r="L47" s="39">
        <v>0</v>
      </c>
      <c r="M47" s="39">
        <v>0</v>
      </c>
      <c r="N47" s="40">
        <f t="shared" ref="N47:N60" si="14">SUM(B47:M47)</f>
        <v>0</v>
      </c>
    </row>
    <row r="48" spans="1:14" x14ac:dyDescent="0.25">
      <c r="A48" s="34">
        <v>53</v>
      </c>
      <c r="B48" s="39">
        <v>0</v>
      </c>
      <c r="C48" s="39">
        <v>0</v>
      </c>
      <c r="D48" s="39">
        <v>0</v>
      </c>
      <c r="E48" s="39">
        <v>0</v>
      </c>
      <c r="F48" s="39">
        <v>0</v>
      </c>
      <c r="G48" s="39">
        <v>0</v>
      </c>
      <c r="H48" s="39">
        <v>0</v>
      </c>
      <c r="I48" s="39">
        <v>0</v>
      </c>
      <c r="J48" s="39">
        <v>0</v>
      </c>
      <c r="K48" s="39">
        <v>0</v>
      </c>
      <c r="L48" s="39">
        <v>0</v>
      </c>
      <c r="M48" s="39">
        <v>0</v>
      </c>
      <c r="N48" s="40">
        <f t="shared" si="14"/>
        <v>0</v>
      </c>
    </row>
    <row r="49" spans="1:14" x14ac:dyDescent="0.25">
      <c r="A49" s="34">
        <v>31</v>
      </c>
      <c r="B49" s="39">
        <v>531</v>
      </c>
      <c r="C49" s="39">
        <v>531</v>
      </c>
      <c r="D49" s="39">
        <v>531</v>
      </c>
      <c r="E49" s="39">
        <v>531</v>
      </c>
      <c r="F49" s="39">
        <v>531</v>
      </c>
      <c r="G49" s="39">
        <v>531</v>
      </c>
      <c r="H49" s="39">
        <v>531</v>
      </c>
      <c r="I49" s="39">
        <v>531</v>
      </c>
      <c r="J49" s="39">
        <v>531</v>
      </c>
      <c r="K49" s="39">
        <v>531</v>
      </c>
      <c r="L49" s="39">
        <v>531</v>
      </c>
      <c r="M49" s="39">
        <v>531</v>
      </c>
      <c r="N49" s="40">
        <f t="shared" si="14"/>
        <v>6372</v>
      </c>
    </row>
    <row r="50" spans="1:14" x14ac:dyDescent="0.25">
      <c r="A50" s="34">
        <v>41</v>
      </c>
      <c r="B50" s="39">
        <v>0</v>
      </c>
      <c r="C50" s="39">
        <v>0</v>
      </c>
      <c r="D50" s="39">
        <v>0</v>
      </c>
      <c r="E50" s="39">
        <v>0</v>
      </c>
      <c r="F50" s="39">
        <v>0</v>
      </c>
      <c r="G50" s="39">
        <v>0</v>
      </c>
      <c r="H50" s="39">
        <v>0</v>
      </c>
      <c r="I50" s="39">
        <v>0</v>
      </c>
      <c r="J50" s="39">
        <v>0</v>
      </c>
      <c r="K50" s="39">
        <v>0</v>
      </c>
      <c r="L50" s="39">
        <v>0</v>
      </c>
      <c r="M50" s="39">
        <v>0</v>
      </c>
      <c r="N50" s="40">
        <f t="shared" si="14"/>
        <v>0</v>
      </c>
    </row>
    <row r="51" spans="1:14" x14ac:dyDescent="0.25">
      <c r="A51" s="34">
        <v>85</v>
      </c>
      <c r="B51" s="39">
        <v>1</v>
      </c>
      <c r="C51" s="39">
        <v>1</v>
      </c>
      <c r="D51" s="39">
        <v>1</v>
      </c>
      <c r="E51" s="39">
        <v>1</v>
      </c>
      <c r="F51" s="39">
        <v>1</v>
      </c>
      <c r="G51" s="39">
        <v>1</v>
      </c>
      <c r="H51" s="39">
        <v>1</v>
      </c>
      <c r="I51" s="39">
        <v>1</v>
      </c>
      <c r="J51" s="39">
        <v>1</v>
      </c>
      <c r="K51" s="39">
        <v>1</v>
      </c>
      <c r="L51" s="39">
        <v>1</v>
      </c>
      <c r="M51" s="39">
        <v>1</v>
      </c>
      <c r="N51" s="40">
        <f t="shared" si="14"/>
        <v>12</v>
      </c>
    </row>
    <row r="52" spans="1:14" x14ac:dyDescent="0.25">
      <c r="A52" s="34">
        <v>86</v>
      </c>
      <c r="B52" s="39">
        <v>0</v>
      </c>
      <c r="C52" s="39">
        <v>0</v>
      </c>
      <c r="D52" s="39">
        <v>0</v>
      </c>
      <c r="E52" s="39">
        <v>0</v>
      </c>
      <c r="F52" s="39">
        <v>0</v>
      </c>
      <c r="G52" s="39">
        <v>0</v>
      </c>
      <c r="H52" s="39">
        <v>0</v>
      </c>
      <c r="I52" s="39">
        <v>0</v>
      </c>
      <c r="J52" s="39">
        <v>0</v>
      </c>
      <c r="K52" s="39">
        <v>0</v>
      </c>
      <c r="L52" s="39">
        <v>0</v>
      </c>
      <c r="M52" s="39">
        <v>0</v>
      </c>
      <c r="N52" s="40">
        <f t="shared" si="14"/>
        <v>0</v>
      </c>
    </row>
    <row r="53" spans="1:14" x14ac:dyDescent="0.25">
      <c r="A53" s="34">
        <v>87</v>
      </c>
      <c r="B53" s="39">
        <v>2</v>
      </c>
      <c r="C53" s="39">
        <v>2</v>
      </c>
      <c r="D53" s="39">
        <v>2</v>
      </c>
      <c r="E53" s="39">
        <v>2</v>
      </c>
      <c r="F53" s="39">
        <v>2</v>
      </c>
      <c r="G53" s="39">
        <v>2</v>
      </c>
      <c r="H53" s="39">
        <v>2</v>
      </c>
      <c r="I53" s="39">
        <v>2</v>
      </c>
      <c r="J53" s="39">
        <v>2</v>
      </c>
      <c r="K53" s="39">
        <v>2</v>
      </c>
      <c r="L53" s="39">
        <v>2</v>
      </c>
      <c r="M53" s="39">
        <v>2</v>
      </c>
      <c r="N53" s="40">
        <f t="shared" si="14"/>
        <v>24</v>
      </c>
    </row>
    <row r="54" spans="1:14" x14ac:dyDescent="0.25">
      <c r="A54" s="34" t="s">
        <v>27</v>
      </c>
      <c r="B54" s="39">
        <v>0</v>
      </c>
      <c r="C54" s="39">
        <v>0</v>
      </c>
      <c r="D54" s="39">
        <v>0</v>
      </c>
      <c r="E54" s="39">
        <v>0</v>
      </c>
      <c r="F54" s="39">
        <v>0</v>
      </c>
      <c r="G54" s="39">
        <v>0</v>
      </c>
      <c r="H54" s="39">
        <v>0</v>
      </c>
      <c r="I54" s="39">
        <v>0</v>
      </c>
      <c r="J54" s="39">
        <v>0</v>
      </c>
      <c r="K54" s="39">
        <v>0</v>
      </c>
      <c r="L54" s="39">
        <v>0</v>
      </c>
      <c r="M54" s="39">
        <v>0</v>
      </c>
      <c r="N54" s="40">
        <f t="shared" si="14"/>
        <v>0</v>
      </c>
    </row>
    <row r="55" spans="1:14" x14ac:dyDescent="0.25">
      <c r="A55" s="34" t="s">
        <v>29</v>
      </c>
      <c r="B55" s="39">
        <v>0</v>
      </c>
      <c r="C55" s="39">
        <v>0</v>
      </c>
      <c r="D55" s="39">
        <v>0</v>
      </c>
      <c r="E55" s="39">
        <v>0</v>
      </c>
      <c r="F55" s="39">
        <v>0</v>
      </c>
      <c r="G55" s="39">
        <v>0</v>
      </c>
      <c r="H55" s="39">
        <v>0</v>
      </c>
      <c r="I55" s="39">
        <v>0</v>
      </c>
      <c r="J55" s="39">
        <v>0</v>
      </c>
      <c r="K55" s="39">
        <v>0</v>
      </c>
      <c r="L55" s="39">
        <v>0</v>
      </c>
      <c r="M55" s="39">
        <v>0</v>
      </c>
      <c r="N55" s="40">
        <f t="shared" si="14"/>
        <v>0</v>
      </c>
    </row>
    <row r="56" spans="1:14" x14ac:dyDescent="0.25">
      <c r="A56" s="34" t="s">
        <v>31</v>
      </c>
      <c r="B56" s="39">
        <v>0</v>
      </c>
      <c r="C56" s="39">
        <v>0</v>
      </c>
      <c r="D56" s="39">
        <v>0</v>
      </c>
      <c r="E56" s="39">
        <v>0</v>
      </c>
      <c r="F56" s="39">
        <v>0</v>
      </c>
      <c r="G56" s="39">
        <v>0</v>
      </c>
      <c r="H56" s="39">
        <v>0</v>
      </c>
      <c r="I56" s="39">
        <v>0</v>
      </c>
      <c r="J56" s="39">
        <v>0</v>
      </c>
      <c r="K56" s="39">
        <v>0</v>
      </c>
      <c r="L56" s="39">
        <v>0</v>
      </c>
      <c r="M56" s="39">
        <v>0</v>
      </c>
      <c r="N56" s="40">
        <f t="shared" si="14"/>
        <v>0</v>
      </c>
    </row>
    <row r="57" spans="1:14" x14ac:dyDescent="0.25">
      <c r="A57" s="34" t="s">
        <v>33</v>
      </c>
      <c r="B57" s="39">
        <v>0</v>
      </c>
      <c r="C57" s="39">
        <v>0</v>
      </c>
      <c r="D57" s="39">
        <v>0</v>
      </c>
      <c r="E57" s="39">
        <v>0</v>
      </c>
      <c r="F57" s="39">
        <v>0</v>
      </c>
      <c r="G57" s="39">
        <v>0</v>
      </c>
      <c r="H57" s="39">
        <v>0</v>
      </c>
      <c r="I57" s="39">
        <v>0</v>
      </c>
      <c r="J57" s="39">
        <v>0</v>
      </c>
      <c r="K57" s="39">
        <v>0</v>
      </c>
      <c r="L57" s="39">
        <v>0</v>
      </c>
      <c r="M57" s="39">
        <v>0</v>
      </c>
      <c r="N57" s="40">
        <f t="shared" si="14"/>
        <v>0</v>
      </c>
    </row>
    <row r="58" spans="1:14" x14ac:dyDescent="0.25">
      <c r="A58" s="34" t="s">
        <v>35</v>
      </c>
      <c r="B58" s="39">
        <v>0</v>
      </c>
      <c r="C58" s="39">
        <v>0</v>
      </c>
      <c r="D58" s="39">
        <v>0</v>
      </c>
      <c r="E58" s="39">
        <v>0</v>
      </c>
      <c r="F58" s="39">
        <v>0</v>
      </c>
      <c r="G58" s="39">
        <v>0</v>
      </c>
      <c r="H58" s="39">
        <v>0</v>
      </c>
      <c r="I58" s="39">
        <v>0</v>
      </c>
      <c r="J58" s="39">
        <v>0</v>
      </c>
      <c r="K58" s="39">
        <v>0</v>
      </c>
      <c r="L58" s="39">
        <v>0</v>
      </c>
      <c r="M58" s="39">
        <v>0</v>
      </c>
      <c r="N58" s="40">
        <f t="shared" si="14"/>
        <v>0</v>
      </c>
    </row>
    <row r="59" spans="1:14" x14ac:dyDescent="0.25">
      <c r="A59" s="34" t="s">
        <v>232</v>
      </c>
      <c r="B59" s="39">
        <v>0</v>
      </c>
      <c r="C59" s="39">
        <v>0</v>
      </c>
      <c r="D59" s="39">
        <v>0</v>
      </c>
      <c r="E59" s="39">
        <v>0</v>
      </c>
      <c r="F59" s="39">
        <v>0</v>
      </c>
      <c r="G59" s="39">
        <v>0</v>
      </c>
      <c r="H59" s="39">
        <v>0</v>
      </c>
      <c r="I59" s="39">
        <v>0</v>
      </c>
      <c r="J59" s="39">
        <v>0</v>
      </c>
      <c r="K59" s="39">
        <v>0</v>
      </c>
      <c r="L59" s="39">
        <v>0</v>
      </c>
      <c r="M59" s="39">
        <v>0</v>
      </c>
      <c r="N59" s="40">
        <f t="shared" si="14"/>
        <v>0</v>
      </c>
    </row>
    <row r="60" spans="1:14" x14ac:dyDescent="0.25">
      <c r="A60" s="41" t="s">
        <v>36</v>
      </c>
      <c r="B60" s="39">
        <v>0</v>
      </c>
      <c r="C60" s="39">
        <v>0</v>
      </c>
      <c r="D60" s="39">
        <v>0</v>
      </c>
      <c r="E60" s="39">
        <v>0</v>
      </c>
      <c r="F60" s="39">
        <v>0</v>
      </c>
      <c r="G60" s="39">
        <v>0</v>
      </c>
      <c r="H60" s="39">
        <v>0</v>
      </c>
      <c r="I60" s="39">
        <v>0</v>
      </c>
      <c r="J60" s="39">
        <v>0</v>
      </c>
      <c r="K60" s="39">
        <v>0</v>
      </c>
      <c r="L60" s="39">
        <v>0</v>
      </c>
      <c r="M60" s="39">
        <v>0</v>
      </c>
      <c r="N60" s="40">
        <f t="shared" si="14"/>
        <v>0</v>
      </c>
    </row>
    <row r="61" spans="1:14" x14ac:dyDescent="0.25">
      <c r="A61" s="42" t="s">
        <v>2</v>
      </c>
      <c r="B61" s="43">
        <f>SUM(B46:B60)</f>
        <v>534</v>
      </c>
      <c r="C61" s="43">
        <f t="shared" ref="C61:N61" si="15">SUM(C46:C60)</f>
        <v>534</v>
      </c>
      <c r="D61" s="43">
        <f t="shared" si="15"/>
        <v>534</v>
      </c>
      <c r="E61" s="43">
        <f t="shared" si="15"/>
        <v>534</v>
      </c>
      <c r="F61" s="43">
        <f t="shared" si="15"/>
        <v>534</v>
      </c>
      <c r="G61" s="43">
        <f t="shared" si="15"/>
        <v>534</v>
      </c>
      <c r="H61" s="43">
        <f t="shared" si="15"/>
        <v>534</v>
      </c>
      <c r="I61" s="43">
        <f t="shared" si="15"/>
        <v>534</v>
      </c>
      <c r="J61" s="43">
        <f t="shared" si="15"/>
        <v>534</v>
      </c>
      <c r="K61" s="43">
        <f t="shared" si="15"/>
        <v>534</v>
      </c>
      <c r="L61" s="43">
        <f t="shared" si="15"/>
        <v>534</v>
      </c>
      <c r="M61" s="43">
        <f t="shared" si="15"/>
        <v>534</v>
      </c>
      <c r="N61" s="43">
        <f t="shared" si="15"/>
        <v>6408</v>
      </c>
    </row>
    <row r="63" spans="1:14" ht="17.25" x14ac:dyDescent="0.25">
      <c r="A63" s="45" t="s">
        <v>75</v>
      </c>
    </row>
    <row r="64" spans="1:14" x14ac:dyDescent="0.25">
      <c r="A64" s="35" t="s">
        <v>44</v>
      </c>
      <c r="B64" s="37">
        <f>B7</f>
        <v>45658</v>
      </c>
      <c r="C64" s="37">
        <f t="shared" ref="C64:M64" si="16">C7</f>
        <v>45689</v>
      </c>
      <c r="D64" s="37">
        <f t="shared" si="16"/>
        <v>45717</v>
      </c>
      <c r="E64" s="37">
        <f t="shared" si="16"/>
        <v>45748</v>
      </c>
      <c r="F64" s="37">
        <f t="shared" si="16"/>
        <v>45778</v>
      </c>
      <c r="G64" s="37">
        <f t="shared" si="16"/>
        <v>45809</v>
      </c>
      <c r="H64" s="37">
        <f t="shared" si="16"/>
        <v>45839</v>
      </c>
      <c r="I64" s="37">
        <f t="shared" si="16"/>
        <v>45870</v>
      </c>
      <c r="J64" s="37">
        <f t="shared" si="16"/>
        <v>45901</v>
      </c>
      <c r="K64" s="37">
        <f t="shared" si="16"/>
        <v>45931</v>
      </c>
      <c r="L64" s="37">
        <f t="shared" si="16"/>
        <v>45962</v>
      </c>
      <c r="M64" s="37">
        <f t="shared" si="16"/>
        <v>45992</v>
      </c>
      <c r="N64" s="38" t="s">
        <v>2</v>
      </c>
    </row>
    <row r="65" spans="1:14" x14ac:dyDescent="0.25">
      <c r="A65" s="34">
        <v>16</v>
      </c>
      <c r="B65" s="39">
        <v>0</v>
      </c>
      <c r="C65" s="39">
        <v>0</v>
      </c>
      <c r="D65" s="39">
        <v>0</v>
      </c>
      <c r="E65" s="39">
        <v>0</v>
      </c>
      <c r="F65" s="39">
        <v>0</v>
      </c>
      <c r="G65" s="39">
        <v>0</v>
      </c>
      <c r="H65" s="39">
        <v>0</v>
      </c>
      <c r="I65" s="39">
        <v>0</v>
      </c>
      <c r="J65" s="39">
        <v>0</v>
      </c>
      <c r="K65" s="39">
        <v>0</v>
      </c>
      <c r="L65" s="39">
        <v>0</v>
      </c>
      <c r="M65" s="39">
        <v>0</v>
      </c>
      <c r="N65" s="40">
        <f>SUM(B65:M65)</f>
        <v>0</v>
      </c>
    </row>
    <row r="66" spans="1:14" x14ac:dyDescent="0.25">
      <c r="A66" s="34">
        <v>23</v>
      </c>
      <c r="B66" s="39">
        <v>0</v>
      </c>
      <c r="C66" s="39">
        <v>0</v>
      </c>
      <c r="D66" s="39">
        <v>0</v>
      </c>
      <c r="E66" s="39">
        <v>0</v>
      </c>
      <c r="F66" s="39">
        <v>0</v>
      </c>
      <c r="G66" s="39">
        <v>0</v>
      </c>
      <c r="H66" s="39">
        <v>0</v>
      </c>
      <c r="I66" s="39">
        <v>0</v>
      </c>
      <c r="J66" s="39">
        <v>0</v>
      </c>
      <c r="K66" s="39">
        <v>0</v>
      </c>
      <c r="L66" s="39">
        <v>0</v>
      </c>
      <c r="M66" s="39">
        <v>0</v>
      </c>
      <c r="N66" s="40">
        <f t="shared" ref="N66:N79" si="17">SUM(B66:M66)</f>
        <v>0</v>
      </c>
    </row>
    <row r="67" spans="1:14" x14ac:dyDescent="0.25">
      <c r="A67" s="34">
        <v>53</v>
      </c>
      <c r="B67" s="39">
        <v>0</v>
      </c>
      <c r="C67" s="39">
        <v>0</v>
      </c>
      <c r="D67" s="39">
        <v>0</v>
      </c>
      <c r="E67" s="39">
        <v>0</v>
      </c>
      <c r="F67" s="39">
        <v>0</v>
      </c>
      <c r="G67" s="39">
        <v>0</v>
      </c>
      <c r="H67" s="39">
        <v>0</v>
      </c>
      <c r="I67" s="39">
        <v>0</v>
      </c>
      <c r="J67" s="39">
        <v>0</v>
      </c>
      <c r="K67" s="39">
        <v>0</v>
      </c>
      <c r="L67" s="39">
        <v>0</v>
      </c>
      <c r="M67" s="39">
        <v>0</v>
      </c>
      <c r="N67" s="40">
        <f t="shared" si="17"/>
        <v>0</v>
      </c>
    </row>
    <row r="68" spans="1:14" x14ac:dyDescent="0.25">
      <c r="A68" s="34">
        <v>31</v>
      </c>
      <c r="B68" s="39">
        <v>0</v>
      </c>
      <c r="C68" s="39">
        <v>0</v>
      </c>
      <c r="D68" s="39">
        <v>0</v>
      </c>
      <c r="E68" s="39">
        <v>0</v>
      </c>
      <c r="F68" s="39">
        <v>0</v>
      </c>
      <c r="G68" s="39">
        <v>0</v>
      </c>
      <c r="H68" s="39">
        <v>0</v>
      </c>
      <c r="I68" s="39">
        <v>0</v>
      </c>
      <c r="J68" s="39">
        <v>0</v>
      </c>
      <c r="K68" s="39">
        <v>0</v>
      </c>
      <c r="L68" s="39">
        <v>0</v>
      </c>
      <c r="M68" s="39">
        <v>0</v>
      </c>
      <c r="N68" s="40">
        <f t="shared" si="17"/>
        <v>0</v>
      </c>
    </row>
    <row r="69" spans="1:14" x14ac:dyDescent="0.25">
      <c r="A69" s="34">
        <v>41</v>
      </c>
      <c r="B69" s="39">
        <v>0</v>
      </c>
      <c r="C69" s="39">
        <v>0</v>
      </c>
      <c r="D69" s="39">
        <v>0</v>
      </c>
      <c r="E69" s="39">
        <v>0</v>
      </c>
      <c r="F69" s="39">
        <v>0</v>
      </c>
      <c r="G69" s="39">
        <v>0</v>
      </c>
      <c r="H69" s="39">
        <v>0</v>
      </c>
      <c r="I69" s="39">
        <v>0</v>
      </c>
      <c r="J69" s="39">
        <v>0</v>
      </c>
      <c r="K69" s="39">
        <v>0</v>
      </c>
      <c r="L69" s="39">
        <v>0</v>
      </c>
      <c r="M69" s="39">
        <v>0</v>
      </c>
      <c r="N69" s="40">
        <f t="shared" si="17"/>
        <v>0</v>
      </c>
    </row>
    <row r="70" spans="1:14" x14ac:dyDescent="0.25">
      <c r="A70" s="34">
        <v>85</v>
      </c>
      <c r="B70" s="39">
        <v>0</v>
      </c>
      <c r="C70" s="39">
        <v>0</v>
      </c>
      <c r="D70" s="39">
        <v>0</v>
      </c>
      <c r="E70" s="39">
        <v>0</v>
      </c>
      <c r="F70" s="39">
        <v>0</v>
      </c>
      <c r="G70" s="39">
        <v>0</v>
      </c>
      <c r="H70" s="39">
        <v>0</v>
      </c>
      <c r="I70" s="39">
        <v>0</v>
      </c>
      <c r="J70" s="39">
        <v>0</v>
      </c>
      <c r="K70" s="39">
        <v>0</v>
      </c>
      <c r="L70" s="39">
        <v>0</v>
      </c>
      <c r="M70" s="39">
        <v>0</v>
      </c>
      <c r="N70" s="40">
        <f t="shared" si="17"/>
        <v>0</v>
      </c>
    </row>
    <row r="71" spans="1:14" x14ac:dyDescent="0.25">
      <c r="A71" s="34">
        <v>86</v>
      </c>
      <c r="B71" s="39">
        <v>0</v>
      </c>
      <c r="C71" s="39">
        <v>0</v>
      </c>
      <c r="D71" s="39">
        <v>0</v>
      </c>
      <c r="E71" s="39">
        <v>0</v>
      </c>
      <c r="F71" s="39">
        <v>0</v>
      </c>
      <c r="G71" s="39">
        <v>0</v>
      </c>
      <c r="H71" s="39">
        <v>0</v>
      </c>
      <c r="I71" s="39">
        <v>0</v>
      </c>
      <c r="J71" s="39">
        <v>0</v>
      </c>
      <c r="K71" s="39">
        <v>0</v>
      </c>
      <c r="L71" s="39">
        <v>0</v>
      </c>
      <c r="M71" s="39">
        <v>0</v>
      </c>
      <c r="N71" s="40">
        <f t="shared" si="17"/>
        <v>0</v>
      </c>
    </row>
    <row r="72" spans="1:14" x14ac:dyDescent="0.25">
      <c r="A72" s="34">
        <v>87</v>
      </c>
      <c r="B72" s="39">
        <v>0</v>
      </c>
      <c r="C72" s="39">
        <v>0</v>
      </c>
      <c r="D72" s="39">
        <v>0</v>
      </c>
      <c r="E72" s="39">
        <v>0</v>
      </c>
      <c r="F72" s="39">
        <v>0</v>
      </c>
      <c r="G72" s="39">
        <v>0</v>
      </c>
      <c r="H72" s="39">
        <v>0</v>
      </c>
      <c r="I72" s="39">
        <v>0</v>
      </c>
      <c r="J72" s="39">
        <v>0</v>
      </c>
      <c r="K72" s="39">
        <v>0</v>
      </c>
      <c r="L72" s="39">
        <v>0</v>
      </c>
      <c r="M72" s="39">
        <v>0</v>
      </c>
      <c r="N72" s="40">
        <f t="shared" si="17"/>
        <v>0</v>
      </c>
    </row>
    <row r="73" spans="1:14" x14ac:dyDescent="0.25">
      <c r="A73" s="34" t="s">
        <v>27</v>
      </c>
      <c r="B73" s="39">
        <v>0</v>
      </c>
      <c r="C73" s="39">
        <v>0</v>
      </c>
      <c r="D73" s="39">
        <v>0</v>
      </c>
      <c r="E73" s="39">
        <v>0</v>
      </c>
      <c r="F73" s="39">
        <v>0</v>
      </c>
      <c r="G73" s="39">
        <v>0</v>
      </c>
      <c r="H73" s="39">
        <v>0</v>
      </c>
      <c r="I73" s="39">
        <v>0</v>
      </c>
      <c r="J73" s="39">
        <v>0</v>
      </c>
      <c r="K73" s="39">
        <v>0</v>
      </c>
      <c r="L73" s="39">
        <v>0</v>
      </c>
      <c r="M73" s="39">
        <v>0</v>
      </c>
      <c r="N73" s="40">
        <f t="shared" si="17"/>
        <v>0</v>
      </c>
    </row>
    <row r="74" spans="1:14" x14ac:dyDescent="0.25">
      <c r="A74" s="34" t="s">
        <v>29</v>
      </c>
      <c r="B74" s="39">
        <v>0</v>
      </c>
      <c r="C74" s="39">
        <v>0</v>
      </c>
      <c r="D74" s="39">
        <v>0</v>
      </c>
      <c r="E74" s="39">
        <v>0</v>
      </c>
      <c r="F74" s="39">
        <v>0</v>
      </c>
      <c r="G74" s="39">
        <v>0</v>
      </c>
      <c r="H74" s="39">
        <v>0</v>
      </c>
      <c r="I74" s="39">
        <v>0</v>
      </c>
      <c r="J74" s="39">
        <v>0</v>
      </c>
      <c r="K74" s="39">
        <v>0</v>
      </c>
      <c r="L74" s="39">
        <v>0</v>
      </c>
      <c r="M74" s="39">
        <v>0</v>
      </c>
      <c r="N74" s="40">
        <f t="shared" si="17"/>
        <v>0</v>
      </c>
    </row>
    <row r="75" spans="1:14" x14ac:dyDescent="0.25">
      <c r="A75" s="34" t="s">
        <v>31</v>
      </c>
      <c r="B75" s="39">
        <v>0</v>
      </c>
      <c r="C75" s="39">
        <v>0</v>
      </c>
      <c r="D75" s="39">
        <v>0</v>
      </c>
      <c r="E75" s="39">
        <v>0</v>
      </c>
      <c r="F75" s="39">
        <v>0</v>
      </c>
      <c r="G75" s="39">
        <v>0</v>
      </c>
      <c r="H75" s="39">
        <v>0</v>
      </c>
      <c r="I75" s="39">
        <v>0</v>
      </c>
      <c r="J75" s="39">
        <v>0</v>
      </c>
      <c r="K75" s="39">
        <v>0</v>
      </c>
      <c r="L75" s="39">
        <v>0</v>
      </c>
      <c r="M75" s="39">
        <v>0</v>
      </c>
      <c r="N75" s="40">
        <f t="shared" si="17"/>
        <v>0</v>
      </c>
    </row>
    <row r="76" spans="1:14" x14ac:dyDescent="0.25">
      <c r="A76" s="34" t="s">
        <v>33</v>
      </c>
      <c r="B76" s="39">
        <v>0</v>
      </c>
      <c r="C76" s="39">
        <v>0</v>
      </c>
      <c r="D76" s="39">
        <v>0</v>
      </c>
      <c r="E76" s="39">
        <v>0</v>
      </c>
      <c r="F76" s="39">
        <v>0</v>
      </c>
      <c r="G76" s="39">
        <v>0</v>
      </c>
      <c r="H76" s="39">
        <v>0</v>
      </c>
      <c r="I76" s="39">
        <v>0</v>
      </c>
      <c r="J76" s="39">
        <v>0</v>
      </c>
      <c r="K76" s="39">
        <v>0</v>
      </c>
      <c r="L76" s="39">
        <v>0</v>
      </c>
      <c r="M76" s="39">
        <v>0</v>
      </c>
      <c r="N76" s="40">
        <f t="shared" si="17"/>
        <v>0</v>
      </c>
    </row>
    <row r="77" spans="1:14" x14ac:dyDescent="0.25">
      <c r="A77" s="34" t="s">
        <v>35</v>
      </c>
      <c r="B77" s="39">
        <v>0</v>
      </c>
      <c r="C77" s="39">
        <v>0</v>
      </c>
      <c r="D77" s="39">
        <v>0</v>
      </c>
      <c r="E77" s="39">
        <v>0</v>
      </c>
      <c r="F77" s="39">
        <v>0</v>
      </c>
      <c r="G77" s="39">
        <v>0</v>
      </c>
      <c r="H77" s="39">
        <v>0</v>
      </c>
      <c r="I77" s="39">
        <v>0</v>
      </c>
      <c r="J77" s="39">
        <v>0</v>
      </c>
      <c r="K77" s="39">
        <v>0</v>
      </c>
      <c r="L77" s="39">
        <v>0</v>
      </c>
      <c r="M77" s="39">
        <v>0</v>
      </c>
      <c r="N77" s="40">
        <f t="shared" si="17"/>
        <v>0</v>
      </c>
    </row>
    <row r="78" spans="1:14" x14ac:dyDescent="0.25">
      <c r="A78" s="34" t="s">
        <v>232</v>
      </c>
      <c r="B78" s="39">
        <v>0</v>
      </c>
      <c r="C78" s="39">
        <v>0</v>
      </c>
      <c r="D78" s="39">
        <v>0</v>
      </c>
      <c r="E78" s="39">
        <v>0</v>
      </c>
      <c r="F78" s="39">
        <v>0</v>
      </c>
      <c r="G78" s="39">
        <v>0</v>
      </c>
      <c r="H78" s="39">
        <v>0</v>
      </c>
      <c r="I78" s="39">
        <v>0</v>
      </c>
      <c r="J78" s="39">
        <v>0</v>
      </c>
      <c r="K78" s="39">
        <v>0</v>
      </c>
      <c r="L78" s="39">
        <v>0</v>
      </c>
      <c r="M78" s="39">
        <v>0</v>
      </c>
      <c r="N78" s="40">
        <f t="shared" si="17"/>
        <v>0</v>
      </c>
    </row>
    <row r="79" spans="1:14" x14ac:dyDescent="0.25">
      <c r="A79" s="41" t="s">
        <v>36</v>
      </c>
      <c r="B79" s="39">
        <v>0</v>
      </c>
      <c r="C79" s="39">
        <v>0</v>
      </c>
      <c r="D79" s="39">
        <v>0</v>
      </c>
      <c r="E79" s="39">
        <v>0</v>
      </c>
      <c r="F79" s="39">
        <v>0</v>
      </c>
      <c r="G79" s="39">
        <v>0</v>
      </c>
      <c r="H79" s="39">
        <v>0</v>
      </c>
      <c r="I79" s="39">
        <v>0</v>
      </c>
      <c r="J79" s="39">
        <v>0</v>
      </c>
      <c r="K79" s="39">
        <v>0</v>
      </c>
      <c r="L79" s="39">
        <v>0</v>
      </c>
      <c r="M79" s="39">
        <v>0</v>
      </c>
      <c r="N79" s="40">
        <f t="shared" si="17"/>
        <v>0</v>
      </c>
    </row>
    <row r="80" spans="1:14" x14ac:dyDescent="0.25">
      <c r="A80" s="42" t="s">
        <v>2</v>
      </c>
      <c r="B80" s="43">
        <f>SUM(B65:B79)</f>
        <v>0</v>
      </c>
      <c r="C80" s="43">
        <f t="shared" ref="C80:N80" si="18">SUM(C65:C79)</f>
        <v>0</v>
      </c>
      <c r="D80" s="43">
        <f t="shared" si="18"/>
        <v>0</v>
      </c>
      <c r="E80" s="43">
        <f t="shared" si="18"/>
        <v>0</v>
      </c>
      <c r="F80" s="43">
        <f t="shared" si="18"/>
        <v>0</v>
      </c>
      <c r="G80" s="43">
        <f t="shared" si="18"/>
        <v>0</v>
      </c>
      <c r="H80" s="43">
        <f t="shared" si="18"/>
        <v>0</v>
      </c>
      <c r="I80" s="43">
        <f t="shared" si="18"/>
        <v>0</v>
      </c>
      <c r="J80" s="43">
        <f t="shared" si="18"/>
        <v>0</v>
      </c>
      <c r="K80" s="43">
        <f t="shared" si="18"/>
        <v>0</v>
      </c>
      <c r="L80" s="43">
        <f t="shared" si="18"/>
        <v>0</v>
      </c>
      <c r="M80" s="43">
        <f t="shared" si="18"/>
        <v>0</v>
      </c>
      <c r="N80" s="43">
        <f t="shared" si="18"/>
        <v>0</v>
      </c>
    </row>
    <row r="82" spans="1:14" ht="17.25" x14ac:dyDescent="0.25">
      <c r="A82" s="45" t="s">
        <v>76</v>
      </c>
    </row>
    <row r="83" spans="1:14" x14ac:dyDescent="0.25">
      <c r="A83" s="35" t="s">
        <v>44</v>
      </c>
      <c r="B83" s="37">
        <f>B26</f>
        <v>45658</v>
      </c>
      <c r="C83" s="37">
        <f t="shared" ref="C83:M83" si="19">C26</f>
        <v>45689</v>
      </c>
      <c r="D83" s="37">
        <f t="shared" si="19"/>
        <v>45717</v>
      </c>
      <c r="E83" s="37">
        <f t="shared" si="19"/>
        <v>45748</v>
      </c>
      <c r="F83" s="37">
        <f t="shared" si="19"/>
        <v>45778</v>
      </c>
      <c r="G83" s="37">
        <f t="shared" si="19"/>
        <v>45809</v>
      </c>
      <c r="H83" s="37">
        <f t="shared" si="19"/>
        <v>45839</v>
      </c>
      <c r="I83" s="37">
        <f t="shared" si="19"/>
        <v>45870</v>
      </c>
      <c r="J83" s="37">
        <f t="shared" si="19"/>
        <v>45901</v>
      </c>
      <c r="K83" s="37">
        <f t="shared" si="19"/>
        <v>45931</v>
      </c>
      <c r="L83" s="37">
        <f t="shared" si="19"/>
        <v>45962</v>
      </c>
      <c r="M83" s="37">
        <f t="shared" si="19"/>
        <v>45992</v>
      </c>
      <c r="N83" s="38" t="s">
        <v>2</v>
      </c>
    </row>
    <row r="84" spans="1:14" x14ac:dyDescent="0.25">
      <c r="A84" s="34">
        <v>16</v>
      </c>
      <c r="B84" s="46">
        <f>'Low Income Forecast'!B27</f>
        <v>0</v>
      </c>
      <c r="C84" s="46">
        <f>'Low Income Forecast'!C27</f>
        <v>0</v>
      </c>
      <c r="D84" s="46">
        <f>'Low Income Forecast'!D27</f>
        <v>0</v>
      </c>
      <c r="E84" s="46">
        <f>'Low Income Forecast'!E27</f>
        <v>0</v>
      </c>
      <c r="F84" s="46">
        <f>'Low Income Forecast'!F27</f>
        <v>0</v>
      </c>
      <c r="G84" s="46">
        <f>'Low Income Forecast'!G27</f>
        <v>0</v>
      </c>
      <c r="H84" s="46">
        <f>'Low Income Forecast'!H27</f>
        <v>0</v>
      </c>
      <c r="I84" s="46">
        <f>'Low Income Forecast'!I27</f>
        <v>0</v>
      </c>
      <c r="J84" s="46">
        <f>'Low Income Forecast'!J27</f>
        <v>0</v>
      </c>
      <c r="K84" s="46">
        <f>'Low Income Forecast'!K27</f>
        <v>0</v>
      </c>
      <c r="L84" s="46">
        <f>'Low Income Forecast'!L27</f>
        <v>0</v>
      </c>
      <c r="M84" s="46">
        <f>'Low Income Forecast'!M27</f>
        <v>0</v>
      </c>
      <c r="N84" s="40">
        <f>SUM(B84:M84)</f>
        <v>0</v>
      </c>
    </row>
    <row r="85" spans="1:14" x14ac:dyDescent="0.25">
      <c r="A85" s="34">
        <v>23</v>
      </c>
      <c r="B85" s="46">
        <f>'Low Income Forecast'!B28</f>
        <v>26713</v>
      </c>
      <c r="C85" s="46">
        <f>'Low Income Forecast'!C28</f>
        <v>27158</v>
      </c>
      <c r="D85" s="46">
        <f>'Low Income Forecast'!D28</f>
        <v>27611</v>
      </c>
      <c r="E85" s="46">
        <f>'Low Income Forecast'!E28</f>
        <v>28071</v>
      </c>
      <c r="F85" s="46">
        <f>'Low Income Forecast'!F28</f>
        <v>28537</v>
      </c>
      <c r="G85" s="46">
        <f>'Low Income Forecast'!G28</f>
        <v>29014</v>
      </c>
      <c r="H85" s="46">
        <f>'Low Income Forecast'!H28</f>
        <v>29497</v>
      </c>
      <c r="I85" s="46">
        <f>'Low Income Forecast'!I28</f>
        <v>29989</v>
      </c>
      <c r="J85" s="46">
        <f>'Low Income Forecast'!J28</f>
        <v>30488</v>
      </c>
      <c r="K85" s="46">
        <f>'Low Income Forecast'!K28</f>
        <v>30996</v>
      </c>
      <c r="L85" s="46">
        <f>'Low Income Forecast'!L28</f>
        <v>31513</v>
      </c>
      <c r="M85" s="46">
        <f>'Low Income Forecast'!M28</f>
        <v>32038</v>
      </c>
      <c r="N85" s="40">
        <f t="shared" ref="N85:N98" si="20">SUM(B85:M85)</f>
        <v>351625</v>
      </c>
    </row>
    <row r="86" spans="1:14" x14ac:dyDescent="0.25">
      <c r="A86" s="34">
        <v>53</v>
      </c>
      <c r="B86" s="46">
        <f>'Low Income Forecast'!B29</f>
        <v>0</v>
      </c>
      <c r="C86" s="46">
        <f>'Low Income Forecast'!C29</f>
        <v>0</v>
      </c>
      <c r="D86" s="46">
        <f>'Low Income Forecast'!D29</f>
        <v>0</v>
      </c>
      <c r="E86" s="46">
        <f>'Low Income Forecast'!E29</f>
        <v>0</v>
      </c>
      <c r="F86" s="46">
        <f>'Low Income Forecast'!F29</f>
        <v>0</v>
      </c>
      <c r="G86" s="46">
        <f>'Low Income Forecast'!G29</f>
        <v>0</v>
      </c>
      <c r="H86" s="46">
        <f>'Low Income Forecast'!H29</f>
        <v>0</v>
      </c>
      <c r="I86" s="46">
        <f>'Low Income Forecast'!I29</f>
        <v>0</v>
      </c>
      <c r="J86" s="46">
        <f>'Low Income Forecast'!J29</f>
        <v>0</v>
      </c>
      <c r="K86" s="46">
        <f>'Low Income Forecast'!K29</f>
        <v>0</v>
      </c>
      <c r="L86" s="46">
        <f>'Low Income Forecast'!L29</f>
        <v>0</v>
      </c>
      <c r="M86" s="46">
        <f>'Low Income Forecast'!M29</f>
        <v>0</v>
      </c>
      <c r="N86" s="40">
        <f t="shared" si="20"/>
        <v>0</v>
      </c>
    </row>
    <row r="87" spans="1:14" x14ac:dyDescent="0.25">
      <c r="A87" s="34">
        <v>31</v>
      </c>
      <c r="B87" s="46">
        <f>'Low Income Forecast'!B30</f>
        <v>0</v>
      </c>
      <c r="C87" s="46">
        <f>'Low Income Forecast'!C30</f>
        <v>0</v>
      </c>
      <c r="D87" s="46">
        <f>'Low Income Forecast'!D30</f>
        <v>0</v>
      </c>
      <c r="E87" s="46">
        <f>'Low Income Forecast'!E30</f>
        <v>0</v>
      </c>
      <c r="F87" s="46">
        <f>'Low Income Forecast'!F30</f>
        <v>0</v>
      </c>
      <c r="G87" s="46">
        <f>'Low Income Forecast'!G30</f>
        <v>0</v>
      </c>
      <c r="H87" s="46">
        <f>'Low Income Forecast'!H30</f>
        <v>0</v>
      </c>
      <c r="I87" s="46">
        <f>'Low Income Forecast'!I30</f>
        <v>0</v>
      </c>
      <c r="J87" s="46">
        <f>'Low Income Forecast'!J30</f>
        <v>0</v>
      </c>
      <c r="K87" s="46">
        <f>'Low Income Forecast'!K30</f>
        <v>0</v>
      </c>
      <c r="L87" s="46">
        <f>'Low Income Forecast'!L30</f>
        <v>0</v>
      </c>
      <c r="M87" s="46">
        <f>'Low Income Forecast'!M30</f>
        <v>0</v>
      </c>
      <c r="N87" s="40">
        <f t="shared" si="20"/>
        <v>0</v>
      </c>
    </row>
    <row r="88" spans="1:14" x14ac:dyDescent="0.25">
      <c r="A88" s="34">
        <v>41</v>
      </c>
      <c r="B88" s="46">
        <f>'Low Income Forecast'!B31</f>
        <v>0</v>
      </c>
      <c r="C88" s="46">
        <f>'Low Income Forecast'!C31</f>
        <v>0</v>
      </c>
      <c r="D88" s="46">
        <f>'Low Income Forecast'!D31</f>
        <v>0</v>
      </c>
      <c r="E88" s="46">
        <f>'Low Income Forecast'!E31</f>
        <v>0</v>
      </c>
      <c r="F88" s="46">
        <f>'Low Income Forecast'!F31</f>
        <v>0</v>
      </c>
      <c r="G88" s="46">
        <f>'Low Income Forecast'!G31</f>
        <v>0</v>
      </c>
      <c r="H88" s="46">
        <f>'Low Income Forecast'!H31</f>
        <v>0</v>
      </c>
      <c r="I88" s="46">
        <f>'Low Income Forecast'!I31</f>
        <v>0</v>
      </c>
      <c r="J88" s="46">
        <f>'Low Income Forecast'!J31</f>
        <v>0</v>
      </c>
      <c r="K88" s="46">
        <f>'Low Income Forecast'!K31</f>
        <v>0</v>
      </c>
      <c r="L88" s="46">
        <f>'Low Income Forecast'!L31</f>
        <v>0</v>
      </c>
      <c r="M88" s="46">
        <f>'Low Income Forecast'!M31</f>
        <v>0</v>
      </c>
      <c r="N88" s="40">
        <f t="shared" si="20"/>
        <v>0</v>
      </c>
    </row>
    <row r="89" spans="1:14" x14ac:dyDescent="0.25">
      <c r="A89" s="34">
        <v>85</v>
      </c>
      <c r="B89" s="46">
        <f>'Low Income Forecast'!B32</f>
        <v>0</v>
      </c>
      <c r="C89" s="46">
        <f>'Low Income Forecast'!C32</f>
        <v>0</v>
      </c>
      <c r="D89" s="46">
        <f>'Low Income Forecast'!D32</f>
        <v>0</v>
      </c>
      <c r="E89" s="46">
        <f>'Low Income Forecast'!E32</f>
        <v>0</v>
      </c>
      <c r="F89" s="46">
        <f>'Low Income Forecast'!F32</f>
        <v>0</v>
      </c>
      <c r="G89" s="46">
        <f>'Low Income Forecast'!G32</f>
        <v>0</v>
      </c>
      <c r="H89" s="46">
        <f>'Low Income Forecast'!H32</f>
        <v>0</v>
      </c>
      <c r="I89" s="46">
        <f>'Low Income Forecast'!I32</f>
        <v>0</v>
      </c>
      <c r="J89" s="46">
        <f>'Low Income Forecast'!J32</f>
        <v>0</v>
      </c>
      <c r="K89" s="46">
        <f>'Low Income Forecast'!K32</f>
        <v>0</v>
      </c>
      <c r="L89" s="46">
        <f>'Low Income Forecast'!L32</f>
        <v>0</v>
      </c>
      <c r="M89" s="46">
        <f>'Low Income Forecast'!M32</f>
        <v>0</v>
      </c>
      <c r="N89" s="40">
        <f t="shared" si="20"/>
        <v>0</v>
      </c>
    </row>
    <row r="90" spans="1:14" x14ac:dyDescent="0.25">
      <c r="A90" s="34">
        <v>86</v>
      </c>
      <c r="B90" s="46">
        <f>'Low Income Forecast'!B33</f>
        <v>0</v>
      </c>
      <c r="C90" s="46">
        <f>'Low Income Forecast'!C33</f>
        <v>0</v>
      </c>
      <c r="D90" s="46">
        <f>'Low Income Forecast'!D33</f>
        <v>0</v>
      </c>
      <c r="E90" s="46">
        <f>'Low Income Forecast'!E33</f>
        <v>0</v>
      </c>
      <c r="F90" s="46">
        <f>'Low Income Forecast'!F33</f>
        <v>0</v>
      </c>
      <c r="G90" s="46">
        <f>'Low Income Forecast'!G33</f>
        <v>0</v>
      </c>
      <c r="H90" s="46">
        <f>'Low Income Forecast'!H33</f>
        <v>0</v>
      </c>
      <c r="I90" s="46">
        <f>'Low Income Forecast'!I33</f>
        <v>0</v>
      </c>
      <c r="J90" s="46">
        <f>'Low Income Forecast'!J33</f>
        <v>0</v>
      </c>
      <c r="K90" s="46">
        <f>'Low Income Forecast'!K33</f>
        <v>0</v>
      </c>
      <c r="L90" s="46">
        <f>'Low Income Forecast'!L33</f>
        <v>0</v>
      </c>
      <c r="M90" s="46">
        <f>'Low Income Forecast'!M33</f>
        <v>0</v>
      </c>
      <c r="N90" s="40">
        <f t="shared" si="20"/>
        <v>0</v>
      </c>
    </row>
    <row r="91" spans="1:14" x14ac:dyDescent="0.25">
      <c r="A91" s="34">
        <v>87</v>
      </c>
      <c r="B91" s="46">
        <f>'Low Income Forecast'!B34</f>
        <v>0</v>
      </c>
      <c r="C91" s="46">
        <f>'Low Income Forecast'!C34</f>
        <v>0</v>
      </c>
      <c r="D91" s="46">
        <f>'Low Income Forecast'!D34</f>
        <v>0</v>
      </c>
      <c r="E91" s="46">
        <f>'Low Income Forecast'!E34</f>
        <v>0</v>
      </c>
      <c r="F91" s="46">
        <f>'Low Income Forecast'!F34</f>
        <v>0</v>
      </c>
      <c r="G91" s="46">
        <f>'Low Income Forecast'!G34</f>
        <v>0</v>
      </c>
      <c r="H91" s="46">
        <f>'Low Income Forecast'!H34</f>
        <v>0</v>
      </c>
      <c r="I91" s="46">
        <f>'Low Income Forecast'!I34</f>
        <v>0</v>
      </c>
      <c r="J91" s="46">
        <f>'Low Income Forecast'!J34</f>
        <v>0</v>
      </c>
      <c r="K91" s="46">
        <f>'Low Income Forecast'!K34</f>
        <v>0</v>
      </c>
      <c r="L91" s="46">
        <f>'Low Income Forecast'!L34</f>
        <v>0</v>
      </c>
      <c r="M91" s="46">
        <f>'Low Income Forecast'!M34</f>
        <v>0</v>
      </c>
      <c r="N91" s="40">
        <f t="shared" si="20"/>
        <v>0</v>
      </c>
    </row>
    <row r="92" spans="1:14" x14ac:dyDescent="0.25">
      <c r="A92" s="34" t="s">
        <v>27</v>
      </c>
      <c r="B92" s="46">
        <f>'Low Income Forecast'!B35</f>
        <v>0</v>
      </c>
      <c r="C92" s="46">
        <f>'Low Income Forecast'!C35</f>
        <v>0</v>
      </c>
      <c r="D92" s="46">
        <f>'Low Income Forecast'!D35</f>
        <v>0</v>
      </c>
      <c r="E92" s="46">
        <f>'Low Income Forecast'!E35</f>
        <v>0</v>
      </c>
      <c r="F92" s="46">
        <f>'Low Income Forecast'!F35</f>
        <v>0</v>
      </c>
      <c r="G92" s="46">
        <f>'Low Income Forecast'!G35</f>
        <v>0</v>
      </c>
      <c r="H92" s="46">
        <f>'Low Income Forecast'!H35</f>
        <v>0</v>
      </c>
      <c r="I92" s="46">
        <f>'Low Income Forecast'!I35</f>
        <v>0</v>
      </c>
      <c r="J92" s="46">
        <f>'Low Income Forecast'!J35</f>
        <v>0</v>
      </c>
      <c r="K92" s="46">
        <f>'Low Income Forecast'!K35</f>
        <v>0</v>
      </c>
      <c r="L92" s="46">
        <f>'Low Income Forecast'!L35</f>
        <v>0</v>
      </c>
      <c r="M92" s="46">
        <f>'Low Income Forecast'!M35</f>
        <v>0</v>
      </c>
      <c r="N92" s="40">
        <f t="shared" si="20"/>
        <v>0</v>
      </c>
    </row>
    <row r="93" spans="1:14" x14ac:dyDescent="0.25">
      <c r="A93" s="34" t="s">
        <v>29</v>
      </c>
      <c r="B93" s="46">
        <f>'Low Income Forecast'!B36</f>
        <v>0</v>
      </c>
      <c r="C93" s="46">
        <f>'Low Income Forecast'!C36</f>
        <v>0</v>
      </c>
      <c r="D93" s="46">
        <f>'Low Income Forecast'!D36</f>
        <v>0</v>
      </c>
      <c r="E93" s="46">
        <f>'Low Income Forecast'!E36</f>
        <v>0</v>
      </c>
      <c r="F93" s="46">
        <f>'Low Income Forecast'!F36</f>
        <v>0</v>
      </c>
      <c r="G93" s="46">
        <f>'Low Income Forecast'!G36</f>
        <v>0</v>
      </c>
      <c r="H93" s="46">
        <f>'Low Income Forecast'!H36</f>
        <v>0</v>
      </c>
      <c r="I93" s="46">
        <f>'Low Income Forecast'!I36</f>
        <v>0</v>
      </c>
      <c r="J93" s="46">
        <f>'Low Income Forecast'!J36</f>
        <v>0</v>
      </c>
      <c r="K93" s="46">
        <f>'Low Income Forecast'!K36</f>
        <v>0</v>
      </c>
      <c r="L93" s="46">
        <f>'Low Income Forecast'!L36</f>
        <v>0</v>
      </c>
      <c r="M93" s="46">
        <f>'Low Income Forecast'!M36</f>
        <v>0</v>
      </c>
      <c r="N93" s="40">
        <f t="shared" si="20"/>
        <v>0</v>
      </c>
    </row>
    <row r="94" spans="1:14" x14ac:dyDescent="0.25">
      <c r="A94" s="34" t="s">
        <v>31</v>
      </c>
      <c r="B94" s="46">
        <f>'Low Income Forecast'!B37</f>
        <v>0</v>
      </c>
      <c r="C94" s="46">
        <f>'Low Income Forecast'!C37</f>
        <v>0</v>
      </c>
      <c r="D94" s="46">
        <f>'Low Income Forecast'!D37</f>
        <v>0</v>
      </c>
      <c r="E94" s="46">
        <f>'Low Income Forecast'!E37</f>
        <v>0</v>
      </c>
      <c r="F94" s="46">
        <f>'Low Income Forecast'!F37</f>
        <v>0</v>
      </c>
      <c r="G94" s="46">
        <f>'Low Income Forecast'!G37</f>
        <v>0</v>
      </c>
      <c r="H94" s="46">
        <f>'Low Income Forecast'!H37</f>
        <v>0</v>
      </c>
      <c r="I94" s="46">
        <f>'Low Income Forecast'!I37</f>
        <v>0</v>
      </c>
      <c r="J94" s="46">
        <f>'Low Income Forecast'!J37</f>
        <v>0</v>
      </c>
      <c r="K94" s="46">
        <f>'Low Income Forecast'!K37</f>
        <v>0</v>
      </c>
      <c r="L94" s="46">
        <f>'Low Income Forecast'!L37</f>
        <v>0</v>
      </c>
      <c r="M94" s="46">
        <f>'Low Income Forecast'!M37</f>
        <v>0</v>
      </c>
      <c r="N94" s="40">
        <f t="shared" si="20"/>
        <v>0</v>
      </c>
    </row>
    <row r="95" spans="1:14" x14ac:dyDescent="0.25">
      <c r="A95" s="34" t="s">
        <v>33</v>
      </c>
      <c r="B95" s="46">
        <f>'Low Income Forecast'!B38</f>
        <v>0</v>
      </c>
      <c r="C95" s="46">
        <f>'Low Income Forecast'!C38</f>
        <v>0</v>
      </c>
      <c r="D95" s="46">
        <f>'Low Income Forecast'!D38</f>
        <v>0</v>
      </c>
      <c r="E95" s="46">
        <f>'Low Income Forecast'!E38</f>
        <v>0</v>
      </c>
      <c r="F95" s="46">
        <f>'Low Income Forecast'!F38</f>
        <v>0</v>
      </c>
      <c r="G95" s="46">
        <f>'Low Income Forecast'!G38</f>
        <v>0</v>
      </c>
      <c r="H95" s="46">
        <f>'Low Income Forecast'!H38</f>
        <v>0</v>
      </c>
      <c r="I95" s="46">
        <f>'Low Income Forecast'!I38</f>
        <v>0</v>
      </c>
      <c r="J95" s="46">
        <f>'Low Income Forecast'!J38</f>
        <v>0</v>
      </c>
      <c r="K95" s="46">
        <f>'Low Income Forecast'!K38</f>
        <v>0</v>
      </c>
      <c r="L95" s="46">
        <f>'Low Income Forecast'!L38</f>
        <v>0</v>
      </c>
      <c r="M95" s="46">
        <f>'Low Income Forecast'!M38</f>
        <v>0</v>
      </c>
      <c r="N95" s="40">
        <f t="shared" si="20"/>
        <v>0</v>
      </c>
    </row>
    <row r="96" spans="1:14" x14ac:dyDescent="0.25">
      <c r="A96" s="34" t="s">
        <v>35</v>
      </c>
      <c r="B96" s="46">
        <f>'Low Income Forecast'!B39</f>
        <v>0</v>
      </c>
      <c r="C96" s="46">
        <f>'Low Income Forecast'!C39</f>
        <v>0</v>
      </c>
      <c r="D96" s="46">
        <f>'Low Income Forecast'!D39</f>
        <v>0</v>
      </c>
      <c r="E96" s="46">
        <f>'Low Income Forecast'!E39</f>
        <v>0</v>
      </c>
      <c r="F96" s="46">
        <f>'Low Income Forecast'!F39</f>
        <v>0</v>
      </c>
      <c r="G96" s="46">
        <f>'Low Income Forecast'!G39</f>
        <v>0</v>
      </c>
      <c r="H96" s="46">
        <f>'Low Income Forecast'!H39</f>
        <v>0</v>
      </c>
      <c r="I96" s="46">
        <f>'Low Income Forecast'!I39</f>
        <v>0</v>
      </c>
      <c r="J96" s="46">
        <f>'Low Income Forecast'!J39</f>
        <v>0</v>
      </c>
      <c r="K96" s="46">
        <f>'Low Income Forecast'!K39</f>
        <v>0</v>
      </c>
      <c r="L96" s="46">
        <f>'Low Income Forecast'!L39</f>
        <v>0</v>
      </c>
      <c r="M96" s="46">
        <f>'Low Income Forecast'!M39</f>
        <v>0</v>
      </c>
      <c r="N96" s="40">
        <f t="shared" si="20"/>
        <v>0</v>
      </c>
    </row>
    <row r="97" spans="1:14" x14ac:dyDescent="0.25">
      <c r="A97" s="34" t="s">
        <v>232</v>
      </c>
      <c r="B97" s="46">
        <f>'Low Income Forecast'!B40</f>
        <v>0</v>
      </c>
      <c r="C97" s="46">
        <f>'Low Income Forecast'!C40</f>
        <v>0</v>
      </c>
      <c r="D97" s="46">
        <f>'Low Income Forecast'!D40</f>
        <v>0</v>
      </c>
      <c r="E97" s="46">
        <f>'Low Income Forecast'!E40</f>
        <v>0</v>
      </c>
      <c r="F97" s="46">
        <f>'Low Income Forecast'!F40</f>
        <v>0</v>
      </c>
      <c r="G97" s="46">
        <f>'Low Income Forecast'!G40</f>
        <v>0</v>
      </c>
      <c r="H97" s="46">
        <f>'Low Income Forecast'!H40</f>
        <v>0</v>
      </c>
      <c r="I97" s="46">
        <f>'Low Income Forecast'!I40</f>
        <v>0</v>
      </c>
      <c r="J97" s="46">
        <f>'Low Income Forecast'!J40</f>
        <v>0</v>
      </c>
      <c r="K97" s="46">
        <f>'Low Income Forecast'!K40</f>
        <v>0</v>
      </c>
      <c r="L97" s="46">
        <f>'Low Income Forecast'!L40</f>
        <v>0</v>
      </c>
      <c r="M97" s="46">
        <f>'Low Income Forecast'!M40</f>
        <v>0</v>
      </c>
      <c r="N97" s="40">
        <f t="shared" si="20"/>
        <v>0</v>
      </c>
    </row>
    <row r="98" spans="1:14" x14ac:dyDescent="0.25">
      <c r="A98" s="41" t="s">
        <v>36</v>
      </c>
      <c r="B98" s="46">
        <f>'Low Income Forecast'!B41</f>
        <v>0</v>
      </c>
      <c r="C98" s="46">
        <f>'Low Income Forecast'!C41</f>
        <v>0</v>
      </c>
      <c r="D98" s="46">
        <f>'Low Income Forecast'!D41</f>
        <v>0</v>
      </c>
      <c r="E98" s="46">
        <f>'Low Income Forecast'!E41</f>
        <v>0</v>
      </c>
      <c r="F98" s="46">
        <f>'Low Income Forecast'!F41</f>
        <v>0</v>
      </c>
      <c r="G98" s="46">
        <f>'Low Income Forecast'!G41</f>
        <v>0</v>
      </c>
      <c r="H98" s="46">
        <f>'Low Income Forecast'!H41</f>
        <v>0</v>
      </c>
      <c r="I98" s="46">
        <f>'Low Income Forecast'!I41</f>
        <v>0</v>
      </c>
      <c r="J98" s="46">
        <f>'Low Income Forecast'!J41</f>
        <v>0</v>
      </c>
      <c r="K98" s="46">
        <f>'Low Income Forecast'!K41</f>
        <v>0</v>
      </c>
      <c r="L98" s="46">
        <f>'Low Income Forecast'!L41</f>
        <v>0</v>
      </c>
      <c r="M98" s="46">
        <f>'Low Income Forecast'!M41</f>
        <v>0</v>
      </c>
      <c r="N98" s="40">
        <f t="shared" si="20"/>
        <v>0</v>
      </c>
    </row>
    <row r="99" spans="1:14" x14ac:dyDescent="0.25">
      <c r="A99" s="42" t="s">
        <v>2</v>
      </c>
      <c r="B99" s="43">
        <f t="shared" ref="B99:N99" si="21">SUM(B84:B98)</f>
        <v>26713</v>
      </c>
      <c r="C99" s="43">
        <f t="shared" si="21"/>
        <v>27158</v>
      </c>
      <c r="D99" s="43">
        <f t="shared" si="21"/>
        <v>27611</v>
      </c>
      <c r="E99" s="43">
        <f t="shared" si="21"/>
        <v>28071</v>
      </c>
      <c r="F99" s="43">
        <f t="shared" si="21"/>
        <v>28537</v>
      </c>
      <c r="G99" s="43">
        <f t="shared" si="21"/>
        <v>29014</v>
      </c>
      <c r="H99" s="43">
        <f t="shared" si="21"/>
        <v>29497</v>
      </c>
      <c r="I99" s="43">
        <f t="shared" si="21"/>
        <v>29989</v>
      </c>
      <c r="J99" s="43">
        <f t="shared" si="21"/>
        <v>30488</v>
      </c>
      <c r="K99" s="43">
        <f t="shared" si="21"/>
        <v>30996</v>
      </c>
      <c r="L99" s="43">
        <f t="shared" si="21"/>
        <v>31513</v>
      </c>
      <c r="M99" s="43">
        <f t="shared" si="21"/>
        <v>32038</v>
      </c>
      <c r="N99" s="43">
        <f t="shared" si="21"/>
        <v>351625</v>
      </c>
    </row>
    <row r="101" spans="1:14" ht="17.25" x14ac:dyDescent="0.25">
      <c r="A101" s="45" t="s">
        <v>77</v>
      </c>
    </row>
    <row r="102" spans="1:14" x14ac:dyDescent="0.25">
      <c r="A102" s="35" t="s">
        <v>44</v>
      </c>
      <c r="B102" s="37">
        <f t="shared" ref="B102:M102" si="22">B45</f>
        <v>45658</v>
      </c>
      <c r="C102" s="37">
        <f t="shared" si="22"/>
        <v>45689</v>
      </c>
      <c r="D102" s="37">
        <f t="shared" si="22"/>
        <v>45717</v>
      </c>
      <c r="E102" s="37">
        <f t="shared" si="22"/>
        <v>45748</v>
      </c>
      <c r="F102" s="37">
        <f t="shared" si="22"/>
        <v>45778</v>
      </c>
      <c r="G102" s="37">
        <f t="shared" si="22"/>
        <v>45809</v>
      </c>
      <c r="H102" s="37">
        <f t="shared" si="22"/>
        <v>45839</v>
      </c>
      <c r="I102" s="37">
        <f t="shared" si="22"/>
        <v>45870</v>
      </c>
      <c r="J102" s="37">
        <f t="shared" si="22"/>
        <v>45901</v>
      </c>
      <c r="K102" s="37">
        <f t="shared" si="22"/>
        <v>45931</v>
      </c>
      <c r="L102" s="37">
        <f t="shared" si="22"/>
        <v>45962</v>
      </c>
      <c r="M102" s="37">
        <f t="shared" si="22"/>
        <v>45992</v>
      </c>
      <c r="N102" s="38" t="s">
        <v>2</v>
      </c>
    </row>
    <row r="103" spans="1:14" x14ac:dyDescent="0.25">
      <c r="A103" s="34">
        <v>16</v>
      </c>
      <c r="B103" s="39">
        <v>0</v>
      </c>
      <c r="C103" s="39">
        <v>0</v>
      </c>
      <c r="D103" s="39">
        <v>0</v>
      </c>
      <c r="E103" s="39">
        <v>0</v>
      </c>
      <c r="F103" s="39">
        <v>0</v>
      </c>
      <c r="G103" s="39">
        <v>0</v>
      </c>
      <c r="H103" s="39">
        <v>0</v>
      </c>
      <c r="I103" s="39">
        <v>0</v>
      </c>
      <c r="J103" s="39">
        <v>0</v>
      </c>
      <c r="K103" s="39">
        <v>0</v>
      </c>
      <c r="L103" s="39">
        <v>0</v>
      </c>
      <c r="M103" s="39">
        <v>0</v>
      </c>
      <c r="N103" s="40">
        <f>SUM(B103:M103)</f>
        <v>0</v>
      </c>
    </row>
    <row r="104" spans="1:14" x14ac:dyDescent="0.25">
      <c r="A104" s="34">
        <v>23</v>
      </c>
      <c r="B104" s="39">
        <v>20874</v>
      </c>
      <c r="C104" s="39">
        <v>20874</v>
      </c>
      <c r="D104" s="39">
        <v>20874</v>
      </c>
      <c r="E104" s="39">
        <v>20874</v>
      </c>
      <c r="F104" s="39">
        <v>20874</v>
      </c>
      <c r="G104" s="39">
        <v>20874</v>
      </c>
      <c r="H104" s="39">
        <v>20874</v>
      </c>
      <c r="I104" s="39">
        <v>20874</v>
      </c>
      <c r="J104" s="39">
        <v>20874</v>
      </c>
      <c r="K104" s="39">
        <v>20874</v>
      </c>
      <c r="L104" s="39">
        <v>20874</v>
      </c>
      <c r="M104" s="39">
        <v>20874</v>
      </c>
      <c r="N104" s="40">
        <f t="shared" ref="N104:N117" si="23">SUM(B104:M104)</f>
        <v>250488</v>
      </c>
    </row>
    <row r="105" spans="1:14" x14ac:dyDescent="0.25">
      <c r="A105" s="34">
        <v>53</v>
      </c>
      <c r="B105" s="39">
        <v>0</v>
      </c>
      <c r="C105" s="39">
        <v>0</v>
      </c>
      <c r="D105" s="39">
        <v>0</v>
      </c>
      <c r="E105" s="39">
        <v>0</v>
      </c>
      <c r="F105" s="39">
        <v>0</v>
      </c>
      <c r="G105" s="39">
        <v>0</v>
      </c>
      <c r="H105" s="39">
        <v>0</v>
      </c>
      <c r="I105" s="39">
        <v>0</v>
      </c>
      <c r="J105" s="39">
        <v>0</v>
      </c>
      <c r="K105" s="39">
        <v>0</v>
      </c>
      <c r="L105" s="39">
        <v>0</v>
      </c>
      <c r="M105" s="39">
        <v>0</v>
      </c>
      <c r="N105" s="40">
        <f t="shared" si="23"/>
        <v>0</v>
      </c>
    </row>
    <row r="106" spans="1:14" x14ac:dyDescent="0.25">
      <c r="A106" s="34">
        <v>31</v>
      </c>
      <c r="B106" s="39">
        <v>1736</v>
      </c>
      <c r="C106" s="39">
        <v>1736</v>
      </c>
      <c r="D106" s="39">
        <v>1736</v>
      </c>
      <c r="E106" s="39">
        <v>1736</v>
      </c>
      <c r="F106" s="39">
        <v>1736</v>
      </c>
      <c r="G106" s="39">
        <v>1736</v>
      </c>
      <c r="H106" s="39">
        <v>1736</v>
      </c>
      <c r="I106" s="39">
        <v>1736</v>
      </c>
      <c r="J106" s="39">
        <v>1736</v>
      </c>
      <c r="K106" s="39">
        <v>1736</v>
      </c>
      <c r="L106" s="39">
        <v>1736</v>
      </c>
      <c r="M106" s="39">
        <v>1736</v>
      </c>
      <c r="N106" s="40">
        <f t="shared" si="23"/>
        <v>20832</v>
      </c>
    </row>
    <row r="107" spans="1:14" x14ac:dyDescent="0.25">
      <c r="A107" s="34">
        <v>41</v>
      </c>
      <c r="B107" s="39">
        <v>15</v>
      </c>
      <c r="C107" s="39">
        <v>15</v>
      </c>
      <c r="D107" s="39">
        <v>15</v>
      </c>
      <c r="E107" s="39">
        <v>15</v>
      </c>
      <c r="F107" s="39">
        <v>15</v>
      </c>
      <c r="G107" s="39">
        <v>15</v>
      </c>
      <c r="H107" s="39">
        <v>15</v>
      </c>
      <c r="I107" s="39">
        <v>15</v>
      </c>
      <c r="J107" s="39">
        <v>15</v>
      </c>
      <c r="K107" s="39">
        <v>15</v>
      </c>
      <c r="L107" s="39">
        <v>15</v>
      </c>
      <c r="M107" s="39">
        <v>15</v>
      </c>
      <c r="N107" s="40">
        <f t="shared" si="23"/>
        <v>180</v>
      </c>
    </row>
    <row r="108" spans="1:14" x14ac:dyDescent="0.25">
      <c r="A108" s="34">
        <v>85</v>
      </c>
      <c r="B108" s="39">
        <v>0</v>
      </c>
      <c r="C108" s="39">
        <v>0</v>
      </c>
      <c r="D108" s="39">
        <v>0</v>
      </c>
      <c r="E108" s="39">
        <v>0</v>
      </c>
      <c r="F108" s="39">
        <v>0</v>
      </c>
      <c r="G108" s="39">
        <v>0</v>
      </c>
      <c r="H108" s="39">
        <v>0</v>
      </c>
      <c r="I108" s="39">
        <v>0</v>
      </c>
      <c r="J108" s="39">
        <v>0</v>
      </c>
      <c r="K108" s="39">
        <v>0</v>
      </c>
      <c r="L108" s="39">
        <v>0</v>
      </c>
      <c r="M108" s="39">
        <v>0</v>
      </c>
      <c r="N108" s="40">
        <f t="shared" si="23"/>
        <v>0</v>
      </c>
    </row>
    <row r="109" spans="1:14" x14ac:dyDescent="0.25">
      <c r="A109" s="34">
        <v>86</v>
      </c>
      <c r="B109" s="39">
        <v>0</v>
      </c>
      <c r="C109" s="39">
        <v>0</v>
      </c>
      <c r="D109" s="39">
        <v>0</v>
      </c>
      <c r="E109" s="39">
        <v>0</v>
      </c>
      <c r="F109" s="39">
        <v>0</v>
      </c>
      <c r="G109" s="39">
        <v>0</v>
      </c>
      <c r="H109" s="39">
        <v>0</v>
      </c>
      <c r="I109" s="39">
        <v>0</v>
      </c>
      <c r="J109" s="39">
        <v>0</v>
      </c>
      <c r="K109" s="39">
        <v>0</v>
      </c>
      <c r="L109" s="39">
        <v>0</v>
      </c>
      <c r="M109" s="39">
        <v>0</v>
      </c>
      <c r="N109" s="40">
        <f t="shared" si="23"/>
        <v>0</v>
      </c>
    </row>
    <row r="110" spans="1:14" x14ac:dyDescent="0.25">
      <c r="A110" s="34">
        <v>87</v>
      </c>
      <c r="B110" s="39">
        <v>0</v>
      </c>
      <c r="C110" s="39">
        <v>0</v>
      </c>
      <c r="D110" s="39">
        <v>0</v>
      </c>
      <c r="E110" s="39">
        <v>0</v>
      </c>
      <c r="F110" s="39">
        <v>0</v>
      </c>
      <c r="G110" s="39">
        <v>0</v>
      </c>
      <c r="H110" s="39">
        <v>0</v>
      </c>
      <c r="I110" s="39">
        <v>0</v>
      </c>
      <c r="J110" s="39">
        <v>0</v>
      </c>
      <c r="K110" s="39">
        <v>0</v>
      </c>
      <c r="L110" s="39">
        <v>0</v>
      </c>
      <c r="M110" s="39">
        <v>0</v>
      </c>
      <c r="N110" s="40">
        <f t="shared" si="23"/>
        <v>0</v>
      </c>
    </row>
    <row r="111" spans="1:14" x14ac:dyDescent="0.25">
      <c r="A111" s="34" t="s">
        <v>27</v>
      </c>
      <c r="B111" s="39">
        <v>0</v>
      </c>
      <c r="C111" s="39">
        <v>0</v>
      </c>
      <c r="D111" s="39">
        <v>0</v>
      </c>
      <c r="E111" s="39">
        <v>0</v>
      </c>
      <c r="F111" s="39">
        <v>0</v>
      </c>
      <c r="G111" s="39">
        <v>0</v>
      </c>
      <c r="H111" s="39">
        <v>0</v>
      </c>
      <c r="I111" s="39">
        <v>0</v>
      </c>
      <c r="J111" s="39">
        <v>0</v>
      </c>
      <c r="K111" s="39">
        <v>0</v>
      </c>
      <c r="L111" s="39">
        <v>0</v>
      </c>
      <c r="M111" s="39">
        <v>0</v>
      </c>
      <c r="N111" s="40">
        <f t="shared" si="23"/>
        <v>0</v>
      </c>
    </row>
    <row r="112" spans="1:14" x14ac:dyDescent="0.25">
      <c r="A112" s="34" t="s">
        <v>29</v>
      </c>
      <c r="B112" s="39">
        <v>0</v>
      </c>
      <c r="C112" s="39">
        <v>0</v>
      </c>
      <c r="D112" s="39">
        <v>0</v>
      </c>
      <c r="E112" s="39">
        <v>0</v>
      </c>
      <c r="F112" s="39">
        <v>0</v>
      </c>
      <c r="G112" s="39">
        <v>0</v>
      </c>
      <c r="H112" s="39">
        <v>0</v>
      </c>
      <c r="I112" s="39">
        <v>0</v>
      </c>
      <c r="J112" s="39">
        <v>0</v>
      </c>
      <c r="K112" s="39">
        <v>0</v>
      </c>
      <c r="L112" s="39">
        <v>0</v>
      </c>
      <c r="M112" s="39">
        <v>0</v>
      </c>
      <c r="N112" s="40">
        <f t="shared" si="23"/>
        <v>0</v>
      </c>
    </row>
    <row r="113" spans="1:14" x14ac:dyDescent="0.25">
      <c r="A113" s="34" t="s">
        <v>31</v>
      </c>
      <c r="B113" s="39">
        <v>0</v>
      </c>
      <c r="C113" s="39">
        <v>0</v>
      </c>
      <c r="D113" s="39">
        <v>0</v>
      </c>
      <c r="E113" s="39">
        <v>0</v>
      </c>
      <c r="F113" s="39">
        <v>0</v>
      </c>
      <c r="G113" s="39">
        <v>0</v>
      </c>
      <c r="H113" s="39">
        <v>0</v>
      </c>
      <c r="I113" s="39">
        <v>0</v>
      </c>
      <c r="J113" s="39">
        <v>0</v>
      </c>
      <c r="K113" s="39">
        <v>0</v>
      </c>
      <c r="L113" s="39">
        <v>0</v>
      </c>
      <c r="M113" s="39">
        <v>0</v>
      </c>
      <c r="N113" s="40">
        <f t="shared" si="23"/>
        <v>0</v>
      </c>
    </row>
    <row r="114" spans="1:14" x14ac:dyDescent="0.25">
      <c r="A114" s="34" t="s">
        <v>33</v>
      </c>
      <c r="B114" s="39">
        <v>0</v>
      </c>
      <c r="C114" s="39">
        <v>0</v>
      </c>
      <c r="D114" s="39">
        <v>0</v>
      </c>
      <c r="E114" s="39">
        <v>0</v>
      </c>
      <c r="F114" s="39">
        <v>0</v>
      </c>
      <c r="G114" s="39">
        <v>0</v>
      </c>
      <c r="H114" s="39">
        <v>0</v>
      </c>
      <c r="I114" s="39">
        <v>0</v>
      </c>
      <c r="J114" s="39">
        <v>0</v>
      </c>
      <c r="K114" s="39">
        <v>0</v>
      </c>
      <c r="L114" s="39">
        <v>0</v>
      </c>
      <c r="M114" s="39">
        <v>0</v>
      </c>
      <c r="N114" s="40">
        <f t="shared" si="23"/>
        <v>0</v>
      </c>
    </row>
    <row r="115" spans="1:14" x14ac:dyDescent="0.25">
      <c r="A115" s="34" t="s">
        <v>35</v>
      </c>
      <c r="B115" s="39">
        <v>0</v>
      </c>
      <c r="C115" s="39">
        <v>0</v>
      </c>
      <c r="D115" s="39">
        <v>0</v>
      </c>
      <c r="E115" s="39">
        <v>0</v>
      </c>
      <c r="F115" s="39">
        <v>0</v>
      </c>
      <c r="G115" s="39">
        <v>0</v>
      </c>
      <c r="H115" s="39">
        <v>0</v>
      </c>
      <c r="I115" s="39">
        <v>0</v>
      </c>
      <c r="J115" s="39">
        <v>0</v>
      </c>
      <c r="K115" s="39">
        <v>0</v>
      </c>
      <c r="L115" s="39">
        <v>0</v>
      </c>
      <c r="M115" s="39">
        <v>0</v>
      </c>
      <c r="N115" s="40">
        <f t="shared" si="23"/>
        <v>0</v>
      </c>
    </row>
    <row r="116" spans="1:14" x14ac:dyDescent="0.25">
      <c r="A116" s="34" t="s">
        <v>232</v>
      </c>
      <c r="B116" s="39">
        <v>0</v>
      </c>
      <c r="C116" s="39">
        <v>0</v>
      </c>
      <c r="D116" s="39">
        <v>0</v>
      </c>
      <c r="E116" s="39">
        <v>0</v>
      </c>
      <c r="F116" s="39">
        <v>0</v>
      </c>
      <c r="G116" s="39">
        <v>0</v>
      </c>
      <c r="H116" s="39">
        <v>0</v>
      </c>
      <c r="I116" s="39">
        <v>0</v>
      </c>
      <c r="J116" s="39">
        <v>0</v>
      </c>
      <c r="K116" s="39">
        <v>0</v>
      </c>
      <c r="L116" s="39">
        <v>0</v>
      </c>
      <c r="M116" s="39">
        <v>0</v>
      </c>
      <c r="N116" s="40">
        <f t="shared" si="23"/>
        <v>0</v>
      </c>
    </row>
    <row r="117" spans="1:14" x14ac:dyDescent="0.25">
      <c r="A117" s="41" t="s">
        <v>36</v>
      </c>
      <c r="B117" s="39">
        <v>0</v>
      </c>
      <c r="C117" s="39">
        <v>0</v>
      </c>
      <c r="D117" s="39">
        <v>0</v>
      </c>
      <c r="E117" s="39">
        <v>0</v>
      </c>
      <c r="F117" s="39">
        <v>0</v>
      </c>
      <c r="G117" s="39">
        <v>0</v>
      </c>
      <c r="H117" s="39">
        <v>0</v>
      </c>
      <c r="I117" s="39">
        <v>0</v>
      </c>
      <c r="J117" s="39">
        <v>0</v>
      </c>
      <c r="K117" s="39">
        <v>0</v>
      </c>
      <c r="L117" s="39">
        <v>0</v>
      </c>
      <c r="M117" s="39">
        <v>0</v>
      </c>
      <c r="N117" s="40">
        <f t="shared" si="23"/>
        <v>0</v>
      </c>
    </row>
    <row r="118" spans="1:14" x14ac:dyDescent="0.25">
      <c r="A118" s="42" t="s">
        <v>2</v>
      </c>
      <c r="B118" s="43">
        <f>SUM(B103:B117)</f>
        <v>22625</v>
      </c>
      <c r="C118" s="43">
        <f t="shared" ref="C118:N118" si="24">SUM(C103:C117)</f>
        <v>22625</v>
      </c>
      <c r="D118" s="43">
        <f t="shared" si="24"/>
        <v>22625</v>
      </c>
      <c r="E118" s="43">
        <f t="shared" si="24"/>
        <v>22625</v>
      </c>
      <c r="F118" s="43">
        <f t="shared" si="24"/>
        <v>22625</v>
      </c>
      <c r="G118" s="43">
        <f t="shared" si="24"/>
        <v>22625</v>
      </c>
      <c r="H118" s="43">
        <f t="shared" si="24"/>
        <v>22625</v>
      </c>
      <c r="I118" s="43">
        <f t="shared" si="24"/>
        <v>22625</v>
      </c>
      <c r="J118" s="43">
        <f t="shared" si="24"/>
        <v>22625</v>
      </c>
      <c r="K118" s="43">
        <f t="shared" si="24"/>
        <v>22625</v>
      </c>
      <c r="L118" s="43">
        <f t="shared" si="24"/>
        <v>22625</v>
      </c>
      <c r="M118" s="43">
        <f t="shared" si="24"/>
        <v>22625</v>
      </c>
      <c r="N118" s="43">
        <f t="shared" si="24"/>
        <v>271500</v>
      </c>
    </row>
    <row r="120" spans="1:14" x14ac:dyDescent="0.25">
      <c r="A120" s="45" t="s">
        <v>50</v>
      </c>
    </row>
    <row r="121" spans="1:14" x14ac:dyDescent="0.25">
      <c r="A121" s="35" t="s">
        <v>44</v>
      </c>
      <c r="B121" s="37">
        <f t="shared" ref="B121:M121" si="25">B7</f>
        <v>45658</v>
      </c>
      <c r="C121" s="37">
        <f t="shared" si="25"/>
        <v>45689</v>
      </c>
      <c r="D121" s="37">
        <f t="shared" si="25"/>
        <v>45717</v>
      </c>
      <c r="E121" s="37">
        <f t="shared" si="25"/>
        <v>45748</v>
      </c>
      <c r="F121" s="37">
        <f t="shared" si="25"/>
        <v>45778</v>
      </c>
      <c r="G121" s="37">
        <f t="shared" si="25"/>
        <v>45809</v>
      </c>
      <c r="H121" s="37">
        <f t="shared" si="25"/>
        <v>45839</v>
      </c>
      <c r="I121" s="37">
        <f t="shared" si="25"/>
        <v>45870</v>
      </c>
      <c r="J121" s="37">
        <f t="shared" si="25"/>
        <v>45901</v>
      </c>
      <c r="K121" s="37">
        <f t="shared" si="25"/>
        <v>45931</v>
      </c>
      <c r="L121" s="37">
        <f t="shared" si="25"/>
        <v>45962</v>
      </c>
      <c r="M121" s="37">
        <f t="shared" si="25"/>
        <v>45992</v>
      </c>
      <c r="N121" s="38" t="s">
        <v>2</v>
      </c>
    </row>
    <row r="122" spans="1:14" x14ac:dyDescent="0.25">
      <c r="A122" s="34">
        <v>16</v>
      </c>
      <c r="B122" s="40">
        <f t="shared" ref="B122:M122" si="26">B8-B27-B46-B65-B84-B103</f>
        <v>3</v>
      </c>
      <c r="C122" s="40">
        <f t="shared" si="26"/>
        <v>3</v>
      </c>
      <c r="D122" s="40">
        <f t="shared" si="26"/>
        <v>3</v>
      </c>
      <c r="E122" s="40">
        <f t="shared" si="26"/>
        <v>3</v>
      </c>
      <c r="F122" s="40">
        <f t="shared" si="26"/>
        <v>3</v>
      </c>
      <c r="G122" s="40">
        <f t="shared" si="26"/>
        <v>3</v>
      </c>
      <c r="H122" s="40">
        <f t="shared" si="26"/>
        <v>3</v>
      </c>
      <c r="I122" s="40">
        <f t="shared" si="26"/>
        <v>3</v>
      </c>
      <c r="J122" s="40">
        <f t="shared" si="26"/>
        <v>3</v>
      </c>
      <c r="K122" s="40">
        <f t="shared" si="26"/>
        <v>3</v>
      </c>
      <c r="L122" s="40">
        <f t="shared" si="26"/>
        <v>3</v>
      </c>
      <c r="M122" s="40">
        <f t="shared" si="26"/>
        <v>3</v>
      </c>
      <c r="N122" s="40">
        <f>SUM(B122:M122)</f>
        <v>36</v>
      </c>
    </row>
    <row r="123" spans="1:14" x14ac:dyDescent="0.25">
      <c r="A123" s="34">
        <v>23</v>
      </c>
      <c r="B123" s="40">
        <f t="shared" ref="B123:M123" si="27">B9-B28-B47-B66-B85-B104</f>
        <v>772110</v>
      </c>
      <c r="C123" s="40">
        <f t="shared" si="27"/>
        <v>771665</v>
      </c>
      <c r="D123" s="40">
        <f t="shared" si="27"/>
        <v>771212</v>
      </c>
      <c r="E123" s="40">
        <f t="shared" si="27"/>
        <v>770752</v>
      </c>
      <c r="F123" s="40">
        <f t="shared" si="27"/>
        <v>770286</v>
      </c>
      <c r="G123" s="40">
        <f t="shared" si="27"/>
        <v>769809</v>
      </c>
      <c r="H123" s="40">
        <f t="shared" si="27"/>
        <v>769326</v>
      </c>
      <c r="I123" s="40">
        <f t="shared" si="27"/>
        <v>768834</v>
      </c>
      <c r="J123" s="40">
        <f t="shared" si="27"/>
        <v>768335</v>
      </c>
      <c r="K123" s="40">
        <f t="shared" si="27"/>
        <v>767827</v>
      </c>
      <c r="L123" s="40">
        <f t="shared" si="27"/>
        <v>767310</v>
      </c>
      <c r="M123" s="40">
        <f t="shared" si="27"/>
        <v>766785</v>
      </c>
      <c r="N123" s="40">
        <f t="shared" ref="N123:N136" si="28">SUM(B123:M123)</f>
        <v>9234251</v>
      </c>
    </row>
    <row r="124" spans="1:14" x14ac:dyDescent="0.25">
      <c r="A124" s="34">
        <v>53</v>
      </c>
      <c r="B124" s="40">
        <f t="shared" ref="B124:M124" si="29">B10-B29-B48-B67-B86-B105</f>
        <v>0</v>
      </c>
      <c r="C124" s="40">
        <f t="shared" si="29"/>
        <v>0</v>
      </c>
      <c r="D124" s="40">
        <f t="shared" si="29"/>
        <v>0</v>
      </c>
      <c r="E124" s="40">
        <f t="shared" si="29"/>
        <v>0</v>
      </c>
      <c r="F124" s="40">
        <f t="shared" si="29"/>
        <v>0</v>
      </c>
      <c r="G124" s="40">
        <f t="shared" si="29"/>
        <v>0</v>
      </c>
      <c r="H124" s="40">
        <f t="shared" si="29"/>
        <v>0</v>
      </c>
      <c r="I124" s="40">
        <f t="shared" si="29"/>
        <v>0</v>
      </c>
      <c r="J124" s="40">
        <f t="shared" si="29"/>
        <v>0</v>
      </c>
      <c r="K124" s="40">
        <f t="shared" si="29"/>
        <v>0</v>
      </c>
      <c r="L124" s="40">
        <f t="shared" si="29"/>
        <v>0</v>
      </c>
      <c r="M124" s="40">
        <f t="shared" si="29"/>
        <v>0</v>
      </c>
      <c r="N124" s="40">
        <f t="shared" si="28"/>
        <v>0</v>
      </c>
    </row>
    <row r="125" spans="1:14" x14ac:dyDescent="0.25">
      <c r="A125" s="34">
        <v>31</v>
      </c>
      <c r="B125" s="40">
        <f t="shared" ref="B125:M125" si="30">B11-B30-B49-B68-B87-B106</f>
        <v>55830</v>
      </c>
      <c r="C125" s="40">
        <f t="shared" si="30"/>
        <v>55838</v>
      </c>
      <c r="D125" s="40">
        <f t="shared" si="30"/>
        <v>55840</v>
      </c>
      <c r="E125" s="40">
        <f t="shared" si="30"/>
        <v>55840</v>
      </c>
      <c r="F125" s="40">
        <f t="shared" si="30"/>
        <v>55844</v>
      </c>
      <c r="G125" s="40">
        <f t="shared" si="30"/>
        <v>55841</v>
      </c>
      <c r="H125" s="40">
        <f t="shared" si="30"/>
        <v>55845</v>
      </c>
      <c r="I125" s="40">
        <f t="shared" si="30"/>
        <v>55847</v>
      </c>
      <c r="J125" s="40">
        <f t="shared" si="30"/>
        <v>55846</v>
      </c>
      <c r="K125" s="40">
        <f t="shared" si="30"/>
        <v>55843</v>
      </c>
      <c r="L125" s="40">
        <f t="shared" si="30"/>
        <v>55842</v>
      </c>
      <c r="M125" s="40">
        <f t="shared" si="30"/>
        <v>55860</v>
      </c>
      <c r="N125" s="40">
        <f t="shared" si="28"/>
        <v>670116</v>
      </c>
    </row>
    <row r="126" spans="1:14" x14ac:dyDescent="0.25">
      <c r="A126" s="34">
        <v>41</v>
      </c>
      <c r="B126" s="40">
        <f t="shared" ref="B126:M126" si="31">B12-B31-B50-B69-B88-B107</f>
        <v>1278</v>
      </c>
      <c r="C126" s="40">
        <f t="shared" si="31"/>
        <v>1274</v>
      </c>
      <c r="D126" s="40">
        <f t="shared" si="31"/>
        <v>1274</v>
      </c>
      <c r="E126" s="40">
        <f t="shared" si="31"/>
        <v>1272</v>
      </c>
      <c r="F126" s="40">
        <f t="shared" si="31"/>
        <v>1269</v>
      </c>
      <c r="G126" s="40">
        <f t="shared" si="31"/>
        <v>1266</v>
      </c>
      <c r="H126" s="40">
        <f t="shared" si="31"/>
        <v>1263</v>
      </c>
      <c r="I126" s="40">
        <f t="shared" si="31"/>
        <v>1264</v>
      </c>
      <c r="J126" s="40">
        <f t="shared" si="31"/>
        <v>1266</v>
      </c>
      <c r="K126" s="40">
        <f t="shared" si="31"/>
        <v>1268</v>
      </c>
      <c r="L126" s="40">
        <f t="shared" si="31"/>
        <v>1272</v>
      </c>
      <c r="M126" s="40">
        <f t="shared" si="31"/>
        <v>1261</v>
      </c>
      <c r="N126" s="40">
        <f t="shared" si="28"/>
        <v>15227</v>
      </c>
    </row>
    <row r="127" spans="1:14" x14ac:dyDescent="0.25">
      <c r="A127" s="34">
        <v>85</v>
      </c>
      <c r="B127" s="40">
        <f t="shared" ref="B127:M127" si="32">B13-B32-B51-B70-B89-B108</f>
        <v>29</v>
      </c>
      <c r="C127" s="40">
        <f t="shared" si="32"/>
        <v>29</v>
      </c>
      <c r="D127" s="40">
        <f t="shared" si="32"/>
        <v>29</v>
      </c>
      <c r="E127" s="40">
        <f t="shared" si="32"/>
        <v>29</v>
      </c>
      <c r="F127" s="40">
        <f t="shared" si="32"/>
        <v>29</v>
      </c>
      <c r="G127" s="40">
        <f t="shared" si="32"/>
        <v>29</v>
      </c>
      <c r="H127" s="40">
        <f t="shared" si="32"/>
        <v>29</v>
      </c>
      <c r="I127" s="40">
        <f t="shared" si="32"/>
        <v>29</v>
      </c>
      <c r="J127" s="40">
        <f t="shared" si="32"/>
        <v>29</v>
      </c>
      <c r="K127" s="40">
        <f t="shared" si="32"/>
        <v>29</v>
      </c>
      <c r="L127" s="40">
        <f t="shared" si="32"/>
        <v>29</v>
      </c>
      <c r="M127" s="40">
        <f t="shared" si="32"/>
        <v>29</v>
      </c>
      <c r="N127" s="40">
        <f t="shared" si="28"/>
        <v>348</v>
      </c>
    </row>
    <row r="128" spans="1:14" x14ac:dyDescent="0.25">
      <c r="A128" s="34">
        <v>86</v>
      </c>
      <c r="B128" s="40">
        <f t="shared" ref="B128:M128" si="33">B14-B33-B52-B71-B90-B109</f>
        <v>98</v>
      </c>
      <c r="C128" s="40">
        <f t="shared" si="33"/>
        <v>97</v>
      </c>
      <c r="D128" s="40">
        <f t="shared" si="33"/>
        <v>97</v>
      </c>
      <c r="E128" s="40">
        <f t="shared" si="33"/>
        <v>97</v>
      </c>
      <c r="F128" s="40">
        <f t="shared" si="33"/>
        <v>96</v>
      </c>
      <c r="G128" s="40">
        <f t="shared" si="33"/>
        <v>96</v>
      </c>
      <c r="H128" s="40">
        <f t="shared" si="33"/>
        <v>95</v>
      </c>
      <c r="I128" s="40">
        <f t="shared" si="33"/>
        <v>95</v>
      </c>
      <c r="J128" s="40">
        <f t="shared" si="33"/>
        <v>95</v>
      </c>
      <c r="K128" s="40">
        <f t="shared" si="33"/>
        <v>94</v>
      </c>
      <c r="L128" s="40">
        <f t="shared" si="33"/>
        <v>94</v>
      </c>
      <c r="M128" s="40">
        <f t="shared" si="33"/>
        <v>93</v>
      </c>
      <c r="N128" s="40">
        <f t="shared" si="28"/>
        <v>1147</v>
      </c>
    </row>
    <row r="129" spans="1:14" x14ac:dyDescent="0.25">
      <c r="A129" s="34">
        <v>87</v>
      </c>
      <c r="B129" s="40">
        <f t="shared" ref="B129:M129" si="34">B15-B34-B53-B72-B91-B110</f>
        <v>1</v>
      </c>
      <c r="C129" s="40">
        <f t="shared" si="34"/>
        <v>1</v>
      </c>
      <c r="D129" s="40">
        <f t="shared" si="34"/>
        <v>1</v>
      </c>
      <c r="E129" s="40">
        <f t="shared" si="34"/>
        <v>1</v>
      </c>
      <c r="F129" s="40">
        <f t="shared" si="34"/>
        <v>1</v>
      </c>
      <c r="G129" s="40">
        <f t="shared" si="34"/>
        <v>1</v>
      </c>
      <c r="H129" s="40">
        <f t="shared" si="34"/>
        <v>1</v>
      </c>
      <c r="I129" s="40">
        <f t="shared" si="34"/>
        <v>1</v>
      </c>
      <c r="J129" s="40">
        <f t="shared" si="34"/>
        <v>1</v>
      </c>
      <c r="K129" s="40">
        <f t="shared" si="34"/>
        <v>1</v>
      </c>
      <c r="L129" s="40">
        <f t="shared" si="34"/>
        <v>1</v>
      </c>
      <c r="M129" s="40">
        <f t="shared" si="34"/>
        <v>1</v>
      </c>
      <c r="N129" s="40">
        <f t="shared" si="28"/>
        <v>12</v>
      </c>
    </row>
    <row r="130" spans="1:14" x14ac:dyDescent="0.25">
      <c r="A130" s="34" t="s">
        <v>27</v>
      </c>
      <c r="B130" s="40">
        <f t="shared" ref="B130:M130" si="35">B16-B35-B54-B73-B92-B111</f>
        <v>1</v>
      </c>
      <c r="C130" s="40">
        <f t="shared" si="35"/>
        <v>1</v>
      </c>
      <c r="D130" s="40">
        <f t="shared" si="35"/>
        <v>1</v>
      </c>
      <c r="E130" s="40">
        <f t="shared" si="35"/>
        <v>1</v>
      </c>
      <c r="F130" s="40">
        <f t="shared" si="35"/>
        <v>1</v>
      </c>
      <c r="G130" s="40">
        <f t="shared" si="35"/>
        <v>1</v>
      </c>
      <c r="H130" s="40">
        <f t="shared" si="35"/>
        <v>1</v>
      </c>
      <c r="I130" s="40">
        <f t="shared" si="35"/>
        <v>1</v>
      </c>
      <c r="J130" s="40">
        <f t="shared" si="35"/>
        <v>1</v>
      </c>
      <c r="K130" s="40">
        <f t="shared" si="35"/>
        <v>1</v>
      </c>
      <c r="L130" s="40">
        <f t="shared" si="35"/>
        <v>1</v>
      </c>
      <c r="M130" s="40">
        <f t="shared" si="35"/>
        <v>1</v>
      </c>
      <c r="N130" s="40">
        <f t="shared" si="28"/>
        <v>12</v>
      </c>
    </row>
    <row r="131" spans="1:14" x14ac:dyDescent="0.25">
      <c r="A131" s="34" t="s">
        <v>29</v>
      </c>
      <c r="B131" s="40">
        <f t="shared" ref="B131:M131" si="36">B17-B36-B55-B74-B93-B112</f>
        <v>94</v>
      </c>
      <c r="C131" s="40">
        <f t="shared" si="36"/>
        <v>94</v>
      </c>
      <c r="D131" s="40">
        <f t="shared" si="36"/>
        <v>94</v>
      </c>
      <c r="E131" s="40">
        <f t="shared" si="36"/>
        <v>94</v>
      </c>
      <c r="F131" s="40">
        <f t="shared" si="36"/>
        <v>94</v>
      </c>
      <c r="G131" s="40">
        <f t="shared" si="36"/>
        <v>94</v>
      </c>
      <c r="H131" s="40">
        <f t="shared" si="36"/>
        <v>94</v>
      </c>
      <c r="I131" s="40">
        <f t="shared" si="36"/>
        <v>94</v>
      </c>
      <c r="J131" s="40">
        <f t="shared" si="36"/>
        <v>94</v>
      </c>
      <c r="K131" s="40">
        <f t="shared" si="36"/>
        <v>94</v>
      </c>
      <c r="L131" s="40">
        <f t="shared" si="36"/>
        <v>94</v>
      </c>
      <c r="M131" s="40">
        <f t="shared" si="36"/>
        <v>94</v>
      </c>
      <c r="N131" s="40">
        <f t="shared" si="28"/>
        <v>1128</v>
      </c>
    </row>
    <row r="132" spans="1:14" x14ac:dyDescent="0.25">
      <c r="A132" s="34" t="s">
        <v>31</v>
      </c>
      <c r="B132" s="40">
        <f t="shared" ref="B132:M132" si="37">B18-B37-B56-B75-B94-B113</f>
        <v>75</v>
      </c>
      <c r="C132" s="40">
        <f t="shared" si="37"/>
        <v>75</v>
      </c>
      <c r="D132" s="40">
        <f t="shared" si="37"/>
        <v>75</v>
      </c>
      <c r="E132" s="40">
        <f t="shared" si="37"/>
        <v>75</v>
      </c>
      <c r="F132" s="40">
        <f t="shared" si="37"/>
        <v>75</v>
      </c>
      <c r="G132" s="40">
        <f t="shared" si="37"/>
        <v>75</v>
      </c>
      <c r="H132" s="40">
        <f t="shared" si="37"/>
        <v>75</v>
      </c>
      <c r="I132" s="40">
        <f t="shared" si="37"/>
        <v>75</v>
      </c>
      <c r="J132" s="40">
        <f t="shared" si="37"/>
        <v>75</v>
      </c>
      <c r="K132" s="40">
        <f t="shared" si="37"/>
        <v>75</v>
      </c>
      <c r="L132" s="40">
        <f t="shared" si="37"/>
        <v>75</v>
      </c>
      <c r="M132" s="40">
        <f t="shared" si="37"/>
        <v>75</v>
      </c>
      <c r="N132" s="40">
        <f t="shared" si="28"/>
        <v>900</v>
      </c>
    </row>
    <row r="133" spans="1:14" x14ac:dyDescent="0.25">
      <c r="A133" s="34" t="s">
        <v>33</v>
      </c>
      <c r="B133" s="40">
        <f t="shared" ref="B133:M133" si="38">B19-B38-B57-B76-B95-B114</f>
        <v>5</v>
      </c>
      <c r="C133" s="40">
        <f t="shared" si="38"/>
        <v>5</v>
      </c>
      <c r="D133" s="40">
        <f t="shared" si="38"/>
        <v>5</v>
      </c>
      <c r="E133" s="40">
        <f t="shared" si="38"/>
        <v>5</v>
      </c>
      <c r="F133" s="40">
        <f t="shared" si="38"/>
        <v>5</v>
      </c>
      <c r="G133" s="40">
        <f t="shared" si="38"/>
        <v>5</v>
      </c>
      <c r="H133" s="40">
        <f t="shared" si="38"/>
        <v>5</v>
      </c>
      <c r="I133" s="40">
        <f t="shared" si="38"/>
        <v>5</v>
      </c>
      <c r="J133" s="40">
        <f t="shared" si="38"/>
        <v>5</v>
      </c>
      <c r="K133" s="40">
        <f t="shared" si="38"/>
        <v>5</v>
      </c>
      <c r="L133" s="40">
        <f t="shared" si="38"/>
        <v>5</v>
      </c>
      <c r="M133" s="40">
        <f t="shared" si="38"/>
        <v>5</v>
      </c>
      <c r="N133" s="40">
        <f t="shared" si="28"/>
        <v>60</v>
      </c>
    </row>
    <row r="134" spans="1:14" x14ac:dyDescent="0.25">
      <c r="A134" s="34" t="s">
        <v>35</v>
      </c>
      <c r="B134" s="40">
        <f t="shared" ref="B134:M134" si="39">B20-B39-B58-B77-B96-B115</f>
        <v>8</v>
      </c>
      <c r="C134" s="40">
        <f t="shared" si="39"/>
        <v>8</v>
      </c>
      <c r="D134" s="40">
        <f t="shared" si="39"/>
        <v>8</v>
      </c>
      <c r="E134" s="40">
        <f t="shared" si="39"/>
        <v>8</v>
      </c>
      <c r="F134" s="40">
        <f t="shared" si="39"/>
        <v>8</v>
      </c>
      <c r="G134" s="40">
        <f t="shared" si="39"/>
        <v>8</v>
      </c>
      <c r="H134" s="40">
        <f t="shared" si="39"/>
        <v>8</v>
      </c>
      <c r="I134" s="40">
        <f t="shared" si="39"/>
        <v>8</v>
      </c>
      <c r="J134" s="40">
        <f t="shared" si="39"/>
        <v>8</v>
      </c>
      <c r="K134" s="40">
        <f t="shared" si="39"/>
        <v>8</v>
      </c>
      <c r="L134" s="40">
        <f t="shared" si="39"/>
        <v>8</v>
      </c>
      <c r="M134" s="40">
        <f t="shared" si="39"/>
        <v>8</v>
      </c>
      <c r="N134" s="40">
        <f t="shared" si="28"/>
        <v>96</v>
      </c>
    </row>
    <row r="135" spans="1:14" x14ac:dyDescent="0.25">
      <c r="A135" s="34" t="s">
        <v>232</v>
      </c>
      <c r="B135" s="40">
        <f t="shared" ref="B135:M135" si="40">B21-B40-B59-B78-B97-B116</f>
        <v>1</v>
      </c>
      <c r="C135" s="40">
        <f t="shared" si="40"/>
        <v>1</v>
      </c>
      <c r="D135" s="40">
        <f t="shared" si="40"/>
        <v>1</v>
      </c>
      <c r="E135" s="40">
        <f t="shared" si="40"/>
        <v>1</v>
      </c>
      <c r="F135" s="40">
        <f t="shared" si="40"/>
        <v>1</v>
      </c>
      <c r="G135" s="40">
        <f t="shared" si="40"/>
        <v>1</v>
      </c>
      <c r="H135" s="40">
        <f t="shared" si="40"/>
        <v>1</v>
      </c>
      <c r="I135" s="40">
        <f t="shared" si="40"/>
        <v>1</v>
      </c>
      <c r="J135" s="40">
        <f t="shared" si="40"/>
        <v>1</v>
      </c>
      <c r="K135" s="40">
        <f t="shared" si="40"/>
        <v>1</v>
      </c>
      <c r="L135" s="40">
        <f t="shared" si="40"/>
        <v>1</v>
      </c>
      <c r="M135" s="40">
        <f t="shared" si="40"/>
        <v>1</v>
      </c>
      <c r="N135" s="40">
        <f t="shared" ref="N135" si="41">SUM(B135:M135)</f>
        <v>12</v>
      </c>
    </row>
    <row r="136" spans="1:14" x14ac:dyDescent="0.25">
      <c r="A136" s="41" t="s">
        <v>36</v>
      </c>
      <c r="B136" s="40">
        <f t="shared" ref="B136:M136" si="42">B22-B41-B60-B79-B98-B117</f>
        <v>7</v>
      </c>
      <c r="C136" s="40">
        <f t="shared" si="42"/>
        <v>7</v>
      </c>
      <c r="D136" s="40">
        <f t="shared" si="42"/>
        <v>7</v>
      </c>
      <c r="E136" s="40">
        <f t="shared" si="42"/>
        <v>7</v>
      </c>
      <c r="F136" s="40">
        <f t="shared" si="42"/>
        <v>7</v>
      </c>
      <c r="G136" s="40">
        <f t="shared" si="42"/>
        <v>7</v>
      </c>
      <c r="H136" s="40">
        <f t="shared" si="42"/>
        <v>7</v>
      </c>
      <c r="I136" s="40">
        <f t="shared" si="42"/>
        <v>7</v>
      </c>
      <c r="J136" s="40">
        <f t="shared" si="42"/>
        <v>7</v>
      </c>
      <c r="K136" s="40">
        <f t="shared" si="42"/>
        <v>7</v>
      </c>
      <c r="L136" s="40">
        <f t="shared" si="42"/>
        <v>7</v>
      </c>
      <c r="M136" s="40">
        <f t="shared" si="42"/>
        <v>7</v>
      </c>
      <c r="N136" s="40">
        <f t="shared" si="28"/>
        <v>84</v>
      </c>
    </row>
    <row r="137" spans="1:14" x14ac:dyDescent="0.25">
      <c r="A137" s="42" t="s">
        <v>2</v>
      </c>
      <c r="B137" s="43">
        <f t="shared" ref="B137:N137" si="43">SUM(B122:B136)</f>
        <v>829540</v>
      </c>
      <c r="C137" s="43">
        <f t="shared" si="43"/>
        <v>829098</v>
      </c>
      <c r="D137" s="43">
        <f t="shared" si="43"/>
        <v>828647</v>
      </c>
      <c r="E137" s="43">
        <f t="shared" si="43"/>
        <v>828185</v>
      </c>
      <c r="F137" s="43">
        <f t="shared" si="43"/>
        <v>827719</v>
      </c>
      <c r="G137" s="43">
        <f t="shared" si="43"/>
        <v>827236</v>
      </c>
      <c r="H137" s="43">
        <f t="shared" si="43"/>
        <v>826753</v>
      </c>
      <c r="I137" s="43">
        <f t="shared" si="43"/>
        <v>826264</v>
      </c>
      <c r="J137" s="43">
        <f t="shared" si="43"/>
        <v>825766</v>
      </c>
      <c r="K137" s="43">
        <f t="shared" si="43"/>
        <v>825256</v>
      </c>
      <c r="L137" s="43">
        <f t="shared" si="43"/>
        <v>824742</v>
      </c>
      <c r="M137" s="43">
        <f t="shared" si="43"/>
        <v>824223</v>
      </c>
      <c r="N137" s="43">
        <f t="shared" si="43"/>
        <v>9923429</v>
      </c>
    </row>
    <row r="138" spans="1:14" x14ac:dyDescent="0.25">
      <c r="A138" s="87" t="s">
        <v>98</v>
      </c>
      <c r="B138" s="88">
        <f t="shared" ref="B138:N138" si="44">B23-B42-B61-B80-B99-B118-B137</f>
        <v>0</v>
      </c>
      <c r="C138" s="88">
        <f t="shared" si="44"/>
        <v>0</v>
      </c>
      <c r="D138" s="88">
        <f t="shared" si="44"/>
        <v>0</v>
      </c>
      <c r="E138" s="88">
        <f t="shared" si="44"/>
        <v>0</v>
      </c>
      <c r="F138" s="88">
        <f t="shared" si="44"/>
        <v>0</v>
      </c>
      <c r="G138" s="88">
        <f t="shared" si="44"/>
        <v>0</v>
      </c>
      <c r="H138" s="88">
        <f t="shared" si="44"/>
        <v>0</v>
      </c>
      <c r="I138" s="88">
        <f t="shared" si="44"/>
        <v>0</v>
      </c>
      <c r="J138" s="88">
        <f t="shared" si="44"/>
        <v>0</v>
      </c>
      <c r="K138" s="88">
        <f t="shared" si="44"/>
        <v>0</v>
      </c>
      <c r="L138" s="88">
        <f t="shared" si="44"/>
        <v>0</v>
      </c>
      <c r="M138" s="88">
        <f t="shared" si="44"/>
        <v>0</v>
      </c>
      <c r="N138" s="88">
        <f t="shared" si="44"/>
        <v>0</v>
      </c>
    </row>
    <row r="140" spans="1:14" ht="17.25" x14ac:dyDescent="0.25">
      <c r="A140" s="31" t="s">
        <v>236</v>
      </c>
    </row>
    <row r="141" spans="1:14" ht="17.25" x14ac:dyDescent="0.25">
      <c r="A141" s="31" t="s">
        <v>237</v>
      </c>
    </row>
    <row r="142" spans="1:14" ht="17.25" x14ac:dyDescent="0.25">
      <c r="A142" s="31" t="s">
        <v>238</v>
      </c>
      <c r="B142" s="83"/>
      <c r="C142" s="83"/>
      <c r="D142" s="83"/>
      <c r="E142" s="83"/>
      <c r="F142" s="83"/>
      <c r="G142" s="83"/>
      <c r="H142" s="83"/>
      <c r="I142" s="83"/>
      <c r="J142" s="83"/>
      <c r="K142" s="83"/>
      <c r="L142" s="83"/>
      <c r="M142" s="83"/>
      <c r="N142" s="83"/>
    </row>
    <row r="143" spans="1:14" ht="33" customHeight="1" x14ac:dyDescent="0.25">
      <c r="A143" s="311" t="s">
        <v>442</v>
      </c>
      <c r="B143" s="311"/>
      <c r="C143" s="311"/>
      <c r="D143" s="311"/>
      <c r="E143" s="311"/>
      <c r="F143" s="311"/>
      <c r="G143" s="311"/>
      <c r="H143" s="311"/>
      <c r="I143" s="311"/>
      <c r="J143" s="311"/>
      <c r="K143" s="311"/>
      <c r="L143" s="311"/>
      <c r="M143" s="311"/>
      <c r="N143" s="311"/>
    </row>
    <row r="144" spans="1:14" ht="17.25" x14ac:dyDescent="0.25">
      <c r="A144" s="31" t="s">
        <v>239</v>
      </c>
      <c r="B144" s="86"/>
      <c r="C144" s="86"/>
      <c r="D144" s="86"/>
      <c r="E144" s="86"/>
      <c r="F144" s="86"/>
      <c r="G144" s="86"/>
      <c r="H144" s="86"/>
      <c r="I144" s="86"/>
      <c r="J144" s="86"/>
      <c r="K144" s="86"/>
      <c r="L144" s="86"/>
      <c r="M144" s="86"/>
      <c r="N144" s="86"/>
    </row>
    <row r="145" spans="1:14" x14ac:dyDescent="0.25">
      <c r="A145" s="86"/>
      <c r="B145" s="86"/>
      <c r="C145" s="86"/>
      <c r="D145" s="86"/>
      <c r="E145" s="86"/>
      <c r="F145" s="86"/>
      <c r="G145" s="86"/>
      <c r="H145" s="86"/>
      <c r="I145" s="86"/>
      <c r="J145" s="86"/>
      <c r="K145" s="86"/>
      <c r="L145" s="86"/>
      <c r="M145" s="86"/>
      <c r="N145" s="86"/>
    </row>
  </sheetData>
  <mergeCells count="5">
    <mergeCell ref="A1:N1"/>
    <mergeCell ref="A2:N2"/>
    <mergeCell ref="A3:N3"/>
    <mergeCell ref="A4:N4"/>
    <mergeCell ref="A143:N143"/>
  </mergeCells>
  <printOptions horizontalCentered="1"/>
  <pageMargins left="0.7" right="0.7" top="0.75" bottom="0.75" header="0.3" footer="0.3"/>
  <pageSetup scale="70" fitToHeight="5" orientation="landscape" blackAndWhite="1" r:id="rId1"/>
  <headerFooter>
    <oddFooter>&amp;L&amp;F 
&amp;A&amp;C&amp;P&amp;R&amp;D</oddFooter>
  </headerFooter>
  <rowBreaks count="3" manualBreakCount="3">
    <brk id="42" max="13" man="1"/>
    <brk id="80" max="13" man="1"/>
    <brk id="118"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90" zoomScaleNormal="90" workbookViewId="0">
      <selection activeCell="P10" sqref="P10"/>
    </sheetView>
  </sheetViews>
  <sheetFormatPr defaultColWidth="9.140625" defaultRowHeight="15" x14ac:dyDescent="0.25"/>
  <cols>
    <col min="1" max="1" width="17.85546875" style="31" customWidth="1"/>
    <col min="2" max="6" width="12" style="31" bestFit="1" customWidth="1"/>
    <col min="7" max="13" width="12" style="31" customWidth="1"/>
    <col min="14" max="14" width="13.85546875" style="31" customWidth="1"/>
    <col min="15" max="16384" width="9.140625" style="31"/>
  </cols>
  <sheetData>
    <row r="1" spans="1:14" x14ac:dyDescent="0.25">
      <c r="A1" s="307" t="s">
        <v>0</v>
      </c>
      <c r="B1" s="307"/>
      <c r="C1" s="307"/>
      <c r="D1" s="307"/>
      <c r="E1" s="307"/>
      <c r="F1" s="307"/>
      <c r="G1" s="307"/>
      <c r="H1" s="307"/>
      <c r="I1" s="307"/>
      <c r="J1" s="307"/>
      <c r="K1" s="307"/>
      <c r="L1" s="307"/>
      <c r="M1" s="307"/>
      <c r="N1" s="307"/>
    </row>
    <row r="2" spans="1:14" x14ac:dyDescent="0.25">
      <c r="A2" s="309" t="str">
        <f>'Sch. 111 Charge Rates'!A2</f>
        <v>2024 Gas Schedule 111 Greenhouse Gas Emissions Cap and Invest Adjustment Filing</v>
      </c>
      <c r="B2" s="309"/>
      <c r="C2" s="309"/>
      <c r="D2" s="309"/>
      <c r="E2" s="309"/>
      <c r="F2" s="309"/>
      <c r="G2" s="309"/>
      <c r="H2" s="309"/>
      <c r="I2" s="309"/>
      <c r="J2" s="309"/>
      <c r="K2" s="309"/>
      <c r="L2" s="309"/>
      <c r="M2" s="309"/>
      <c r="N2" s="309"/>
    </row>
    <row r="3" spans="1:14" x14ac:dyDescent="0.25">
      <c r="A3" s="309" t="s">
        <v>43</v>
      </c>
      <c r="B3" s="309"/>
      <c r="C3" s="309"/>
      <c r="D3" s="309"/>
      <c r="E3" s="309"/>
      <c r="F3" s="309"/>
      <c r="G3" s="309"/>
      <c r="H3" s="309"/>
      <c r="I3" s="309"/>
      <c r="J3" s="309"/>
      <c r="K3" s="309"/>
      <c r="L3" s="309"/>
      <c r="M3" s="309"/>
      <c r="N3" s="309"/>
    </row>
    <row r="4" spans="1:14" x14ac:dyDescent="0.25">
      <c r="A4" s="310" t="str">
        <f>TEXT(B7,"Mmmm YYYY - ")&amp;TEXT(M7,"Mmmm YYYY")</f>
        <v>January 2025 - December 2025</v>
      </c>
      <c r="B4" s="309"/>
      <c r="C4" s="309"/>
      <c r="D4" s="309"/>
      <c r="E4" s="309"/>
      <c r="F4" s="309"/>
      <c r="G4" s="309"/>
      <c r="H4" s="309"/>
      <c r="I4" s="309"/>
      <c r="J4" s="309"/>
      <c r="K4" s="309"/>
      <c r="L4" s="309"/>
      <c r="M4" s="309"/>
      <c r="N4" s="309"/>
    </row>
    <row r="5" spans="1:14" x14ac:dyDescent="0.25">
      <c r="A5" s="32"/>
      <c r="B5" s="32"/>
      <c r="C5" s="32"/>
      <c r="D5" s="32"/>
      <c r="E5" s="32"/>
      <c r="F5" s="33"/>
      <c r="G5" s="33"/>
      <c r="H5" s="33"/>
      <c r="I5" s="33"/>
      <c r="J5" s="33"/>
      <c r="K5" s="33"/>
      <c r="L5" s="33"/>
      <c r="M5" s="33"/>
      <c r="N5" s="33"/>
    </row>
    <row r="6" spans="1:14" x14ac:dyDescent="0.25">
      <c r="A6" s="45" t="s">
        <v>46</v>
      </c>
      <c r="B6" s="32"/>
      <c r="C6" s="32"/>
      <c r="D6" s="32"/>
      <c r="E6" s="32"/>
      <c r="F6" s="33"/>
      <c r="G6" s="33"/>
      <c r="H6" s="33"/>
      <c r="I6" s="33"/>
      <c r="J6" s="33"/>
      <c r="K6" s="33"/>
      <c r="L6" s="33"/>
      <c r="M6" s="33"/>
      <c r="N6" s="33"/>
    </row>
    <row r="7" spans="1:14" x14ac:dyDescent="0.25">
      <c r="A7" s="35" t="s">
        <v>44</v>
      </c>
      <c r="B7" s="36">
        <v>45658</v>
      </c>
      <c r="C7" s="37">
        <f>EDATE(B7,1)</f>
        <v>45689</v>
      </c>
      <c r="D7" s="37">
        <f t="shared" ref="D7:F7" si="0">EDATE(C7,1)</f>
        <v>45717</v>
      </c>
      <c r="E7" s="37">
        <f t="shared" si="0"/>
        <v>45748</v>
      </c>
      <c r="F7" s="37">
        <f t="shared" si="0"/>
        <v>45778</v>
      </c>
      <c r="G7" s="37">
        <f t="shared" ref="G7" si="1">EDATE(F7,1)</f>
        <v>45809</v>
      </c>
      <c r="H7" s="37">
        <f t="shared" ref="H7" si="2">EDATE(G7,1)</f>
        <v>45839</v>
      </c>
      <c r="I7" s="37">
        <f t="shared" ref="I7" si="3">EDATE(H7,1)</f>
        <v>45870</v>
      </c>
      <c r="J7" s="37">
        <f t="shared" ref="J7" si="4">EDATE(I7,1)</f>
        <v>45901</v>
      </c>
      <c r="K7" s="37">
        <f t="shared" ref="K7" si="5">EDATE(J7,1)</f>
        <v>45931</v>
      </c>
      <c r="L7" s="37">
        <f t="shared" ref="L7" si="6">EDATE(K7,1)</f>
        <v>45962</v>
      </c>
      <c r="M7" s="37">
        <f t="shared" ref="M7" si="7">EDATE(L7,1)</f>
        <v>45992</v>
      </c>
      <c r="N7" s="38" t="s">
        <v>2</v>
      </c>
    </row>
    <row r="8" spans="1:14" x14ac:dyDescent="0.25">
      <c r="A8" s="34">
        <v>16</v>
      </c>
      <c r="B8" s="39">
        <v>513</v>
      </c>
      <c r="C8" s="39">
        <v>513</v>
      </c>
      <c r="D8" s="39">
        <v>513</v>
      </c>
      <c r="E8" s="39">
        <v>513</v>
      </c>
      <c r="F8" s="39">
        <v>513</v>
      </c>
      <c r="G8" s="39">
        <v>513</v>
      </c>
      <c r="H8" s="39">
        <v>513</v>
      </c>
      <c r="I8" s="39">
        <v>513</v>
      </c>
      <c r="J8" s="39">
        <v>513</v>
      </c>
      <c r="K8" s="39">
        <v>513</v>
      </c>
      <c r="L8" s="39">
        <v>513</v>
      </c>
      <c r="M8" s="39">
        <v>513</v>
      </c>
      <c r="N8" s="40">
        <f>SUM(B8:M8)</f>
        <v>6156</v>
      </c>
    </row>
    <row r="9" spans="1:14" x14ac:dyDescent="0.25">
      <c r="A9" s="34">
        <v>23</v>
      </c>
      <c r="B9" s="39">
        <v>84091990</v>
      </c>
      <c r="C9" s="39">
        <v>72855060</v>
      </c>
      <c r="D9" s="39">
        <v>65707108</v>
      </c>
      <c r="E9" s="39">
        <v>45647376</v>
      </c>
      <c r="F9" s="39">
        <v>27871265</v>
      </c>
      <c r="G9" s="39">
        <v>19273637</v>
      </c>
      <c r="H9" s="39">
        <v>14492879</v>
      </c>
      <c r="I9" s="39">
        <v>14574848</v>
      </c>
      <c r="J9" s="39">
        <v>19979616</v>
      </c>
      <c r="K9" s="39">
        <v>42276981</v>
      </c>
      <c r="L9" s="39">
        <v>67463742</v>
      </c>
      <c r="M9" s="39">
        <v>87179749</v>
      </c>
      <c r="N9" s="40">
        <f t="shared" ref="N9:N22" si="8">SUM(B9:M9)</f>
        <v>561414251</v>
      </c>
    </row>
    <row r="10" spans="1:14" x14ac:dyDescent="0.25">
      <c r="A10" s="34">
        <v>53</v>
      </c>
      <c r="B10" s="39">
        <v>0</v>
      </c>
      <c r="C10" s="39">
        <v>0</v>
      </c>
      <c r="D10" s="39">
        <v>0</v>
      </c>
      <c r="E10" s="39">
        <v>0</v>
      </c>
      <c r="F10" s="39">
        <v>0</v>
      </c>
      <c r="G10" s="39">
        <v>0</v>
      </c>
      <c r="H10" s="39">
        <v>0</v>
      </c>
      <c r="I10" s="39">
        <v>0</v>
      </c>
      <c r="J10" s="39">
        <v>0</v>
      </c>
      <c r="K10" s="39">
        <v>0</v>
      </c>
      <c r="L10" s="39">
        <v>0</v>
      </c>
      <c r="M10" s="39">
        <v>0</v>
      </c>
      <c r="N10" s="40">
        <f t="shared" si="8"/>
        <v>0</v>
      </c>
    </row>
    <row r="11" spans="1:14" ht="15" customHeight="1" x14ac:dyDescent="0.25">
      <c r="A11" s="34">
        <v>31</v>
      </c>
      <c r="B11" s="39">
        <v>29692885</v>
      </c>
      <c r="C11" s="39">
        <v>26316395</v>
      </c>
      <c r="D11" s="39">
        <v>23569963</v>
      </c>
      <c r="E11" s="39">
        <v>16996414</v>
      </c>
      <c r="F11" s="39">
        <v>12050268</v>
      </c>
      <c r="G11" s="39">
        <v>9905036</v>
      </c>
      <c r="H11" s="39">
        <v>8713537</v>
      </c>
      <c r="I11" s="39">
        <v>9689232</v>
      </c>
      <c r="J11" s="39">
        <v>11580729</v>
      </c>
      <c r="K11" s="39">
        <v>19315268</v>
      </c>
      <c r="L11" s="39">
        <v>27775687</v>
      </c>
      <c r="M11" s="39">
        <v>34075567</v>
      </c>
      <c r="N11" s="40">
        <f t="shared" si="8"/>
        <v>229680981</v>
      </c>
    </row>
    <row r="12" spans="1:14" x14ac:dyDescent="0.25">
      <c r="A12" s="34">
        <v>41</v>
      </c>
      <c r="B12" s="39">
        <v>7128146</v>
      </c>
      <c r="C12" s="39">
        <v>6663689</v>
      </c>
      <c r="D12" s="39">
        <v>6195978</v>
      </c>
      <c r="E12" s="39">
        <v>4825720</v>
      </c>
      <c r="F12" s="39">
        <v>3787419</v>
      </c>
      <c r="G12" s="39">
        <v>3273804</v>
      </c>
      <c r="H12" s="39">
        <v>2790751</v>
      </c>
      <c r="I12" s="39">
        <v>3064107</v>
      </c>
      <c r="J12" s="39">
        <v>3691483</v>
      </c>
      <c r="K12" s="39">
        <v>5652301</v>
      </c>
      <c r="L12" s="39">
        <v>7486386</v>
      </c>
      <c r="M12" s="39">
        <v>8238591</v>
      </c>
      <c r="N12" s="40">
        <f t="shared" si="8"/>
        <v>62798375</v>
      </c>
    </row>
    <row r="13" spans="1:14" x14ac:dyDescent="0.25">
      <c r="A13" s="34">
        <v>85</v>
      </c>
      <c r="B13" s="39">
        <v>1910561</v>
      </c>
      <c r="C13" s="39">
        <v>1650567</v>
      </c>
      <c r="D13" s="39">
        <v>1719109</v>
      </c>
      <c r="E13" s="39">
        <v>1552464</v>
      </c>
      <c r="F13" s="39">
        <v>1422984</v>
      </c>
      <c r="G13" s="39">
        <v>1209166</v>
      </c>
      <c r="H13" s="39">
        <v>1112660</v>
      </c>
      <c r="I13" s="39">
        <v>1070071</v>
      </c>
      <c r="J13" s="39">
        <v>1005779</v>
      </c>
      <c r="K13" s="39">
        <v>1463922</v>
      </c>
      <c r="L13" s="39">
        <v>1455079</v>
      </c>
      <c r="M13" s="39">
        <v>1821391</v>
      </c>
      <c r="N13" s="40">
        <f t="shared" si="8"/>
        <v>17393753</v>
      </c>
    </row>
    <row r="14" spans="1:14" x14ac:dyDescent="0.25">
      <c r="A14" s="34">
        <v>86</v>
      </c>
      <c r="B14" s="39">
        <v>800487</v>
      </c>
      <c r="C14" s="39">
        <v>670382</v>
      </c>
      <c r="D14" s="39">
        <v>676505</v>
      </c>
      <c r="E14" s="39">
        <v>514139</v>
      </c>
      <c r="F14" s="39">
        <v>381780</v>
      </c>
      <c r="G14" s="39">
        <v>224267</v>
      </c>
      <c r="H14" s="39">
        <v>109878</v>
      </c>
      <c r="I14" s="39">
        <v>44384</v>
      </c>
      <c r="J14" s="39">
        <v>69259</v>
      </c>
      <c r="K14" s="39">
        <v>294326</v>
      </c>
      <c r="L14" s="39">
        <v>477731</v>
      </c>
      <c r="M14" s="39">
        <v>745018</v>
      </c>
      <c r="N14" s="40">
        <f t="shared" si="8"/>
        <v>5008156</v>
      </c>
    </row>
    <row r="15" spans="1:14" x14ac:dyDescent="0.25">
      <c r="A15" s="34">
        <v>87</v>
      </c>
      <c r="B15" s="39">
        <v>2060563</v>
      </c>
      <c r="C15" s="39">
        <v>1710298</v>
      </c>
      <c r="D15" s="39">
        <v>1713137</v>
      </c>
      <c r="E15" s="39">
        <v>1452440</v>
      </c>
      <c r="F15" s="39">
        <v>1346088</v>
      </c>
      <c r="G15" s="39">
        <v>1193038</v>
      </c>
      <c r="H15" s="39">
        <v>1170945</v>
      </c>
      <c r="I15" s="39">
        <v>1098169</v>
      </c>
      <c r="J15" s="39">
        <v>1005515</v>
      </c>
      <c r="K15" s="39">
        <v>1783820</v>
      </c>
      <c r="L15" s="39">
        <v>1650516</v>
      </c>
      <c r="M15" s="39">
        <v>2067159</v>
      </c>
      <c r="N15" s="40">
        <f t="shared" si="8"/>
        <v>18251688</v>
      </c>
    </row>
    <row r="16" spans="1:14" ht="15" customHeight="1" x14ac:dyDescent="0.25">
      <c r="A16" s="34" t="s">
        <v>27</v>
      </c>
      <c r="B16" s="39">
        <v>0</v>
      </c>
      <c r="C16" s="39">
        <v>0</v>
      </c>
      <c r="D16" s="39">
        <v>0</v>
      </c>
      <c r="E16" s="39">
        <v>0</v>
      </c>
      <c r="F16" s="39">
        <v>0</v>
      </c>
      <c r="G16" s="39">
        <v>0</v>
      </c>
      <c r="H16" s="39">
        <v>0</v>
      </c>
      <c r="I16" s="39">
        <v>0</v>
      </c>
      <c r="J16" s="39">
        <v>0</v>
      </c>
      <c r="K16" s="39">
        <v>0</v>
      </c>
      <c r="L16" s="39">
        <v>0</v>
      </c>
      <c r="M16" s="39">
        <v>0</v>
      </c>
      <c r="N16" s="40">
        <f t="shared" si="8"/>
        <v>0</v>
      </c>
    </row>
    <row r="17" spans="1:14" x14ac:dyDescent="0.25">
      <c r="A17" s="34" t="s">
        <v>29</v>
      </c>
      <c r="B17" s="39">
        <v>1787398</v>
      </c>
      <c r="C17" s="39">
        <v>1944865</v>
      </c>
      <c r="D17" s="39">
        <v>1713007</v>
      </c>
      <c r="E17" s="39">
        <v>1817525</v>
      </c>
      <c r="F17" s="39">
        <v>1715751</v>
      </c>
      <c r="G17" s="39">
        <v>1834118</v>
      </c>
      <c r="H17" s="39">
        <v>1639656</v>
      </c>
      <c r="I17" s="39">
        <v>1657073</v>
      </c>
      <c r="J17" s="39">
        <v>1664657</v>
      </c>
      <c r="K17" s="39">
        <v>1620165</v>
      </c>
      <c r="L17" s="39">
        <v>1867820</v>
      </c>
      <c r="M17" s="39">
        <v>1853820</v>
      </c>
      <c r="N17" s="40">
        <f t="shared" si="8"/>
        <v>21115855</v>
      </c>
    </row>
    <row r="18" spans="1:14" x14ac:dyDescent="0.25">
      <c r="A18" s="34" t="s">
        <v>31</v>
      </c>
      <c r="B18" s="39">
        <v>4307272</v>
      </c>
      <c r="C18" s="39">
        <v>5013043</v>
      </c>
      <c r="D18" s="39">
        <v>4437443</v>
      </c>
      <c r="E18" s="39">
        <v>4895422</v>
      </c>
      <c r="F18" s="39">
        <v>4556924</v>
      </c>
      <c r="G18" s="39">
        <v>4680219</v>
      </c>
      <c r="H18" s="39">
        <v>4330088</v>
      </c>
      <c r="I18" s="39">
        <v>4365135</v>
      </c>
      <c r="J18" s="39">
        <v>4729457</v>
      </c>
      <c r="K18" s="39">
        <v>4625269</v>
      </c>
      <c r="L18" s="39">
        <v>4807079</v>
      </c>
      <c r="M18" s="39">
        <v>5096644</v>
      </c>
      <c r="N18" s="40">
        <f t="shared" si="8"/>
        <v>55843995</v>
      </c>
    </row>
    <row r="19" spans="1:14" x14ac:dyDescent="0.25">
      <c r="A19" s="34" t="s">
        <v>33</v>
      </c>
      <c r="B19" s="39">
        <v>105817</v>
      </c>
      <c r="C19" s="39">
        <v>123254</v>
      </c>
      <c r="D19" s="39">
        <v>110382</v>
      </c>
      <c r="E19" s="39">
        <v>125657</v>
      </c>
      <c r="F19" s="39">
        <v>113495</v>
      </c>
      <c r="G19" s="39">
        <v>121199</v>
      </c>
      <c r="H19" s="39">
        <v>106268</v>
      </c>
      <c r="I19" s="39">
        <v>102961</v>
      </c>
      <c r="J19" s="39">
        <v>115379</v>
      </c>
      <c r="K19" s="39">
        <v>107961</v>
      </c>
      <c r="L19" s="39">
        <v>120350</v>
      </c>
      <c r="M19" s="39">
        <v>118522</v>
      </c>
      <c r="N19" s="40">
        <f t="shared" si="8"/>
        <v>1371245</v>
      </c>
    </row>
    <row r="20" spans="1:14" x14ac:dyDescent="0.25">
      <c r="A20" s="34" t="s">
        <v>35</v>
      </c>
      <c r="B20" s="39">
        <v>5343507</v>
      </c>
      <c r="C20" s="39">
        <v>7091666</v>
      </c>
      <c r="D20" s="39">
        <v>5600959</v>
      </c>
      <c r="E20" s="39">
        <v>6304355</v>
      </c>
      <c r="F20" s="39">
        <v>6072939</v>
      </c>
      <c r="G20" s="39">
        <v>6159153</v>
      </c>
      <c r="H20" s="39">
        <v>6412814</v>
      </c>
      <c r="I20" s="39">
        <v>6009451</v>
      </c>
      <c r="J20" s="39">
        <v>6460599</v>
      </c>
      <c r="K20" s="39">
        <v>5693897</v>
      </c>
      <c r="L20" s="39">
        <v>5928224</v>
      </c>
      <c r="M20" s="39">
        <v>6961545</v>
      </c>
      <c r="N20" s="40">
        <f t="shared" si="8"/>
        <v>74039109</v>
      </c>
    </row>
    <row r="21" spans="1:14" x14ac:dyDescent="0.25">
      <c r="A21" s="34" t="s">
        <v>232</v>
      </c>
      <c r="B21" s="39">
        <v>2799650</v>
      </c>
      <c r="C21" s="39">
        <v>2799650</v>
      </c>
      <c r="D21" s="39">
        <v>2799650</v>
      </c>
      <c r="E21" s="39">
        <v>2799650</v>
      </c>
      <c r="F21" s="39">
        <v>2799650</v>
      </c>
      <c r="G21" s="39">
        <v>2799650</v>
      </c>
      <c r="H21" s="39">
        <v>2799650</v>
      </c>
      <c r="I21" s="39">
        <v>2799650</v>
      </c>
      <c r="J21" s="39">
        <v>2799650</v>
      </c>
      <c r="K21" s="39">
        <v>2799650</v>
      </c>
      <c r="L21" s="39">
        <v>2799650</v>
      </c>
      <c r="M21" s="39">
        <v>2799650</v>
      </c>
      <c r="N21" s="40">
        <f t="shared" si="8"/>
        <v>33595800</v>
      </c>
    </row>
    <row r="22" spans="1:14" x14ac:dyDescent="0.25">
      <c r="A22" s="41" t="s">
        <v>36</v>
      </c>
      <c r="B22" s="39">
        <v>3482501</v>
      </c>
      <c r="C22" s="39">
        <v>4191398</v>
      </c>
      <c r="D22" s="39">
        <v>3055281</v>
      </c>
      <c r="E22" s="39">
        <v>2967362</v>
      </c>
      <c r="F22" s="39">
        <v>2280034</v>
      </c>
      <c r="G22" s="39">
        <v>2083748</v>
      </c>
      <c r="H22" s="39">
        <v>1865291</v>
      </c>
      <c r="I22" s="39">
        <v>1746292</v>
      </c>
      <c r="J22" s="39">
        <v>2093490</v>
      </c>
      <c r="K22" s="39">
        <v>2578594</v>
      </c>
      <c r="L22" s="39">
        <v>3487417</v>
      </c>
      <c r="M22" s="39">
        <v>4215409</v>
      </c>
      <c r="N22" s="40">
        <f t="shared" si="8"/>
        <v>34046817</v>
      </c>
    </row>
    <row r="23" spans="1:14" x14ac:dyDescent="0.25">
      <c r="A23" s="42" t="s">
        <v>2</v>
      </c>
      <c r="B23" s="43">
        <f>SUM(B8:B22)</f>
        <v>143511290</v>
      </c>
      <c r="C23" s="43">
        <f t="shared" ref="C23:N23" si="9">SUM(C8:C22)</f>
        <v>131030780</v>
      </c>
      <c r="D23" s="43">
        <f t="shared" si="9"/>
        <v>117299035</v>
      </c>
      <c r="E23" s="43">
        <f t="shared" si="9"/>
        <v>89899037</v>
      </c>
      <c r="F23" s="43">
        <f t="shared" si="9"/>
        <v>64399110</v>
      </c>
      <c r="G23" s="43">
        <f t="shared" si="9"/>
        <v>52757548</v>
      </c>
      <c r="H23" s="43">
        <f t="shared" si="9"/>
        <v>45544930</v>
      </c>
      <c r="I23" s="43">
        <f t="shared" si="9"/>
        <v>46221886</v>
      </c>
      <c r="J23" s="43">
        <f t="shared" si="9"/>
        <v>55196126</v>
      </c>
      <c r="K23" s="43">
        <f t="shared" si="9"/>
        <v>88212667</v>
      </c>
      <c r="L23" s="43">
        <f t="shared" si="9"/>
        <v>125320194</v>
      </c>
      <c r="M23" s="43">
        <f t="shared" si="9"/>
        <v>155173578</v>
      </c>
      <c r="N23" s="43">
        <f t="shared" si="9"/>
        <v>1114566181</v>
      </c>
    </row>
    <row r="24" spans="1:14" x14ac:dyDescent="0.25">
      <c r="A24" s="42"/>
      <c r="B24" s="44"/>
      <c r="C24" s="44"/>
      <c r="D24" s="44"/>
      <c r="E24" s="44"/>
      <c r="F24" s="44"/>
      <c r="G24" s="44"/>
      <c r="H24" s="44"/>
      <c r="I24" s="44"/>
      <c r="J24" s="44"/>
      <c r="K24" s="44"/>
      <c r="L24" s="44"/>
      <c r="M24" s="44"/>
      <c r="N24" s="44"/>
    </row>
    <row r="25" spans="1:14" x14ac:dyDescent="0.25">
      <c r="A25" s="45" t="s">
        <v>45</v>
      </c>
      <c r="B25" s="32"/>
      <c r="C25" s="32"/>
      <c r="D25" s="32"/>
      <c r="E25" s="32"/>
      <c r="F25" s="33"/>
      <c r="G25" s="33"/>
      <c r="H25" s="33"/>
      <c r="I25" s="33"/>
      <c r="J25" s="33"/>
      <c r="K25" s="33"/>
      <c r="L25" s="33"/>
      <c r="M25" s="33"/>
      <c r="N25" s="33"/>
    </row>
    <row r="26" spans="1:14" x14ac:dyDescent="0.25">
      <c r="A26" s="35" t="s">
        <v>44</v>
      </c>
      <c r="B26" s="37">
        <f>B7</f>
        <v>45658</v>
      </c>
      <c r="C26" s="37">
        <f>C7</f>
        <v>45689</v>
      </c>
      <c r="D26" s="37">
        <f>D7</f>
        <v>45717</v>
      </c>
      <c r="E26" s="37">
        <f>E7</f>
        <v>45748</v>
      </c>
      <c r="F26" s="37">
        <f>F7</f>
        <v>45778</v>
      </c>
      <c r="G26" s="37">
        <f t="shared" ref="G26:M26" si="10">G7</f>
        <v>45809</v>
      </c>
      <c r="H26" s="37">
        <f t="shared" si="10"/>
        <v>45839</v>
      </c>
      <c r="I26" s="37">
        <f t="shared" si="10"/>
        <v>45870</v>
      </c>
      <c r="J26" s="37">
        <f t="shared" si="10"/>
        <v>45901</v>
      </c>
      <c r="K26" s="37">
        <f t="shared" si="10"/>
        <v>45931</v>
      </c>
      <c r="L26" s="37">
        <f t="shared" si="10"/>
        <v>45962</v>
      </c>
      <c r="M26" s="37">
        <f t="shared" si="10"/>
        <v>45992</v>
      </c>
      <c r="N26" s="38" t="s">
        <v>2</v>
      </c>
    </row>
    <row r="27" spans="1:14" x14ac:dyDescent="0.25">
      <c r="A27" s="34">
        <v>16</v>
      </c>
      <c r="B27" s="39">
        <v>3</v>
      </c>
      <c r="C27" s="39">
        <v>3</v>
      </c>
      <c r="D27" s="39">
        <v>3</v>
      </c>
      <c r="E27" s="39">
        <v>3</v>
      </c>
      <c r="F27" s="39">
        <v>3</v>
      </c>
      <c r="G27" s="39">
        <v>3</v>
      </c>
      <c r="H27" s="39">
        <v>3</v>
      </c>
      <c r="I27" s="39">
        <v>3</v>
      </c>
      <c r="J27" s="39">
        <v>3</v>
      </c>
      <c r="K27" s="39">
        <v>3</v>
      </c>
      <c r="L27" s="39">
        <v>3</v>
      </c>
      <c r="M27" s="39">
        <v>3</v>
      </c>
      <c r="N27" s="40">
        <f>SUM(B27:M27)</f>
        <v>36</v>
      </c>
    </row>
    <row r="28" spans="1:14" x14ac:dyDescent="0.25">
      <c r="A28" s="34">
        <v>23</v>
      </c>
      <c r="B28" s="39">
        <v>819697</v>
      </c>
      <c r="C28" s="39">
        <v>819697</v>
      </c>
      <c r="D28" s="39">
        <v>819697</v>
      </c>
      <c r="E28" s="39">
        <v>819697</v>
      </c>
      <c r="F28" s="39">
        <v>819697</v>
      </c>
      <c r="G28" s="39">
        <v>819697</v>
      </c>
      <c r="H28" s="39">
        <v>819697</v>
      </c>
      <c r="I28" s="39">
        <v>819697</v>
      </c>
      <c r="J28" s="39">
        <v>819697</v>
      </c>
      <c r="K28" s="39">
        <v>819697</v>
      </c>
      <c r="L28" s="39">
        <v>819697</v>
      </c>
      <c r="M28" s="39">
        <v>819697</v>
      </c>
      <c r="N28" s="40">
        <f t="shared" ref="N28:N41" si="11">SUM(B28:M28)</f>
        <v>9836364</v>
      </c>
    </row>
    <row r="29" spans="1:14" x14ac:dyDescent="0.25">
      <c r="A29" s="34">
        <v>53</v>
      </c>
      <c r="B29" s="39">
        <v>0</v>
      </c>
      <c r="C29" s="39">
        <v>0</v>
      </c>
      <c r="D29" s="39">
        <v>0</v>
      </c>
      <c r="E29" s="39">
        <v>0</v>
      </c>
      <c r="F29" s="39">
        <v>0</v>
      </c>
      <c r="G29" s="39">
        <v>0</v>
      </c>
      <c r="H29" s="39">
        <v>0</v>
      </c>
      <c r="I29" s="39">
        <v>0</v>
      </c>
      <c r="J29" s="39">
        <v>0</v>
      </c>
      <c r="K29" s="39">
        <v>0</v>
      </c>
      <c r="L29" s="39">
        <v>0</v>
      </c>
      <c r="M29" s="39">
        <v>0</v>
      </c>
      <c r="N29" s="40">
        <f t="shared" si="11"/>
        <v>0</v>
      </c>
    </row>
    <row r="30" spans="1:14" ht="15" customHeight="1" x14ac:dyDescent="0.25">
      <c r="A30" s="34">
        <v>31</v>
      </c>
      <c r="B30" s="39">
        <v>58101</v>
      </c>
      <c r="C30" s="39">
        <v>58109</v>
      </c>
      <c r="D30" s="39">
        <v>58111</v>
      </c>
      <c r="E30" s="39">
        <v>58111</v>
      </c>
      <c r="F30" s="39">
        <v>58115</v>
      </c>
      <c r="G30" s="39">
        <v>58112</v>
      </c>
      <c r="H30" s="39">
        <v>58116</v>
      </c>
      <c r="I30" s="39">
        <v>58118</v>
      </c>
      <c r="J30" s="39">
        <v>58117</v>
      </c>
      <c r="K30" s="39">
        <v>58114</v>
      </c>
      <c r="L30" s="39">
        <v>58113</v>
      </c>
      <c r="M30" s="39">
        <v>58131</v>
      </c>
      <c r="N30" s="40">
        <f t="shared" si="11"/>
        <v>697368</v>
      </c>
    </row>
    <row r="31" spans="1:14" x14ac:dyDescent="0.25">
      <c r="A31" s="34">
        <v>41</v>
      </c>
      <c r="B31" s="39">
        <v>1295</v>
      </c>
      <c r="C31" s="39">
        <v>1291</v>
      </c>
      <c r="D31" s="39">
        <v>1291</v>
      </c>
      <c r="E31" s="39">
        <v>1289</v>
      </c>
      <c r="F31" s="39">
        <v>1286</v>
      </c>
      <c r="G31" s="39">
        <v>1283</v>
      </c>
      <c r="H31" s="39">
        <v>1280</v>
      </c>
      <c r="I31" s="39">
        <v>1281</v>
      </c>
      <c r="J31" s="39">
        <v>1283</v>
      </c>
      <c r="K31" s="39">
        <v>1285</v>
      </c>
      <c r="L31" s="39">
        <v>1289</v>
      </c>
      <c r="M31" s="39">
        <v>1278</v>
      </c>
      <c r="N31" s="40">
        <f t="shared" si="11"/>
        <v>15431</v>
      </c>
    </row>
    <row r="32" spans="1:14" x14ac:dyDescent="0.25">
      <c r="A32" s="34">
        <v>85</v>
      </c>
      <c r="B32" s="39">
        <v>30</v>
      </c>
      <c r="C32" s="39">
        <v>30</v>
      </c>
      <c r="D32" s="39">
        <v>30</v>
      </c>
      <c r="E32" s="39">
        <v>30</v>
      </c>
      <c r="F32" s="39">
        <v>30</v>
      </c>
      <c r="G32" s="39">
        <v>30</v>
      </c>
      <c r="H32" s="39">
        <v>30</v>
      </c>
      <c r="I32" s="39">
        <v>30</v>
      </c>
      <c r="J32" s="39">
        <v>30</v>
      </c>
      <c r="K32" s="39">
        <v>30</v>
      </c>
      <c r="L32" s="39">
        <v>30</v>
      </c>
      <c r="M32" s="39">
        <v>30</v>
      </c>
      <c r="N32" s="40">
        <f t="shared" si="11"/>
        <v>360</v>
      </c>
    </row>
    <row r="33" spans="1:14" x14ac:dyDescent="0.25">
      <c r="A33" s="34">
        <v>86</v>
      </c>
      <c r="B33" s="39">
        <v>98</v>
      </c>
      <c r="C33" s="39">
        <v>97</v>
      </c>
      <c r="D33" s="39">
        <v>97</v>
      </c>
      <c r="E33" s="39">
        <v>97</v>
      </c>
      <c r="F33" s="39">
        <v>96</v>
      </c>
      <c r="G33" s="39">
        <v>96</v>
      </c>
      <c r="H33" s="39">
        <v>95</v>
      </c>
      <c r="I33" s="39">
        <v>95</v>
      </c>
      <c r="J33" s="39">
        <v>95</v>
      </c>
      <c r="K33" s="39">
        <v>94</v>
      </c>
      <c r="L33" s="39">
        <v>94</v>
      </c>
      <c r="M33" s="39">
        <v>93</v>
      </c>
      <c r="N33" s="40">
        <f t="shared" si="11"/>
        <v>1147</v>
      </c>
    </row>
    <row r="34" spans="1:14" x14ac:dyDescent="0.25">
      <c r="A34" s="34">
        <v>87</v>
      </c>
      <c r="B34" s="39">
        <v>4</v>
      </c>
      <c r="C34" s="39">
        <v>4</v>
      </c>
      <c r="D34" s="39">
        <v>4</v>
      </c>
      <c r="E34" s="39">
        <v>4</v>
      </c>
      <c r="F34" s="39">
        <v>4</v>
      </c>
      <c r="G34" s="39">
        <v>4</v>
      </c>
      <c r="H34" s="39">
        <v>4</v>
      </c>
      <c r="I34" s="39">
        <v>4</v>
      </c>
      <c r="J34" s="39">
        <v>4</v>
      </c>
      <c r="K34" s="39">
        <v>4</v>
      </c>
      <c r="L34" s="39">
        <v>4</v>
      </c>
      <c r="M34" s="39">
        <v>4</v>
      </c>
      <c r="N34" s="40">
        <f t="shared" si="11"/>
        <v>48</v>
      </c>
    </row>
    <row r="35" spans="1:14" ht="15" customHeight="1" x14ac:dyDescent="0.25">
      <c r="A35" s="34" t="s">
        <v>27</v>
      </c>
      <c r="B35" s="39">
        <v>1</v>
      </c>
      <c r="C35" s="39">
        <v>1</v>
      </c>
      <c r="D35" s="39">
        <v>1</v>
      </c>
      <c r="E35" s="39">
        <v>1</v>
      </c>
      <c r="F35" s="39">
        <v>1</v>
      </c>
      <c r="G35" s="39">
        <v>1</v>
      </c>
      <c r="H35" s="39">
        <v>1</v>
      </c>
      <c r="I35" s="39">
        <v>1</v>
      </c>
      <c r="J35" s="39">
        <v>1</v>
      </c>
      <c r="K35" s="39">
        <v>1</v>
      </c>
      <c r="L35" s="39">
        <v>1</v>
      </c>
      <c r="M35" s="39">
        <v>1</v>
      </c>
      <c r="N35" s="40">
        <f t="shared" si="11"/>
        <v>12</v>
      </c>
    </row>
    <row r="36" spans="1:14" x14ac:dyDescent="0.25">
      <c r="A36" s="34" t="s">
        <v>29</v>
      </c>
      <c r="B36" s="39">
        <v>94</v>
      </c>
      <c r="C36" s="39">
        <v>94</v>
      </c>
      <c r="D36" s="39">
        <v>94</v>
      </c>
      <c r="E36" s="39">
        <v>94</v>
      </c>
      <c r="F36" s="39">
        <v>94</v>
      </c>
      <c r="G36" s="39">
        <v>94</v>
      </c>
      <c r="H36" s="39">
        <v>94</v>
      </c>
      <c r="I36" s="39">
        <v>94</v>
      </c>
      <c r="J36" s="39">
        <v>94</v>
      </c>
      <c r="K36" s="39">
        <v>94</v>
      </c>
      <c r="L36" s="39">
        <v>94</v>
      </c>
      <c r="M36" s="39">
        <v>94</v>
      </c>
      <c r="N36" s="40">
        <f t="shared" si="11"/>
        <v>1128</v>
      </c>
    </row>
    <row r="37" spans="1:14" x14ac:dyDescent="0.25">
      <c r="A37" s="34" t="s">
        <v>31</v>
      </c>
      <c r="B37" s="39">
        <v>76</v>
      </c>
      <c r="C37" s="39">
        <v>76</v>
      </c>
      <c r="D37" s="39">
        <v>76</v>
      </c>
      <c r="E37" s="39">
        <v>76</v>
      </c>
      <c r="F37" s="39">
        <v>76</v>
      </c>
      <c r="G37" s="39">
        <v>76</v>
      </c>
      <c r="H37" s="39">
        <v>76</v>
      </c>
      <c r="I37" s="39">
        <v>76</v>
      </c>
      <c r="J37" s="39">
        <v>76</v>
      </c>
      <c r="K37" s="39">
        <v>76</v>
      </c>
      <c r="L37" s="39">
        <v>76</v>
      </c>
      <c r="M37" s="39">
        <v>76</v>
      </c>
      <c r="N37" s="40">
        <f t="shared" si="11"/>
        <v>912</v>
      </c>
    </row>
    <row r="38" spans="1:14" x14ac:dyDescent="0.25">
      <c r="A38" s="34" t="s">
        <v>33</v>
      </c>
      <c r="B38" s="39">
        <v>5</v>
      </c>
      <c r="C38" s="39">
        <v>5</v>
      </c>
      <c r="D38" s="39">
        <v>5</v>
      </c>
      <c r="E38" s="39">
        <v>5</v>
      </c>
      <c r="F38" s="39">
        <v>5</v>
      </c>
      <c r="G38" s="39">
        <v>5</v>
      </c>
      <c r="H38" s="39">
        <v>5</v>
      </c>
      <c r="I38" s="39">
        <v>5</v>
      </c>
      <c r="J38" s="39">
        <v>5</v>
      </c>
      <c r="K38" s="39">
        <v>5</v>
      </c>
      <c r="L38" s="39">
        <v>5</v>
      </c>
      <c r="M38" s="39">
        <v>5</v>
      </c>
      <c r="N38" s="40">
        <f t="shared" si="11"/>
        <v>60</v>
      </c>
    </row>
    <row r="39" spans="1:14" x14ac:dyDescent="0.25">
      <c r="A39" s="34" t="s">
        <v>35</v>
      </c>
      <c r="B39" s="39">
        <v>14</v>
      </c>
      <c r="C39" s="39">
        <v>14</v>
      </c>
      <c r="D39" s="39">
        <v>14</v>
      </c>
      <c r="E39" s="39">
        <v>14</v>
      </c>
      <c r="F39" s="39">
        <v>14</v>
      </c>
      <c r="G39" s="39">
        <v>14</v>
      </c>
      <c r="H39" s="39">
        <v>14</v>
      </c>
      <c r="I39" s="39">
        <v>14</v>
      </c>
      <c r="J39" s="39">
        <v>14</v>
      </c>
      <c r="K39" s="39">
        <v>14</v>
      </c>
      <c r="L39" s="39">
        <v>14</v>
      </c>
      <c r="M39" s="39">
        <v>14</v>
      </c>
      <c r="N39" s="40">
        <f t="shared" si="11"/>
        <v>168</v>
      </c>
    </row>
    <row r="40" spans="1:14" x14ac:dyDescent="0.25">
      <c r="A40" s="34" t="s">
        <v>232</v>
      </c>
      <c r="B40" s="39">
        <v>1</v>
      </c>
      <c r="C40" s="39">
        <v>1</v>
      </c>
      <c r="D40" s="39">
        <v>1</v>
      </c>
      <c r="E40" s="39">
        <v>1</v>
      </c>
      <c r="F40" s="39">
        <v>1</v>
      </c>
      <c r="G40" s="39">
        <v>1</v>
      </c>
      <c r="H40" s="39">
        <v>1</v>
      </c>
      <c r="I40" s="39">
        <v>1</v>
      </c>
      <c r="J40" s="39">
        <v>1</v>
      </c>
      <c r="K40" s="39">
        <v>1</v>
      </c>
      <c r="L40" s="39">
        <v>1</v>
      </c>
      <c r="M40" s="39">
        <v>1</v>
      </c>
      <c r="N40" s="40">
        <f t="shared" si="11"/>
        <v>12</v>
      </c>
    </row>
    <row r="41" spans="1:14" x14ac:dyDescent="0.25">
      <c r="A41" s="41" t="s">
        <v>36</v>
      </c>
      <c r="B41" s="39">
        <v>9</v>
      </c>
      <c r="C41" s="39">
        <v>9</v>
      </c>
      <c r="D41" s="39">
        <v>9</v>
      </c>
      <c r="E41" s="39">
        <v>9</v>
      </c>
      <c r="F41" s="39">
        <v>9</v>
      </c>
      <c r="G41" s="39">
        <v>9</v>
      </c>
      <c r="H41" s="39">
        <v>9</v>
      </c>
      <c r="I41" s="39">
        <v>9</v>
      </c>
      <c r="J41" s="39">
        <v>9</v>
      </c>
      <c r="K41" s="39">
        <v>9</v>
      </c>
      <c r="L41" s="39">
        <v>9</v>
      </c>
      <c r="M41" s="39">
        <v>9</v>
      </c>
      <c r="N41" s="40">
        <f t="shared" si="11"/>
        <v>108</v>
      </c>
    </row>
    <row r="42" spans="1:14" x14ac:dyDescent="0.25">
      <c r="A42" s="42" t="s">
        <v>2</v>
      </c>
      <c r="B42" s="43">
        <f>SUM(B27:B41)</f>
        <v>879428</v>
      </c>
      <c r="C42" s="43">
        <f t="shared" ref="C42:N42" si="12">SUM(C27:C41)</f>
        <v>879431</v>
      </c>
      <c r="D42" s="43">
        <f t="shared" si="12"/>
        <v>879433</v>
      </c>
      <c r="E42" s="43">
        <f t="shared" si="12"/>
        <v>879431</v>
      </c>
      <c r="F42" s="43">
        <f t="shared" si="12"/>
        <v>879431</v>
      </c>
      <c r="G42" s="43">
        <f t="shared" si="12"/>
        <v>879425</v>
      </c>
      <c r="H42" s="43">
        <f t="shared" si="12"/>
        <v>879425</v>
      </c>
      <c r="I42" s="43">
        <f t="shared" si="12"/>
        <v>879428</v>
      </c>
      <c r="J42" s="43">
        <f t="shared" si="12"/>
        <v>879429</v>
      </c>
      <c r="K42" s="43">
        <f t="shared" si="12"/>
        <v>879427</v>
      </c>
      <c r="L42" s="43">
        <f t="shared" si="12"/>
        <v>879430</v>
      </c>
      <c r="M42" s="43">
        <f t="shared" si="12"/>
        <v>879436</v>
      </c>
      <c r="N42" s="43">
        <f t="shared" si="12"/>
        <v>10553154</v>
      </c>
    </row>
    <row r="44" spans="1:14" x14ac:dyDescent="0.25">
      <c r="A44" s="45" t="s">
        <v>57</v>
      </c>
      <c r="B44" s="32"/>
      <c r="C44" s="32"/>
      <c r="D44" s="32"/>
      <c r="E44" s="32"/>
      <c r="F44" s="33"/>
      <c r="G44" s="33"/>
      <c r="H44" s="33"/>
      <c r="I44" s="33"/>
      <c r="J44" s="33"/>
      <c r="K44" s="33"/>
      <c r="L44" s="33"/>
      <c r="M44" s="33"/>
      <c r="N44" s="33"/>
    </row>
    <row r="45" spans="1:14" x14ac:dyDescent="0.25">
      <c r="A45" s="35" t="s">
        <v>44</v>
      </c>
      <c r="B45" s="37">
        <f>B26</f>
        <v>45658</v>
      </c>
      <c r="C45" s="37">
        <f>C26</f>
        <v>45689</v>
      </c>
      <c r="D45" s="37">
        <f>D26</f>
        <v>45717</v>
      </c>
      <c r="E45" s="37">
        <f>E26</f>
        <v>45748</v>
      </c>
      <c r="F45" s="37">
        <f>F26</f>
        <v>45778</v>
      </c>
      <c r="G45" s="37">
        <f t="shared" ref="G45:M45" si="13">G26</f>
        <v>45809</v>
      </c>
      <c r="H45" s="37">
        <f t="shared" si="13"/>
        <v>45839</v>
      </c>
      <c r="I45" s="37">
        <f t="shared" si="13"/>
        <v>45870</v>
      </c>
      <c r="J45" s="37">
        <f t="shared" si="13"/>
        <v>45901</v>
      </c>
      <c r="K45" s="37">
        <f t="shared" si="13"/>
        <v>45931</v>
      </c>
      <c r="L45" s="37">
        <f t="shared" si="13"/>
        <v>45962</v>
      </c>
      <c r="M45" s="37">
        <f t="shared" si="13"/>
        <v>45992</v>
      </c>
      <c r="N45" s="38" t="s">
        <v>2</v>
      </c>
    </row>
    <row r="46" spans="1:14" x14ac:dyDescent="0.25">
      <c r="A46" s="34">
        <v>16</v>
      </c>
      <c r="B46" s="40">
        <f>B8/19</f>
        <v>27</v>
      </c>
      <c r="C46" s="40">
        <f t="shared" ref="C46:M46" si="14">C8/19</f>
        <v>27</v>
      </c>
      <c r="D46" s="40">
        <f t="shared" si="14"/>
        <v>27</v>
      </c>
      <c r="E46" s="40">
        <f t="shared" si="14"/>
        <v>27</v>
      </c>
      <c r="F46" s="40">
        <f t="shared" si="14"/>
        <v>27</v>
      </c>
      <c r="G46" s="40">
        <f t="shared" si="14"/>
        <v>27</v>
      </c>
      <c r="H46" s="40">
        <f t="shared" si="14"/>
        <v>27</v>
      </c>
      <c r="I46" s="40">
        <f t="shared" si="14"/>
        <v>27</v>
      </c>
      <c r="J46" s="40">
        <f t="shared" si="14"/>
        <v>27</v>
      </c>
      <c r="K46" s="40">
        <f t="shared" si="14"/>
        <v>27</v>
      </c>
      <c r="L46" s="40">
        <f t="shared" si="14"/>
        <v>27</v>
      </c>
      <c r="M46" s="40">
        <f t="shared" si="14"/>
        <v>27</v>
      </c>
      <c r="N46" s="40">
        <f>SUM(B46:M46)</f>
        <v>324</v>
      </c>
    </row>
    <row r="48" spans="1:14" x14ac:dyDescent="0.25">
      <c r="A48" s="31" t="s">
        <v>295</v>
      </c>
    </row>
  </sheetData>
  <mergeCells count="4">
    <mergeCell ref="A1:N1"/>
    <mergeCell ref="A2:N2"/>
    <mergeCell ref="A3:N3"/>
    <mergeCell ref="A4:N4"/>
  </mergeCells>
  <printOptions horizontalCentered="1"/>
  <pageMargins left="0.7" right="0.7" top="0.75" bottom="0.75" header="0.3" footer="0.3"/>
  <pageSetup scale="69" orientation="landscape" blackAndWhite="1" r:id="rId1"/>
  <headerFooter>
    <oddFooter>&amp;L&amp;F 
&amp;A&amp;C&amp;P&amp;R&amp;D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V31" sqref="V31"/>
    </sheetView>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M26"/>
  <sheetViews>
    <sheetView zoomScale="90" zoomScaleNormal="90" workbookViewId="0">
      <selection activeCell="F28" sqref="F28"/>
    </sheetView>
  </sheetViews>
  <sheetFormatPr defaultColWidth="9.140625" defaultRowHeight="15" x14ac:dyDescent="0.25"/>
  <cols>
    <col min="1" max="1" width="4.42578125" style="31" customWidth="1"/>
    <col min="2" max="2" width="38.28515625" style="31" customWidth="1"/>
    <col min="3" max="3" width="10" style="31" bestFit="1" customWidth="1"/>
    <col min="4" max="4" width="15.42578125" style="31" customWidth="1"/>
    <col min="5" max="5" width="14.5703125" style="31" customWidth="1"/>
    <col min="6" max="6" width="16.42578125" style="31" bestFit="1" customWidth="1"/>
    <col min="7" max="7" width="14" style="31" bestFit="1" customWidth="1"/>
    <col min="8" max="8" width="2.5703125" style="31" customWidth="1"/>
    <col min="9" max="9" width="14.42578125" style="31" bestFit="1" customWidth="1"/>
    <col min="10" max="11" width="14.42578125" style="31" customWidth="1"/>
    <col min="12" max="12" width="2.5703125" style="31" customWidth="1"/>
    <col min="13" max="13" width="14.42578125" style="31" customWidth="1"/>
    <col min="14" max="16384" width="9.140625" style="31"/>
  </cols>
  <sheetData>
    <row r="1" spans="1:13" x14ac:dyDescent="0.25">
      <c r="A1" s="42" t="s">
        <v>0</v>
      </c>
      <c r="B1" s="246"/>
      <c r="C1" s="246"/>
      <c r="D1" s="246"/>
      <c r="E1" s="246"/>
      <c r="F1" s="246"/>
      <c r="G1" s="246"/>
      <c r="H1" s="246"/>
      <c r="I1" s="246"/>
    </row>
    <row r="2" spans="1:13" x14ac:dyDescent="0.25">
      <c r="A2" s="42" t="s">
        <v>313</v>
      </c>
      <c r="B2" s="244"/>
      <c r="C2" s="244"/>
      <c r="D2" s="244"/>
      <c r="E2" s="244"/>
      <c r="F2" s="244"/>
      <c r="G2" s="244"/>
      <c r="H2" s="244"/>
      <c r="I2" s="244"/>
    </row>
    <row r="3" spans="1:13" x14ac:dyDescent="0.25">
      <c r="A3" s="42" t="s">
        <v>314</v>
      </c>
      <c r="B3" s="246"/>
      <c r="C3" s="246"/>
      <c r="D3" s="246"/>
      <c r="E3" s="246"/>
      <c r="F3" s="246"/>
      <c r="G3" s="246"/>
      <c r="H3" s="246"/>
      <c r="I3" s="246"/>
    </row>
    <row r="4" spans="1:13" x14ac:dyDescent="0.25">
      <c r="A4" s="42" t="s">
        <v>315</v>
      </c>
      <c r="B4" s="246"/>
      <c r="C4" s="246"/>
      <c r="D4" s="246"/>
      <c r="E4" s="246"/>
      <c r="F4" s="246"/>
      <c r="G4" s="246"/>
      <c r="H4" s="246"/>
      <c r="I4" s="246"/>
    </row>
    <row r="5" spans="1:13" x14ac:dyDescent="0.25">
      <c r="A5" s="244"/>
      <c r="B5" s="244"/>
      <c r="C5" s="244"/>
      <c r="D5" s="244"/>
      <c r="E5" s="244"/>
      <c r="F5" s="244"/>
      <c r="G5" s="244"/>
      <c r="H5" s="244"/>
      <c r="I5" s="244"/>
    </row>
    <row r="6" spans="1:13" ht="13.5" customHeight="1" x14ac:dyDescent="0.25">
      <c r="D6" s="51" t="s">
        <v>316</v>
      </c>
      <c r="E6" s="51" t="s">
        <v>317</v>
      </c>
      <c r="F6" s="51" t="s">
        <v>318</v>
      </c>
      <c r="G6" s="23" t="s">
        <v>319</v>
      </c>
      <c r="H6" s="23"/>
      <c r="I6" s="23" t="s">
        <v>320</v>
      </c>
      <c r="J6" s="23" t="s">
        <v>321</v>
      </c>
      <c r="K6" s="23" t="s">
        <v>319</v>
      </c>
      <c r="L6" s="23"/>
      <c r="M6" s="51" t="s">
        <v>322</v>
      </c>
    </row>
    <row r="7" spans="1:13" x14ac:dyDescent="0.25">
      <c r="B7" s="51"/>
      <c r="C7" s="51"/>
      <c r="D7" s="51" t="s">
        <v>4</v>
      </c>
      <c r="E7" s="51" t="s">
        <v>4</v>
      </c>
      <c r="F7" s="51" t="s">
        <v>4</v>
      </c>
      <c r="G7" s="51" t="s">
        <v>2</v>
      </c>
      <c r="H7" s="51"/>
      <c r="I7" s="51" t="s">
        <v>323</v>
      </c>
      <c r="J7" s="51" t="s">
        <v>324</v>
      </c>
      <c r="K7" s="51" t="s">
        <v>325</v>
      </c>
      <c r="L7" s="51"/>
      <c r="M7" s="23" t="s">
        <v>326</v>
      </c>
    </row>
    <row r="8" spans="1:13" x14ac:dyDescent="0.25">
      <c r="A8" s="244" t="s">
        <v>1</v>
      </c>
      <c r="B8" s="51"/>
      <c r="C8" s="51"/>
      <c r="D8" s="51" t="s">
        <v>10</v>
      </c>
      <c r="E8" s="51" t="s">
        <v>10</v>
      </c>
      <c r="F8" s="51" t="s">
        <v>10</v>
      </c>
      <c r="G8" s="51" t="s">
        <v>4</v>
      </c>
      <c r="H8" s="51"/>
      <c r="I8" s="51" t="s">
        <v>327</v>
      </c>
      <c r="J8" s="51" t="s">
        <v>327</v>
      </c>
      <c r="K8" s="51" t="s">
        <v>327</v>
      </c>
      <c r="L8" s="51"/>
      <c r="M8" s="51" t="s">
        <v>328</v>
      </c>
    </row>
    <row r="9" spans="1:13" x14ac:dyDescent="0.25">
      <c r="A9" s="52" t="s">
        <v>6</v>
      </c>
      <c r="B9" s="52" t="s">
        <v>7</v>
      </c>
      <c r="C9" s="52" t="s">
        <v>8</v>
      </c>
      <c r="D9" s="52" t="s">
        <v>84</v>
      </c>
      <c r="E9" s="52" t="s">
        <v>194</v>
      </c>
      <c r="F9" s="52" t="s">
        <v>84</v>
      </c>
      <c r="G9" s="51" t="s">
        <v>10</v>
      </c>
      <c r="H9" s="51"/>
      <c r="I9" s="51" t="s">
        <v>329</v>
      </c>
      <c r="J9" s="51" t="s">
        <v>329</v>
      </c>
      <c r="K9" s="51" t="s">
        <v>329</v>
      </c>
      <c r="L9" s="51"/>
      <c r="M9" s="51" t="s">
        <v>249</v>
      </c>
    </row>
    <row r="10" spans="1:13" x14ac:dyDescent="0.25">
      <c r="B10" s="186" t="s">
        <v>12</v>
      </c>
      <c r="C10" s="186" t="s">
        <v>13</v>
      </c>
      <c r="D10" s="7" t="s">
        <v>14</v>
      </c>
      <c r="E10" s="245" t="s">
        <v>15</v>
      </c>
      <c r="F10" s="245" t="s">
        <v>16</v>
      </c>
      <c r="G10" s="247" t="s">
        <v>17</v>
      </c>
      <c r="H10" s="23"/>
      <c r="I10" s="247" t="s">
        <v>18</v>
      </c>
      <c r="J10" s="247" t="s">
        <v>91</v>
      </c>
      <c r="K10" s="247" t="s">
        <v>92</v>
      </c>
      <c r="L10" s="23"/>
      <c r="M10" s="247" t="s">
        <v>93</v>
      </c>
    </row>
    <row r="11" spans="1:13" x14ac:dyDescent="0.25">
      <c r="A11" s="244">
        <v>1</v>
      </c>
      <c r="B11" s="31" t="s">
        <v>19</v>
      </c>
      <c r="C11" s="244">
        <v>23</v>
      </c>
      <c r="D11" s="248">
        <f>SUM('CCA Projected Rev_Aug23-Dec23'!D15:F15)</f>
        <v>-42119962.44816719</v>
      </c>
      <c r="E11" s="248">
        <f>'Sch. 111 NV Rates_Eff Nov23'!F11</f>
        <v>-72510067.703836843</v>
      </c>
      <c r="F11" s="248">
        <f>'Sch. 111 NV Rates_Eff Jan24'!F11</f>
        <v>-87313316.765079126</v>
      </c>
      <c r="G11" s="249">
        <f>SUM(D11:F11)</f>
        <v>-201943346.91708314</v>
      </c>
      <c r="H11" s="250"/>
      <c r="I11" s="248">
        <f>SUM('CCA Rev_Actual'!O6)-CCA_Unbilled!D3</f>
        <v>-166137440.19000003</v>
      </c>
      <c r="J11" s="248">
        <f>'CCA Projected Rev_Oct24-Dec24'!P44</f>
        <v>-34453485.275308549</v>
      </c>
      <c r="K11" s="249">
        <f>SUM(I11:J11)</f>
        <v>-200590925.46530858</v>
      </c>
      <c r="L11" s="250"/>
      <c r="M11" s="249">
        <f>G11-K11</f>
        <v>-1352421.4517745674</v>
      </c>
    </row>
    <row r="12" spans="1:13" ht="17.25" x14ac:dyDescent="0.25">
      <c r="A12" s="244">
        <f>A11+1</f>
        <v>2</v>
      </c>
      <c r="B12" s="79" t="s">
        <v>68</v>
      </c>
      <c r="C12" s="244">
        <v>16</v>
      </c>
      <c r="D12" s="248">
        <f>SUM('CCA Projected Rev_Aug23-Dec23'!D16:F16)</f>
        <v>-360.84000000000003</v>
      </c>
      <c r="E12" s="248">
        <f>'Sch. 111 NV Rates_Eff Nov23'!F12</f>
        <v>-908.01497004102225</v>
      </c>
      <c r="F12" s="248">
        <f>'Sch. 111 NV Rates_Eff Jan24'!F12</f>
        <v>-1099.1334889868085</v>
      </c>
      <c r="G12" s="249">
        <f t="shared" ref="G12:G23" si="0">SUM(D12:F12)</f>
        <v>-2367.9884590278307</v>
      </c>
      <c r="H12" s="250"/>
      <c r="I12" s="248">
        <f>SUM('CCA Rev_Actual'!O5)</f>
        <v>-1740.9099999999999</v>
      </c>
      <c r="J12" s="248">
        <f>'CCA Projected Rev_Oct24-Dec24'!P45</f>
        <v>-351.0273684210527</v>
      </c>
      <c r="K12" s="249">
        <f t="shared" ref="K12:K23" si="1">SUM(I12:J12)</f>
        <v>-2091.9373684210527</v>
      </c>
      <c r="L12" s="250"/>
      <c r="M12" s="249">
        <f t="shared" ref="M12:M23" si="2">G12-K12</f>
        <v>-276.05109060677796</v>
      </c>
    </row>
    <row r="13" spans="1:13" x14ac:dyDescent="0.25">
      <c r="A13" s="244">
        <f t="shared" ref="A13:A24" si="3">A12+1</f>
        <v>3</v>
      </c>
      <c r="B13" s="31" t="s">
        <v>21</v>
      </c>
      <c r="C13" s="244">
        <v>31</v>
      </c>
      <c r="D13" s="248">
        <f>SUM('CCA Projected Rev_Aug23-Dec23'!D17:F17)</f>
        <v>-16375542.094120849</v>
      </c>
      <c r="E13" s="248">
        <f>'Sch. 111 NV Rates_Eff Nov23'!F13</f>
        <v>-29486899.133534107</v>
      </c>
      <c r="F13" s="248">
        <f>'Sch. 111 NV Rates_Eff Jan24'!F13</f>
        <v>-35577245.827988289</v>
      </c>
      <c r="G13" s="249">
        <f t="shared" si="0"/>
        <v>-81439687.055643246</v>
      </c>
      <c r="H13" s="250"/>
      <c r="I13" s="248">
        <f>SUM('CCA Rev_Actual'!O7:O8)-SUM(CCA_Unbilled!D4:D5)</f>
        <v>-62197846.390000001</v>
      </c>
      <c r="J13" s="248">
        <f>'CCA Projected Rev_Oct24-Dec24'!P46</f>
        <v>-15015416.84078178</v>
      </c>
      <c r="K13" s="249">
        <f t="shared" si="1"/>
        <v>-77213263.230781779</v>
      </c>
      <c r="L13" s="250"/>
      <c r="M13" s="249">
        <f t="shared" si="2"/>
        <v>-4226423.8248614669</v>
      </c>
    </row>
    <row r="14" spans="1:13" x14ac:dyDescent="0.25">
      <c r="A14" s="244">
        <f t="shared" si="3"/>
        <v>4</v>
      </c>
      <c r="B14" s="31" t="s">
        <v>22</v>
      </c>
      <c r="C14" s="244">
        <v>41</v>
      </c>
      <c r="D14" s="248">
        <f>SUM('CCA Projected Rev_Aug23-Dec23'!D18:F18)</f>
        <v>-3486626.7199999997</v>
      </c>
      <c r="E14" s="248">
        <f>'Sch. 111 NV Rates_Eff Nov23'!F14</f>
        <v>-8043782.0201755548</v>
      </c>
      <c r="F14" s="248">
        <f>'Sch. 111 NV Rates_Eff Jan24'!F14</f>
        <v>-9686282.3235299885</v>
      </c>
      <c r="G14" s="249">
        <f t="shared" si="0"/>
        <v>-21216691.063705541</v>
      </c>
      <c r="H14" s="250"/>
      <c r="I14" s="248">
        <f>SUM('CCA Rev_Actual'!O10:O11)-SUM(CCA_Unbilled!D7:D8)</f>
        <v>-15263940.869999997</v>
      </c>
      <c r="J14" s="248">
        <f>'CCA Projected Rev_Oct24-Dec24'!P47</f>
        <v>-3085378.12</v>
      </c>
      <c r="K14" s="249">
        <f t="shared" si="1"/>
        <v>-18349318.989999998</v>
      </c>
      <c r="L14" s="250"/>
      <c r="M14" s="249">
        <f t="shared" si="2"/>
        <v>-2867372.0737055428</v>
      </c>
    </row>
    <row r="15" spans="1:13" x14ac:dyDescent="0.25">
      <c r="A15" s="244">
        <f t="shared" si="3"/>
        <v>5</v>
      </c>
      <c r="B15" s="31" t="s">
        <v>23</v>
      </c>
      <c r="C15" s="244">
        <v>85</v>
      </c>
      <c r="D15" s="248">
        <f>SUM('CCA Projected Rev_Aug23-Dec23'!D19:F19)</f>
        <v>-489229.71</v>
      </c>
      <c r="E15" s="248">
        <f>'Sch. 111 NV Rates_Eff Nov23'!F15</f>
        <v>-1870168.0457505211</v>
      </c>
      <c r="F15" s="248">
        <f>'Sch. 111 NV Rates_Eff Jan24'!F15</f>
        <v>-2247589.8748716428</v>
      </c>
      <c r="G15" s="249">
        <f t="shared" si="0"/>
        <v>-4606987.6306221634</v>
      </c>
      <c r="H15" s="250"/>
      <c r="I15" s="248">
        <f>SUM('CCA Rev_Actual'!O14:O15)-SUM(CCA_Unbilled!D11:D12)</f>
        <v>-3079651.54</v>
      </c>
      <c r="J15" s="248">
        <f>'CCA Projected Rev_Oct24-Dec24'!P48</f>
        <v>-717745.10000000009</v>
      </c>
      <c r="K15" s="249">
        <f t="shared" si="1"/>
        <v>-3797396.64</v>
      </c>
      <c r="L15" s="250"/>
      <c r="M15" s="249">
        <f t="shared" si="2"/>
        <v>-809590.99062216328</v>
      </c>
    </row>
    <row r="16" spans="1:13" x14ac:dyDescent="0.25">
      <c r="A16" s="244">
        <f t="shared" si="3"/>
        <v>6</v>
      </c>
      <c r="B16" s="31" t="s">
        <v>24</v>
      </c>
      <c r="C16" s="244">
        <v>86</v>
      </c>
      <c r="D16" s="248">
        <f>SUM('CCA Projected Rev_Aug23-Dec23'!D20:F20)</f>
        <v>-247101.14</v>
      </c>
      <c r="E16" s="248">
        <f>'Sch. 111 NV Rates_Eff Nov23'!F16</f>
        <v>-638024.84359027969</v>
      </c>
      <c r="F16" s="248">
        <f>'Sch. 111 NV Rates_Eff Jan24'!F16</f>
        <v>-765524.16562313202</v>
      </c>
      <c r="G16" s="249">
        <f t="shared" si="0"/>
        <v>-1650650.1492134118</v>
      </c>
      <c r="H16" s="250"/>
      <c r="I16" s="248">
        <f>SUM('CCA Rev_Actual'!O18:O19)-SUM(CCA_Unbilled!D15:D16)</f>
        <v>-1070016.5900000001</v>
      </c>
      <c r="J16" s="248">
        <f>'CCA Projected Rev_Oct24-Dec24'!P49</f>
        <v>-240879.96</v>
      </c>
      <c r="K16" s="249">
        <f t="shared" si="1"/>
        <v>-1310896.55</v>
      </c>
      <c r="L16" s="250"/>
      <c r="M16" s="249">
        <f t="shared" si="2"/>
        <v>-339753.5992134118</v>
      </c>
    </row>
    <row r="17" spans="1:13" x14ac:dyDescent="0.25">
      <c r="A17" s="244">
        <f t="shared" si="3"/>
        <v>7</v>
      </c>
      <c r="B17" s="31" t="s">
        <v>25</v>
      </c>
      <c r="C17" s="244">
        <v>87</v>
      </c>
      <c r="D17" s="248">
        <f>SUM('CCA Projected Rev_Aug23-Dec23'!D21:F21)</f>
        <v>-64800.78</v>
      </c>
      <c r="E17" s="248">
        <f>'Sch. 111 NV Rates_Eff Nov23'!F17</f>
        <v>-202606.03919995713</v>
      </c>
      <c r="F17" s="248">
        <f>'Sch. 111 NV Rates_Eff Jan24'!F17</f>
        <v>-243561.22637422872</v>
      </c>
      <c r="G17" s="249">
        <f t="shared" si="0"/>
        <v>-510968.04557418585</v>
      </c>
      <c r="H17" s="250"/>
      <c r="I17" s="248">
        <f>SUM('CCA Rev_Actual'!O22)-SUM(CCA_Unbilled!D19)</f>
        <v>-343859.43</v>
      </c>
      <c r="J17" s="248">
        <f>'CCA Projected Rev_Oct24-Dec24'!P50</f>
        <v>-77774.150000000009</v>
      </c>
      <c r="K17" s="249">
        <f t="shared" si="1"/>
        <v>-421633.58</v>
      </c>
      <c r="L17" s="250"/>
      <c r="M17" s="249">
        <f t="shared" si="2"/>
        <v>-89334.46557418583</v>
      </c>
    </row>
    <row r="18" spans="1:13" x14ac:dyDescent="0.25">
      <c r="A18" s="244">
        <f t="shared" si="3"/>
        <v>8</v>
      </c>
      <c r="B18" s="31" t="s">
        <v>26</v>
      </c>
      <c r="C18" s="244" t="s">
        <v>27</v>
      </c>
      <c r="D18" s="248">
        <f>SUM('CCA Projected Rev_Aug23-Dec23'!D22:F22)</f>
        <v>-2237.4917508751068</v>
      </c>
      <c r="E18" s="248">
        <f>'Sch. 111 NV Rates_Eff Nov23'!F18</f>
        <v>-123.56064200672573</v>
      </c>
      <c r="F18" s="248">
        <f>'Sch. 111 NV Rates_Eff Jan24'!F18</f>
        <v>-149.56762171461429</v>
      </c>
      <c r="G18" s="249">
        <f t="shared" si="0"/>
        <v>-2510.6200145964467</v>
      </c>
      <c r="H18" s="250"/>
      <c r="I18" s="248">
        <f>SUM('CCA Rev_Actual'!O9)-SUM(CCA_Unbilled!D6)</f>
        <v>-1296.08</v>
      </c>
      <c r="J18" s="248">
        <f>'CCA Projected Rev_Oct24-Dec24'!P51</f>
        <v>-62.965776974198633</v>
      </c>
      <c r="K18" s="249">
        <f t="shared" si="1"/>
        <v>-1359.0457769741986</v>
      </c>
      <c r="L18" s="250"/>
      <c r="M18" s="249">
        <f t="shared" si="2"/>
        <v>-1151.5742376222481</v>
      </c>
    </row>
    <row r="19" spans="1:13" x14ac:dyDescent="0.25">
      <c r="A19" s="244">
        <f t="shared" si="3"/>
        <v>9</v>
      </c>
      <c r="B19" s="31" t="s">
        <v>28</v>
      </c>
      <c r="C19" s="244" t="s">
        <v>29</v>
      </c>
      <c r="D19" s="248">
        <f>SUM('CCA Projected Rev_Aug23-Dec23'!D23:F23)</f>
        <v>-1175131.8</v>
      </c>
      <c r="E19" s="248">
        <f>'Sch. 111 NV Rates_Eff Nov23'!F19</f>
        <v>-2775479.4933795831</v>
      </c>
      <c r="F19" s="248">
        <f>'Sch. 111 NV Rates_Eff Jan24'!F19</f>
        <v>-3374284.0375490519</v>
      </c>
      <c r="G19" s="249">
        <f t="shared" si="0"/>
        <v>-7324895.3309286349</v>
      </c>
      <c r="H19" s="250"/>
      <c r="I19" s="248">
        <f>SUM('CCA Rev_Actual'!O12:O13)-SUM(CCA_Unbilled!D9:D10)</f>
        <v>-5072192.49</v>
      </c>
      <c r="J19" s="248">
        <f>'CCA Projected Rev_Oct24-Dec24'!P52</f>
        <v>-1074861.7999999998</v>
      </c>
      <c r="K19" s="249">
        <f t="shared" si="1"/>
        <v>-6147054.29</v>
      </c>
      <c r="L19" s="250"/>
      <c r="M19" s="249">
        <f t="shared" si="2"/>
        <v>-1177841.0409286348</v>
      </c>
    </row>
    <row r="20" spans="1:13" x14ac:dyDescent="0.25">
      <c r="A20" s="244">
        <f t="shared" si="3"/>
        <v>10</v>
      </c>
      <c r="B20" s="31" t="s">
        <v>30</v>
      </c>
      <c r="C20" s="244" t="s">
        <v>31</v>
      </c>
      <c r="D20" s="248">
        <f>SUM('CCA Projected Rev_Aug23-Dec23'!D24:F24)</f>
        <v>-3442211.5200000005</v>
      </c>
      <c r="E20" s="248">
        <f>'Sch. 111 NV Rates_Eff Nov23'!F20</f>
        <v>-7599167.1637692498</v>
      </c>
      <c r="F20" s="248">
        <f>'Sch. 111 NV Rates_Eff Jan24'!F20</f>
        <v>-9233238.4429690894</v>
      </c>
      <c r="G20" s="249">
        <f t="shared" si="0"/>
        <v>-20274617.12673834</v>
      </c>
      <c r="H20" s="250"/>
      <c r="I20" s="248">
        <f>SUM('CCA Rev_Actual'!O16:O17)-SUM(CCA_Unbilled!D13:D14)</f>
        <v>-14879951.18</v>
      </c>
      <c r="J20" s="248">
        <f>'CCA Projected Rev_Oct24-Dec24'!P53</f>
        <v>-2941572.88</v>
      </c>
      <c r="K20" s="249">
        <f t="shared" si="1"/>
        <v>-17821524.059999999</v>
      </c>
      <c r="L20" s="250"/>
      <c r="M20" s="249">
        <f t="shared" si="2"/>
        <v>-2453093.066738341</v>
      </c>
    </row>
    <row r="21" spans="1:13" x14ac:dyDescent="0.25">
      <c r="A21" s="244">
        <f t="shared" si="3"/>
        <v>11</v>
      </c>
      <c r="B21" s="31" t="s">
        <v>32</v>
      </c>
      <c r="C21" s="244" t="s">
        <v>33</v>
      </c>
      <c r="D21" s="248">
        <f>SUM('CCA Projected Rev_Aug23-Dec23'!D25:F25)</f>
        <v>-67563.900000000009</v>
      </c>
      <c r="E21" s="248">
        <f>'Sch. 111 NV Rates_Eff Nov23'!F21</f>
        <v>-155373.48381515697</v>
      </c>
      <c r="F21" s="248">
        <f>'Sch. 111 NV Rates_Eff Jan24'!F21</f>
        <v>-188319.77553486993</v>
      </c>
      <c r="G21" s="249">
        <f t="shared" si="0"/>
        <v>-411257.15935002692</v>
      </c>
      <c r="H21" s="250"/>
      <c r="I21" s="248">
        <f>SUM('CCA Rev_Actual'!O20:O21)-SUM(CCA_Unbilled!D17:D18)</f>
        <v>-220007.44</v>
      </c>
      <c r="J21" s="248">
        <f>'CCA Projected Rev_Oct24-Dec24'!P54</f>
        <v>-60027.66</v>
      </c>
      <c r="K21" s="249">
        <f t="shared" si="1"/>
        <v>-280035.09999999998</v>
      </c>
      <c r="L21" s="250"/>
      <c r="M21" s="249">
        <f t="shared" si="2"/>
        <v>-131222.05935002695</v>
      </c>
    </row>
    <row r="22" spans="1:13" x14ac:dyDescent="0.25">
      <c r="A22" s="244">
        <f t="shared" si="3"/>
        <v>12</v>
      </c>
      <c r="B22" s="31" t="s">
        <v>34</v>
      </c>
      <c r="C22" s="244" t="s">
        <v>330</v>
      </c>
      <c r="D22" s="248">
        <f>SUM('CCA Projected Rev_Aug23-Dec23'!D26:F26)</f>
        <v>-704754.27</v>
      </c>
      <c r="E22" s="248">
        <f>'Sch. 111 NV Rates_Eff Nov23'!F22</f>
        <v>-4927381.4320770279</v>
      </c>
      <c r="F22" s="248">
        <f>'Sch. 111 NV Rates_Eff Jan24'!F22</f>
        <v>-1189786.2484667224</v>
      </c>
      <c r="G22" s="249">
        <f t="shared" si="0"/>
        <v>-6821921.9505437501</v>
      </c>
      <c r="H22" s="250"/>
      <c r="I22" s="248">
        <f>SUM('CCA Rev_Actual'!O23:O24)+'CCA Rev_Actual'!O28-SUM(CCA_Unbilled!D20:D21)</f>
        <v>-5916610.6032633698</v>
      </c>
      <c r="J22" s="248">
        <f>'CCA Projected Rev_Oct24-Dec24'!P55</f>
        <v>-708061.71</v>
      </c>
      <c r="K22" s="249">
        <f t="shared" si="1"/>
        <v>-6624672.3132633697</v>
      </c>
      <c r="L22" s="250"/>
      <c r="M22" s="249">
        <f t="shared" si="2"/>
        <v>-197249.63728038035</v>
      </c>
    </row>
    <row r="23" spans="1:13" x14ac:dyDescent="0.25">
      <c r="A23" s="244">
        <f t="shared" si="3"/>
        <v>13</v>
      </c>
      <c r="B23" s="31" t="s">
        <v>36</v>
      </c>
      <c r="D23" s="248">
        <f>SUM('CCA Projected Rev_Aug23-Dec23'!D27:F27)</f>
        <v>-822437.52</v>
      </c>
      <c r="E23" s="248">
        <f>'Sch. 111 NV Rates_Eff Nov23'!F23</f>
        <v>-1641158.7067267669</v>
      </c>
      <c r="F23" s="248">
        <f>'Sch. 111 NV Rates_Eff Jan24'!F23</f>
        <v>-2028807.5883306009</v>
      </c>
      <c r="G23" s="249">
        <f t="shared" si="0"/>
        <v>-4492403.8150573671</v>
      </c>
      <c r="H23" s="250"/>
      <c r="I23" s="248">
        <f>SUM('CCA Rev_Actual'!O25)-SUM(CCA_Unbilled!D22)</f>
        <v>-3123994.7</v>
      </c>
      <c r="J23" s="248">
        <f>'CCA Projected Rev_Oct24-Dec24'!P56</f>
        <v>-643965.07000000007</v>
      </c>
      <c r="K23" s="249">
        <f t="shared" si="1"/>
        <v>-3767959.7700000005</v>
      </c>
      <c r="L23" s="250"/>
      <c r="M23" s="249">
        <f t="shared" si="2"/>
        <v>-724444.0450573666</v>
      </c>
    </row>
    <row r="24" spans="1:13" x14ac:dyDescent="0.25">
      <c r="A24" s="244">
        <f t="shared" si="3"/>
        <v>14</v>
      </c>
      <c r="B24" s="31" t="s">
        <v>2</v>
      </c>
      <c r="D24" s="56">
        <f t="shared" ref="D24" si="4">SUM(D11:D23)</f>
        <v>-68997960.234038904</v>
      </c>
      <c r="E24" s="56">
        <f t="shared" ref="E24:K24" si="5">SUM(E11:E23)</f>
        <v>-129851139.64146709</v>
      </c>
      <c r="F24" s="56">
        <f t="shared" si="5"/>
        <v>-151849204.97742742</v>
      </c>
      <c r="G24" s="56">
        <f t="shared" si="5"/>
        <v>-350698304.85293353</v>
      </c>
      <c r="H24" s="250"/>
      <c r="I24" s="56">
        <f t="shared" si="5"/>
        <v>-277308548.41326338</v>
      </c>
      <c r="J24" s="56">
        <f t="shared" si="5"/>
        <v>-59019582.559235714</v>
      </c>
      <c r="K24" s="56">
        <f t="shared" si="5"/>
        <v>-336328130.97249913</v>
      </c>
      <c r="L24" s="250"/>
      <c r="M24" s="56">
        <f t="shared" ref="M24" si="6">SUM(M11:M23)</f>
        <v>-14370173.880434316</v>
      </c>
    </row>
    <row r="25" spans="1:13" x14ac:dyDescent="0.25">
      <c r="F25" s="224"/>
      <c r="L25" s="162"/>
    </row>
    <row r="26" spans="1:13" x14ac:dyDescent="0.25">
      <c r="B26" s="83" t="s">
        <v>98</v>
      </c>
      <c r="C26" s="83"/>
      <c r="D26" s="278">
        <f>D24-SUM('CCA Projected Rev_Aug23-Dec23'!D8:F8)</f>
        <v>0</v>
      </c>
      <c r="E26" s="278">
        <f>E24-'Sch. 111 NV Rates_Eff Nov23'!F28</f>
        <v>0</v>
      </c>
      <c r="F26" s="278">
        <f>F24-'Sch. 111 NV Rates_Eff Jan24'!F28</f>
        <v>0</v>
      </c>
      <c r="G26" s="278"/>
      <c r="H26" s="278"/>
      <c r="I26" s="278">
        <f>I24-'CCA Rev_Actual'!O29+CCA_Unbilled!E23</f>
        <v>-5.6810677051544189E-8</v>
      </c>
      <c r="J26" s="278">
        <f>J24-'CCA Projected Rev_Oct24-Dec24'!P57</f>
        <v>0</v>
      </c>
      <c r="K26" s="278"/>
      <c r="L26" s="278"/>
      <c r="M26" s="278"/>
    </row>
  </sheetData>
  <printOptions horizontalCentered="1"/>
  <pageMargins left="0.45" right="0.45" top="0.75" bottom="0.75" header="0.3" footer="0.3"/>
  <pageSetup scale="94" orientation="landscape" blackAndWhite="1" r:id="rId1"/>
  <headerFooter>
    <oddFooter>&amp;L&amp;F 
&amp;A&amp;C&amp;P&amp;R&amp;D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90" zoomScaleNormal="90" workbookViewId="0">
      <selection activeCell="H32" sqref="H32"/>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 t="s">
        <v>0</v>
      </c>
      <c r="B1" s="2"/>
      <c r="C1" s="2"/>
      <c r="D1" s="2"/>
      <c r="E1" s="2"/>
      <c r="F1" s="2"/>
      <c r="G1" s="2"/>
      <c r="H1" s="2"/>
    </row>
    <row r="2" spans="1:9" x14ac:dyDescent="0.25">
      <c r="A2" s="50" t="s">
        <v>228</v>
      </c>
      <c r="B2" s="2"/>
      <c r="C2" s="2"/>
      <c r="D2" s="2"/>
      <c r="E2" s="2"/>
      <c r="F2" s="2"/>
      <c r="G2" s="2"/>
      <c r="H2" s="2"/>
    </row>
    <row r="3" spans="1:9" x14ac:dyDescent="0.25">
      <c r="A3" s="50" t="s">
        <v>80</v>
      </c>
      <c r="B3" s="2"/>
      <c r="C3" s="2"/>
      <c r="D3" s="2"/>
      <c r="E3" s="2"/>
      <c r="F3" s="2"/>
      <c r="G3" s="2"/>
      <c r="H3" s="2"/>
    </row>
    <row r="4" spans="1:9" x14ac:dyDescent="0.25">
      <c r="A4" s="50" t="s">
        <v>234</v>
      </c>
      <c r="B4" s="2"/>
      <c r="C4" s="2"/>
      <c r="D4" s="2"/>
      <c r="E4" s="2"/>
      <c r="F4" s="2"/>
      <c r="G4" s="2"/>
      <c r="H4" s="2"/>
    </row>
    <row r="5" spans="1:9" ht="13.5" customHeight="1" x14ac:dyDescent="0.25">
      <c r="E5" s="4"/>
      <c r="F5" s="4"/>
      <c r="G5" s="4"/>
      <c r="H5" s="4"/>
    </row>
    <row r="6" spans="1:9" ht="13.5" customHeight="1" x14ac:dyDescent="0.25">
      <c r="E6" s="4"/>
      <c r="F6" s="51" t="s">
        <v>83</v>
      </c>
      <c r="G6" s="51" t="s">
        <v>58</v>
      </c>
      <c r="H6" s="51" t="s">
        <v>58</v>
      </c>
    </row>
    <row r="7" spans="1:9" ht="17.25" x14ac:dyDescent="0.25">
      <c r="B7" s="4"/>
      <c r="C7" s="4"/>
      <c r="D7" s="23" t="s">
        <v>51</v>
      </c>
      <c r="E7" s="3"/>
      <c r="F7" s="51" t="s">
        <v>4</v>
      </c>
      <c r="G7" s="4" t="s">
        <v>5</v>
      </c>
      <c r="H7" s="4" t="s">
        <v>5</v>
      </c>
    </row>
    <row r="8" spans="1:9" x14ac:dyDescent="0.25">
      <c r="A8" s="5" t="s">
        <v>1</v>
      </c>
      <c r="B8" s="4"/>
      <c r="C8" s="4"/>
      <c r="D8" s="85" t="s">
        <v>243</v>
      </c>
      <c r="E8" s="3" t="s">
        <v>3</v>
      </c>
      <c r="F8" s="51" t="s">
        <v>10</v>
      </c>
      <c r="G8" s="23" t="s">
        <v>85</v>
      </c>
      <c r="H8" s="23" t="s">
        <v>11</v>
      </c>
    </row>
    <row r="9" spans="1:9" x14ac:dyDescent="0.25">
      <c r="A9" s="6" t="s">
        <v>6</v>
      </c>
      <c r="B9" s="6" t="s">
        <v>7</v>
      </c>
      <c r="C9" s="6" t="s">
        <v>8</v>
      </c>
      <c r="D9" s="78" t="s">
        <v>244</v>
      </c>
      <c r="E9" s="6" t="s">
        <v>9</v>
      </c>
      <c r="F9" s="52" t="s">
        <v>84</v>
      </c>
      <c r="G9" s="52" t="s">
        <v>84</v>
      </c>
      <c r="H9" s="52" t="s">
        <v>84</v>
      </c>
    </row>
    <row r="10" spans="1:9" x14ac:dyDescent="0.25">
      <c r="B10" s="5" t="s">
        <v>12</v>
      </c>
      <c r="C10" s="5" t="s">
        <v>13</v>
      </c>
      <c r="D10" s="7" t="s">
        <v>14</v>
      </c>
      <c r="E10" s="23" t="s">
        <v>15</v>
      </c>
      <c r="F10" s="7" t="s">
        <v>16</v>
      </c>
      <c r="G10" s="23" t="s">
        <v>17</v>
      </c>
      <c r="H10" s="24" t="s">
        <v>18</v>
      </c>
      <c r="I10" s="3"/>
    </row>
    <row r="11" spans="1:9" x14ac:dyDescent="0.25">
      <c r="A11" s="5">
        <v>1</v>
      </c>
      <c r="B11" s="1" t="s">
        <v>19</v>
      </c>
      <c r="C11" s="5">
        <v>23</v>
      </c>
      <c r="D11" s="8">
        <f>SUM('CCA Therm Forecast'!N104:N105)</f>
        <v>561027369.33016872</v>
      </c>
      <c r="E11" s="9">
        <f t="shared" ref="E11:E24" si="0">D11/$D$25</f>
        <v>0.57784195255373705</v>
      </c>
      <c r="F11" s="10">
        <f t="shared" ref="F11:F24" si="1">$F$27*E11</f>
        <v>90411961.734922364</v>
      </c>
      <c r="G11" s="11">
        <f>ROUND(F11/D11,5)</f>
        <v>0.16114999999999999</v>
      </c>
      <c r="H11" s="12"/>
    </row>
    <row r="12" spans="1:9" x14ac:dyDescent="0.25">
      <c r="A12" s="5">
        <f>A11+1</f>
        <v>2</v>
      </c>
      <c r="B12" s="1" t="s">
        <v>20</v>
      </c>
      <c r="C12" s="5">
        <v>16</v>
      </c>
      <c r="D12" s="8">
        <f>'CCA Therm Forecast'!N103</f>
        <v>6156</v>
      </c>
      <c r="E12" s="49">
        <f t="shared" si="0"/>
        <v>6.3405018264400753E-6</v>
      </c>
      <c r="F12" s="10">
        <f t="shared" si="1"/>
        <v>992.0657473532865</v>
      </c>
      <c r="G12" s="11">
        <f t="shared" ref="G12:G24" si="2">ROUND(F12/D12,5)</f>
        <v>0.16114999999999999</v>
      </c>
      <c r="H12" s="12">
        <f>ROUND(G12*19,2)</f>
        <v>3.06</v>
      </c>
    </row>
    <row r="13" spans="1:9" x14ac:dyDescent="0.25">
      <c r="A13" s="5">
        <f t="shared" ref="A13:A27" si="3">A12+1</f>
        <v>3</v>
      </c>
      <c r="B13" s="1" t="s">
        <v>21</v>
      </c>
      <c r="C13" s="5">
        <v>31</v>
      </c>
      <c r="D13" s="8">
        <f>'CCA Therm Forecast'!N106</f>
        <v>224583212.92383128</v>
      </c>
      <c r="E13" s="9">
        <f t="shared" si="0"/>
        <v>0.23131420918312745</v>
      </c>
      <c r="F13" s="10">
        <f t="shared" si="1"/>
        <v>36192545.966907561</v>
      </c>
      <c r="G13" s="11">
        <f t="shared" si="2"/>
        <v>0.16114999999999999</v>
      </c>
      <c r="H13" s="11"/>
    </row>
    <row r="14" spans="1:9" x14ac:dyDescent="0.25">
      <c r="A14" s="5">
        <f t="shared" si="3"/>
        <v>4</v>
      </c>
      <c r="B14" s="1" t="s">
        <v>22</v>
      </c>
      <c r="C14" s="5">
        <v>41</v>
      </c>
      <c r="D14" s="8">
        <f>'CCA Therm Forecast'!N107</f>
        <v>61501849.973336771</v>
      </c>
      <c r="E14" s="9">
        <f t="shared" si="0"/>
        <v>6.3345125419978124E-2</v>
      </c>
      <c r="F14" s="10">
        <f t="shared" si="1"/>
        <v>9911286.347857058</v>
      </c>
      <c r="G14" s="11">
        <f t="shared" si="2"/>
        <v>0.16114999999999999</v>
      </c>
      <c r="H14" s="11"/>
    </row>
    <row r="15" spans="1:9" x14ac:dyDescent="0.25">
      <c r="A15" s="5">
        <f t="shared" si="3"/>
        <v>5</v>
      </c>
      <c r="B15" s="1" t="s">
        <v>23</v>
      </c>
      <c r="C15" s="5">
        <v>85</v>
      </c>
      <c r="D15" s="8">
        <f>'CCA Therm Forecast'!N108</f>
        <v>15156935.025856322</v>
      </c>
      <c r="E15" s="9">
        <f t="shared" si="0"/>
        <v>1.5611204388348857E-2</v>
      </c>
      <c r="F15" s="10">
        <f t="shared" si="1"/>
        <v>2442604.9502942422</v>
      </c>
      <c r="G15" s="11">
        <f t="shared" si="2"/>
        <v>0.16114999999999999</v>
      </c>
      <c r="H15" s="11"/>
    </row>
    <row r="16" spans="1:9" x14ac:dyDescent="0.25">
      <c r="A16" s="5">
        <f t="shared" si="3"/>
        <v>6</v>
      </c>
      <c r="B16" s="1" t="s">
        <v>24</v>
      </c>
      <c r="C16" s="5">
        <v>86</v>
      </c>
      <c r="D16" s="8">
        <f>'CCA Therm Forecast'!N109</f>
        <v>4983268.9311856451</v>
      </c>
      <c r="E16" s="9">
        <f t="shared" si="0"/>
        <v>5.1326227680027073E-3</v>
      </c>
      <c r="F16" s="10">
        <f t="shared" si="1"/>
        <v>803075.11638711835</v>
      </c>
      <c r="G16" s="11">
        <f t="shared" si="2"/>
        <v>0.16114999999999999</v>
      </c>
      <c r="H16" s="11"/>
    </row>
    <row r="17" spans="1:8" x14ac:dyDescent="0.25">
      <c r="A17" s="5">
        <f t="shared" si="3"/>
        <v>7</v>
      </c>
      <c r="B17" s="1" t="s">
        <v>25</v>
      </c>
      <c r="C17" s="5">
        <v>87</v>
      </c>
      <c r="D17" s="8">
        <f>'CCA Therm Forecast'!N110</f>
        <v>156330.02262126503</v>
      </c>
      <c r="E17" s="9">
        <f t="shared" si="0"/>
        <v>1.6101539862858175E-4</v>
      </c>
      <c r="F17" s="10">
        <f t="shared" si="1"/>
        <v>25193.252229616875</v>
      </c>
      <c r="G17" s="11">
        <f t="shared" si="2"/>
        <v>0.16114999999999999</v>
      </c>
      <c r="H17" s="11"/>
    </row>
    <row r="18" spans="1:8" x14ac:dyDescent="0.25">
      <c r="A18" s="5">
        <f t="shared" si="3"/>
        <v>8</v>
      </c>
      <c r="B18" s="1" t="s">
        <v>26</v>
      </c>
      <c r="C18" s="5" t="s">
        <v>27</v>
      </c>
      <c r="D18" s="8">
        <f>'CCA Therm Forecast'!N111</f>
        <v>0</v>
      </c>
      <c r="E18" s="9">
        <f t="shared" si="0"/>
        <v>0</v>
      </c>
      <c r="F18" s="10">
        <f t="shared" si="1"/>
        <v>0</v>
      </c>
      <c r="G18" s="11">
        <f>G13</f>
        <v>0.16114999999999999</v>
      </c>
      <c r="H18" s="11"/>
    </row>
    <row r="19" spans="1:8" x14ac:dyDescent="0.25">
      <c r="A19" s="5">
        <f t="shared" si="3"/>
        <v>9</v>
      </c>
      <c r="B19" s="1" t="s">
        <v>28</v>
      </c>
      <c r="C19" s="5" t="s">
        <v>29</v>
      </c>
      <c r="D19" s="8">
        <f>'CCA Therm Forecast'!N112</f>
        <v>21115855</v>
      </c>
      <c r="E19" s="9">
        <f t="shared" si="0"/>
        <v>2.1748719492258577E-2</v>
      </c>
      <c r="F19" s="10">
        <f t="shared" si="1"/>
        <v>3402910.4079887317</v>
      </c>
      <c r="G19" s="11">
        <f t="shared" si="2"/>
        <v>0.16114999999999999</v>
      </c>
      <c r="H19" s="11"/>
    </row>
    <row r="20" spans="1:8" x14ac:dyDescent="0.25">
      <c r="A20" s="5">
        <f t="shared" si="3"/>
        <v>10</v>
      </c>
      <c r="B20" s="1" t="s">
        <v>30</v>
      </c>
      <c r="C20" s="5" t="s">
        <v>31</v>
      </c>
      <c r="D20" s="8">
        <f>'CCA Therm Forecast'!N113</f>
        <v>52169777</v>
      </c>
      <c r="E20" s="9">
        <f t="shared" si="0"/>
        <v>5.3733360356314396E-2</v>
      </c>
      <c r="F20" s="10">
        <f t="shared" si="1"/>
        <v>8407382.8474267852</v>
      </c>
      <c r="G20" s="11">
        <f t="shared" si="2"/>
        <v>0.16114999999999999</v>
      </c>
      <c r="H20" s="11"/>
    </row>
    <row r="21" spans="1:8" x14ac:dyDescent="0.25">
      <c r="A21" s="5">
        <f t="shared" si="3"/>
        <v>11</v>
      </c>
      <c r="B21" s="1" t="s">
        <v>32</v>
      </c>
      <c r="C21" s="5" t="s">
        <v>33</v>
      </c>
      <c r="D21" s="8">
        <f>'CCA Therm Forecast'!N114</f>
        <v>1371245</v>
      </c>
      <c r="E21" s="9">
        <f t="shared" si="0"/>
        <v>1.412342661955299E-3</v>
      </c>
      <c r="F21" s="10">
        <f t="shared" si="1"/>
        <v>220982.00060582475</v>
      </c>
      <c r="G21" s="11">
        <f t="shared" si="2"/>
        <v>0.16114999999999999</v>
      </c>
      <c r="H21" s="11"/>
    </row>
    <row r="22" spans="1:8" x14ac:dyDescent="0.25">
      <c r="A22" s="5">
        <f t="shared" si="3"/>
        <v>12</v>
      </c>
      <c r="B22" s="1" t="s">
        <v>34</v>
      </c>
      <c r="C22" s="185" t="s">
        <v>35</v>
      </c>
      <c r="D22" s="8">
        <f>'CCA Therm Forecast'!N115</f>
        <v>10434263.130000003</v>
      </c>
      <c r="E22" s="9">
        <f t="shared" si="0"/>
        <v>1.0746989024256231E-2</v>
      </c>
      <c r="F22" s="10">
        <f t="shared" si="1"/>
        <v>1681526.1614919258</v>
      </c>
      <c r="G22" s="11">
        <f t="shared" si="2"/>
        <v>0.16114999999999999</v>
      </c>
      <c r="H22" s="11"/>
    </row>
    <row r="23" spans="1:8" x14ac:dyDescent="0.25">
      <c r="A23" s="186">
        <f t="shared" si="3"/>
        <v>13</v>
      </c>
      <c r="B23" s="31" t="s">
        <v>246</v>
      </c>
      <c r="C23" s="185" t="s">
        <v>232</v>
      </c>
      <c r="D23" s="8">
        <f>'CCA Therm Forecast'!N116</f>
        <v>2949711.24</v>
      </c>
      <c r="E23" s="9">
        <f t="shared" si="0"/>
        <v>3.0381172034910364E-3</v>
      </c>
      <c r="F23" s="10">
        <f t="shared" si="1"/>
        <v>475358.59093355905</v>
      </c>
      <c r="G23" s="11">
        <f t="shared" si="2"/>
        <v>0.16114999999999999</v>
      </c>
      <c r="H23" s="11"/>
    </row>
    <row r="24" spans="1:8" x14ac:dyDescent="0.25">
      <c r="A24" s="186">
        <f t="shared" si="3"/>
        <v>14</v>
      </c>
      <c r="B24" s="1" t="s">
        <v>36</v>
      </c>
      <c r="D24" s="8">
        <f>'CCA Therm Forecast'!N117</f>
        <v>15445095.219999999</v>
      </c>
      <c r="E24" s="9">
        <f t="shared" si="0"/>
        <v>1.5908001048075191E-2</v>
      </c>
      <c r="F24" s="10">
        <f t="shared" si="1"/>
        <v>2489043.1988908336</v>
      </c>
      <c r="G24" s="11">
        <f t="shared" si="2"/>
        <v>0.16114999999999999</v>
      </c>
      <c r="H24" s="11"/>
    </row>
    <row r="25" spans="1:8" x14ac:dyDescent="0.25">
      <c r="A25" s="186">
        <f t="shared" si="3"/>
        <v>15</v>
      </c>
      <c r="B25" s="1" t="s">
        <v>2</v>
      </c>
      <c r="D25" s="20">
        <f>SUM(D11:D24)</f>
        <v>970901068.79700005</v>
      </c>
      <c r="E25" s="21">
        <f>SUM(E11:E24)</f>
        <v>1</v>
      </c>
      <c r="F25" s="13">
        <f>SUM(F11:F24)</f>
        <v>156464862.64168301</v>
      </c>
      <c r="G25" s="14"/>
      <c r="H25" s="14"/>
    </row>
    <row r="26" spans="1:8" x14ac:dyDescent="0.25">
      <c r="A26" s="186">
        <f t="shared" si="3"/>
        <v>16</v>
      </c>
      <c r="D26" s="15"/>
    </row>
    <row r="27" spans="1:8" x14ac:dyDescent="0.25">
      <c r="A27" s="186">
        <f t="shared" si="3"/>
        <v>17</v>
      </c>
      <c r="B27" s="1" t="s">
        <v>37</v>
      </c>
      <c r="E27" s="16"/>
      <c r="F27" s="77">
        <f>'2025 Rev Req'!J9</f>
        <v>156464862.64168298</v>
      </c>
      <c r="G27" s="17"/>
      <c r="H27" s="17"/>
    </row>
    <row r="28" spans="1:8" x14ac:dyDescent="0.25">
      <c r="A28" s="5"/>
      <c r="E28" s="16"/>
      <c r="F28" s="16"/>
      <c r="G28" s="10"/>
      <c r="H28" s="10"/>
    </row>
    <row r="29" spans="1:8" ht="17.25" x14ac:dyDescent="0.25">
      <c r="A29" s="5"/>
      <c r="B29" s="31" t="s">
        <v>245</v>
      </c>
      <c r="D29" s="5"/>
      <c r="E29" s="16"/>
      <c r="F29" s="16"/>
      <c r="G29" s="10"/>
      <c r="H29" s="10"/>
    </row>
    <row r="30" spans="1:8" x14ac:dyDescent="0.25">
      <c r="D30" s="5"/>
    </row>
    <row r="31" spans="1:8" x14ac:dyDescent="0.25">
      <c r="D31" s="22"/>
    </row>
    <row r="32" spans="1:8" x14ac:dyDescent="0.25">
      <c r="D32" s="18"/>
    </row>
    <row r="33" spans="4:6" x14ac:dyDescent="0.25">
      <c r="D33" s="18"/>
      <c r="F33" s="10"/>
    </row>
    <row r="34" spans="4:6" x14ac:dyDescent="0.25">
      <c r="D34" s="18"/>
    </row>
    <row r="35" spans="4:6" x14ac:dyDescent="0.25">
      <c r="D35" s="18"/>
    </row>
    <row r="36" spans="4:6" x14ac:dyDescent="0.25">
      <c r="D36" s="19"/>
    </row>
  </sheetData>
  <printOptions horizontalCentered="1"/>
  <pageMargins left="0.45" right="0.45" top="0.75" bottom="0.75" header="0.3" footer="0.3"/>
  <pageSetup orientation="landscape" blackAndWhite="1" r:id="rId1"/>
  <headerFooter>
    <oddFooter>&amp;L&amp;F 
&amp;A&amp;C&amp;P&amp;R&amp;D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90" zoomScaleNormal="90" workbookViewId="0">
      <pane xSplit="2" ySplit="4" topLeftCell="C5" activePane="bottomRight" state="frozen"/>
      <selection activeCell="E27" sqref="E27"/>
      <selection pane="topRight" activeCell="E27" sqref="E27"/>
      <selection pane="bottomLeft" activeCell="E27" sqref="E27"/>
      <selection pane="bottomRight" activeCell="E27" sqref="E27"/>
    </sheetView>
  </sheetViews>
  <sheetFormatPr defaultRowHeight="15" x14ac:dyDescent="0.25"/>
  <cols>
    <col min="1" max="1" width="16.7109375" style="251" customWidth="1"/>
    <col min="2" max="2" width="28.140625" style="251" customWidth="1"/>
    <col min="3" max="3" width="16.42578125" style="251" customWidth="1"/>
    <col min="4" max="14" width="16.42578125" style="251" bestFit="1" customWidth="1"/>
    <col min="15" max="15" width="20.28515625" style="251" customWidth="1"/>
    <col min="16" max="16" width="20.28515625" style="251" bestFit="1" customWidth="1"/>
    <col min="17" max="17" width="8.7109375" style="251" customWidth="1"/>
    <col min="18" max="19" width="9.7109375" style="251" customWidth="1"/>
    <col min="20" max="20" width="8.7109375" style="251" customWidth="1"/>
    <col min="21" max="22" width="9.7109375" style="251" customWidth="1"/>
    <col min="23" max="25" width="8.7109375" style="251" customWidth="1"/>
    <col min="26" max="26" width="7.7109375" style="251" customWidth="1"/>
    <col min="27" max="29" width="8.7109375" style="251" customWidth="1"/>
    <col min="30" max="31" width="7.7109375" style="251" customWidth="1"/>
    <col min="32" max="32" width="6.7109375" style="251" customWidth="1"/>
    <col min="33" max="33" width="2" style="251" customWidth="1"/>
    <col min="34" max="34" width="5" style="251" customWidth="1"/>
    <col min="35" max="35" width="6" style="251" customWidth="1"/>
    <col min="36" max="36" width="7" style="251" customWidth="1"/>
    <col min="37" max="39" width="8" style="251" customWidth="1"/>
    <col min="40" max="47" width="9" style="251" customWidth="1"/>
    <col min="48" max="53" width="10" style="251" customWidth="1"/>
    <col min="54" max="54" width="10" style="251" bestFit="1" customWidth="1"/>
    <col min="55" max="59" width="10" style="251" customWidth="1"/>
    <col min="60" max="60" width="10" style="251" bestFit="1" customWidth="1"/>
    <col min="61" max="61" width="7" style="251" customWidth="1"/>
    <col min="62" max="62" width="10" style="251" bestFit="1" customWidth="1"/>
    <col min="63" max="63" width="10" style="251" customWidth="1"/>
    <col min="64" max="64" width="11" style="251" bestFit="1" customWidth="1"/>
    <col min="65" max="65" width="11" style="251" customWidth="1"/>
    <col min="66" max="66" width="11" style="251" bestFit="1" customWidth="1"/>
    <col min="67" max="67" width="11" style="251" customWidth="1"/>
    <col min="68" max="68" width="11" style="251" bestFit="1" customWidth="1"/>
    <col min="69" max="69" width="7.28515625" style="251" customWidth="1"/>
    <col min="70" max="70" width="11.28515625" style="251" bestFit="1" customWidth="1"/>
    <col min="71" max="71" width="13.5703125" style="251" bestFit="1" customWidth="1"/>
    <col min="72" max="72" width="10.85546875" style="251" bestFit="1" customWidth="1"/>
    <col min="73" max="73" width="13.5703125" style="251" bestFit="1" customWidth="1"/>
    <col min="74" max="74" width="10.85546875" style="251" bestFit="1" customWidth="1"/>
    <col min="75" max="75" width="13.5703125" style="251" bestFit="1" customWidth="1"/>
    <col min="76" max="76" width="11.85546875" style="251" bestFit="1" customWidth="1"/>
    <col min="77" max="77" width="14.5703125" style="251" bestFit="1" customWidth="1"/>
    <col min="78" max="78" width="12.85546875" style="251" bestFit="1" customWidth="1"/>
    <col min="79" max="79" width="15.5703125" style="251" bestFit="1" customWidth="1"/>
    <col min="80" max="80" width="12.85546875" style="251" bestFit="1" customWidth="1"/>
    <col min="81" max="81" width="15.5703125" style="251" bestFit="1" customWidth="1"/>
    <col min="82" max="86" width="10.7109375" style="251" bestFit="1" customWidth="1"/>
    <col min="87" max="87" width="9.7109375" style="251" bestFit="1" customWidth="1"/>
    <col min="88" max="89" width="8.7109375" style="251" customWidth="1"/>
    <col min="90" max="90" width="9.7109375" style="251" bestFit="1" customWidth="1"/>
    <col min="91" max="93" width="8.7109375" style="251" customWidth="1"/>
    <col min="94" max="94" width="7.7109375" style="251" customWidth="1"/>
    <col min="95" max="96" width="8.7109375" style="251" customWidth="1"/>
    <col min="97" max="97" width="7.7109375" style="251" customWidth="1"/>
    <col min="98" max="98" width="2" style="251" customWidth="1"/>
    <col min="99" max="99" width="8" style="251" customWidth="1"/>
    <col min="100" max="104" width="9" style="251" customWidth="1"/>
    <col min="105" max="109" width="10" style="251" bestFit="1" customWidth="1"/>
    <col min="110" max="110" width="7" style="251" customWidth="1"/>
    <col min="111" max="111" width="10" style="251" bestFit="1" customWidth="1"/>
    <col min="112" max="112" width="7.28515625" style="251" customWidth="1"/>
    <col min="113" max="113" width="12.140625" style="251" bestFit="1" customWidth="1"/>
    <col min="114" max="114" width="11.28515625" style="251" bestFit="1" customWidth="1"/>
    <col min="115" max="16384" width="9.140625" style="251"/>
  </cols>
  <sheetData>
    <row r="1" spans="1:15" x14ac:dyDescent="0.25">
      <c r="A1" s="251" t="s">
        <v>331</v>
      </c>
      <c r="B1" s="251" t="s">
        <v>332</v>
      </c>
    </row>
    <row r="3" spans="1:15" x14ac:dyDescent="0.25">
      <c r="C3" s="251" t="s">
        <v>333</v>
      </c>
    </row>
    <row r="4" spans="1:15" x14ac:dyDescent="0.25">
      <c r="A4" s="251" t="s">
        <v>334</v>
      </c>
      <c r="B4" s="251" t="s">
        <v>335</v>
      </c>
      <c r="C4" s="251" t="s">
        <v>336</v>
      </c>
      <c r="D4" s="251" t="s">
        <v>337</v>
      </c>
      <c r="E4" s="251" t="s">
        <v>338</v>
      </c>
      <c r="F4" s="251" t="s">
        <v>339</v>
      </c>
      <c r="G4" s="251" t="s">
        <v>340</v>
      </c>
      <c r="H4" s="251" t="s">
        <v>341</v>
      </c>
      <c r="I4" s="251" t="s">
        <v>342</v>
      </c>
      <c r="J4" s="251" t="s">
        <v>343</v>
      </c>
      <c r="K4" s="251" t="s">
        <v>344</v>
      </c>
      <c r="L4" s="251" t="s">
        <v>345</v>
      </c>
      <c r="M4" s="251" t="s">
        <v>346</v>
      </c>
      <c r="N4" s="251" t="s">
        <v>347</v>
      </c>
      <c r="O4" s="251" t="s">
        <v>348</v>
      </c>
    </row>
    <row r="5" spans="1:15" x14ac:dyDescent="0.25">
      <c r="A5" s="251" t="s">
        <v>349</v>
      </c>
      <c r="B5" s="251" t="s">
        <v>350</v>
      </c>
      <c r="C5" s="252">
        <v>-66.08</v>
      </c>
      <c r="D5" s="252">
        <v>-149.80000000000001</v>
      </c>
      <c r="E5" s="252">
        <v>-171.45</v>
      </c>
      <c r="F5" s="252">
        <v>-158.47</v>
      </c>
      <c r="G5" s="252">
        <v>-149.31</v>
      </c>
      <c r="H5" s="252">
        <v>-149.31</v>
      </c>
      <c r="I5" s="252">
        <v>-149.31</v>
      </c>
      <c r="J5" s="252">
        <v>-149.34</v>
      </c>
      <c r="K5" s="252">
        <v>-149.33000000000001</v>
      </c>
      <c r="L5" s="252">
        <v>-149.85000000000002</v>
      </c>
      <c r="M5" s="252">
        <v>-149.33000000000001</v>
      </c>
      <c r="N5" s="252">
        <v>-149.33000000000001</v>
      </c>
      <c r="O5" s="252">
        <v>-1740.9099999999999</v>
      </c>
    </row>
    <row r="6" spans="1:15" x14ac:dyDescent="0.25">
      <c r="A6" s="251" t="s">
        <v>351</v>
      </c>
      <c r="B6" s="251" t="s">
        <v>350</v>
      </c>
      <c r="C6" s="252">
        <v>-4192565.89</v>
      </c>
      <c r="D6" s="252">
        <v>-14987992.26</v>
      </c>
      <c r="E6" s="252">
        <v>-26539431.940000001</v>
      </c>
      <c r="F6" s="252">
        <v>-27205668.460000001</v>
      </c>
      <c r="G6" s="252">
        <v>-23542387.82</v>
      </c>
      <c r="H6" s="252">
        <v>-20958989.199999999</v>
      </c>
      <c r="I6" s="252">
        <v>-17242220.600000001</v>
      </c>
      <c r="J6" s="252">
        <v>-11129306.890000001</v>
      </c>
      <c r="K6" s="252">
        <v>-6803536.7399999993</v>
      </c>
      <c r="L6" s="252">
        <v>-4413318.24</v>
      </c>
      <c r="M6" s="252">
        <v>-2955480.6900000004</v>
      </c>
      <c r="N6" s="252">
        <v>-3461923.31</v>
      </c>
      <c r="O6" s="252">
        <v>-163432822.04000002</v>
      </c>
    </row>
    <row r="7" spans="1:15" x14ac:dyDescent="0.25">
      <c r="A7" s="251" t="s">
        <v>352</v>
      </c>
      <c r="B7" s="251" t="s">
        <v>350</v>
      </c>
      <c r="C7" s="252">
        <v>-1871275.08</v>
      </c>
      <c r="D7" s="252">
        <v>-5937780.4699999997</v>
      </c>
      <c r="E7" s="252">
        <v>-9714427.2300000004</v>
      </c>
      <c r="F7" s="252">
        <v>-9597617.6899999995</v>
      </c>
      <c r="G7" s="252">
        <v>-7841009.8399999999</v>
      </c>
      <c r="H7" s="252">
        <v>-6958004.7300000004</v>
      </c>
      <c r="I7" s="252">
        <v>-5737470.4199999999</v>
      </c>
      <c r="J7" s="252">
        <v>-4120570.66</v>
      </c>
      <c r="K7" s="252">
        <v>-3086007.32</v>
      </c>
      <c r="L7" s="252">
        <v>-1793399.37</v>
      </c>
      <c r="M7" s="252">
        <v>-729812.58</v>
      </c>
      <c r="N7" s="252">
        <v>-871412.5199999999</v>
      </c>
      <c r="O7" s="252">
        <v>-58258787.910000004</v>
      </c>
    </row>
    <row r="8" spans="1:15" x14ac:dyDescent="0.25">
      <c r="A8" s="251" t="s">
        <v>353</v>
      </c>
      <c r="B8" s="251" t="s">
        <v>350</v>
      </c>
      <c r="C8" s="252">
        <v>-82581.36</v>
      </c>
      <c r="D8" s="252">
        <v>-249500.69</v>
      </c>
      <c r="E8" s="252">
        <v>-397721.38</v>
      </c>
      <c r="F8" s="252">
        <v>-385793.01</v>
      </c>
      <c r="G8" s="252">
        <v>-314900.94</v>
      </c>
      <c r="H8" s="252">
        <v>-283006.09000000003</v>
      </c>
      <c r="I8" s="252">
        <v>-229546.35</v>
      </c>
      <c r="J8" s="252">
        <v>-161920.6</v>
      </c>
      <c r="K8" s="252">
        <v>-123965.79</v>
      </c>
      <c r="L8" s="252">
        <v>-63473.06</v>
      </c>
      <c r="M8" s="252">
        <v>-19906.190000000002</v>
      </c>
      <c r="N8" s="252">
        <v>-25094.880000000001</v>
      </c>
      <c r="O8" s="252">
        <v>-2337410.34</v>
      </c>
    </row>
    <row r="9" spans="1:15" x14ac:dyDescent="0.25">
      <c r="A9" s="251" t="s">
        <v>354</v>
      </c>
      <c r="B9" s="251" t="s">
        <v>350</v>
      </c>
      <c r="C9" s="252"/>
      <c r="D9" s="252">
        <v>-280.73</v>
      </c>
      <c r="E9" s="252">
        <v>-415</v>
      </c>
      <c r="F9" s="252">
        <v>-456.26</v>
      </c>
      <c r="G9" s="252">
        <v>-35.72</v>
      </c>
      <c r="H9" s="252">
        <v>-32.270000000000003</v>
      </c>
      <c r="I9" s="252">
        <v>-28.67</v>
      </c>
      <c r="J9" s="252">
        <v>-20.51</v>
      </c>
      <c r="K9" s="252">
        <v>-14.94</v>
      </c>
      <c r="L9" s="252">
        <v>-11.98</v>
      </c>
      <c r="M9" s="252">
        <v>0</v>
      </c>
      <c r="N9" s="252">
        <v>0</v>
      </c>
      <c r="O9" s="252">
        <v>-1296.08</v>
      </c>
    </row>
    <row r="10" spans="1:15" x14ac:dyDescent="0.25">
      <c r="A10" s="251" t="s">
        <v>355</v>
      </c>
      <c r="B10" s="251" t="s">
        <v>350</v>
      </c>
      <c r="C10" s="252">
        <v>-514502.37</v>
      </c>
      <c r="D10" s="252">
        <v>-1363706.3</v>
      </c>
      <c r="E10" s="252">
        <v>-1800261.27</v>
      </c>
      <c r="F10" s="252">
        <v>-1708022.35</v>
      </c>
      <c r="G10" s="252">
        <v>-1519948.67</v>
      </c>
      <c r="H10" s="252">
        <v>-1484925.01</v>
      </c>
      <c r="I10" s="252">
        <v>-1396718.24</v>
      </c>
      <c r="J10" s="252">
        <v>-1120227.47</v>
      </c>
      <c r="K10" s="252">
        <v>-978780.98</v>
      </c>
      <c r="L10" s="252">
        <v>-677565.63</v>
      </c>
      <c r="M10" s="252">
        <v>-638589.05000000005</v>
      </c>
      <c r="N10" s="252">
        <v>-690335.92</v>
      </c>
      <c r="O10" s="252">
        <v>-13893583.259999998</v>
      </c>
    </row>
    <row r="11" spans="1:15" x14ac:dyDescent="0.25">
      <c r="A11" s="251" t="s">
        <v>356</v>
      </c>
      <c r="B11" s="251" t="s">
        <v>350</v>
      </c>
      <c r="C11" s="252">
        <v>-31590.47</v>
      </c>
      <c r="D11" s="252">
        <v>-76963.48</v>
      </c>
      <c r="E11" s="252">
        <v>-98868.86</v>
      </c>
      <c r="F11" s="252">
        <v>-92292.66</v>
      </c>
      <c r="G11" s="252">
        <v>-84991.3</v>
      </c>
      <c r="H11" s="252">
        <v>-82615.27</v>
      </c>
      <c r="I11" s="252">
        <v>-76764.7</v>
      </c>
      <c r="J11" s="252">
        <v>-72071.25</v>
      </c>
      <c r="K11" s="252">
        <v>-76856.06</v>
      </c>
      <c r="L11" s="252">
        <v>-58301.69</v>
      </c>
      <c r="M11" s="252">
        <v>-59126.559999999998</v>
      </c>
      <c r="N11" s="252">
        <v>-63490.61</v>
      </c>
      <c r="O11" s="252">
        <v>-873932.91</v>
      </c>
    </row>
    <row r="12" spans="1:15" x14ac:dyDescent="0.25">
      <c r="A12" s="251" t="s">
        <v>357</v>
      </c>
      <c r="B12" s="251" t="s">
        <v>350</v>
      </c>
      <c r="C12" s="252"/>
      <c r="D12" s="252">
        <v>-288150.51</v>
      </c>
      <c r="E12" s="252">
        <v>-472562.25</v>
      </c>
      <c r="F12" s="252">
        <v>-472562.25</v>
      </c>
      <c r="G12" s="252">
        <v>-414743.25</v>
      </c>
      <c r="H12" s="252">
        <v>-414743.25</v>
      </c>
      <c r="I12" s="252">
        <v>-420273.16</v>
      </c>
      <c r="J12" s="252">
        <v>-271603.09999999998</v>
      </c>
      <c r="K12" s="252">
        <v>-245190.6</v>
      </c>
      <c r="L12" s="252">
        <v>-227579.19</v>
      </c>
      <c r="M12" s="252">
        <v>-210315.6</v>
      </c>
      <c r="N12" s="252">
        <v>-220814.66</v>
      </c>
      <c r="O12" s="252">
        <v>-3658537.8200000003</v>
      </c>
    </row>
    <row r="13" spans="1:15" x14ac:dyDescent="0.25">
      <c r="A13" s="251" t="s">
        <v>358</v>
      </c>
      <c r="B13" s="251" t="s">
        <v>350</v>
      </c>
      <c r="C13" s="252"/>
      <c r="D13" s="252">
        <v>-65285.1</v>
      </c>
      <c r="E13" s="252">
        <v>-107114.11</v>
      </c>
      <c r="F13" s="252">
        <v>-107114.11</v>
      </c>
      <c r="G13" s="252">
        <v>-94008.47</v>
      </c>
      <c r="H13" s="252">
        <v>-88478.56</v>
      </c>
      <c r="I13" s="252">
        <v>-94008.47</v>
      </c>
      <c r="J13" s="252">
        <v>-83425.710000000006</v>
      </c>
      <c r="K13" s="252">
        <v>-85717.95</v>
      </c>
      <c r="L13" s="252">
        <v>-85315.37</v>
      </c>
      <c r="M13" s="252">
        <v>-85302.080000000002</v>
      </c>
      <c r="N13" s="252">
        <v>-83834.23</v>
      </c>
      <c r="O13" s="252">
        <v>-979604.15999999992</v>
      </c>
    </row>
    <row r="14" spans="1:15" x14ac:dyDescent="0.25">
      <c r="A14" s="251" t="s">
        <v>359</v>
      </c>
      <c r="B14" s="251" t="s">
        <v>350</v>
      </c>
      <c r="C14" s="252">
        <v>-57061.93</v>
      </c>
      <c r="D14" s="252">
        <v>-151923.41</v>
      </c>
      <c r="E14" s="252">
        <v>-254231.87</v>
      </c>
      <c r="F14" s="252">
        <v>-280616.89</v>
      </c>
      <c r="G14" s="252">
        <v>-245616.6</v>
      </c>
      <c r="H14" s="252">
        <v>-293452.07</v>
      </c>
      <c r="I14" s="252">
        <v>-259723.88</v>
      </c>
      <c r="J14" s="252">
        <v>-216242.82</v>
      </c>
      <c r="K14" s="252">
        <v>-220343.45</v>
      </c>
      <c r="L14" s="252">
        <v>-201871.31</v>
      </c>
      <c r="M14" s="252">
        <v>-205015.81</v>
      </c>
      <c r="N14" s="252">
        <v>-184523.58</v>
      </c>
      <c r="O14" s="252">
        <v>-2570623.62</v>
      </c>
    </row>
    <row r="15" spans="1:15" x14ac:dyDescent="0.25">
      <c r="A15" s="251" t="s">
        <v>360</v>
      </c>
      <c r="B15" s="251" t="s">
        <v>350</v>
      </c>
      <c r="C15" s="252">
        <v>-6616.91</v>
      </c>
      <c r="D15" s="252">
        <v>-28891.77</v>
      </c>
      <c r="E15" s="252">
        <v>-47083.9</v>
      </c>
      <c r="F15" s="252">
        <v>-51069.5</v>
      </c>
      <c r="G15" s="252">
        <v>-67540.33</v>
      </c>
      <c r="H15" s="252">
        <v>-35491.11</v>
      </c>
      <c r="I15" s="252">
        <v>-40948.97</v>
      </c>
      <c r="J15" s="252">
        <v>-40903.94</v>
      </c>
      <c r="K15" s="252">
        <v>-38568.9</v>
      </c>
      <c r="L15" s="252">
        <v>-30713.46</v>
      </c>
      <c r="M15" s="252">
        <v>-45408.84</v>
      </c>
      <c r="N15" s="252">
        <v>-37581.97</v>
      </c>
      <c r="O15" s="252">
        <v>-470819.6</v>
      </c>
    </row>
    <row r="16" spans="1:15" x14ac:dyDescent="0.25">
      <c r="A16" s="251" t="s">
        <v>361</v>
      </c>
      <c r="B16" s="251" t="s">
        <v>350</v>
      </c>
      <c r="C16" s="252"/>
      <c r="D16" s="252">
        <v>-299889.64</v>
      </c>
      <c r="E16" s="252">
        <v>-477512.43</v>
      </c>
      <c r="F16" s="252">
        <v>-478204.48</v>
      </c>
      <c r="G16" s="252">
        <v>-381719.14</v>
      </c>
      <c r="H16" s="252">
        <v>-347017.4</v>
      </c>
      <c r="I16" s="252">
        <v>-347017.4</v>
      </c>
      <c r="J16" s="252">
        <v>-305519.45</v>
      </c>
      <c r="K16" s="252">
        <v>-300851.45</v>
      </c>
      <c r="L16" s="252">
        <v>-268010.58</v>
      </c>
      <c r="M16" s="252">
        <v>-243595.54</v>
      </c>
      <c r="N16" s="252">
        <v>-269085.49</v>
      </c>
      <c r="O16" s="252">
        <v>-3718423</v>
      </c>
    </row>
    <row r="17" spans="1:15" x14ac:dyDescent="0.25">
      <c r="A17" s="251" t="s">
        <v>362</v>
      </c>
      <c r="B17" s="251" t="s">
        <v>350</v>
      </c>
      <c r="C17" s="252"/>
      <c r="D17" s="252">
        <v>-743204.76</v>
      </c>
      <c r="E17" s="252">
        <v>-1183400.3700000001</v>
      </c>
      <c r="F17" s="252">
        <v>-1237961.8700000001</v>
      </c>
      <c r="G17" s="252">
        <v>-988999.59</v>
      </c>
      <c r="H17" s="252">
        <v>-1006350.46</v>
      </c>
      <c r="I17" s="252">
        <v>-971648.72</v>
      </c>
      <c r="J17" s="252">
        <v>-747485.86</v>
      </c>
      <c r="K17" s="252">
        <v>-758265.77</v>
      </c>
      <c r="L17" s="252">
        <v>-582613.65</v>
      </c>
      <c r="M17" s="252">
        <v>-757705.77</v>
      </c>
      <c r="N17" s="252">
        <v>-726418.28</v>
      </c>
      <c r="O17" s="252">
        <v>-9704055.0999999996</v>
      </c>
    </row>
    <row r="18" spans="1:15" x14ac:dyDescent="0.25">
      <c r="A18" s="251" t="s">
        <v>363</v>
      </c>
      <c r="B18" s="251" t="s">
        <v>350</v>
      </c>
      <c r="C18" s="252">
        <v>-32193.91</v>
      </c>
      <c r="D18" s="252">
        <v>-94405.47</v>
      </c>
      <c r="E18" s="252">
        <v>-129926.11</v>
      </c>
      <c r="F18" s="252">
        <v>-129464.41</v>
      </c>
      <c r="G18" s="252">
        <v>-113137.87</v>
      </c>
      <c r="H18" s="252">
        <v>-109002.58</v>
      </c>
      <c r="I18" s="252">
        <v>-110636.06</v>
      </c>
      <c r="J18" s="252">
        <v>-78831.94</v>
      </c>
      <c r="K18" s="252">
        <v>-62863.69</v>
      </c>
      <c r="L18" s="252">
        <v>-45932.7</v>
      </c>
      <c r="M18" s="252">
        <v>-31408.400000000001</v>
      </c>
      <c r="N18" s="252">
        <v>-35209.519999999997</v>
      </c>
      <c r="O18" s="252">
        <v>-973012.66</v>
      </c>
    </row>
    <row r="19" spans="1:15" x14ac:dyDescent="0.25">
      <c r="A19" s="251" t="s">
        <v>364</v>
      </c>
      <c r="B19" s="251" t="s">
        <v>350</v>
      </c>
      <c r="C19" s="252">
        <v>-2663.09</v>
      </c>
      <c r="D19" s="252">
        <v>-6636.18</v>
      </c>
      <c r="E19" s="252">
        <v>-8358.19</v>
      </c>
      <c r="F19" s="252">
        <v>-7977.59</v>
      </c>
      <c r="G19" s="252">
        <v>-7108.86</v>
      </c>
      <c r="H19" s="252">
        <v>-7108.87</v>
      </c>
      <c r="I19" s="252">
        <v>-6809.04</v>
      </c>
      <c r="J19" s="252">
        <v>-5732.89</v>
      </c>
      <c r="K19" s="252">
        <v>-4959.08</v>
      </c>
      <c r="L19" s="252">
        <v>-4274.45</v>
      </c>
      <c r="M19" s="252">
        <v>-4119.92</v>
      </c>
      <c r="N19" s="252">
        <v>-3906.94</v>
      </c>
      <c r="O19" s="252">
        <v>-69655.100000000006</v>
      </c>
    </row>
    <row r="20" spans="1:15" x14ac:dyDescent="0.25">
      <c r="A20" s="251" t="s">
        <v>365</v>
      </c>
      <c r="B20" s="251" t="s">
        <v>350</v>
      </c>
      <c r="C20" s="252"/>
      <c r="D20" s="252">
        <v>-3753.55</v>
      </c>
      <c r="E20" s="252">
        <v>-5603.23</v>
      </c>
      <c r="F20" s="252">
        <v>-5603.23</v>
      </c>
      <c r="G20" s="252">
        <v>-4150.21</v>
      </c>
      <c r="H20" s="252">
        <v>-4150.21</v>
      </c>
      <c r="I20" s="252">
        <v>-4150.21</v>
      </c>
      <c r="J20" s="252">
        <v>-4150.21</v>
      </c>
      <c r="K20" s="252">
        <v>-4150.21</v>
      </c>
      <c r="L20" s="252">
        <v>-4150.21</v>
      </c>
      <c r="M20" s="252">
        <v>-4150.21</v>
      </c>
      <c r="N20" s="252">
        <v>-4150.21</v>
      </c>
      <c r="O20" s="252">
        <v>-48161.69</v>
      </c>
    </row>
    <row r="21" spans="1:15" x14ac:dyDescent="0.25">
      <c r="A21" s="251" t="s">
        <v>366</v>
      </c>
      <c r="B21" s="251" t="s">
        <v>350</v>
      </c>
      <c r="C21" s="252"/>
      <c r="D21" s="252">
        <v>-15014.2</v>
      </c>
      <c r="E21" s="252">
        <v>-22412.92</v>
      </c>
      <c r="F21" s="252">
        <v>-22412.92</v>
      </c>
      <c r="G21" s="252">
        <v>-16600.84</v>
      </c>
      <c r="H21" s="252">
        <v>-16600.84</v>
      </c>
      <c r="I21" s="252">
        <v>-16600.84</v>
      </c>
      <c r="J21" s="252">
        <v>-13775.74</v>
      </c>
      <c r="K21" s="252">
        <v>-14016.21</v>
      </c>
      <c r="L21" s="252">
        <v>-9927.16</v>
      </c>
      <c r="M21" s="252">
        <v>-7677.73</v>
      </c>
      <c r="N21" s="252">
        <v>-8505.93</v>
      </c>
      <c r="O21" s="252">
        <v>-163545.32999999999</v>
      </c>
    </row>
    <row r="22" spans="1:15" x14ac:dyDescent="0.25">
      <c r="A22" s="251" t="s">
        <v>367</v>
      </c>
      <c r="B22" s="251" t="s">
        <v>350</v>
      </c>
      <c r="C22" s="252">
        <v>-8938.0400000000009</v>
      </c>
      <c r="D22" s="252"/>
      <c r="E22" s="252">
        <v>-23463.01</v>
      </c>
      <c r="F22" s="252">
        <v>-68341.740000000005</v>
      </c>
      <c r="G22" s="252">
        <v>-37715.730000000003</v>
      </c>
      <c r="H22" s="252"/>
      <c r="I22" s="252">
        <v>-77945.84</v>
      </c>
      <c r="J22" s="252">
        <v>-37715.730000000003</v>
      </c>
      <c r="K22" s="252"/>
      <c r="L22" s="252">
        <v>-63990.33</v>
      </c>
      <c r="M22" s="252">
        <v>-25749.01</v>
      </c>
      <c r="N22" s="252"/>
      <c r="O22" s="252">
        <v>-343859.43</v>
      </c>
    </row>
    <row r="23" spans="1:15" x14ac:dyDescent="0.25">
      <c r="A23" s="251" t="s">
        <v>368</v>
      </c>
      <c r="B23" s="251" t="s">
        <v>350</v>
      </c>
      <c r="C23" s="252"/>
      <c r="D23" s="252">
        <v>-156612.06</v>
      </c>
      <c r="E23" s="252">
        <v>-430355.48</v>
      </c>
      <c r="F23" s="252">
        <v>-430355.48</v>
      </c>
      <c r="G23" s="252">
        <v>-244057.4</v>
      </c>
      <c r="H23" s="252">
        <v>-427100.45</v>
      </c>
      <c r="I23" s="252">
        <v>-366086.1</v>
      </c>
      <c r="J23" s="252">
        <v>-288459.89</v>
      </c>
      <c r="K23" s="252">
        <v>-216901.09</v>
      </c>
      <c r="L23" s="252">
        <v>-178307.83</v>
      </c>
      <c r="M23" s="252">
        <v>-178738.83</v>
      </c>
      <c r="N23" s="252">
        <v>-178888.15</v>
      </c>
      <c r="O23" s="252">
        <v>-3095862.76</v>
      </c>
    </row>
    <row r="24" spans="1:15" x14ac:dyDescent="0.25">
      <c r="A24" s="251" t="s">
        <v>369</v>
      </c>
      <c r="B24" s="251" t="s">
        <v>350</v>
      </c>
      <c r="C24" s="252"/>
      <c r="D24" s="252">
        <v>-78306.03</v>
      </c>
      <c r="E24" s="252">
        <v>-215177.74</v>
      </c>
      <c r="F24" s="252">
        <v>-215177.74</v>
      </c>
      <c r="G24" s="252">
        <v>-122028.7</v>
      </c>
      <c r="H24" s="252">
        <v>-122028.7</v>
      </c>
      <c r="I24" s="252">
        <v>-122028.7</v>
      </c>
      <c r="J24" s="252">
        <v>-101018.1</v>
      </c>
      <c r="K24" s="252">
        <v>-80596.460000000006</v>
      </c>
      <c r="L24" s="252">
        <v>-62871.38</v>
      </c>
      <c r="M24" s="252">
        <v>-55820.12</v>
      </c>
      <c r="N24" s="252">
        <v>-62871.38</v>
      </c>
      <c r="O24" s="252">
        <v>-1237925.05</v>
      </c>
    </row>
    <row r="25" spans="1:15" x14ac:dyDescent="0.25">
      <c r="A25" s="251" t="s">
        <v>370</v>
      </c>
      <c r="B25" s="251" t="s">
        <v>350</v>
      </c>
      <c r="C25" s="252"/>
      <c r="D25" s="252">
        <v>-239877.61</v>
      </c>
      <c r="E25" s="252">
        <v>-288566.75</v>
      </c>
      <c r="F25" s="252">
        <v>-464714.87</v>
      </c>
      <c r="G25" s="252">
        <v>-221546.5</v>
      </c>
      <c r="H25" s="252">
        <v>-398783.7</v>
      </c>
      <c r="I25" s="252">
        <v>-310165.09999999998</v>
      </c>
      <c r="J25" s="252">
        <v>-219542.93</v>
      </c>
      <c r="K25" s="252">
        <v>10323.829999999987</v>
      </c>
      <c r="L25" s="252">
        <v>-422815.12</v>
      </c>
      <c r="M25" s="252">
        <v>-194996.14</v>
      </c>
      <c r="N25" s="252">
        <v>-196072.61</v>
      </c>
      <c r="O25" s="252">
        <v>-2946757.5</v>
      </c>
    </row>
    <row r="26" spans="1:15" x14ac:dyDescent="0.25">
      <c r="A26" s="251" t="s">
        <v>371</v>
      </c>
      <c r="C26" s="252">
        <v>-6800055.1300000008</v>
      </c>
      <c r="D26" s="252">
        <v>-24788324.020000007</v>
      </c>
      <c r="E26" s="252">
        <v>-42217065.489999995</v>
      </c>
      <c r="F26" s="252">
        <v>-42961585.979999982</v>
      </c>
      <c r="G26" s="252">
        <v>-36262397.089999996</v>
      </c>
      <c r="H26" s="252">
        <v>-33038030.079999994</v>
      </c>
      <c r="I26" s="252">
        <v>-27830940.779999994</v>
      </c>
      <c r="J26" s="252">
        <v>-19018675.030000005</v>
      </c>
      <c r="K26" s="252">
        <v>-13091412.189999998</v>
      </c>
      <c r="L26" s="252">
        <v>-9194592.5600000005</v>
      </c>
      <c r="M26" s="252">
        <v>-6453068.3999999994</v>
      </c>
      <c r="N26" s="252">
        <v>-7124269.5200000014</v>
      </c>
      <c r="O26" s="252">
        <v>-268780416.26999998</v>
      </c>
    </row>
    <row r="28" spans="1:15" x14ac:dyDescent="0.25">
      <c r="A28" s="251" t="s">
        <v>372</v>
      </c>
      <c r="C28" s="253">
        <v>-78306.03</v>
      </c>
      <c r="D28" s="253">
        <v>-215177.74</v>
      </c>
      <c r="E28" s="253">
        <v>-215177.74</v>
      </c>
      <c r="F28" s="253">
        <v>-61014.35</v>
      </c>
      <c r="G28" s="253">
        <v>-61014.35</v>
      </c>
      <c r="H28" s="253">
        <v>-61014.35</v>
      </c>
      <c r="I28" s="253">
        <v>-61014.35</v>
      </c>
      <c r="J28" s="253">
        <v>-120171.67</v>
      </c>
      <c r="K28" s="253">
        <v>0</v>
      </c>
      <c r="L28" s="253">
        <v>-120171.67</v>
      </c>
      <c r="M28" s="253">
        <v>-120171.67</v>
      </c>
      <c r="N28" s="253">
        <v>-70301.093263369956</v>
      </c>
      <c r="O28" s="252">
        <f>SUM(C28:N28)</f>
        <v>-1183535.0132633699</v>
      </c>
    </row>
    <row r="29" spans="1:15" x14ac:dyDescent="0.25">
      <c r="A29" s="251" t="s">
        <v>373</v>
      </c>
      <c r="C29" s="252">
        <f>C26+C28</f>
        <v>-6878361.1600000011</v>
      </c>
      <c r="D29" s="252">
        <f t="shared" ref="D29:O29" si="0">D26+D28</f>
        <v>-25003501.760000005</v>
      </c>
      <c r="E29" s="252">
        <f t="shared" si="0"/>
        <v>-42432243.229999997</v>
      </c>
      <c r="F29" s="252">
        <f t="shared" si="0"/>
        <v>-43022600.329999983</v>
      </c>
      <c r="G29" s="252">
        <f t="shared" si="0"/>
        <v>-36323411.439999998</v>
      </c>
      <c r="H29" s="252">
        <f t="shared" si="0"/>
        <v>-33099044.429999996</v>
      </c>
      <c r="I29" s="252">
        <f t="shared" si="0"/>
        <v>-27891955.129999995</v>
      </c>
      <c r="J29" s="252">
        <f t="shared" si="0"/>
        <v>-19138846.700000007</v>
      </c>
      <c r="K29" s="252">
        <f t="shared" si="0"/>
        <v>-13091412.189999998</v>
      </c>
      <c r="L29" s="252">
        <f t="shared" si="0"/>
        <v>-9314764.2300000004</v>
      </c>
      <c r="M29" s="252">
        <f t="shared" si="0"/>
        <v>-6573240.0699999994</v>
      </c>
      <c r="N29" s="252">
        <f t="shared" si="0"/>
        <v>-7194570.6132633714</v>
      </c>
      <c r="O29" s="252">
        <f t="shared" si="0"/>
        <v>-269963951.28326333</v>
      </c>
    </row>
  </sheetData>
  <pageMargins left="0.7" right="0.7" top="0.75" bottom="0.75" header="0.3" footer="0.3"/>
  <pageSetup orientation="portrait" horizontalDpi="90" verticalDpi="9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2"/>
  <sheetViews>
    <sheetView workbookViewId="0">
      <selection activeCell="I10" sqref="I10"/>
    </sheetView>
  </sheetViews>
  <sheetFormatPr defaultRowHeight="15" x14ac:dyDescent="0.25"/>
  <cols>
    <col min="1" max="1" width="16" style="266" customWidth="1"/>
    <col min="2" max="3" width="9.140625" style="266"/>
    <col min="4" max="5" width="20.42578125" style="266" bestFit="1" customWidth="1"/>
    <col min="6" max="6" width="5.140625" style="266" bestFit="1" customWidth="1"/>
    <col min="7" max="8" width="9.140625" style="266"/>
    <col min="9" max="9" width="14.28515625" style="266" bestFit="1" customWidth="1"/>
    <col min="10" max="16384" width="9.140625" style="266"/>
  </cols>
  <sheetData>
    <row r="1" spans="1:11" x14ac:dyDescent="0.25">
      <c r="A1" s="266" t="s">
        <v>400</v>
      </c>
    </row>
    <row r="2" spans="1:11" x14ac:dyDescent="0.25">
      <c r="A2" s="266" t="s">
        <v>401</v>
      </c>
      <c r="B2" s="266" t="s">
        <v>402</v>
      </c>
      <c r="C2" s="266" t="s">
        <v>403</v>
      </c>
      <c r="D2" s="266" t="s">
        <v>404</v>
      </c>
      <c r="E2" s="266" t="s">
        <v>405</v>
      </c>
      <c r="K2" s="266" t="s">
        <v>406</v>
      </c>
    </row>
    <row r="3" spans="1:11" x14ac:dyDescent="0.25">
      <c r="A3" s="267">
        <v>48000002</v>
      </c>
      <c r="B3" s="267">
        <v>9900</v>
      </c>
      <c r="C3" s="267">
        <v>48000016</v>
      </c>
      <c r="D3" s="268">
        <v>2704618.15</v>
      </c>
      <c r="E3" s="269"/>
      <c r="F3" s="270">
        <v>23</v>
      </c>
      <c r="K3" s="266">
        <v>0.95344399999999996</v>
      </c>
    </row>
    <row r="4" spans="1:11" x14ac:dyDescent="0.25">
      <c r="A4" s="267">
        <v>48100002</v>
      </c>
      <c r="B4" s="267">
        <v>9900</v>
      </c>
      <c r="C4" s="267" t="s">
        <v>407</v>
      </c>
      <c r="D4" s="268">
        <v>1555276.64</v>
      </c>
      <c r="E4" s="269"/>
      <c r="F4" s="266" t="s">
        <v>408</v>
      </c>
    </row>
    <row r="5" spans="1:11" x14ac:dyDescent="0.25">
      <c r="A5" s="267">
        <v>48100012</v>
      </c>
      <c r="B5" s="267">
        <v>9900</v>
      </c>
      <c r="C5" s="267" t="s">
        <v>409</v>
      </c>
      <c r="D5" s="268">
        <v>46371.5</v>
      </c>
      <c r="E5" s="269"/>
      <c r="F5" s="266" t="s">
        <v>410</v>
      </c>
    </row>
    <row r="6" spans="1:11" x14ac:dyDescent="0.25">
      <c r="A6" s="267">
        <v>48930012</v>
      </c>
      <c r="B6" s="267">
        <v>9900</v>
      </c>
      <c r="C6" s="267" t="s">
        <v>411</v>
      </c>
      <c r="D6" s="268">
        <v>0</v>
      </c>
      <c r="E6" s="269"/>
      <c r="F6" s="266" t="s">
        <v>412</v>
      </c>
      <c r="I6" s="271"/>
    </row>
    <row r="7" spans="1:11" x14ac:dyDescent="0.25">
      <c r="A7" s="267">
        <v>48100002</v>
      </c>
      <c r="B7" s="267">
        <v>9900</v>
      </c>
      <c r="C7" s="267" t="s">
        <v>407</v>
      </c>
      <c r="D7" s="268">
        <v>457630.11</v>
      </c>
      <c r="E7" s="269"/>
      <c r="F7" s="266" t="s">
        <v>413</v>
      </c>
      <c r="I7" s="271"/>
    </row>
    <row r="8" spans="1:11" x14ac:dyDescent="0.25">
      <c r="A8" s="267">
        <v>48100012</v>
      </c>
      <c r="B8" s="267">
        <v>9900</v>
      </c>
      <c r="C8" s="267" t="s">
        <v>409</v>
      </c>
      <c r="D8" s="268">
        <v>38794.589999999997</v>
      </c>
      <c r="E8" s="269"/>
      <c r="F8" s="266" t="s">
        <v>414</v>
      </c>
      <c r="I8" s="271"/>
    </row>
    <row r="9" spans="1:11" x14ac:dyDescent="0.25">
      <c r="A9" s="267">
        <v>48930002</v>
      </c>
      <c r="B9" s="267">
        <v>9900</v>
      </c>
      <c r="C9" s="267" t="s">
        <v>415</v>
      </c>
      <c r="D9" s="272">
        <v>340042.04</v>
      </c>
      <c r="E9" s="269"/>
      <c r="F9" s="266" t="s">
        <v>416</v>
      </c>
      <c r="I9" s="271"/>
    </row>
    <row r="10" spans="1:11" x14ac:dyDescent="0.25">
      <c r="A10" s="267">
        <v>48930012</v>
      </c>
      <c r="B10" s="267">
        <v>9900</v>
      </c>
      <c r="C10" s="267" t="s">
        <v>411</v>
      </c>
      <c r="D10" s="268">
        <v>94008.47</v>
      </c>
      <c r="E10" s="269"/>
      <c r="F10" s="266" t="s">
        <v>417</v>
      </c>
      <c r="I10" s="271"/>
    </row>
    <row r="11" spans="1:11" x14ac:dyDescent="0.25">
      <c r="A11" s="267">
        <v>48100022</v>
      </c>
      <c r="B11" s="267">
        <v>9900</v>
      </c>
      <c r="C11" s="267" t="s">
        <v>418</v>
      </c>
      <c r="D11" s="268">
        <v>37867.06</v>
      </c>
      <c r="E11" s="269"/>
      <c r="F11" s="266" t="s">
        <v>419</v>
      </c>
      <c r="I11" s="271"/>
    </row>
    <row r="12" spans="1:11" x14ac:dyDescent="0.25">
      <c r="A12" s="267">
        <v>48100032</v>
      </c>
      <c r="B12" s="267">
        <v>9900</v>
      </c>
      <c r="C12" s="267" t="s">
        <v>420</v>
      </c>
      <c r="D12" s="268">
        <v>341.26</v>
      </c>
      <c r="E12" s="269"/>
      <c r="F12" s="266" t="s">
        <v>421</v>
      </c>
      <c r="I12" s="271"/>
    </row>
    <row r="13" spans="1:11" x14ac:dyDescent="0.25">
      <c r="A13" s="273">
        <v>48930002</v>
      </c>
      <c r="B13" s="266">
        <v>9900</v>
      </c>
      <c r="C13" s="266" t="s">
        <v>415</v>
      </c>
      <c r="D13" s="272">
        <v>381719.14</v>
      </c>
      <c r="E13" s="269"/>
      <c r="F13" s="266" t="s">
        <v>422</v>
      </c>
      <c r="I13" s="271"/>
    </row>
    <row r="14" spans="1:11" x14ac:dyDescent="0.25">
      <c r="A14" s="273">
        <v>48930012</v>
      </c>
      <c r="B14" s="266">
        <v>9900</v>
      </c>
      <c r="C14" s="266" t="s">
        <v>411</v>
      </c>
      <c r="D14" s="268">
        <v>1075753.94</v>
      </c>
      <c r="E14" s="269"/>
      <c r="F14" s="266" t="s">
        <v>423</v>
      </c>
      <c r="I14" s="271"/>
    </row>
    <row r="15" spans="1:11" x14ac:dyDescent="0.25">
      <c r="A15" s="273">
        <v>48100022</v>
      </c>
      <c r="B15" s="266">
        <v>9900</v>
      </c>
      <c r="C15" s="266" t="s">
        <v>418</v>
      </c>
      <c r="D15" s="268">
        <v>26715.43</v>
      </c>
      <c r="E15" s="269"/>
      <c r="F15" s="266" t="s">
        <v>424</v>
      </c>
      <c r="I15" s="271"/>
    </row>
    <row r="16" spans="1:11" x14ac:dyDescent="0.25">
      <c r="A16" s="273">
        <v>48100032</v>
      </c>
      <c r="B16" s="266">
        <v>9900</v>
      </c>
      <c r="C16" s="266" t="s">
        <v>420</v>
      </c>
      <c r="D16" s="268">
        <v>633.4</v>
      </c>
      <c r="E16" s="269"/>
      <c r="F16" s="266" t="s">
        <v>425</v>
      </c>
      <c r="I16" s="271"/>
    </row>
    <row r="17" spans="1:9" x14ac:dyDescent="0.25">
      <c r="A17" s="273">
        <v>48930002</v>
      </c>
      <c r="B17" s="266">
        <v>9900</v>
      </c>
      <c r="C17" s="266" t="s">
        <v>415</v>
      </c>
      <c r="D17" s="272"/>
      <c r="E17" s="269"/>
      <c r="F17" s="266" t="s">
        <v>426</v>
      </c>
      <c r="I17" s="271"/>
    </row>
    <row r="18" spans="1:9" x14ac:dyDescent="0.25">
      <c r="A18" s="273">
        <v>48930012</v>
      </c>
      <c r="B18" s="266">
        <v>9900</v>
      </c>
      <c r="C18" s="266" t="s">
        <v>411</v>
      </c>
      <c r="D18" s="268">
        <v>8300.42</v>
      </c>
      <c r="E18" s="269"/>
      <c r="F18" s="266" t="s">
        <v>427</v>
      </c>
      <c r="I18" s="271"/>
    </row>
    <row r="19" spans="1:9" x14ac:dyDescent="0.25">
      <c r="A19" s="267">
        <v>48100022</v>
      </c>
      <c r="B19" s="267">
        <v>9900</v>
      </c>
      <c r="C19" s="267" t="s">
        <v>418</v>
      </c>
      <c r="D19" s="268">
        <v>0</v>
      </c>
      <c r="E19" s="269"/>
      <c r="F19" s="266" t="s">
        <v>428</v>
      </c>
      <c r="I19" s="271"/>
    </row>
    <row r="20" spans="1:9" x14ac:dyDescent="0.25">
      <c r="A20" s="273">
        <v>48930002</v>
      </c>
      <c r="B20" s="266">
        <v>9900</v>
      </c>
      <c r="C20" s="266" t="s">
        <v>415</v>
      </c>
      <c r="D20" s="272">
        <v>33201.68</v>
      </c>
      <c r="E20" s="269"/>
      <c r="F20" s="266" t="s">
        <v>429</v>
      </c>
      <c r="I20" s="271"/>
    </row>
    <row r="21" spans="1:9" x14ac:dyDescent="0.25">
      <c r="A21" s="273">
        <v>48930012</v>
      </c>
      <c r="B21" s="266">
        <v>9900</v>
      </c>
      <c r="C21" s="266" t="s">
        <v>411</v>
      </c>
      <c r="D21" s="268">
        <v>366086.1</v>
      </c>
      <c r="E21" s="269"/>
      <c r="F21" s="266" t="s">
        <v>430</v>
      </c>
      <c r="I21" s="271"/>
    </row>
    <row r="22" spans="1:9" x14ac:dyDescent="0.25">
      <c r="A22" s="273">
        <v>48930012</v>
      </c>
      <c r="B22" s="266">
        <v>9900</v>
      </c>
      <c r="C22" s="266" t="s">
        <v>411</v>
      </c>
      <c r="D22" s="268">
        <v>177237.2</v>
      </c>
      <c r="E22" s="269"/>
      <c r="F22" s="274" t="s">
        <v>431</v>
      </c>
      <c r="I22" s="271"/>
    </row>
    <row r="23" spans="1:9" x14ac:dyDescent="0.25">
      <c r="A23" s="266">
        <v>17300002</v>
      </c>
      <c r="D23" s="268">
        <f>SUM(E3:E22)</f>
        <v>0</v>
      </c>
      <c r="E23" s="268">
        <f>SUM(D3:D22)</f>
        <v>7344597.129999998</v>
      </c>
      <c r="F23" s="266" t="s">
        <v>432</v>
      </c>
    </row>
    <row r="24" spans="1:9" x14ac:dyDescent="0.25">
      <c r="A24" s="266">
        <v>25401202</v>
      </c>
      <c r="D24" s="268">
        <f>ROUND(E23*K3,2)</f>
        <v>7002662.0700000003</v>
      </c>
      <c r="E24" s="268">
        <f>ROUND(D23*K3,2)</f>
        <v>0</v>
      </c>
      <c r="F24" s="266" t="str">
        <f>F23</f>
        <v>CCA Credit Q3 2024</v>
      </c>
    </row>
    <row r="25" spans="1:9" x14ac:dyDescent="0.25">
      <c r="A25" s="266">
        <v>49500062</v>
      </c>
      <c r="B25" s="266">
        <v>9900</v>
      </c>
      <c r="C25" s="266">
        <v>40740420</v>
      </c>
      <c r="D25" s="268">
        <f>E24</f>
        <v>0</v>
      </c>
      <c r="E25" s="268">
        <f>D24</f>
        <v>7002662.0700000003</v>
      </c>
      <c r="F25" s="266" t="str">
        <f>F24</f>
        <v>CCA Credit Q3 2024</v>
      </c>
    </row>
    <row r="28" spans="1:9" x14ac:dyDescent="0.25">
      <c r="E28" s="271"/>
    </row>
    <row r="29" spans="1:9" x14ac:dyDescent="0.25">
      <c r="C29" s="275" t="s">
        <v>433</v>
      </c>
      <c r="D29" s="268">
        <v>7002662.0700000003</v>
      </c>
    </row>
    <row r="30" spans="1:9" x14ac:dyDescent="0.25">
      <c r="C30" s="276" t="s">
        <v>144</v>
      </c>
      <c r="D30" s="277">
        <f>ROUND(D3/E23*D29,2)</f>
        <v>2578701.9500000002</v>
      </c>
    </row>
    <row r="31" spans="1:9" x14ac:dyDescent="0.25">
      <c r="C31" s="276" t="s">
        <v>129</v>
      </c>
      <c r="D31" s="277">
        <f>ROUND((D4+D5+D7+D8+D11+D12+D15+D16+D19+D22)/E23*D29,2)</f>
        <v>2231885.7799999998</v>
      </c>
    </row>
    <row r="32" spans="1:9" x14ac:dyDescent="0.25">
      <c r="C32" s="276" t="s">
        <v>145</v>
      </c>
      <c r="D32" s="277">
        <f>ROUND((D6+D9+D10+D13+D14+D17+D18+D20+D21)/E23*D29,2)</f>
        <v>2192074.34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35"/>
  <sheetViews>
    <sheetView zoomScale="90" zoomScaleNormal="90" workbookViewId="0">
      <selection activeCell="E27" sqref="E27"/>
    </sheetView>
  </sheetViews>
  <sheetFormatPr defaultColWidth="9.140625" defaultRowHeight="15" x14ac:dyDescent="0.25"/>
  <cols>
    <col min="1" max="1" width="4.42578125" style="31" customWidth="1"/>
    <col min="2" max="2" width="38.28515625" style="31" customWidth="1"/>
    <col min="3" max="3" width="13.42578125" style="31" customWidth="1"/>
    <col min="4" max="4" width="15.42578125" style="31" customWidth="1"/>
    <col min="5" max="5" width="14.5703125" style="31" customWidth="1"/>
    <col min="6" max="6" width="16.42578125" style="31" bestFit="1" customWidth="1"/>
    <col min="7" max="7" width="13.42578125" style="31" customWidth="1"/>
    <col min="8" max="8" width="14.42578125" style="31" bestFit="1" customWidth="1"/>
    <col min="9" max="16384" width="9.140625" style="31"/>
  </cols>
  <sheetData>
    <row r="1" spans="1:11" x14ac:dyDescent="0.25">
      <c r="A1" s="307" t="s">
        <v>0</v>
      </c>
      <c r="B1" s="307"/>
      <c r="C1" s="307"/>
      <c r="D1" s="307"/>
      <c r="E1" s="307"/>
      <c r="F1" s="307"/>
      <c r="G1" s="307"/>
      <c r="H1" s="307"/>
    </row>
    <row r="2" spans="1:11" x14ac:dyDescent="0.25">
      <c r="A2" s="50" t="s">
        <v>374</v>
      </c>
      <c r="B2" s="50"/>
      <c r="C2" s="50"/>
      <c r="D2" s="50"/>
      <c r="E2" s="50"/>
      <c r="F2" s="50"/>
      <c r="G2" s="50"/>
      <c r="H2" s="50"/>
    </row>
    <row r="3" spans="1:11" x14ac:dyDescent="0.25">
      <c r="A3" s="307" t="s">
        <v>82</v>
      </c>
      <c r="B3" s="307"/>
      <c r="C3" s="307"/>
      <c r="D3" s="307"/>
      <c r="E3" s="307"/>
      <c r="F3" s="307"/>
      <c r="G3" s="307"/>
      <c r="H3" s="307"/>
    </row>
    <row r="4" spans="1:11" x14ac:dyDescent="0.25">
      <c r="A4" s="307" t="s">
        <v>375</v>
      </c>
      <c r="B4" s="307"/>
      <c r="C4" s="307"/>
      <c r="D4" s="307"/>
      <c r="E4" s="307"/>
      <c r="F4" s="307"/>
      <c r="G4" s="307"/>
      <c r="H4" s="307"/>
    </row>
    <row r="5" spans="1:11" x14ac:dyDescent="0.25">
      <c r="A5" s="244"/>
      <c r="B5" s="244"/>
      <c r="C5" s="244"/>
      <c r="D5" s="244"/>
      <c r="E5" s="244"/>
      <c r="F5" s="244"/>
      <c r="G5" s="244"/>
      <c r="H5" s="244"/>
    </row>
    <row r="6" spans="1:11" ht="13.5" customHeight="1" x14ac:dyDescent="0.25">
      <c r="E6" s="51"/>
      <c r="F6" s="51" t="s">
        <v>83</v>
      </c>
      <c r="G6" s="51"/>
      <c r="H6" s="51" t="s">
        <v>58</v>
      </c>
    </row>
    <row r="7" spans="1:11" ht="17.25" x14ac:dyDescent="0.25">
      <c r="B7" s="51"/>
      <c r="C7" s="51"/>
      <c r="D7" s="23" t="s">
        <v>51</v>
      </c>
      <c r="E7" s="23"/>
      <c r="F7" s="51" t="s">
        <v>4</v>
      </c>
      <c r="G7" s="23" t="s">
        <v>64</v>
      </c>
      <c r="H7" s="23" t="s">
        <v>65</v>
      </c>
    </row>
    <row r="8" spans="1:11" x14ac:dyDescent="0.25">
      <c r="A8" s="244" t="s">
        <v>1</v>
      </c>
      <c r="B8" s="51"/>
      <c r="C8" s="51"/>
      <c r="D8" s="244" t="s">
        <v>376</v>
      </c>
      <c r="E8" s="23" t="s">
        <v>3</v>
      </c>
      <c r="F8" s="51" t="s">
        <v>10</v>
      </c>
      <c r="G8" s="23" t="s">
        <v>86</v>
      </c>
      <c r="H8" s="23" t="s">
        <v>88</v>
      </c>
    </row>
    <row r="9" spans="1:11" x14ac:dyDescent="0.25">
      <c r="A9" s="52" t="s">
        <v>6</v>
      </c>
      <c r="B9" s="52" t="s">
        <v>7</v>
      </c>
      <c r="C9" s="52" t="s">
        <v>8</v>
      </c>
      <c r="D9" s="38" t="s">
        <v>377</v>
      </c>
      <c r="E9" s="52" t="s">
        <v>9</v>
      </c>
      <c r="F9" s="52" t="s">
        <v>84</v>
      </c>
      <c r="G9" s="52" t="s">
        <v>87</v>
      </c>
      <c r="H9" s="52" t="s">
        <v>84</v>
      </c>
    </row>
    <row r="10" spans="1:11" x14ac:dyDescent="0.25">
      <c r="B10" s="186" t="s">
        <v>12</v>
      </c>
      <c r="C10" s="186" t="s">
        <v>13</v>
      </c>
      <c r="D10" s="7" t="s">
        <v>14</v>
      </c>
      <c r="E10" s="23" t="s">
        <v>15</v>
      </c>
      <c r="F10" s="7" t="s">
        <v>16</v>
      </c>
      <c r="G10" s="23" t="s">
        <v>17</v>
      </c>
      <c r="H10" s="245" t="s">
        <v>18</v>
      </c>
      <c r="I10" s="23"/>
    </row>
    <row r="11" spans="1:11" x14ac:dyDescent="0.25">
      <c r="A11" s="244">
        <v>1</v>
      </c>
      <c r="B11" s="31" t="s">
        <v>19</v>
      </c>
      <c r="C11" s="244">
        <v>23</v>
      </c>
      <c r="D11" s="254">
        <v>237030173</v>
      </c>
      <c r="E11" s="9">
        <f>D11/$D$24</f>
        <v>0.55878475770968261</v>
      </c>
      <c r="F11" s="53">
        <f>$F$28*E11</f>
        <v>-48376530.694180958</v>
      </c>
      <c r="G11" s="255">
        <v>3998230</v>
      </c>
      <c r="H11" s="54">
        <f>ROUND(F11/G11,2)</f>
        <v>-12.1</v>
      </c>
      <c r="K11" s="224"/>
    </row>
    <row r="12" spans="1:11" ht="17.25" x14ac:dyDescent="0.25">
      <c r="A12" s="244">
        <f>A11+1</f>
        <v>2</v>
      </c>
      <c r="B12" s="79" t="s">
        <v>68</v>
      </c>
      <c r="C12" s="244">
        <v>16</v>
      </c>
      <c r="D12" s="254">
        <v>2945</v>
      </c>
      <c r="E12" s="49">
        <f t="shared" ref="E12:E23" si="0">D12/$D$24</f>
        <v>6.9426651072604806E-6</v>
      </c>
      <c r="F12" s="53">
        <f t="shared" ref="F12:F23" si="1">$F$28*E12</f>
        <v>-601.05800494168705</v>
      </c>
      <c r="G12" s="255">
        <v>155</v>
      </c>
      <c r="H12" s="54">
        <f t="shared" ref="H12:H23" si="2">ROUND(F12/G12,2)</f>
        <v>-3.88</v>
      </c>
      <c r="K12" s="224"/>
    </row>
    <row r="13" spans="1:11" x14ac:dyDescent="0.25">
      <c r="A13" s="244">
        <f t="shared" ref="A13:A28" si="3">A12+1</f>
        <v>3</v>
      </c>
      <c r="B13" s="31" t="s">
        <v>21</v>
      </c>
      <c r="C13" s="244">
        <v>31</v>
      </c>
      <c r="D13" s="254">
        <v>101406651.59263071</v>
      </c>
      <c r="E13" s="9">
        <f t="shared" si="0"/>
        <v>0.23906024504457646</v>
      </c>
      <c r="F13" s="53">
        <f t="shared" si="1"/>
        <v>-20696529.607498594</v>
      </c>
      <c r="G13" s="255">
        <v>286089</v>
      </c>
      <c r="H13" s="54">
        <f t="shared" si="2"/>
        <v>-72.34</v>
      </c>
      <c r="K13" s="224"/>
    </row>
    <row r="14" spans="1:11" x14ac:dyDescent="0.25">
      <c r="A14" s="244">
        <f t="shared" si="3"/>
        <v>4</v>
      </c>
      <c r="B14" s="31" t="s">
        <v>22</v>
      </c>
      <c r="C14" s="244">
        <v>41</v>
      </c>
      <c r="D14" s="254">
        <v>28452770.755159236</v>
      </c>
      <c r="E14" s="9">
        <f t="shared" si="0"/>
        <v>6.7075741503132585E-2</v>
      </c>
      <c r="F14" s="53">
        <f t="shared" si="1"/>
        <v>-5807051.1460642405</v>
      </c>
      <c r="G14" s="255">
        <v>6309</v>
      </c>
      <c r="H14" s="54">
        <f t="shared" si="2"/>
        <v>-920.44</v>
      </c>
      <c r="K14" s="224"/>
    </row>
    <row r="15" spans="1:11" x14ac:dyDescent="0.25">
      <c r="A15" s="244">
        <f t="shared" si="3"/>
        <v>5</v>
      </c>
      <c r="B15" s="31" t="s">
        <v>23</v>
      </c>
      <c r="C15" s="244">
        <v>85</v>
      </c>
      <c r="D15" s="254">
        <v>3995124.4247881505</v>
      </c>
      <c r="E15" s="9">
        <f t="shared" si="0"/>
        <v>9.4182719671106249E-3</v>
      </c>
      <c r="F15" s="53">
        <f t="shared" si="1"/>
        <v>-815382.51825364027</v>
      </c>
      <c r="G15" s="255">
        <v>145</v>
      </c>
      <c r="H15" s="54">
        <f t="shared" si="2"/>
        <v>-5623.33</v>
      </c>
      <c r="K15" s="224"/>
    </row>
    <row r="16" spans="1:11" x14ac:dyDescent="0.25">
      <c r="A16" s="244">
        <f t="shared" si="3"/>
        <v>6</v>
      </c>
      <c r="B16" s="31" t="s">
        <v>24</v>
      </c>
      <c r="C16" s="244">
        <v>86</v>
      </c>
      <c r="D16" s="254">
        <v>2027748</v>
      </c>
      <c r="E16" s="9">
        <f t="shared" si="0"/>
        <v>4.7802972108377676E-3</v>
      </c>
      <c r="F16" s="53">
        <f t="shared" si="1"/>
        <v>-413852.00930543157</v>
      </c>
      <c r="G16" s="255">
        <v>479</v>
      </c>
      <c r="H16" s="54">
        <f t="shared" si="2"/>
        <v>-863.99</v>
      </c>
      <c r="K16" s="224"/>
    </row>
    <row r="17" spans="1:11" x14ac:dyDescent="0.25">
      <c r="A17" s="244">
        <f t="shared" si="3"/>
        <v>7</v>
      </c>
      <c r="B17" s="31" t="s">
        <v>25</v>
      </c>
      <c r="C17" s="244">
        <v>87</v>
      </c>
      <c r="D17" s="254">
        <v>529173.38832380553</v>
      </c>
      <c r="E17" s="9">
        <f t="shared" si="0"/>
        <v>1.2474952865217266E-3</v>
      </c>
      <c r="F17" s="53">
        <f t="shared" si="1"/>
        <v>-108001.32463638001</v>
      </c>
      <c r="G17" s="255">
        <v>10</v>
      </c>
      <c r="H17" s="54">
        <f t="shared" si="2"/>
        <v>-10800.13</v>
      </c>
      <c r="K17" s="224"/>
    </row>
    <row r="18" spans="1:11" x14ac:dyDescent="0.25">
      <c r="A18" s="244">
        <f t="shared" si="3"/>
        <v>8</v>
      </c>
      <c r="B18" s="31" t="s">
        <v>26</v>
      </c>
      <c r="C18" s="244" t="s">
        <v>27</v>
      </c>
      <c r="D18" s="254">
        <v>15141</v>
      </c>
      <c r="E18" s="9">
        <f t="shared" si="0"/>
        <v>3.5694021184730369E-5</v>
      </c>
      <c r="F18" s="53">
        <f t="shared" si="1"/>
        <v>-3090.1932946764291</v>
      </c>
      <c r="G18" s="255">
        <v>10</v>
      </c>
      <c r="H18" s="54">
        <f t="shared" si="2"/>
        <v>-309.02</v>
      </c>
      <c r="K18" s="224"/>
    </row>
    <row r="19" spans="1:11" x14ac:dyDescent="0.25">
      <c r="A19" s="244">
        <f t="shared" si="3"/>
        <v>9</v>
      </c>
      <c r="B19" s="31" t="s">
        <v>28</v>
      </c>
      <c r="C19" s="244" t="s">
        <v>29</v>
      </c>
      <c r="D19" s="254">
        <v>9596298</v>
      </c>
      <c r="E19" s="9">
        <f t="shared" si="0"/>
        <v>2.2622710792350946E-2</v>
      </c>
      <c r="F19" s="53">
        <f t="shared" si="1"/>
        <v>-1958550.6725656711</v>
      </c>
      <c r="G19" s="255">
        <v>510</v>
      </c>
      <c r="H19" s="54">
        <f t="shared" si="2"/>
        <v>-3840.3</v>
      </c>
      <c r="K19" s="224"/>
    </row>
    <row r="20" spans="1:11" x14ac:dyDescent="0.25">
      <c r="A20" s="244">
        <f t="shared" si="3"/>
        <v>10</v>
      </c>
      <c r="B20" s="31" t="s">
        <v>30</v>
      </c>
      <c r="C20" s="244" t="s">
        <v>31</v>
      </c>
      <c r="D20" s="254">
        <v>28109638.626885779</v>
      </c>
      <c r="E20" s="9">
        <f t="shared" si="0"/>
        <v>6.6266827596801803E-2</v>
      </c>
      <c r="F20" s="53">
        <f t="shared" si="1"/>
        <v>-5737019.8005798804</v>
      </c>
      <c r="G20" s="255">
        <v>440</v>
      </c>
      <c r="H20" s="54">
        <f t="shared" si="2"/>
        <v>-13038.68</v>
      </c>
      <c r="K20" s="224"/>
    </row>
    <row r="21" spans="1:11" x14ac:dyDescent="0.25">
      <c r="A21" s="244">
        <f t="shared" si="3"/>
        <v>11</v>
      </c>
      <c r="B21" s="31" t="s">
        <v>32</v>
      </c>
      <c r="C21" s="244" t="s">
        <v>33</v>
      </c>
      <c r="D21" s="254">
        <v>551738</v>
      </c>
      <c r="E21" s="9">
        <f t="shared" si="0"/>
        <v>1.300690037673916E-3</v>
      </c>
      <c r="F21" s="53">
        <f t="shared" si="1"/>
        <v>-112606.63549423309</v>
      </c>
      <c r="G21" s="255">
        <v>30</v>
      </c>
      <c r="H21" s="54">
        <f t="shared" si="2"/>
        <v>-3753.55</v>
      </c>
      <c r="K21" s="224"/>
    </row>
    <row r="22" spans="1:11" x14ac:dyDescent="0.25">
      <c r="A22" s="244">
        <f t="shared" si="3"/>
        <v>12</v>
      </c>
      <c r="B22" s="31" t="s">
        <v>34</v>
      </c>
      <c r="C22" s="244" t="s">
        <v>35</v>
      </c>
      <c r="D22" s="254">
        <v>5755133.3500792636</v>
      </c>
      <c r="E22" s="9">
        <f t="shared" si="0"/>
        <v>1.3567389982080277E-2</v>
      </c>
      <c r="F22" s="53">
        <f t="shared" si="1"/>
        <v>-1174590.4820278471</v>
      </c>
      <c r="G22" s="255">
        <v>15</v>
      </c>
      <c r="H22" s="54">
        <f t="shared" si="2"/>
        <v>-78306.03</v>
      </c>
      <c r="K22" s="224"/>
    </row>
    <row r="23" spans="1:11" x14ac:dyDescent="0.25">
      <c r="A23" s="244">
        <f t="shared" si="3"/>
        <v>13</v>
      </c>
      <c r="B23" s="31" t="s">
        <v>36</v>
      </c>
      <c r="D23" s="254">
        <v>6716152.4196225004</v>
      </c>
      <c r="E23" s="9">
        <f t="shared" si="0"/>
        <v>1.5832936182939281E-2</v>
      </c>
      <c r="F23" s="53">
        <f t="shared" si="1"/>
        <v>-1370729.0914168367</v>
      </c>
      <c r="G23" s="255">
        <v>40</v>
      </c>
      <c r="H23" s="54">
        <f t="shared" si="2"/>
        <v>-34268.230000000003</v>
      </c>
      <c r="K23" s="224"/>
    </row>
    <row r="24" spans="1:11" x14ac:dyDescent="0.25">
      <c r="A24" s="244">
        <f t="shared" si="3"/>
        <v>14</v>
      </c>
      <c r="B24" s="31" t="s">
        <v>2</v>
      </c>
      <c r="D24" s="56">
        <f t="shared" ref="D24:G24" si="4">SUM(D11:D23)</f>
        <v>424188687.55748945</v>
      </c>
      <c r="E24" s="57">
        <f t="shared" si="4"/>
        <v>0.99999999999999989</v>
      </c>
      <c r="F24" s="58">
        <f t="shared" si="4"/>
        <v>-86574535.233323321</v>
      </c>
      <c r="G24" s="59">
        <f t="shared" si="4"/>
        <v>4292462</v>
      </c>
      <c r="H24" s="61"/>
    </row>
    <row r="25" spans="1:11" x14ac:dyDescent="0.25">
      <c r="A25" s="244">
        <f t="shared" si="3"/>
        <v>15</v>
      </c>
      <c r="D25" s="60"/>
    </row>
    <row r="26" spans="1:11" x14ac:dyDescent="0.25">
      <c r="A26" s="244">
        <f t="shared" si="3"/>
        <v>16</v>
      </c>
      <c r="B26" s="31" t="s">
        <v>38</v>
      </c>
      <c r="D26" s="60"/>
      <c r="F26" s="256">
        <v>-87937454.081853524</v>
      </c>
    </row>
    <row r="27" spans="1:11" x14ac:dyDescent="0.25">
      <c r="A27" s="244">
        <f t="shared" si="3"/>
        <v>17</v>
      </c>
      <c r="B27" s="31" t="s">
        <v>62</v>
      </c>
      <c r="D27" s="60"/>
      <c r="F27" s="256">
        <v>1362918.8485301917</v>
      </c>
    </row>
    <row r="28" spans="1:11" x14ac:dyDescent="0.25">
      <c r="A28" s="244">
        <f t="shared" si="3"/>
        <v>18</v>
      </c>
      <c r="B28" s="31" t="s">
        <v>63</v>
      </c>
      <c r="E28" s="16"/>
      <c r="F28" s="75">
        <f>SUM(F26:F27)</f>
        <v>-86574535.233323336</v>
      </c>
      <c r="G28" s="16"/>
      <c r="H28" s="17"/>
    </row>
    <row r="29" spans="1:11" x14ac:dyDescent="0.25">
      <c r="A29" s="244"/>
      <c r="E29" s="16"/>
      <c r="F29" s="16"/>
      <c r="G29" s="16"/>
      <c r="H29" s="53"/>
    </row>
    <row r="30" spans="1:11" ht="17.25" x14ac:dyDescent="0.25">
      <c r="B30" s="31" t="s">
        <v>378</v>
      </c>
      <c r="D30" s="33"/>
    </row>
    <row r="31" spans="1:11" ht="17.25" x14ac:dyDescent="0.25">
      <c r="B31" s="31" t="s">
        <v>379</v>
      </c>
      <c r="D31" s="33"/>
    </row>
    <row r="32" spans="1:11" ht="17.25" x14ac:dyDescent="0.25">
      <c r="B32" s="31" t="s">
        <v>66</v>
      </c>
      <c r="D32" s="33"/>
    </row>
    <row r="33" spans="2:6" ht="17.25" x14ac:dyDescent="0.25">
      <c r="B33" s="31" t="s">
        <v>67</v>
      </c>
    </row>
    <row r="34" spans="2:6" x14ac:dyDescent="0.25">
      <c r="F34" s="224"/>
    </row>
    <row r="35" spans="2:6" x14ac:dyDescent="0.25">
      <c r="F35" s="224"/>
    </row>
  </sheetData>
  <mergeCells count="3">
    <mergeCell ref="A1:H1"/>
    <mergeCell ref="A3:H3"/>
    <mergeCell ref="A4:H4"/>
  </mergeCells>
  <printOptions horizontalCentered="1"/>
  <pageMargins left="0.45" right="0.45" top="0.75" bottom="0.75" header="0.3" footer="0.3"/>
  <pageSetup scale="94" orientation="landscape" blackAndWhite="1" r:id="rId1"/>
  <headerFooter>
    <oddFooter>&amp;L&amp;F 
&amp;A&amp;C&amp;P&amp;R&amp;D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35"/>
  <sheetViews>
    <sheetView zoomScale="90" zoomScaleNormal="90" workbookViewId="0">
      <selection activeCell="E27" sqref="E27"/>
    </sheetView>
  </sheetViews>
  <sheetFormatPr defaultColWidth="9.140625" defaultRowHeight="15" x14ac:dyDescent="0.25"/>
  <cols>
    <col min="1" max="1" width="4.42578125" style="31" customWidth="1"/>
    <col min="2" max="2" width="38.28515625" style="31" customWidth="1"/>
    <col min="3" max="3" width="13.42578125" style="31" customWidth="1"/>
    <col min="4" max="4" width="15.42578125" style="31" customWidth="1"/>
    <col min="5" max="5" width="14.5703125" style="31" customWidth="1"/>
    <col min="6" max="6" width="16.42578125" style="31" bestFit="1" customWidth="1"/>
    <col min="7" max="7" width="13.42578125" style="31" customWidth="1"/>
    <col min="8" max="8" width="14.42578125" style="31" bestFit="1" customWidth="1"/>
    <col min="9" max="16384" width="9.140625" style="31"/>
  </cols>
  <sheetData>
    <row r="1" spans="1:11" x14ac:dyDescent="0.25">
      <c r="A1" s="307" t="s">
        <v>0</v>
      </c>
      <c r="B1" s="307"/>
      <c r="C1" s="307"/>
      <c r="D1" s="307"/>
      <c r="E1" s="307"/>
      <c r="F1" s="307"/>
      <c r="G1" s="307"/>
      <c r="H1" s="307"/>
    </row>
    <row r="2" spans="1:11" x14ac:dyDescent="0.25">
      <c r="A2" s="50" t="s">
        <v>374</v>
      </c>
      <c r="B2" s="50"/>
      <c r="C2" s="50"/>
      <c r="D2" s="50"/>
      <c r="E2" s="50"/>
      <c r="F2" s="50"/>
      <c r="G2" s="50"/>
      <c r="H2" s="50"/>
    </row>
    <row r="3" spans="1:11" x14ac:dyDescent="0.25">
      <c r="A3" s="307" t="s">
        <v>82</v>
      </c>
      <c r="B3" s="307"/>
      <c r="C3" s="307"/>
      <c r="D3" s="307"/>
      <c r="E3" s="307"/>
      <c r="F3" s="307"/>
      <c r="G3" s="307"/>
      <c r="H3" s="307"/>
    </row>
    <row r="4" spans="1:11" x14ac:dyDescent="0.25">
      <c r="A4" s="307" t="s">
        <v>380</v>
      </c>
      <c r="B4" s="307"/>
      <c r="C4" s="307"/>
      <c r="D4" s="307"/>
      <c r="E4" s="307"/>
      <c r="F4" s="307"/>
      <c r="G4" s="307"/>
      <c r="H4" s="307"/>
    </row>
    <row r="5" spans="1:11" x14ac:dyDescent="0.25">
      <c r="A5" s="244"/>
      <c r="B5" s="244"/>
      <c r="C5" s="244"/>
      <c r="D5" s="244"/>
      <c r="E5" s="244"/>
      <c r="F5" s="244"/>
      <c r="G5" s="244"/>
      <c r="H5" s="244"/>
    </row>
    <row r="6" spans="1:11" ht="13.5" customHeight="1" x14ac:dyDescent="0.25">
      <c r="E6" s="51"/>
      <c r="F6" s="51" t="s">
        <v>83</v>
      </c>
      <c r="G6" s="51"/>
      <c r="H6" s="51" t="s">
        <v>58</v>
      </c>
    </row>
    <row r="7" spans="1:11" ht="17.25" x14ac:dyDescent="0.25">
      <c r="B7" s="51"/>
      <c r="C7" s="51"/>
      <c r="D7" s="23" t="s">
        <v>51</v>
      </c>
      <c r="E7" s="23"/>
      <c r="F7" s="51" t="s">
        <v>4</v>
      </c>
      <c r="G7" s="23" t="s">
        <v>64</v>
      </c>
      <c r="H7" s="23" t="s">
        <v>65</v>
      </c>
    </row>
    <row r="8" spans="1:11" x14ac:dyDescent="0.25">
      <c r="A8" s="244" t="s">
        <v>1</v>
      </c>
      <c r="B8" s="51"/>
      <c r="C8" s="51"/>
      <c r="D8" s="244" t="s">
        <v>381</v>
      </c>
      <c r="E8" s="23" t="s">
        <v>3</v>
      </c>
      <c r="F8" s="51" t="s">
        <v>10</v>
      </c>
      <c r="G8" s="23" t="s">
        <v>86</v>
      </c>
      <c r="H8" s="23" t="s">
        <v>88</v>
      </c>
    </row>
    <row r="9" spans="1:11" x14ac:dyDescent="0.25">
      <c r="A9" s="52" t="s">
        <v>6</v>
      </c>
      <c r="B9" s="52" t="s">
        <v>7</v>
      </c>
      <c r="C9" s="52" t="s">
        <v>8</v>
      </c>
      <c r="D9" s="38" t="s">
        <v>382</v>
      </c>
      <c r="E9" s="52" t="s">
        <v>9</v>
      </c>
      <c r="F9" s="52" t="s">
        <v>194</v>
      </c>
      <c r="G9" s="52" t="s">
        <v>87</v>
      </c>
      <c r="H9" s="52" t="s">
        <v>194</v>
      </c>
    </row>
    <row r="10" spans="1:11" x14ac:dyDescent="0.25">
      <c r="B10" s="186" t="s">
        <v>12</v>
      </c>
      <c r="C10" s="186" t="s">
        <v>13</v>
      </c>
      <c r="D10" s="7" t="s">
        <v>14</v>
      </c>
      <c r="E10" s="23" t="s">
        <v>15</v>
      </c>
      <c r="F10" s="7" t="s">
        <v>16</v>
      </c>
      <c r="G10" s="23" t="s">
        <v>17</v>
      </c>
      <c r="H10" s="245" t="s">
        <v>18</v>
      </c>
      <c r="I10" s="23"/>
    </row>
    <row r="11" spans="1:11" x14ac:dyDescent="0.25">
      <c r="A11" s="244">
        <v>1</v>
      </c>
      <c r="B11" s="31" t="s">
        <v>19</v>
      </c>
      <c r="C11" s="244">
        <v>23</v>
      </c>
      <c r="D11" s="254">
        <v>558669681</v>
      </c>
      <c r="E11" s="9">
        <f>D11/$D$24</f>
        <v>0.55840917456746941</v>
      </c>
      <c r="F11" s="53">
        <f>$F$28*E11</f>
        <v>-72510067.703836843</v>
      </c>
      <c r="G11" s="255">
        <v>8800188.0216536336</v>
      </c>
      <c r="H11" s="54">
        <f>ROUND(F11/G11,2)</f>
        <v>-8.24</v>
      </c>
      <c r="K11" s="224"/>
    </row>
    <row r="12" spans="1:11" ht="17.25" x14ac:dyDescent="0.25">
      <c r="A12" s="244">
        <f>A11+1</f>
        <v>2</v>
      </c>
      <c r="B12" s="79" t="s">
        <v>68</v>
      </c>
      <c r="C12" s="244">
        <v>16</v>
      </c>
      <c r="D12" s="254">
        <v>6996</v>
      </c>
      <c r="E12" s="49">
        <f t="shared" ref="E12:E23" si="0">D12/$D$24</f>
        <v>6.99273778072452E-6</v>
      </c>
      <c r="F12" s="53">
        <f t="shared" ref="F12:F23" si="1">$F$28*E12</f>
        <v>-908.01497004102225</v>
      </c>
      <c r="G12" s="255">
        <v>368.21052631578942</v>
      </c>
      <c r="H12" s="54">
        <f t="shared" ref="H12:H23" si="2">ROUND(F12/G12,2)</f>
        <v>-2.4700000000000002</v>
      </c>
      <c r="K12" s="224"/>
    </row>
    <row r="13" spans="1:11" x14ac:dyDescent="0.25">
      <c r="A13" s="244">
        <f t="shared" ref="A13:A28" si="3">A12+1</f>
        <v>3</v>
      </c>
      <c r="B13" s="31" t="s">
        <v>21</v>
      </c>
      <c r="C13" s="244">
        <v>31</v>
      </c>
      <c r="D13" s="254">
        <v>227188265.77152669</v>
      </c>
      <c r="E13" s="9">
        <f t="shared" si="0"/>
        <v>0.22708232838734105</v>
      </c>
      <c r="F13" s="53">
        <f t="shared" si="1"/>
        <v>-29486899.133534107</v>
      </c>
      <c r="G13" s="255">
        <v>680169</v>
      </c>
      <c r="H13" s="54">
        <f t="shared" si="2"/>
        <v>-43.35</v>
      </c>
      <c r="K13" s="224"/>
    </row>
    <row r="14" spans="1:11" x14ac:dyDescent="0.25">
      <c r="A14" s="244">
        <f t="shared" si="3"/>
        <v>4</v>
      </c>
      <c r="B14" s="31" t="s">
        <v>22</v>
      </c>
      <c r="C14" s="244">
        <v>41</v>
      </c>
      <c r="D14" s="254">
        <v>61975078.462204017</v>
      </c>
      <c r="E14" s="9">
        <f t="shared" si="0"/>
        <v>6.1946179620643298E-2</v>
      </c>
      <c r="F14" s="53">
        <f t="shared" si="1"/>
        <v>-8043782.0201755548</v>
      </c>
      <c r="G14" s="255">
        <v>14805</v>
      </c>
      <c r="H14" s="54">
        <f t="shared" si="2"/>
        <v>-543.32000000000005</v>
      </c>
      <c r="K14" s="224"/>
    </row>
    <row r="15" spans="1:11" x14ac:dyDescent="0.25">
      <c r="A15" s="244">
        <f t="shared" si="3"/>
        <v>5</v>
      </c>
      <c r="B15" s="31" t="s">
        <v>23</v>
      </c>
      <c r="C15" s="244">
        <v>85</v>
      </c>
      <c r="D15" s="254">
        <v>14409118.879922818</v>
      </c>
      <c r="E15" s="9">
        <f t="shared" si="0"/>
        <v>1.4402399939763761E-2</v>
      </c>
      <c r="F15" s="53">
        <f t="shared" si="1"/>
        <v>-1870168.0457505211</v>
      </c>
      <c r="G15" s="255">
        <v>408</v>
      </c>
      <c r="H15" s="54">
        <f t="shared" si="2"/>
        <v>-4583.75</v>
      </c>
      <c r="K15" s="224"/>
    </row>
    <row r="16" spans="1:11" x14ac:dyDescent="0.25">
      <c r="A16" s="244">
        <f t="shared" si="3"/>
        <v>6</v>
      </c>
      <c r="B16" s="31" t="s">
        <v>24</v>
      </c>
      <c r="C16" s="244">
        <v>86</v>
      </c>
      <c r="D16" s="254">
        <v>4915802</v>
      </c>
      <c r="E16" s="9">
        <f t="shared" si="0"/>
        <v>4.9135097724358427E-3</v>
      </c>
      <c r="F16" s="53">
        <f t="shared" si="1"/>
        <v>-638024.84359027969</v>
      </c>
      <c r="G16" s="255">
        <v>1206</v>
      </c>
      <c r="H16" s="54">
        <f t="shared" si="2"/>
        <v>-529.04</v>
      </c>
      <c r="K16" s="224"/>
    </row>
    <row r="17" spans="1:11" x14ac:dyDescent="0.25">
      <c r="A17" s="244">
        <f t="shared" si="3"/>
        <v>7</v>
      </c>
      <c r="B17" s="31" t="s">
        <v>25</v>
      </c>
      <c r="C17" s="244">
        <v>87</v>
      </c>
      <c r="D17" s="254">
        <v>1561022.556906593</v>
      </c>
      <c r="E17" s="9">
        <f t="shared" si="0"/>
        <v>1.560294655552305E-3</v>
      </c>
      <c r="F17" s="53">
        <f t="shared" si="1"/>
        <v>-202606.03919995713</v>
      </c>
      <c r="G17" s="255">
        <v>12</v>
      </c>
      <c r="H17" s="54">
        <f t="shared" si="2"/>
        <v>-16883.84</v>
      </c>
      <c r="K17" s="224"/>
    </row>
    <row r="18" spans="1:11" x14ac:dyDescent="0.25">
      <c r="A18" s="244">
        <f t="shared" si="3"/>
        <v>8</v>
      </c>
      <c r="B18" s="31" t="s">
        <v>26</v>
      </c>
      <c r="C18" s="244" t="s">
        <v>27</v>
      </c>
      <c r="D18" s="254">
        <v>952</v>
      </c>
      <c r="E18" s="9">
        <f t="shared" si="0"/>
        <v>9.5155608451254193E-7</v>
      </c>
      <c r="F18" s="53">
        <f t="shared" si="1"/>
        <v>-123.56064200672573</v>
      </c>
      <c r="G18" s="255">
        <v>12</v>
      </c>
      <c r="H18" s="54">
        <f t="shared" si="2"/>
        <v>-10.3</v>
      </c>
      <c r="K18" s="224"/>
    </row>
    <row r="19" spans="1:11" x14ac:dyDescent="0.25">
      <c r="A19" s="244">
        <f t="shared" si="3"/>
        <v>9</v>
      </c>
      <c r="B19" s="31" t="s">
        <v>28</v>
      </c>
      <c r="C19" s="244" t="s">
        <v>29</v>
      </c>
      <c r="D19" s="254">
        <v>21384289</v>
      </c>
      <c r="E19" s="9">
        <f t="shared" si="0"/>
        <v>2.1374317553492249E-2</v>
      </c>
      <c r="F19" s="53">
        <f t="shared" si="1"/>
        <v>-2775479.4933795831</v>
      </c>
      <c r="G19" s="255">
        <v>1128</v>
      </c>
      <c r="H19" s="54">
        <f t="shared" si="2"/>
        <v>-2460.5300000000002</v>
      </c>
      <c r="K19" s="224"/>
    </row>
    <row r="20" spans="1:11" x14ac:dyDescent="0.25">
      <c r="A20" s="244">
        <f t="shared" si="3"/>
        <v>10</v>
      </c>
      <c r="B20" s="31" t="s">
        <v>30</v>
      </c>
      <c r="C20" s="244" t="s">
        <v>31</v>
      </c>
      <c r="D20" s="254">
        <v>58549446.024362169</v>
      </c>
      <c r="E20" s="9">
        <f t="shared" si="0"/>
        <v>5.8522144547605549E-2</v>
      </c>
      <c r="F20" s="53">
        <f t="shared" si="1"/>
        <v>-7599167.1637692498</v>
      </c>
      <c r="G20" s="255">
        <v>984</v>
      </c>
      <c r="H20" s="54">
        <f t="shared" si="2"/>
        <v>-7722.73</v>
      </c>
      <c r="K20" s="224"/>
    </row>
    <row r="21" spans="1:11" x14ac:dyDescent="0.25">
      <c r="A21" s="244">
        <f t="shared" si="3"/>
        <v>11</v>
      </c>
      <c r="B21" s="31" t="s">
        <v>32</v>
      </c>
      <c r="C21" s="244" t="s">
        <v>33</v>
      </c>
      <c r="D21" s="254">
        <v>1197109</v>
      </c>
      <c r="E21" s="9">
        <f t="shared" si="0"/>
        <v>1.1965507907297527E-3</v>
      </c>
      <c r="F21" s="53">
        <f t="shared" si="1"/>
        <v>-155373.48381515697</v>
      </c>
      <c r="G21" s="255">
        <v>84</v>
      </c>
      <c r="H21" s="54">
        <f t="shared" si="2"/>
        <v>-1849.68</v>
      </c>
      <c r="K21" s="224"/>
    </row>
    <row r="22" spans="1:11" x14ac:dyDescent="0.25">
      <c r="A22" s="244">
        <f t="shared" si="3"/>
        <v>12</v>
      </c>
      <c r="B22" s="31" t="s">
        <v>34</v>
      </c>
      <c r="C22" s="244" t="s">
        <v>35</v>
      </c>
      <c r="D22" s="254">
        <v>37964088.298294812</v>
      </c>
      <c r="E22" s="9">
        <f t="shared" si="0"/>
        <v>3.7946385728165777E-2</v>
      </c>
      <c r="F22" s="53">
        <f t="shared" si="1"/>
        <v>-4927381.4320770279</v>
      </c>
      <c r="G22" s="255">
        <v>36</v>
      </c>
      <c r="H22" s="54">
        <f t="shared" si="2"/>
        <v>-136871.71</v>
      </c>
      <c r="K22" s="224"/>
    </row>
    <row r="23" spans="1:11" x14ac:dyDescent="0.25">
      <c r="A23" s="244">
        <f t="shared" si="3"/>
        <v>13</v>
      </c>
      <c r="B23" s="31" t="s">
        <v>36</v>
      </c>
      <c r="D23" s="254">
        <v>12644666.322782926</v>
      </c>
      <c r="E23" s="9">
        <f t="shared" si="0"/>
        <v>1.2638770142935843E-2</v>
      </c>
      <c r="F23" s="53">
        <f t="shared" si="1"/>
        <v>-1641158.7067267669</v>
      </c>
      <c r="G23" s="255">
        <v>84</v>
      </c>
      <c r="H23" s="54">
        <f t="shared" si="2"/>
        <v>-19537.599999999999</v>
      </c>
      <c r="K23" s="224"/>
    </row>
    <row r="24" spans="1:11" x14ac:dyDescent="0.25">
      <c r="A24" s="244">
        <f t="shared" si="3"/>
        <v>14</v>
      </c>
      <c r="B24" s="31" t="s">
        <v>2</v>
      </c>
      <c r="D24" s="56">
        <f t="shared" ref="D24:G24" si="4">SUM(D11:D23)</f>
        <v>1000466515.316</v>
      </c>
      <c r="E24" s="57">
        <f t="shared" si="4"/>
        <v>1.0000000000000002</v>
      </c>
      <c r="F24" s="58">
        <f t="shared" si="4"/>
        <v>-129851139.64146709</v>
      </c>
      <c r="G24" s="59">
        <f t="shared" si="4"/>
        <v>9499484.2321799491</v>
      </c>
      <c r="H24" s="61"/>
    </row>
    <row r="25" spans="1:11" x14ac:dyDescent="0.25">
      <c r="A25" s="244">
        <f t="shared" si="3"/>
        <v>15</v>
      </c>
      <c r="D25" s="60"/>
    </row>
    <row r="26" spans="1:11" x14ac:dyDescent="0.25">
      <c r="A26" s="244">
        <f t="shared" si="3"/>
        <v>16</v>
      </c>
      <c r="B26" s="31" t="s">
        <v>38</v>
      </c>
      <c r="D26" s="60"/>
      <c r="F26" s="256">
        <v>-138486564.51223722</v>
      </c>
    </row>
    <row r="27" spans="1:11" x14ac:dyDescent="0.25">
      <c r="A27" s="244">
        <f t="shared" si="3"/>
        <v>17</v>
      </c>
      <c r="B27" s="31" t="s">
        <v>62</v>
      </c>
      <c r="D27" s="60"/>
      <c r="F27" s="256">
        <v>8635424.8707701378</v>
      </c>
    </row>
    <row r="28" spans="1:11" x14ac:dyDescent="0.25">
      <c r="A28" s="244">
        <f t="shared" si="3"/>
        <v>18</v>
      </c>
      <c r="B28" s="31" t="s">
        <v>63</v>
      </c>
      <c r="E28" s="16"/>
      <c r="F28" s="75">
        <f>SUM(F26:F27)</f>
        <v>-129851139.64146708</v>
      </c>
      <c r="G28" s="16"/>
      <c r="H28" s="17"/>
    </row>
    <row r="29" spans="1:11" x14ac:dyDescent="0.25">
      <c r="A29" s="244"/>
      <c r="E29" s="16"/>
      <c r="F29" s="16"/>
      <c r="G29" s="16"/>
      <c r="H29" s="53"/>
    </row>
    <row r="30" spans="1:11" ht="17.25" x14ac:dyDescent="0.25">
      <c r="B30" s="31" t="s">
        <v>383</v>
      </c>
      <c r="D30" s="33"/>
    </row>
    <row r="31" spans="1:11" ht="17.25" x14ac:dyDescent="0.25">
      <c r="B31" s="31" t="s">
        <v>384</v>
      </c>
      <c r="D31" s="33"/>
    </row>
    <row r="32" spans="1:11" ht="17.25" x14ac:dyDescent="0.25">
      <c r="B32" s="31" t="s">
        <v>66</v>
      </c>
      <c r="D32" s="33"/>
    </row>
    <row r="33" spans="2:6" ht="17.25" x14ac:dyDescent="0.25">
      <c r="B33" s="31" t="s">
        <v>67</v>
      </c>
    </row>
    <row r="34" spans="2:6" x14ac:dyDescent="0.25">
      <c r="F34" s="224"/>
    </row>
    <row r="35" spans="2:6" x14ac:dyDescent="0.25">
      <c r="F35" s="224"/>
    </row>
  </sheetData>
  <mergeCells count="3">
    <mergeCell ref="A1:H1"/>
    <mergeCell ref="A3:H3"/>
    <mergeCell ref="A4:H4"/>
  </mergeCells>
  <printOptions horizontalCentered="1"/>
  <pageMargins left="0.45" right="0.45" top="0.75" bottom="0.75" header="0.3" footer="0.3"/>
  <pageSetup scale="94" orientation="landscape" blackAndWhite="1" r:id="rId1"/>
  <headerFooter>
    <oddFooter>&amp;L&amp;F 
&amp;A&amp;C&amp;P&amp;R&amp;D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90" zoomScaleNormal="90" workbookViewId="0">
      <selection activeCell="E27" sqref="E27"/>
    </sheetView>
  </sheetViews>
  <sheetFormatPr defaultColWidth="9.140625" defaultRowHeight="15" x14ac:dyDescent="0.25"/>
  <cols>
    <col min="1" max="1" width="4.42578125" style="31" customWidth="1"/>
    <col min="2" max="2" width="38.28515625" style="31" customWidth="1"/>
    <col min="3" max="3" width="13.42578125" style="31" customWidth="1"/>
    <col min="4" max="4" width="15.42578125" style="31" customWidth="1"/>
    <col min="5" max="5" width="14.5703125" style="31" customWidth="1"/>
    <col min="6" max="6" width="16.42578125" style="31" bestFit="1" customWidth="1"/>
    <col min="7" max="7" width="13.42578125" style="31" customWidth="1"/>
    <col min="8" max="8" width="14.42578125" style="31" bestFit="1" customWidth="1"/>
    <col min="9" max="16384" width="9.140625" style="31"/>
  </cols>
  <sheetData>
    <row r="1" spans="1:9" x14ac:dyDescent="0.25">
      <c r="A1" s="307" t="s">
        <v>0</v>
      </c>
      <c r="B1" s="307"/>
      <c r="C1" s="307"/>
      <c r="D1" s="307"/>
      <c r="E1" s="307"/>
      <c r="F1" s="307"/>
      <c r="G1" s="307"/>
      <c r="H1" s="307"/>
    </row>
    <row r="2" spans="1:9" x14ac:dyDescent="0.25">
      <c r="A2" s="50" t="s">
        <v>228</v>
      </c>
      <c r="B2" s="50"/>
      <c r="C2" s="50"/>
      <c r="D2" s="50"/>
      <c r="E2" s="50"/>
      <c r="F2" s="50"/>
      <c r="G2" s="50"/>
      <c r="H2" s="50"/>
    </row>
    <row r="3" spans="1:9" x14ac:dyDescent="0.25">
      <c r="A3" s="307" t="s">
        <v>82</v>
      </c>
      <c r="B3" s="307"/>
      <c r="C3" s="307"/>
      <c r="D3" s="307"/>
      <c r="E3" s="307"/>
      <c r="F3" s="307"/>
      <c r="G3" s="307"/>
      <c r="H3" s="307"/>
    </row>
    <row r="4" spans="1:9" x14ac:dyDescent="0.25">
      <c r="A4" s="307" t="s">
        <v>385</v>
      </c>
      <c r="B4" s="307"/>
      <c r="C4" s="307"/>
      <c r="D4" s="307"/>
      <c r="E4" s="307"/>
      <c r="F4" s="307"/>
      <c r="G4" s="307"/>
      <c r="H4" s="307"/>
    </row>
    <row r="5" spans="1:9" x14ac:dyDescent="0.25">
      <c r="A5" s="244"/>
      <c r="B5" s="244"/>
      <c r="C5" s="244"/>
      <c r="D5" s="244"/>
      <c r="E5" s="244"/>
      <c r="F5" s="244"/>
      <c r="G5" s="244"/>
      <c r="H5" s="244"/>
    </row>
    <row r="6" spans="1:9" ht="13.5" customHeight="1" x14ac:dyDescent="0.25">
      <c r="E6" s="51"/>
      <c r="F6" s="51" t="s">
        <v>83</v>
      </c>
      <c r="G6" s="51"/>
      <c r="H6" s="51" t="s">
        <v>58</v>
      </c>
    </row>
    <row r="7" spans="1:9" ht="17.25" x14ac:dyDescent="0.25">
      <c r="B7" s="51"/>
      <c r="C7" s="51"/>
      <c r="D7" s="23" t="s">
        <v>51</v>
      </c>
      <c r="E7" s="23"/>
      <c r="F7" s="51" t="s">
        <v>4</v>
      </c>
      <c r="G7" s="23" t="s">
        <v>64</v>
      </c>
      <c r="H7" s="23" t="s">
        <v>65</v>
      </c>
    </row>
    <row r="8" spans="1:9" x14ac:dyDescent="0.25">
      <c r="A8" s="244" t="s">
        <v>1</v>
      </c>
      <c r="B8" s="51"/>
      <c r="C8" s="51"/>
      <c r="D8" s="244" t="s">
        <v>386</v>
      </c>
      <c r="E8" s="23" t="s">
        <v>3</v>
      </c>
      <c r="F8" s="51" t="s">
        <v>10</v>
      </c>
      <c r="G8" s="23" t="s">
        <v>86</v>
      </c>
      <c r="H8" s="23" t="s">
        <v>88</v>
      </c>
    </row>
    <row r="9" spans="1:9" x14ac:dyDescent="0.25">
      <c r="A9" s="52" t="s">
        <v>6</v>
      </c>
      <c r="B9" s="52" t="s">
        <v>7</v>
      </c>
      <c r="C9" s="52" t="s">
        <v>8</v>
      </c>
      <c r="D9" s="38" t="s">
        <v>387</v>
      </c>
      <c r="E9" s="52" t="s">
        <v>9</v>
      </c>
      <c r="F9" s="52" t="s">
        <v>84</v>
      </c>
      <c r="G9" s="52" t="s">
        <v>87</v>
      </c>
      <c r="H9" s="52" t="s">
        <v>84</v>
      </c>
    </row>
    <row r="10" spans="1:9" x14ac:dyDescent="0.25">
      <c r="B10" s="186" t="s">
        <v>12</v>
      </c>
      <c r="C10" s="186" t="s">
        <v>13</v>
      </c>
      <c r="D10" s="7" t="s">
        <v>14</v>
      </c>
      <c r="E10" s="23" t="s">
        <v>15</v>
      </c>
      <c r="F10" s="7" t="s">
        <v>16</v>
      </c>
      <c r="G10" s="23" t="s">
        <v>17</v>
      </c>
      <c r="H10" s="245" t="s">
        <v>18</v>
      </c>
      <c r="I10" s="23"/>
    </row>
    <row r="11" spans="1:9" x14ac:dyDescent="0.25">
      <c r="A11" s="244">
        <v>1</v>
      </c>
      <c r="B11" s="31" t="s">
        <v>19</v>
      </c>
      <c r="C11" s="244">
        <v>23</v>
      </c>
      <c r="D11" s="254">
        <v>555750480</v>
      </c>
      <c r="E11" s="9">
        <f>D11/$D$24</f>
        <v>0.57500015741312804</v>
      </c>
      <c r="F11" s="53">
        <f>$F$28*E11</f>
        <v>-87313316.765079126</v>
      </c>
      <c r="G11" s="255">
        <v>8756784.3619149067</v>
      </c>
      <c r="H11" s="54">
        <f>ROUND(F11/G11,2)</f>
        <v>-9.9700000000000006</v>
      </c>
    </row>
    <row r="12" spans="1:9" ht="17.25" x14ac:dyDescent="0.25">
      <c r="A12" s="244">
        <f>A11+1</f>
        <v>2</v>
      </c>
      <c r="B12" s="79" t="s">
        <v>68</v>
      </c>
      <c r="C12" s="244">
        <v>16</v>
      </c>
      <c r="D12" s="254">
        <v>6996</v>
      </c>
      <c r="E12" s="49">
        <f t="shared" ref="E12:E23" si="0">D12/$D$24</f>
        <v>7.2383223155511147E-6</v>
      </c>
      <c r="F12" s="53">
        <f t="shared" ref="F12:F23" si="1">$F$28*E12</f>
        <v>-1099.1334889868085</v>
      </c>
      <c r="G12" s="255">
        <v>368.21052631578942</v>
      </c>
      <c r="H12" s="54">
        <f t="shared" ref="H12:H23" si="2">ROUND(F12/G12,2)</f>
        <v>-2.99</v>
      </c>
    </row>
    <row r="13" spans="1:9" x14ac:dyDescent="0.25">
      <c r="A13" s="244">
        <f t="shared" ref="A13:A28" si="3">A12+1</f>
        <v>3</v>
      </c>
      <c r="B13" s="31" t="s">
        <v>21</v>
      </c>
      <c r="C13" s="244">
        <v>31</v>
      </c>
      <c r="D13" s="254">
        <v>226449666.31127122</v>
      </c>
      <c r="E13" s="9">
        <f t="shared" si="0"/>
        <v>0.23429326372355316</v>
      </c>
      <c r="F13" s="53">
        <f t="shared" si="1"/>
        <v>-35577245.827988289</v>
      </c>
      <c r="G13" s="255">
        <v>680636</v>
      </c>
      <c r="H13" s="54">
        <f t="shared" si="2"/>
        <v>-52.27</v>
      </c>
    </row>
    <row r="14" spans="1:9" x14ac:dyDescent="0.25">
      <c r="A14" s="244">
        <f t="shared" si="3"/>
        <v>4</v>
      </c>
      <c r="B14" s="31" t="s">
        <v>22</v>
      </c>
      <c r="C14" s="244">
        <v>41</v>
      </c>
      <c r="D14" s="254">
        <v>61653322.19827313</v>
      </c>
      <c r="E14" s="9">
        <f t="shared" si="0"/>
        <v>6.3788824742084527E-2</v>
      </c>
      <c r="F14" s="53">
        <f t="shared" si="1"/>
        <v>-9686282.3235299885</v>
      </c>
      <c r="G14" s="255">
        <v>14802</v>
      </c>
      <c r="H14" s="54">
        <f t="shared" si="2"/>
        <v>-654.39</v>
      </c>
    </row>
    <row r="15" spans="1:9" x14ac:dyDescent="0.25">
      <c r="A15" s="244">
        <f t="shared" si="3"/>
        <v>5</v>
      </c>
      <c r="B15" s="31" t="s">
        <v>23</v>
      </c>
      <c r="C15" s="244">
        <v>85</v>
      </c>
      <c r="D15" s="254">
        <v>14305940.927245032</v>
      </c>
      <c r="E15" s="9">
        <f t="shared" si="0"/>
        <v>1.4801459613869887E-2</v>
      </c>
      <c r="F15" s="53">
        <f t="shared" si="1"/>
        <v>-2247589.8748716428</v>
      </c>
      <c r="G15" s="255">
        <v>408</v>
      </c>
      <c r="H15" s="54">
        <f t="shared" si="2"/>
        <v>-5508.8</v>
      </c>
    </row>
    <row r="16" spans="1:9" x14ac:dyDescent="0.25">
      <c r="A16" s="244">
        <f t="shared" si="3"/>
        <v>6</v>
      </c>
      <c r="B16" s="31" t="s">
        <v>24</v>
      </c>
      <c r="C16" s="244">
        <v>86</v>
      </c>
      <c r="D16" s="254">
        <v>4872572</v>
      </c>
      <c r="E16" s="9">
        <f t="shared" si="0"/>
        <v>5.0413445742895262E-3</v>
      </c>
      <c r="F16" s="53">
        <f t="shared" si="1"/>
        <v>-765524.16562313202</v>
      </c>
      <c r="G16" s="255">
        <v>1198</v>
      </c>
      <c r="H16" s="54">
        <f t="shared" si="2"/>
        <v>-639</v>
      </c>
    </row>
    <row r="17" spans="1:8" x14ac:dyDescent="0.25">
      <c r="A17" s="244">
        <f t="shared" si="3"/>
        <v>7</v>
      </c>
      <c r="B17" s="31" t="s">
        <v>25</v>
      </c>
      <c r="C17" s="244">
        <v>87</v>
      </c>
      <c r="D17" s="254">
        <v>1550270.6056976072</v>
      </c>
      <c r="E17" s="9">
        <f t="shared" si="0"/>
        <v>1.6039677416186298E-3</v>
      </c>
      <c r="F17" s="53">
        <f t="shared" si="1"/>
        <v>-243561.22637422872</v>
      </c>
      <c r="G17" s="255">
        <v>12</v>
      </c>
      <c r="H17" s="54">
        <f t="shared" si="2"/>
        <v>-20296.77</v>
      </c>
    </row>
    <row r="18" spans="1:8" x14ac:dyDescent="0.25">
      <c r="A18" s="244">
        <f t="shared" si="3"/>
        <v>8</v>
      </c>
      <c r="B18" s="31" t="s">
        <v>26</v>
      </c>
      <c r="C18" s="244" t="s">
        <v>27</v>
      </c>
      <c r="D18" s="254">
        <v>952</v>
      </c>
      <c r="E18" s="9">
        <f t="shared" si="0"/>
        <v>9.849746775878589E-7</v>
      </c>
      <c r="F18" s="53">
        <f t="shared" si="1"/>
        <v>-149.56762171461429</v>
      </c>
      <c r="G18" s="255">
        <v>12</v>
      </c>
      <c r="H18" s="54">
        <f t="shared" si="2"/>
        <v>-12.46</v>
      </c>
    </row>
    <row r="19" spans="1:8" x14ac:dyDescent="0.25">
      <c r="A19" s="244">
        <f t="shared" si="3"/>
        <v>9</v>
      </c>
      <c r="B19" s="31" t="s">
        <v>28</v>
      </c>
      <c r="C19" s="244" t="s">
        <v>29</v>
      </c>
      <c r="D19" s="254">
        <v>21477365</v>
      </c>
      <c r="E19" s="9">
        <f t="shared" si="0"/>
        <v>2.222128221251236E-2</v>
      </c>
      <c r="F19" s="53">
        <f t="shared" si="1"/>
        <v>-3374284.0375490519</v>
      </c>
      <c r="G19" s="255">
        <v>1128</v>
      </c>
      <c r="H19" s="54">
        <f t="shared" si="2"/>
        <v>-2991.39</v>
      </c>
    </row>
    <row r="20" spans="1:8" x14ac:dyDescent="0.25">
      <c r="A20" s="244">
        <f t="shared" si="3"/>
        <v>10</v>
      </c>
      <c r="B20" s="31" t="s">
        <v>30</v>
      </c>
      <c r="C20" s="244" t="s">
        <v>31</v>
      </c>
      <c r="D20" s="254">
        <v>58769691.57454814</v>
      </c>
      <c r="E20" s="9">
        <f t="shared" si="0"/>
        <v>6.0805313036321917E-2</v>
      </c>
      <c r="F20" s="53">
        <f t="shared" si="1"/>
        <v>-9233238.4429690894</v>
      </c>
      <c r="G20" s="255">
        <v>984</v>
      </c>
      <c r="H20" s="54">
        <f t="shared" si="2"/>
        <v>-9383.3700000000008</v>
      </c>
    </row>
    <row r="21" spans="1:8" x14ac:dyDescent="0.25">
      <c r="A21" s="244">
        <f t="shared" si="3"/>
        <v>11</v>
      </c>
      <c r="B21" s="31" t="s">
        <v>32</v>
      </c>
      <c r="C21" s="244" t="s">
        <v>33</v>
      </c>
      <c r="D21" s="254">
        <v>1198658</v>
      </c>
      <c r="E21" s="9">
        <f t="shared" si="0"/>
        <v>1.2401762364370882E-3</v>
      </c>
      <c r="F21" s="53">
        <f t="shared" si="1"/>
        <v>-188319.77553486993</v>
      </c>
      <c r="G21" s="255">
        <v>84</v>
      </c>
      <c r="H21" s="54">
        <f t="shared" si="2"/>
        <v>-2241.9</v>
      </c>
    </row>
    <row r="22" spans="1:8" x14ac:dyDescent="0.25">
      <c r="A22" s="244">
        <f t="shared" si="3"/>
        <v>12</v>
      </c>
      <c r="B22" s="31" t="s">
        <v>34</v>
      </c>
      <c r="C22" s="257" t="s">
        <v>388</v>
      </c>
      <c r="D22" s="254">
        <v>7573006.0794945797</v>
      </c>
      <c r="E22" s="9">
        <f t="shared" si="0"/>
        <v>7.835314308320452E-3</v>
      </c>
      <c r="F22" s="53">
        <f t="shared" si="1"/>
        <v>-1189786.2484667224</v>
      </c>
      <c r="G22" s="255">
        <v>36</v>
      </c>
      <c r="H22" s="54">
        <f t="shared" si="2"/>
        <v>-33049.620000000003</v>
      </c>
    </row>
    <row r="23" spans="1:8" x14ac:dyDescent="0.25">
      <c r="A23" s="244">
        <f t="shared" si="3"/>
        <v>13</v>
      </c>
      <c r="B23" s="31" t="s">
        <v>36</v>
      </c>
      <c r="D23" s="254">
        <v>12913388.61947025</v>
      </c>
      <c r="E23" s="9">
        <f t="shared" si="0"/>
        <v>1.3360673100871258E-2</v>
      </c>
      <c r="F23" s="53">
        <f t="shared" si="1"/>
        <v>-2028807.5883306009</v>
      </c>
      <c r="G23" s="255">
        <v>84</v>
      </c>
      <c r="H23" s="54">
        <f t="shared" si="2"/>
        <v>-24152.47</v>
      </c>
    </row>
    <row r="24" spans="1:8" x14ac:dyDescent="0.25">
      <c r="A24" s="244">
        <f t="shared" si="3"/>
        <v>14</v>
      </c>
      <c r="B24" s="31" t="s">
        <v>2</v>
      </c>
      <c r="D24" s="56">
        <f t="shared" ref="D24:G24" si="4">SUM(D11:D23)</f>
        <v>966522309.31599998</v>
      </c>
      <c r="E24" s="57">
        <f t="shared" si="4"/>
        <v>1</v>
      </c>
      <c r="F24" s="58">
        <f t="shared" si="4"/>
        <v>-151849204.97742742</v>
      </c>
      <c r="G24" s="59">
        <f t="shared" si="4"/>
        <v>9456536.5724412221</v>
      </c>
      <c r="H24" s="61"/>
    </row>
    <row r="25" spans="1:8" x14ac:dyDescent="0.25">
      <c r="A25" s="244">
        <f t="shared" si="3"/>
        <v>15</v>
      </c>
      <c r="D25" s="60"/>
    </row>
    <row r="26" spans="1:8" x14ac:dyDescent="0.25">
      <c r="A26" s="244">
        <f t="shared" si="3"/>
        <v>16</v>
      </c>
      <c r="B26" s="31" t="s">
        <v>38</v>
      </c>
      <c r="D26" s="60"/>
      <c r="F26" s="256">
        <v>-165079481.05943283</v>
      </c>
    </row>
    <row r="27" spans="1:8" x14ac:dyDescent="0.25">
      <c r="A27" s="244">
        <f t="shared" si="3"/>
        <v>17</v>
      </c>
      <c r="B27" s="31" t="s">
        <v>62</v>
      </c>
      <c r="D27" s="60"/>
      <c r="F27" s="256">
        <v>13230276.082005372</v>
      </c>
    </row>
    <row r="28" spans="1:8" x14ac:dyDescent="0.25">
      <c r="A28" s="244">
        <f t="shared" si="3"/>
        <v>18</v>
      </c>
      <c r="B28" s="31" t="s">
        <v>63</v>
      </c>
      <c r="E28" s="16"/>
      <c r="F28" s="75">
        <f>SUM(F26:F27)</f>
        <v>-151849204.97742745</v>
      </c>
      <c r="G28" s="16"/>
      <c r="H28" s="17"/>
    </row>
    <row r="29" spans="1:8" x14ac:dyDescent="0.25">
      <c r="A29" s="244"/>
      <c r="E29" s="16"/>
      <c r="F29" s="16"/>
      <c r="G29" s="16"/>
      <c r="H29" s="53"/>
    </row>
    <row r="30" spans="1:8" ht="17.25" x14ac:dyDescent="0.25">
      <c r="B30" s="31" t="s">
        <v>383</v>
      </c>
      <c r="D30" s="33"/>
    </row>
    <row r="31" spans="1:8" ht="17.25" x14ac:dyDescent="0.25">
      <c r="B31" s="31" t="s">
        <v>384</v>
      </c>
      <c r="D31" s="33"/>
    </row>
    <row r="32" spans="1:8" ht="17.25" x14ac:dyDescent="0.25">
      <c r="B32" s="31" t="s">
        <v>66</v>
      </c>
      <c r="D32" s="33"/>
    </row>
    <row r="33" spans="2:6" ht="17.25" x14ac:dyDescent="0.25">
      <c r="B33" s="31" t="s">
        <v>67</v>
      </c>
    </row>
    <row r="34" spans="2:6" x14ac:dyDescent="0.25">
      <c r="F34" s="224"/>
    </row>
    <row r="35" spans="2:6" x14ac:dyDescent="0.25">
      <c r="B35" s="31" t="s">
        <v>389</v>
      </c>
      <c r="F35" s="224"/>
    </row>
  </sheetData>
  <mergeCells count="3">
    <mergeCell ref="A1:H1"/>
    <mergeCell ref="A3:H3"/>
    <mergeCell ref="A4:H4"/>
  </mergeCells>
  <printOptions horizontalCentered="1"/>
  <pageMargins left="0.45" right="0.45" top="0.75" bottom="0.75" header="0.3" footer="0.3"/>
  <pageSetup scale="96" orientation="landscape" blackAndWhite="1" r:id="rId1"/>
  <headerFooter>
    <oddFooter>&amp;L&amp;F 
&amp;A&amp;C&amp;P&amp;R&amp;D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opLeftCell="A19" zoomScale="90" zoomScaleNormal="90" workbookViewId="0">
      <selection activeCell="E27" sqref="E27"/>
    </sheetView>
  </sheetViews>
  <sheetFormatPr defaultRowHeight="15" x14ac:dyDescent="0.25"/>
  <cols>
    <col min="1" max="1" width="29.42578125" customWidth="1"/>
    <col min="2" max="7" width="14" bestFit="1" customWidth="1"/>
    <col min="8" max="12" width="12.85546875" bestFit="1" customWidth="1"/>
    <col min="13" max="13" width="14" bestFit="1" customWidth="1"/>
    <col min="14" max="14" width="15.28515625" bestFit="1" customWidth="1"/>
    <col min="15" max="15" width="14" bestFit="1" customWidth="1"/>
    <col min="16" max="16" width="15.28515625" bestFit="1" customWidth="1"/>
    <col min="17" max="17" width="12.5703125" bestFit="1" customWidth="1"/>
  </cols>
  <sheetData>
    <row r="1" spans="1:15" x14ac:dyDescent="0.25">
      <c r="A1" s="70" t="s">
        <v>0</v>
      </c>
    </row>
    <row r="2" spans="1:15" x14ac:dyDescent="0.25">
      <c r="A2" s="70" t="s">
        <v>390</v>
      </c>
    </row>
    <row r="3" spans="1:15" x14ac:dyDescent="0.25">
      <c r="A3" s="70" t="s">
        <v>391</v>
      </c>
    </row>
    <row r="5" spans="1:15" x14ac:dyDescent="0.25">
      <c r="A5" s="70" t="s">
        <v>392</v>
      </c>
    </row>
    <row r="6" spans="1:15" x14ac:dyDescent="0.25">
      <c r="A6" s="70"/>
    </row>
    <row r="7" spans="1:15" x14ac:dyDescent="0.25">
      <c r="A7" s="258" t="s">
        <v>393</v>
      </c>
      <c r="B7" s="36">
        <v>45231</v>
      </c>
      <c r="C7" s="37">
        <f>EDATE(B7,1)</f>
        <v>45261</v>
      </c>
      <c r="D7" s="37">
        <f t="shared" ref="D7:M7" si="0">EDATE(C7,1)</f>
        <v>45292</v>
      </c>
      <c r="E7" s="37">
        <f t="shared" si="0"/>
        <v>45323</v>
      </c>
      <c r="F7" s="37">
        <f t="shared" si="0"/>
        <v>45352</v>
      </c>
      <c r="G7" s="37">
        <f t="shared" si="0"/>
        <v>45383</v>
      </c>
      <c r="H7" s="37">
        <f t="shared" si="0"/>
        <v>45413</v>
      </c>
      <c r="I7" s="37">
        <f t="shared" si="0"/>
        <v>45444</v>
      </c>
      <c r="J7" s="37">
        <f t="shared" si="0"/>
        <v>45474</v>
      </c>
      <c r="K7" s="37">
        <f t="shared" si="0"/>
        <v>45505</v>
      </c>
      <c r="L7" s="37">
        <f t="shared" si="0"/>
        <v>45536</v>
      </c>
      <c r="M7" s="37">
        <f t="shared" si="0"/>
        <v>45566</v>
      </c>
      <c r="N7" s="38" t="s">
        <v>2</v>
      </c>
      <c r="O7" s="226"/>
    </row>
    <row r="8" spans="1:15" x14ac:dyDescent="0.25">
      <c r="A8" s="244">
        <v>23</v>
      </c>
      <c r="B8" s="259">
        <v>-8874438.6423461847</v>
      </c>
      <c r="C8" s="259">
        <v>-11376448.332794722</v>
      </c>
      <c r="D8" s="259">
        <v>-11038838.718926813</v>
      </c>
      <c r="E8" s="259">
        <v>-9719106.0741388164</v>
      </c>
      <c r="F8" s="259">
        <v>-8891194.8766105864</v>
      </c>
      <c r="G8" s="259">
        <v>-6075350.7368067065</v>
      </c>
      <c r="H8" s="259">
        <v>-3529882.8399915756</v>
      </c>
      <c r="I8" s="259">
        <v>-2410879.3368201125</v>
      </c>
      <c r="J8" s="259">
        <v>-1825363.2808585211</v>
      </c>
      <c r="K8" s="259">
        <v>-1748379.1440848089</v>
      </c>
      <c r="L8" s="259">
        <v>-2301012.0662130988</v>
      </c>
      <c r="M8" s="259">
        <v>-4927275.1556945341</v>
      </c>
      <c r="N8" s="260">
        <f>SUM(B8:M8)</f>
        <v>-72718169.205286473</v>
      </c>
      <c r="O8" s="261"/>
    </row>
    <row r="9" spans="1:15" x14ac:dyDescent="0.25">
      <c r="A9" s="244">
        <v>16</v>
      </c>
      <c r="B9" s="256">
        <v>-75.790000000000006</v>
      </c>
      <c r="C9" s="256">
        <v>-75.790000000000006</v>
      </c>
      <c r="D9" s="256">
        <v>-75.790000000000006</v>
      </c>
      <c r="E9" s="256">
        <v>-75.790000000000006</v>
      </c>
      <c r="F9" s="256">
        <v>-75.790000000000006</v>
      </c>
      <c r="G9" s="256">
        <v>-75.790000000000006</v>
      </c>
      <c r="H9" s="256">
        <v>-75.790000000000006</v>
      </c>
      <c r="I9" s="256">
        <v>-75.790000000000006</v>
      </c>
      <c r="J9" s="256">
        <v>-75.790000000000006</v>
      </c>
      <c r="K9" s="256">
        <v>-75.790000000000006</v>
      </c>
      <c r="L9" s="256">
        <v>-75.790000000000006</v>
      </c>
      <c r="M9" s="256">
        <v>-75.790000000000006</v>
      </c>
      <c r="N9" s="261">
        <f t="shared" ref="N9:N20" si="1">SUM(B9:M9)</f>
        <v>-909.4799999999999</v>
      </c>
      <c r="O9" s="261"/>
    </row>
    <row r="10" spans="1:15" x14ac:dyDescent="0.25">
      <c r="A10" s="244">
        <v>31</v>
      </c>
      <c r="B10" s="256">
        <v>-3564794.2991744573</v>
      </c>
      <c r="C10" s="256">
        <v>-4353097.978435752</v>
      </c>
      <c r="D10" s="256">
        <v>-3791662.0019162693</v>
      </c>
      <c r="E10" s="256">
        <v>-3426955.523186727</v>
      </c>
      <c r="F10" s="256">
        <v>-3045617.3556711031</v>
      </c>
      <c r="G10" s="256">
        <v>-2179923.0958517366</v>
      </c>
      <c r="H10" s="256">
        <v>-1587847.7796849317</v>
      </c>
      <c r="I10" s="256">
        <v>-1273690.5396757547</v>
      </c>
      <c r="J10" s="256">
        <v>-1087600.9308221836</v>
      </c>
      <c r="K10" s="256">
        <v>-1195519.0124673038</v>
      </c>
      <c r="L10" s="256">
        <v>-1472124.4344790012</v>
      </c>
      <c r="M10" s="256">
        <v>-2494079.5207817801</v>
      </c>
      <c r="N10" s="261">
        <f t="shared" si="1"/>
        <v>-29472912.472146999</v>
      </c>
      <c r="O10" s="261"/>
    </row>
    <row r="11" spans="1:15" x14ac:dyDescent="0.25">
      <c r="A11" s="244">
        <v>41</v>
      </c>
      <c r="B11" s="256">
        <v>-670456.88</v>
      </c>
      <c r="C11" s="256">
        <v>-667740.28</v>
      </c>
      <c r="D11" s="256">
        <v>-674803.44000000006</v>
      </c>
      <c r="E11" s="256">
        <v>-672630.16</v>
      </c>
      <c r="F11" s="256">
        <v>-673173.4800000001</v>
      </c>
      <c r="G11" s="256">
        <v>-672630.16</v>
      </c>
      <c r="H11" s="256">
        <v>-671000.20000000007</v>
      </c>
      <c r="I11" s="256">
        <v>-669370.24000000011</v>
      </c>
      <c r="J11" s="256">
        <v>-667740.28</v>
      </c>
      <c r="K11" s="256">
        <v>-666653.64</v>
      </c>
      <c r="L11" s="256">
        <v>-668283.60000000009</v>
      </c>
      <c r="M11" s="256">
        <v>-669370.24000000011</v>
      </c>
      <c r="N11" s="261">
        <f t="shared" si="1"/>
        <v>-8043852.6000000015</v>
      </c>
      <c r="O11" s="262"/>
    </row>
    <row r="12" spans="1:15" x14ac:dyDescent="0.25">
      <c r="A12" s="244">
        <v>85</v>
      </c>
      <c r="B12" s="256">
        <v>-155847.5</v>
      </c>
      <c r="C12" s="256">
        <v>-155847.5</v>
      </c>
      <c r="D12" s="256">
        <v>-155847.5</v>
      </c>
      <c r="E12" s="256">
        <v>-155847.5</v>
      </c>
      <c r="F12" s="256">
        <v>-155847.5</v>
      </c>
      <c r="G12" s="256">
        <v>-155847.5</v>
      </c>
      <c r="H12" s="256">
        <v>-155847.5</v>
      </c>
      <c r="I12" s="256">
        <v>-155847.5</v>
      </c>
      <c r="J12" s="256">
        <v>-155847.5</v>
      </c>
      <c r="K12" s="256">
        <v>-155847.5</v>
      </c>
      <c r="L12" s="256">
        <v>-155847.5</v>
      </c>
      <c r="M12" s="256">
        <v>-155847.5</v>
      </c>
      <c r="N12" s="261">
        <f t="shared" si="1"/>
        <v>-1870170</v>
      </c>
    </row>
    <row r="13" spans="1:15" x14ac:dyDescent="0.25">
      <c r="A13" s="244">
        <v>86</v>
      </c>
      <c r="B13" s="256">
        <v>-53962.079999999994</v>
      </c>
      <c r="C13" s="256">
        <v>-53962.079999999994</v>
      </c>
      <c r="D13" s="256">
        <v>-53962.079999999994</v>
      </c>
      <c r="E13" s="256">
        <v>-53433.039999999994</v>
      </c>
      <c r="F13" s="256">
        <v>-53433.039999999994</v>
      </c>
      <c r="G13" s="256">
        <v>-53433.039999999994</v>
      </c>
      <c r="H13" s="256">
        <v>-52904</v>
      </c>
      <c r="I13" s="256">
        <v>-52904</v>
      </c>
      <c r="J13" s="256">
        <v>-52904</v>
      </c>
      <c r="K13" s="256">
        <v>-52374.96</v>
      </c>
      <c r="L13" s="256">
        <v>-52374.96</v>
      </c>
      <c r="M13" s="256">
        <v>-52374.96</v>
      </c>
      <c r="N13" s="261">
        <f t="shared" si="1"/>
        <v>-638022.23999999987</v>
      </c>
    </row>
    <row r="14" spans="1:15" x14ac:dyDescent="0.25">
      <c r="A14" s="244">
        <v>87</v>
      </c>
      <c r="B14" s="256">
        <v>-16883.84</v>
      </c>
      <c r="C14" s="256">
        <v>-16883.84</v>
      </c>
      <c r="D14" s="256">
        <v>-16883.84</v>
      </c>
      <c r="E14" s="256">
        <v>-16883.84</v>
      </c>
      <c r="F14" s="256">
        <v>-16883.84</v>
      </c>
      <c r="G14" s="256">
        <v>-16883.84</v>
      </c>
      <c r="H14" s="256">
        <v>-16883.84</v>
      </c>
      <c r="I14" s="256">
        <v>-16883.84</v>
      </c>
      <c r="J14" s="256">
        <v>-16883.84</v>
      </c>
      <c r="K14" s="256">
        <v>-16883.84</v>
      </c>
      <c r="L14" s="256">
        <v>-16883.84</v>
      </c>
      <c r="M14" s="256">
        <v>-16883.84</v>
      </c>
      <c r="N14" s="261">
        <f t="shared" si="1"/>
        <v>-202606.07999999999</v>
      </c>
    </row>
    <row r="15" spans="1:15" x14ac:dyDescent="0.25">
      <c r="A15" s="244" t="s">
        <v>27</v>
      </c>
      <c r="B15" s="256">
        <v>-14.972307627549155</v>
      </c>
      <c r="C15" s="256">
        <v>-18.273853292857559</v>
      </c>
      <c r="D15" s="256">
        <v>-15.914191667644673</v>
      </c>
      <c r="E15" s="256">
        <v>-14.377112994376681</v>
      </c>
      <c r="F15" s="256">
        <v>-12.772999152146065</v>
      </c>
      <c r="G15" s="256">
        <v>-9.1397871720034729</v>
      </c>
      <c r="H15" s="256">
        <v>-6.6549204917053206</v>
      </c>
      <c r="I15" s="256">
        <v>-5.3367317525046234</v>
      </c>
      <c r="J15" s="256">
        <v>-4.5552536571540045</v>
      </c>
      <c r="K15" s="256">
        <v>-5.0053112807520819</v>
      </c>
      <c r="L15" s="256">
        <v>-6.1617539371077283</v>
      </c>
      <c r="M15" s="256">
        <v>-10.435776974198632</v>
      </c>
      <c r="N15" s="261">
        <f t="shared" si="1"/>
        <v>-123.60000000000001</v>
      </c>
    </row>
    <row r="16" spans="1:15" x14ac:dyDescent="0.25">
      <c r="A16" s="244" t="s">
        <v>29</v>
      </c>
      <c r="B16" s="256">
        <v>-231289.82</v>
      </c>
      <c r="C16" s="256">
        <v>-231289.82</v>
      </c>
      <c r="D16" s="256">
        <v>-231289.82</v>
      </c>
      <c r="E16" s="256">
        <v>-231289.82</v>
      </c>
      <c r="F16" s="256">
        <v>-231289.82</v>
      </c>
      <c r="G16" s="256">
        <v>-231289.82</v>
      </c>
      <c r="H16" s="256">
        <v>-231289.82</v>
      </c>
      <c r="I16" s="256">
        <v>-231289.82</v>
      </c>
      <c r="J16" s="256">
        <v>-231289.82</v>
      </c>
      <c r="K16" s="256">
        <v>-231289.82</v>
      </c>
      <c r="L16" s="256">
        <v>-231289.82</v>
      </c>
      <c r="M16" s="256">
        <v>-231289.82</v>
      </c>
      <c r="N16" s="261">
        <f t="shared" si="1"/>
        <v>-2775477.84</v>
      </c>
    </row>
    <row r="17" spans="1:17" x14ac:dyDescent="0.25">
      <c r="A17" s="244" t="s">
        <v>31</v>
      </c>
      <c r="B17" s="256">
        <v>-633263.86</v>
      </c>
      <c r="C17" s="256">
        <v>-633263.86</v>
      </c>
      <c r="D17" s="256">
        <v>-633263.86</v>
      </c>
      <c r="E17" s="256">
        <v>-633263.86</v>
      </c>
      <c r="F17" s="256">
        <v>-633263.86</v>
      </c>
      <c r="G17" s="256">
        <v>-633263.86</v>
      </c>
      <c r="H17" s="256">
        <v>-633263.86</v>
      </c>
      <c r="I17" s="256">
        <v>-633263.86</v>
      </c>
      <c r="J17" s="256">
        <v>-633263.86</v>
      </c>
      <c r="K17" s="256">
        <v>-633263.86</v>
      </c>
      <c r="L17" s="256">
        <v>-633263.86</v>
      </c>
      <c r="M17" s="256">
        <v>-633263.86</v>
      </c>
      <c r="N17" s="261">
        <f t="shared" si="1"/>
        <v>-7599166.3200000012</v>
      </c>
    </row>
    <row r="18" spans="1:17" x14ac:dyDescent="0.25">
      <c r="A18" s="244" t="s">
        <v>33</v>
      </c>
      <c r="B18" s="256">
        <v>-12947.76</v>
      </c>
      <c r="C18" s="256">
        <v>-12947.76</v>
      </c>
      <c r="D18" s="256">
        <v>-12947.76</v>
      </c>
      <c r="E18" s="256">
        <v>-12947.76</v>
      </c>
      <c r="F18" s="256">
        <v>-12947.76</v>
      </c>
      <c r="G18" s="256">
        <v>-12947.76</v>
      </c>
      <c r="H18" s="256">
        <v>-12947.76</v>
      </c>
      <c r="I18" s="256">
        <v>-12947.76</v>
      </c>
      <c r="J18" s="256">
        <v>-12947.76</v>
      </c>
      <c r="K18" s="256">
        <v>-12947.76</v>
      </c>
      <c r="L18" s="256">
        <v>-12947.76</v>
      </c>
      <c r="M18" s="256">
        <v>-12947.76</v>
      </c>
      <c r="N18" s="261">
        <f t="shared" si="1"/>
        <v>-155373.12</v>
      </c>
    </row>
    <row r="19" spans="1:17" x14ac:dyDescent="0.25">
      <c r="A19" s="244" t="s">
        <v>35</v>
      </c>
      <c r="B19" s="256">
        <v>-410615.13</v>
      </c>
      <c r="C19" s="256">
        <v>-410615.13</v>
      </c>
      <c r="D19" s="256">
        <v>-410615.13</v>
      </c>
      <c r="E19" s="256">
        <v>-410615.13</v>
      </c>
      <c r="F19" s="256">
        <v>-410615.13</v>
      </c>
      <c r="G19" s="256">
        <v>-410615.13</v>
      </c>
      <c r="H19" s="256">
        <v>-410615.13</v>
      </c>
      <c r="I19" s="256">
        <v>-410615.13</v>
      </c>
      <c r="J19" s="256">
        <v>-410615.13</v>
      </c>
      <c r="K19" s="256">
        <v>-410615.13</v>
      </c>
      <c r="L19" s="256">
        <v>-410615.13</v>
      </c>
      <c r="M19" s="256">
        <v>-410615.13</v>
      </c>
      <c r="N19" s="261">
        <f t="shared" si="1"/>
        <v>-4927381.5599999996</v>
      </c>
    </row>
    <row r="20" spans="1:17" x14ac:dyDescent="0.25">
      <c r="A20" s="244" t="s">
        <v>36</v>
      </c>
      <c r="B20" s="256">
        <v>-136763.19999999998</v>
      </c>
      <c r="C20" s="256">
        <v>-136763.19999999998</v>
      </c>
      <c r="D20" s="256">
        <v>-136763.19999999998</v>
      </c>
      <c r="E20" s="256">
        <v>-136763.19999999998</v>
      </c>
      <c r="F20" s="256">
        <v>-136763.19999999998</v>
      </c>
      <c r="G20" s="256">
        <v>-136763.19999999998</v>
      </c>
      <c r="H20" s="256">
        <v>-136763.19999999998</v>
      </c>
      <c r="I20" s="256">
        <v>-136763.19999999998</v>
      </c>
      <c r="J20" s="256">
        <v>-136763.19999999998</v>
      </c>
      <c r="K20" s="256">
        <v>-136763.19999999998</v>
      </c>
      <c r="L20" s="256">
        <v>-136763.19999999998</v>
      </c>
      <c r="M20" s="256">
        <v>-136763.19999999998</v>
      </c>
      <c r="N20" s="261">
        <f t="shared" si="1"/>
        <v>-1641158.3999999997</v>
      </c>
    </row>
    <row r="21" spans="1:17" x14ac:dyDescent="0.25">
      <c r="A21" s="263" t="s">
        <v>2</v>
      </c>
      <c r="B21" s="264">
        <f>SUM(B8:B20)</f>
        <v>-14761353.77382827</v>
      </c>
      <c r="C21" s="264">
        <f t="shared" ref="C21:N21" si="2">SUM(C8:C20)</f>
        <v>-18048953.845083762</v>
      </c>
      <c r="D21" s="264">
        <f t="shared" si="2"/>
        <v>-17156969.055034745</v>
      </c>
      <c r="E21" s="264">
        <f t="shared" si="2"/>
        <v>-15469826.074438535</v>
      </c>
      <c r="F21" s="264">
        <f t="shared" si="2"/>
        <v>-14261118.425280839</v>
      </c>
      <c r="G21" s="264">
        <f t="shared" si="2"/>
        <v>-10579033.072445614</v>
      </c>
      <c r="H21" s="264">
        <f t="shared" si="2"/>
        <v>-7439328.374596999</v>
      </c>
      <c r="I21" s="264">
        <f t="shared" si="2"/>
        <v>-6004536.35322762</v>
      </c>
      <c r="J21" s="264">
        <f t="shared" si="2"/>
        <v>-5231299.9469343619</v>
      </c>
      <c r="K21" s="264">
        <f t="shared" si="2"/>
        <v>-5260618.6618633932</v>
      </c>
      <c r="L21" s="264">
        <f t="shared" si="2"/>
        <v>-6091488.1224460369</v>
      </c>
      <c r="M21" s="264">
        <f t="shared" si="2"/>
        <v>-9740797.2122532874</v>
      </c>
      <c r="N21" s="264">
        <f t="shared" si="2"/>
        <v>-130045322.91743349</v>
      </c>
    </row>
    <row r="23" spans="1:17" x14ac:dyDescent="0.25">
      <c r="A23" s="70" t="s">
        <v>394</v>
      </c>
    </row>
    <row r="25" spans="1:17" x14ac:dyDescent="0.25">
      <c r="A25" s="258" t="s">
        <v>393</v>
      </c>
      <c r="D25" s="36">
        <v>45292</v>
      </c>
      <c r="E25" s="37">
        <f>EDATE(D25,1)</f>
        <v>45323</v>
      </c>
      <c r="F25" s="37">
        <f t="shared" ref="F25:O25" si="3">EDATE(E25,1)</f>
        <v>45352</v>
      </c>
      <c r="G25" s="37">
        <f t="shared" si="3"/>
        <v>45383</v>
      </c>
      <c r="H25" s="37">
        <f t="shared" si="3"/>
        <v>45413</v>
      </c>
      <c r="I25" s="37">
        <f t="shared" si="3"/>
        <v>45444</v>
      </c>
      <c r="J25" s="37">
        <f t="shared" si="3"/>
        <v>45474</v>
      </c>
      <c r="K25" s="37">
        <f t="shared" si="3"/>
        <v>45505</v>
      </c>
      <c r="L25" s="37">
        <f t="shared" si="3"/>
        <v>45536</v>
      </c>
      <c r="M25" s="37">
        <f t="shared" si="3"/>
        <v>45566</v>
      </c>
      <c r="N25" s="37">
        <f t="shared" si="3"/>
        <v>45597</v>
      </c>
      <c r="O25" s="37">
        <f t="shared" si="3"/>
        <v>45627</v>
      </c>
      <c r="P25" s="38" t="s">
        <v>2</v>
      </c>
      <c r="Q25" s="226"/>
    </row>
    <row r="26" spans="1:17" x14ac:dyDescent="0.25">
      <c r="A26" s="244">
        <v>23</v>
      </c>
      <c r="D26" s="256">
        <v>-13426733.287902426</v>
      </c>
      <c r="E26" s="256">
        <v>-11819515.66998734</v>
      </c>
      <c r="F26" s="256">
        <v>-10814803.977921292</v>
      </c>
      <c r="G26" s="256">
        <v>-7391630.0017252453</v>
      </c>
      <c r="H26" s="256">
        <v>-4295443.2138653789</v>
      </c>
      <c r="I26" s="256">
        <v>-2934235.8201196105</v>
      </c>
      <c r="J26" s="256">
        <v>-2217060.4319585362</v>
      </c>
      <c r="K26" s="256">
        <v>-2127739.3843300161</v>
      </c>
      <c r="L26" s="256">
        <v>-2795728.8778513088</v>
      </c>
      <c r="M26" s="256">
        <v>-5993987.9621980665</v>
      </c>
      <c r="N26" s="256">
        <v>-10089394.785884367</v>
      </c>
      <c r="O26" s="256">
        <v>-13442827.371531587</v>
      </c>
      <c r="P26" s="261">
        <f>SUM(D26:O26)</f>
        <v>-87349100.785275176</v>
      </c>
      <c r="Q26" s="261"/>
    </row>
    <row r="27" spans="1:17" x14ac:dyDescent="0.25">
      <c r="A27" s="244">
        <v>16</v>
      </c>
      <c r="D27" s="256">
        <v>-91.745789473684226</v>
      </c>
      <c r="E27" s="256">
        <v>-91.745789473684226</v>
      </c>
      <c r="F27" s="256">
        <v>-91.745789473684226</v>
      </c>
      <c r="G27" s="256">
        <v>-91.745789473684226</v>
      </c>
      <c r="H27" s="256">
        <v>-91.745789473684226</v>
      </c>
      <c r="I27" s="256">
        <v>-91.745789473684226</v>
      </c>
      <c r="J27" s="256">
        <v>-91.745789473684226</v>
      </c>
      <c r="K27" s="256">
        <v>-91.745789473684226</v>
      </c>
      <c r="L27" s="256">
        <v>-91.745789473684226</v>
      </c>
      <c r="M27" s="256">
        <v>-91.745789473684226</v>
      </c>
      <c r="N27" s="256">
        <v>-91.745789473684226</v>
      </c>
      <c r="O27" s="256">
        <v>-91.745789473684226</v>
      </c>
      <c r="P27" s="261">
        <f t="shared" ref="P27:P38" si="4">SUM(D27:O27)</f>
        <v>-1100.9494736842107</v>
      </c>
      <c r="Q27" s="261"/>
    </row>
    <row r="28" spans="1:17" x14ac:dyDescent="0.25">
      <c r="A28" s="244">
        <v>31</v>
      </c>
      <c r="D28" s="256">
        <v>-4585976.1000000006</v>
      </c>
      <c r="E28" s="256">
        <v>-4145115.65</v>
      </c>
      <c r="F28" s="256">
        <v>-3683643.0799999996</v>
      </c>
      <c r="G28" s="256">
        <v>-2636855.1</v>
      </c>
      <c r="H28" s="256">
        <v>-1920691.08</v>
      </c>
      <c r="I28" s="256">
        <v>-1540729.1900000002</v>
      </c>
      <c r="J28" s="256">
        <v>-1315545.51</v>
      </c>
      <c r="K28" s="256">
        <v>-1446015.48</v>
      </c>
      <c r="L28" s="256">
        <v>-1780749.4200000002</v>
      </c>
      <c r="M28" s="256">
        <v>-3016419.1999999997</v>
      </c>
      <c r="N28" s="256">
        <v>-4304607.12</v>
      </c>
      <c r="O28" s="256">
        <v>-5200311</v>
      </c>
      <c r="P28" s="261">
        <f t="shared" si="4"/>
        <v>-35576657.930000007</v>
      </c>
      <c r="Q28" s="261"/>
    </row>
    <row r="29" spans="1:17" x14ac:dyDescent="0.25">
      <c r="A29" s="244">
        <v>41</v>
      </c>
      <c r="D29" s="256">
        <v>-812752.38</v>
      </c>
      <c r="E29" s="256">
        <v>-810134.82</v>
      </c>
      <c r="F29" s="256">
        <v>-810789.21</v>
      </c>
      <c r="G29" s="256">
        <v>-810134.82</v>
      </c>
      <c r="H29" s="256">
        <v>-808171.65</v>
      </c>
      <c r="I29" s="256">
        <v>-806208.48</v>
      </c>
      <c r="J29" s="256">
        <v>-804245.30999999994</v>
      </c>
      <c r="K29" s="256">
        <v>-802936.53</v>
      </c>
      <c r="L29" s="256">
        <v>-804899.7</v>
      </c>
      <c r="M29" s="256">
        <v>-806208.48</v>
      </c>
      <c r="N29" s="256">
        <v>-806208.48</v>
      </c>
      <c r="O29" s="256">
        <v>-803590.91999999993</v>
      </c>
      <c r="P29" s="261">
        <f t="shared" si="4"/>
        <v>-9686280.7799999993</v>
      </c>
      <c r="Q29" s="262"/>
    </row>
    <row r="30" spans="1:17" x14ac:dyDescent="0.25">
      <c r="A30" s="244">
        <v>85</v>
      </c>
      <c r="D30" s="256">
        <v>-187299.20000000001</v>
      </c>
      <c r="E30" s="256">
        <v>-187299.20000000001</v>
      </c>
      <c r="F30" s="256">
        <v>-187299.20000000001</v>
      </c>
      <c r="G30" s="256">
        <v>-187299.20000000001</v>
      </c>
      <c r="H30" s="256">
        <v>-187299.20000000001</v>
      </c>
      <c r="I30" s="256">
        <v>-187299.20000000001</v>
      </c>
      <c r="J30" s="256">
        <v>-187299.20000000001</v>
      </c>
      <c r="K30" s="256">
        <v>-187299.20000000001</v>
      </c>
      <c r="L30" s="256">
        <v>-187299.20000000001</v>
      </c>
      <c r="M30" s="256">
        <v>-187299.20000000001</v>
      </c>
      <c r="N30" s="256">
        <v>-187299.20000000001</v>
      </c>
      <c r="O30" s="256">
        <v>-187299.20000000001</v>
      </c>
      <c r="P30" s="261">
        <f t="shared" si="4"/>
        <v>-2247590.4</v>
      </c>
    </row>
    <row r="31" spans="1:17" x14ac:dyDescent="0.25">
      <c r="A31" s="244">
        <v>86</v>
      </c>
      <c r="D31" s="256">
        <v>-65178</v>
      </c>
      <c r="E31" s="256">
        <v>-64539</v>
      </c>
      <c r="F31" s="256">
        <v>-64539</v>
      </c>
      <c r="G31" s="256">
        <v>-64539</v>
      </c>
      <c r="H31" s="256">
        <v>-63900</v>
      </c>
      <c r="I31" s="256">
        <v>-63900</v>
      </c>
      <c r="J31" s="256">
        <v>-63900</v>
      </c>
      <c r="K31" s="256">
        <v>-63261</v>
      </c>
      <c r="L31" s="256">
        <v>-63261</v>
      </c>
      <c r="M31" s="256">
        <v>-63261</v>
      </c>
      <c r="N31" s="256">
        <v>-62622</v>
      </c>
      <c r="O31" s="256">
        <v>-62622</v>
      </c>
      <c r="P31" s="261">
        <f t="shared" si="4"/>
        <v>-765522</v>
      </c>
    </row>
    <row r="32" spans="1:17" x14ac:dyDescent="0.25">
      <c r="A32" s="244">
        <v>87</v>
      </c>
      <c r="D32" s="256">
        <v>-20296.77</v>
      </c>
      <c r="E32" s="256">
        <v>-20296.77</v>
      </c>
      <c r="F32" s="256">
        <v>-20296.77</v>
      </c>
      <c r="G32" s="256">
        <v>-20296.77</v>
      </c>
      <c r="H32" s="256">
        <v>-20296.77</v>
      </c>
      <c r="I32" s="256">
        <v>-20296.77</v>
      </c>
      <c r="J32" s="256">
        <v>-20296.77</v>
      </c>
      <c r="K32" s="256">
        <v>-20296.77</v>
      </c>
      <c r="L32" s="256">
        <v>-20296.77</v>
      </c>
      <c r="M32" s="256">
        <v>-20296.77</v>
      </c>
      <c r="N32" s="256">
        <v>-20296.77</v>
      </c>
      <c r="O32" s="256">
        <v>-20296.77</v>
      </c>
      <c r="P32" s="261">
        <f t="shared" si="4"/>
        <v>-243561.23999999996</v>
      </c>
    </row>
    <row r="33" spans="1:16" x14ac:dyDescent="0.25">
      <c r="A33" s="244" t="s">
        <v>27</v>
      </c>
      <c r="D33" s="256">
        <v>-19.309999999999999</v>
      </c>
      <c r="E33" s="256">
        <v>-17.45</v>
      </c>
      <c r="F33" s="256">
        <v>-15.5</v>
      </c>
      <c r="G33" s="256">
        <v>-11.09</v>
      </c>
      <c r="H33" s="256">
        <v>-8.08</v>
      </c>
      <c r="I33" s="256">
        <v>-6.48</v>
      </c>
      <c r="J33" s="256">
        <v>-5.53</v>
      </c>
      <c r="K33" s="256">
        <v>-6.07</v>
      </c>
      <c r="L33" s="256">
        <v>-7.48</v>
      </c>
      <c r="M33" s="256">
        <v>-12.66</v>
      </c>
      <c r="N33" s="256">
        <v>-18.059999999999999</v>
      </c>
      <c r="O33" s="256">
        <v>-21.81</v>
      </c>
      <c r="P33" s="261">
        <f t="shared" si="4"/>
        <v>-149.51999999999998</v>
      </c>
    </row>
    <row r="34" spans="1:16" x14ac:dyDescent="0.25">
      <c r="A34" s="244" t="s">
        <v>29</v>
      </c>
      <c r="D34" s="256">
        <v>-281190.65999999997</v>
      </c>
      <c r="E34" s="256">
        <v>-281190.65999999997</v>
      </c>
      <c r="F34" s="256">
        <v>-281190.65999999997</v>
      </c>
      <c r="G34" s="256">
        <v>-281190.65999999997</v>
      </c>
      <c r="H34" s="256">
        <v>-281190.65999999997</v>
      </c>
      <c r="I34" s="256">
        <v>-281190.65999999997</v>
      </c>
      <c r="J34" s="256">
        <v>-281190.65999999997</v>
      </c>
      <c r="K34" s="256">
        <v>-281190.65999999997</v>
      </c>
      <c r="L34" s="256">
        <v>-281190.65999999997</v>
      </c>
      <c r="M34" s="256">
        <v>-281190.65999999997</v>
      </c>
      <c r="N34" s="256">
        <v>-281190.65999999997</v>
      </c>
      <c r="O34" s="256">
        <v>-281190.65999999997</v>
      </c>
      <c r="P34" s="261">
        <f t="shared" si="4"/>
        <v>-3374287.9200000004</v>
      </c>
    </row>
    <row r="35" spans="1:16" x14ac:dyDescent="0.25">
      <c r="A35" s="244" t="s">
        <v>31</v>
      </c>
      <c r="D35" s="256">
        <v>-769436.34000000008</v>
      </c>
      <c r="E35" s="256">
        <v>-769436.34000000008</v>
      </c>
      <c r="F35" s="256">
        <v>-769436.34000000008</v>
      </c>
      <c r="G35" s="256">
        <v>-769436.34000000008</v>
      </c>
      <c r="H35" s="256">
        <v>-769436.34000000008</v>
      </c>
      <c r="I35" s="256">
        <v>-769436.34000000008</v>
      </c>
      <c r="J35" s="256">
        <v>-769436.34000000008</v>
      </c>
      <c r="K35" s="256">
        <v>-769436.34000000008</v>
      </c>
      <c r="L35" s="256">
        <v>-769436.34000000008</v>
      </c>
      <c r="M35" s="256">
        <v>-769436.34000000008</v>
      </c>
      <c r="N35" s="256">
        <v>-769436.34000000008</v>
      </c>
      <c r="O35" s="256">
        <v>-769436.34000000008</v>
      </c>
      <c r="P35" s="261">
        <f t="shared" si="4"/>
        <v>-9233236.0800000001</v>
      </c>
    </row>
    <row r="36" spans="1:16" x14ac:dyDescent="0.25">
      <c r="A36" s="244" t="s">
        <v>33</v>
      </c>
      <c r="D36" s="256">
        <v>-15693.300000000001</v>
      </c>
      <c r="E36" s="256">
        <v>-15693.300000000001</v>
      </c>
      <c r="F36" s="256">
        <v>-15693.300000000001</v>
      </c>
      <c r="G36" s="256">
        <v>-15693.300000000001</v>
      </c>
      <c r="H36" s="256">
        <v>-15693.300000000001</v>
      </c>
      <c r="I36" s="256">
        <v>-15693.300000000001</v>
      </c>
      <c r="J36" s="256">
        <v>-15693.300000000001</v>
      </c>
      <c r="K36" s="256">
        <v>-15693.300000000001</v>
      </c>
      <c r="L36" s="256">
        <v>-15693.300000000001</v>
      </c>
      <c r="M36" s="256">
        <v>-15693.300000000001</v>
      </c>
      <c r="N36" s="256">
        <v>-15693.300000000001</v>
      </c>
      <c r="O36" s="256">
        <v>-15693.300000000001</v>
      </c>
      <c r="P36" s="261">
        <f t="shared" si="4"/>
        <v>-188319.59999999998</v>
      </c>
    </row>
    <row r="37" spans="1:16" x14ac:dyDescent="0.25">
      <c r="A37" s="244" t="s">
        <v>35</v>
      </c>
      <c r="D37" s="256">
        <v>-99148.860000000015</v>
      </c>
      <c r="E37" s="256">
        <v>-99148.860000000015</v>
      </c>
      <c r="F37" s="256">
        <v>-99148.860000000015</v>
      </c>
      <c r="G37" s="256">
        <v>-99148.860000000015</v>
      </c>
      <c r="H37" s="256">
        <v>-99148.860000000015</v>
      </c>
      <c r="I37" s="256">
        <v>-99148.860000000015</v>
      </c>
      <c r="J37" s="256">
        <v>-99148.860000000015</v>
      </c>
      <c r="K37" s="256">
        <v>-99148.860000000015</v>
      </c>
      <c r="L37" s="256">
        <v>-99148.860000000015</v>
      </c>
      <c r="M37" s="256">
        <v>-99148.860000000015</v>
      </c>
      <c r="N37" s="256">
        <v>-99148.860000000015</v>
      </c>
      <c r="O37" s="256">
        <v>-99148.860000000015</v>
      </c>
      <c r="P37" s="261">
        <f t="shared" si="4"/>
        <v>-1189786.32</v>
      </c>
    </row>
    <row r="38" spans="1:16" x14ac:dyDescent="0.25">
      <c r="A38" s="244" t="s">
        <v>36</v>
      </c>
      <c r="D38" s="256">
        <v>-169067.29</v>
      </c>
      <c r="E38" s="256">
        <v>-169067.29</v>
      </c>
      <c r="F38" s="256">
        <v>-169067.29</v>
      </c>
      <c r="G38" s="256">
        <v>-169067.29</v>
      </c>
      <c r="H38" s="256">
        <v>-169067.29</v>
      </c>
      <c r="I38" s="256">
        <v>-169067.29</v>
      </c>
      <c r="J38" s="256">
        <v>-169067.29</v>
      </c>
      <c r="K38" s="256">
        <v>-169067.29</v>
      </c>
      <c r="L38" s="256">
        <v>-169067.29</v>
      </c>
      <c r="M38" s="256">
        <v>-169067.29</v>
      </c>
      <c r="N38" s="256">
        <v>-169067.29</v>
      </c>
      <c r="O38" s="256">
        <v>-169067.29</v>
      </c>
      <c r="P38" s="261">
        <f t="shared" si="4"/>
        <v>-2028807.4800000002</v>
      </c>
    </row>
    <row r="39" spans="1:16" x14ac:dyDescent="0.25">
      <c r="A39" s="263" t="s">
        <v>2</v>
      </c>
      <c r="D39" s="260">
        <f>SUM(D26:D38)</f>
        <v>-20432883.243691895</v>
      </c>
      <c r="E39" s="260">
        <f t="shared" ref="E39:P39" si="5">SUM(E26:E38)</f>
        <v>-18381546.755776811</v>
      </c>
      <c r="F39" s="260">
        <f t="shared" si="5"/>
        <v>-16916014.933710765</v>
      </c>
      <c r="G39" s="260">
        <f t="shared" si="5"/>
        <v>-12445394.177514717</v>
      </c>
      <c r="H39" s="260">
        <f t="shared" si="5"/>
        <v>-8630438.1896548513</v>
      </c>
      <c r="I39" s="260">
        <f t="shared" si="5"/>
        <v>-6887304.1359090842</v>
      </c>
      <c r="J39" s="260">
        <f t="shared" si="5"/>
        <v>-5942980.94774801</v>
      </c>
      <c r="K39" s="260">
        <f t="shared" si="5"/>
        <v>-5982182.6301194904</v>
      </c>
      <c r="L39" s="260">
        <f t="shared" si="5"/>
        <v>-6986870.6436407836</v>
      </c>
      <c r="M39" s="260">
        <f t="shared" si="5"/>
        <v>-11422113.467987539</v>
      </c>
      <c r="N39" s="260">
        <f t="shared" si="5"/>
        <v>-16805074.611673843</v>
      </c>
      <c r="O39" s="260">
        <f t="shared" si="5"/>
        <v>-21051597.267321058</v>
      </c>
      <c r="P39" s="260">
        <f t="shared" si="5"/>
        <v>-151884401.00474885</v>
      </c>
    </row>
    <row r="41" spans="1:16" x14ac:dyDescent="0.25">
      <c r="A41" s="70" t="s">
        <v>395</v>
      </c>
    </row>
    <row r="43" spans="1:16" x14ac:dyDescent="0.25">
      <c r="A43" s="258" t="s">
        <v>393</v>
      </c>
      <c r="M43" s="36">
        <v>45566</v>
      </c>
      <c r="N43" s="37">
        <f t="shared" ref="N43:O43" si="6">EDATE(M43,1)</f>
        <v>45597</v>
      </c>
      <c r="O43" s="37">
        <f t="shared" si="6"/>
        <v>45627</v>
      </c>
      <c r="P43" s="38" t="s">
        <v>2</v>
      </c>
    </row>
    <row r="44" spans="1:16" x14ac:dyDescent="0.25">
      <c r="A44" s="244">
        <v>23</v>
      </c>
      <c r="M44" s="265">
        <f>M8+M26</f>
        <v>-10921263.117892601</v>
      </c>
      <c r="N44" s="265">
        <f>N26</f>
        <v>-10089394.785884367</v>
      </c>
      <c r="O44" s="265">
        <f>O26</f>
        <v>-13442827.371531587</v>
      </c>
      <c r="P44" s="261">
        <f>SUM(M44:O44)</f>
        <v>-34453485.275308549</v>
      </c>
    </row>
    <row r="45" spans="1:16" x14ac:dyDescent="0.25">
      <c r="A45" s="244">
        <v>16</v>
      </c>
      <c r="M45" s="265">
        <f t="shared" ref="M45:M56" si="7">M9+M27</f>
        <v>-167.53578947368425</v>
      </c>
      <c r="N45" s="265">
        <f t="shared" ref="N45:O56" si="8">N27</f>
        <v>-91.745789473684226</v>
      </c>
      <c r="O45" s="265">
        <f t="shared" si="8"/>
        <v>-91.745789473684226</v>
      </c>
      <c r="P45" s="261">
        <f t="shared" ref="P45:P56" si="9">SUM(M45:O45)</f>
        <v>-351.0273684210527</v>
      </c>
    </row>
    <row r="46" spans="1:16" x14ac:dyDescent="0.25">
      <c r="A46" s="244">
        <v>31</v>
      </c>
      <c r="M46" s="265">
        <f t="shared" si="7"/>
        <v>-5510498.7207817798</v>
      </c>
      <c r="N46" s="265">
        <f t="shared" si="8"/>
        <v>-4304607.12</v>
      </c>
      <c r="O46" s="265">
        <f t="shared" si="8"/>
        <v>-5200311</v>
      </c>
      <c r="P46" s="261">
        <f t="shared" si="9"/>
        <v>-15015416.84078178</v>
      </c>
    </row>
    <row r="47" spans="1:16" x14ac:dyDescent="0.25">
      <c r="A47" s="244">
        <v>41</v>
      </c>
      <c r="M47" s="265">
        <f t="shared" si="7"/>
        <v>-1475578.7200000002</v>
      </c>
      <c r="N47" s="265">
        <f t="shared" si="8"/>
        <v>-806208.48</v>
      </c>
      <c r="O47" s="265">
        <f t="shared" si="8"/>
        <v>-803590.91999999993</v>
      </c>
      <c r="P47" s="261">
        <f t="shared" si="9"/>
        <v>-3085378.12</v>
      </c>
    </row>
    <row r="48" spans="1:16" x14ac:dyDescent="0.25">
      <c r="A48" s="244">
        <v>85</v>
      </c>
      <c r="M48" s="265">
        <f t="shared" si="7"/>
        <v>-343146.7</v>
      </c>
      <c r="N48" s="265">
        <f t="shared" si="8"/>
        <v>-187299.20000000001</v>
      </c>
      <c r="O48" s="265">
        <f t="shared" si="8"/>
        <v>-187299.20000000001</v>
      </c>
      <c r="P48" s="261">
        <f t="shared" si="9"/>
        <v>-717745.10000000009</v>
      </c>
    </row>
    <row r="49" spans="1:16" x14ac:dyDescent="0.25">
      <c r="A49" s="244">
        <v>86</v>
      </c>
      <c r="M49" s="265">
        <f t="shared" si="7"/>
        <v>-115635.95999999999</v>
      </c>
      <c r="N49" s="265">
        <f t="shared" si="8"/>
        <v>-62622</v>
      </c>
      <c r="O49" s="265">
        <f t="shared" si="8"/>
        <v>-62622</v>
      </c>
      <c r="P49" s="261">
        <f t="shared" si="9"/>
        <v>-240879.96</v>
      </c>
    </row>
    <row r="50" spans="1:16" x14ac:dyDescent="0.25">
      <c r="A50" s="244">
        <v>87</v>
      </c>
      <c r="M50" s="265">
        <f t="shared" si="7"/>
        <v>-37180.61</v>
      </c>
      <c r="N50" s="265">
        <f t="shared" si="8"/>
        <v>-20296.77</v>
      </c>
      <c r="O50" s="265">
        <f t="shared" si="8"/>
        <v>-20296.77</v>
      </c>
      <c r="P50" s="261">
        <f t="shared" si="9"/>
        <v>-77774.150000000009</v>
      </c>
    </row>
    <row r="51" spans="1:16" x14ac:dyDescent="0.25">
      <c r="A51" s="244" t="s">
        <v>27</v>
      </c>
      <c r="M51" s="265">
        <f t="shared" si="7"/>
        <v>-23.095776974198632</v>
      </c>
      <c r="N51" s="265">
        <f t="shared" si="8"/>
        <v>-18.059999999999999</v>
      </c>
      <c r="O51" s="265">
        <f t="shared" si="8"/>
        <v>-21.81</v>
      </c>
      <c r="P51" s="261">
        <f t="shared" si="9"/>
        <v>-62.965776974198633</v>
      </c>
    </row>
    <row r="52" spans="1:16" x14ac:dyDescent="0.25">
      <c r="A52" s="244" t="s">
        <v>29</v>
      </c>
      <c r="M52" s="265">
        <f t="shared" si="7"/>
        <v>-512480.48</v>
      </c>
      <c r="N52" s="265">
        <f t="shared" si="8"/>
        <v>-281190.65999999997</v>
      </c>
      <c r="O52" s="265">
        <f t="shared" si="8"/>
        <v>-281190.65999999997</v>
      </c>
      <c r="P52" s="261">
        <f t="shared" si="9"/>
        <v>-1074861.7999999998</v>
      </c>
    </row>
    <row r="53" spans="1:16" x14ac:dyDescent="0.25">
      <c r="A53" s="244" t="s">
        <v>31</v>
      </c>
      <c r="M53" s="265">
        <f t="shared" si="7"/>
        <v>-1402700.2000000002</v>
      </c>
      <c r="N53" s="265">
        <f t="shared" si="8"/>
        <v>-769436.34000000008</v>
      </c>
      <c r="O53" s="265">
        <f t="shared" si="8"/>
        <v>-769436.34000000008</v>
      </c>
      <c r="P53" s="261">
        <f t="shared" si="9"/>
        <v>-2941572.88</v>
      </c>
    </row>
    <row r="54" spans="1:16" x14ac:dyDescent="0.25">
      <c r="A54" s="244" t="s">
        <v>33</v>
      </c>
      <c r="M54" s="265">
        <f t="shared" si="7"/>
        <v>-28641.06</v>
      </c>
      <c r="N54" s="265">
        <f t="shared" si="8"/>
        <v>-15693.300000000001</v>
      </c>
      <c r="O54" s="265">
        <f t="shared" si="8"/>
        <v>-15693.300000000001</v>
      </c>
      <c r="P54" s="261">
        <f t="shared" si="9"/>
        <v>-60027.66</v>
      </c>
    </row>
    <row r="55" spans="1:16" x14ac:dyDescent="0.25">
      <c r="A55" s="244" t="s">
        <v>35</v>
      </c>
      <c r="M55" s="265">
        <f t="shared" si="7"/>
        <v>-509763.99</v>
      </c>
      <c r="N55" s="265">
        <f t="shared" si="8"/>
        <v>-99148.860000000015</v>
      </c>
      <c r="O55" s="265">
        <f t="shared" si="8"/>
        <v>-99148.860000000015</v>
      </c>
      <c r="P55" s="261">
        <f t="shared" si="9"/>
        <v>-708061.71</v>
      </c>
    </row>
    <row r="56" spans="1:16" x14ac:dyDescent="0.25">
      <c r="A56" s="244" t="s">
        <v>36</v>
      </c>
      <c r="M56" s="265">
        <f t="shared" si="7"/>
        <v>-305830.49</v>
      </c>
      <c r="N56" s="265">
        <f t="shared" si="8"/>
        <v>-169067.29</v>
      </c>
      <c r="O56" s="265">
        <f t="shared" si="8"/>
        <v>-169067.29</v>
      </c>
      <c r="P56" s="261">
        <f t="shared" si="9"/>
        <v>-643965.07000000007</v>
      </c>
    </row>
    <row r="57" spans="1:16" x14ac:dyDescent="0.25">
      <c r="A57" s="263" t="s">
        <v>2</v>
      </c>
      <c r="M57" s="260">
        <f>SUM(M44:M56)</f>
        <v>-21162910.680240821</v>
      </c>
      <c r="N57" s="260">
        <f>SUM(N44:N56)</f>
        <v>-16805074.611673843</v>
      </c>
      <c r="O57" s="260">
        <f>SUM(O44:O56)</f>
        <v>-21051597.267321058</v>
      </c>
      <c r="P57" s="260">
        <f>SUM(P44:P56)</f>
        <v>-59019582.559235714</v>
      </c>
    </row>
  </sheetData>
  <pageMargins left="0.7" right="0.7" top="0.75" bottom="0.75" header="0.3" footer="0.3"/>
  <pageSetup scale="56" orientation="landscape" horizontalDpi="90" verticalDpi="9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90" zoomScaleNormal="90" workbookViewId="0">
      <selection activeCell="E27" sqref="E27"/>
    </sheetView>
  </sheetViews>
  <sheetFormatPr defaultRowHeight="15" x14ac:dyDescent="0.25"/>
  <cols>
    <col min="1" max="1" width="30.28515625" customWidth="1"/>
    <col min="2" max="2" width="12.85546875" bestFit="1" customWidth="1"/>
    <col min="3" max="3" width="13.28515625" bestFit="1" customWidth="1"/>
    <col min="4" max="6" width="14" bestFit="1" customWidth="1"/>
    <col min="7" max="7" width="14.5703125" bestFit="1" customWidth="1"/>
    <col min="8" max="8" width="14.42578125" bestFit="1" customWidth="1"/>
  </cols>
  <sheetData>
    <row r="1" spans="1:8" x14ac:dyDescent="0.25">
      <c r="A1" t="s">
        <v>0</v>
      </c>
    </row>
    <row r="2" spans="1:8" x14ac:dyDescent="0.25">
      <c r="A2" t="s">
        <v>396</v>
      </c>
    </row>
    <row r="3" spans="1:8" x14ac:dyDescent="0.25">
      <c r="A3" t="s">
        <v>391</v>
      </c>
    </row>
    <row r="5" spans="1:8" x14ac:dyDescent="0.25">
      <c r="B5" s="36">
        <v>45139</v>
      </c>
      <c r="C5" s="37">
        <f>EDATE(B5,1)</f>
        <v>45170</v>
      </c>
      <c r="D5" s="37">
        <f t="shared" ref="D5:F5" si="0">EDATE(C5,1)</f>
        <v>45200</v>
      </c>
      <c r="E5" s="37">
        <f t="shared" si="0"/>
        <v>45231</v>
      </c>
      <c r="F5" s="37">
        <f t="shared" si="0"/>
        <v>45261</v>
      </c>
      <c r="G5" s="38" t="s">
        <v>2</v>
      </c>
      <c r="H5" s="226" t="s">
        <v>98</v>
      </c>
    </row>
    <row r="6" spans="1:8" x14ac:dyDescent="0.25">
      <c r="A6" t="s">
        <v>397</v>
      </c>
      <c r="B6" s="253">
        <v>8935068.5657858662</v>
      </c>
      <c r="C6" s="253">
        <v>11267244.955043621</v>
      </c>
      <c r="D6" s="253">
        <v>19240817.511807978</v>
      </c>
      <c r="E6" s="253">
        <v>29024539.899225626</v>
      </c>
      <c r="F6" s="253">
        <v>36294209.234210074</v>
      </c>
      <c r="G6" s="261">
        <f>SUM(B6:F6)</f>
        <v>104761880.16607316</v>
      </c>
      <c r="H6" s="261">
        <v>0</v>
      </c>
    </row>
    <row r="7" spans="1:8" x14ac:dyDescent="0.25">
      <c r="A7" t="s">
        <v>398</v>
      </c>
      <c r="B7" s="253">
        <v>-73597.15585570519</v>
      </c>
      <c r="C7" s="253">
        <v>-106291.14190120024</v>
      </c>
      <c r="D7" s="253">
        <v>-245017.6127296632</v>
      </c>
      <c r="E7" s="253">
        <v>-406880.31993619638</v>
      </c>
      <c r="F7" s="253">
        <v>-531132.6181074268</v>
      </c>
      <c r="G7" s="261">
        <f t="shared" ref="G7:G8" si="1">SUM(B7:F7)</f>
        <v>-1362918.8485301919</v>
      </c>
      <c r="H7" s="261">
        <v>0</v>
      </c>
    </row>
    <row r="8" spans="1:8" x14ac:dyDescent="0.25">
      <c r="A8" t="s">
        <v>393</v>
      </c>
      <c r="B8" s="253">
        <v>-8094831.4638132891</v>
      </c>
      <c r="C8" s="253">
        <v>-9594703.9778054636</v>
      </c>
      <c r="D8" s="253">
        <v>-16061575.923935313</v>
      </c>
      <c r="E8" s="253">
        <v>-23553916.748106681</v>
      </c>
      <c r="F8" s="253">
        <v>-29382467.561996926</v>
      </c>
      <c r="G8" s="261">
        <f t="shared" si="1"/>
        <v>-86687495.675657675</v>
      </c>
      <c r="H8" s="261">
        <v>-111753.14565768838</v>
      </c>
    </row>
    <row r="9" spans="1:8" x14ac:dyDescent="0.25">
      <c r="A9" t="s">
        <v>399</v>
      </c>
      <c r="B9" s="260">
        <f>SUM(B6:B8)</f>
        <v>766639.9461168712</v>
      </c>
      <c r="C9" s="260">
        <f t="shared" ref="C9:F9" si="2">SUM(C6:C8)</f>
        <v>1566249.8353369571</v>
      </c>
      <c r="D9" s="260">
        <f t="shared" si="2"/>
        <v>2934223.9751430005</v>
      </c>
      <c r="E9" s="260">
        <f t="shared" si="2"/>
        <v>5063742.8311827481</v>
      </c>
      <c r="F9" s="260">
        <f t="shared" si="2"/>
        <v>6380609.0541057251</v>
      </c>
      <c r="G9" s="260">
        <f>SUM(B9:F9)</f>
        <v>16711465.641885303</v>
      </c>
      <c r="H9" s="181"/>
    </row>
    <row r="14" spans="1:8" x14ac:dyDescent="0.25">
      <c r="A14" s="258" t="s">
        <v>393</v>
      </c>
      <c r="B14" s="36">
        <v>45139</v>
      </c>
      <c r="C14" s="37">
        <f>EDATE(B14,1)</f>
        <v>45170</v>
      </c>
      <c r="D14" s="37">
        <f t="shared" ref="D14:F14" si="3">EDATE(C14,1)</f>
        <v>45200</v>
      </c>
      <c r="E14" s="37">
        <f t="shared" si="3"/>
        <v>45231</v>
      </c>
      <c r="F14" s="37">
        <f t="shared" si="3"/>
        <v>45261</v>
      </c>
      <c r="G14" s="38" t="s">
        <v>2</v>
      </c>
    </row>
    <row r="15" spans="1:8" x14ac:dyDescent="0.25">
      <c r="A15" s="244">
        <v>23</v>
      </c>
      <c r="B15" s="261">
        <v>-2601208.2763719452</v>
      </c>
      <c r="C15" s="261">
        <v>-3761104.650816719</v>
      </c>
      <c r="D15" s="261">
        <v>-8698111.7467596661</v>
      </c>
      <c r="E15" s="261">
        <v>-14483115.18330545</v>
      </c>
      <c r="F15" s="261">
        <v>-18938735.518102076</v>
      </c>
      <c r="G15" s="261">
        <f>SUM(B15:F15)</f>
        <v>-48482275.375355855</v>
      </c>
    </row>
    <row r="16" spans="1:8" x14ac:dyDescent="0.25">
      <c r="A16" s="244">
        <v>16</v>
      </c>
      <c r="B16" s="261">
        <v>-120.28</v>
      </c>
      <c r="C16" s="261">
        <v>-120.28</v>
      </c>
      <c r="D16" s="261">
        <v>-120.28</v>
      </c>
      <c r="E16" s="261">
        <v>-120.28</v>
      </c>
      <c r="F16" s="261">
        <v>-120.28</v>
      </c>
      <c r="G16" s="261">
        <f t="shared" ref="G16:G27" si="4">SUM(B16:F16)</f>
        <v>-601.4</v>
      </c>
    </row>
    <row r="17" spans="1:8" x14ac:dyDescent="0.25">
      <c r="A17" s="244">
        <v>31</v>
      </c>
      <c r="B17" s="261">
        <v>-1994190.4634066033</v>
      </c>
      <c r="C17" s="261">
        <v>-2334006.4727743589</v>
      </c>
      <c r="D17" s="261">
        <v>-3862867.6122657992</v>
      </c>
      <c r="E17" s="261">
        <v>-5569909.9630212924</v>
      </c>
      <c r="F17" s="261">
        <v>-6942764.5188337564</v>
      </c>
      <c r="G17" s="261">
        <f t="shared" si="4"/>
        <v>-20703739.030301809</v>
      </c>
    </row>
    <row r="18" spans="1:8" x14ac:dyDescent="0.25">
      <c r="A18" s="244">
        <v>41</v>
      </c>
      <c r="B18" s="261">
        <v>-1159754.4000000001</v>
      </c>
      <c r="C18" s="261">
        <v>-1160674.8400000001</v>
      </c>
      <c r="D18" s="261">
        <v>-1161595.28</v>
      </c>
      <c r="E18" s="261">
        <v>-1162515.72</v>
      </c>
      <c r="F18" s="261">
        <v>-1162515.72</v>
      </c>
      <c r="G18" s="261">
        <f t="shared" si="4"/>
        <v>-5807055.96</v>
      </c>
    </row>
    <row r="19" spans="1:8" x14ac:dyDescent="0.25">
      <c r="A19" s="244">
        <v>85</v>
      </c>
      <c r="B19" s="261">
        <v>-163076.57</v>
      </c>
      <c r="C19" s="261">
        <v>-163076.57</v>
      </c>
      <c r="D19" s="261">
        <v>-163076.57</v>
      </c>
      <c r="E19" s="261">
        <v>-163076.57</v>
      </c>
      <c r="F19" s="261">
        <v>-163076.57</v>
      </c>
      <c r="G19" s="261">
        <f t="shared" si="4"/>
        <v>-815382.85000000009</v>
      </c>
    </row>
    <row r="20" spans="1:8" x14ac:dyDescent="0.25">
      <c r="A20" s="244">
        <v>86</v>
      </c>
      <c r="B20" s="261">
        <v>-83807.03</v>
      </c>
      <c r="C20" s="261">
        <v>-82943.040000000008</v>
      </c>
      <c r="D20" s="261">
        <v>-82943.040000000008</v>
      </c>
      <c r="E20" s="261">
        <v>-82079.05</v>
      </c>
      <c r="F20" s="261">
        <v>-82079.05</v>
      </c>
      <c r="G20" s="261">
        <f t="shared" si="4"/>
        <v>-413851.21</v>
      </c>
    </row>
    <row r="21" spans="1:8" x14ac:dyDescent="0.25">
      <c r="A21" s="244">
        <v>87</v>
      </c>
      <c r="B21" s="261">
        <v>-21600.26</v>
      </c>
      <c r="C21" s="261">
        <v>-21600.26</v>
      </c>
      <c r="D21" s="261">
        <v>-21600.26</v>
      </c>
      <c r="E21" s="261">
        <v>-21600.26</v>
      </c>
      <c r="F21" s="261">
        <v>-21600.26</v>
      </c>
      <c r="G21" s="261">
        <f t="shared" si="4"/>
        <v>-108001.29999999999</v>
      </c>
    </row>
    <row r="22" spans="1:8" x14ac:dyDescent="0.25">
      <c r="A22" s="244" t="s">
        <v>27</v>
      </c>
      <c r="B22" s="261">
        <v>-374.51403474010959</v>
      </c>
      <c r="C22" s="261">
        <v>-478.19421438478304</v>
      </c>
      <c r="D22" s="261">
        <v>-561.46490984743411</v>
      </c>
      <c r="E22" s="261">
        <v>-800.05177993527491</v>
      </c>
      <c r="F22" s="261">
        <v>-875.97506109239805</v>
      </c>
      <c r="G22" s="261">
        <f t="shared" si="4"/>
        <v>-3090.1999999999994</v>
      </c>
    </row>
    <row r="23" spans="1:8" x14ac:dyDescent="0.25">
      <c r="A23" s="244" t="s">
        <v>29</v>
      </c>
      <c r="B23" s="261">
        <v>-391710.60000000003</v>
      </c>
      <c r="C23" s="261">
        <v>-391710.60000000003</v>
      </c>
      <c r="D23" s="261">
        <v>-391710.60000000003</v>
      </c>
      <c r="E23" s="261">
        <v>-391710.60000000003</v>
      </c>
      <c r="F23" s="261">
        <v>-391710.60000000003</v>
      </c>
      <c r="G23" s="261">
        <f t="shared" si="4"/>
        <v>-1958553.0000000002</v>
      </c>
    </row>
    <row r="24" spans="1:8" x14ac:dyDescent="0.25">
      <c r="A24" s="244" t="s">
        <v>31</v>
      </c>
      <c r="B24" s="261">
        <v>-1147403.8400000001</v>
      </c>
      <c r="C24" s="261">
        <v>-1147403.8400000001</v>
      </c>
      <c r="D24" s="261">
        <v>-1147403.8400000001</v>
      </c>
      <c r="E24" s="261">
        <v>-1147403.8400000001</v>
      </c>
      <c r="F24" s="261">
        <v>-1147403.8400000001</v>
      </c>
      <c r="G24" s="261">
        <f t="shared" si="4"/>
        <v>-5737019.2000000002</v>
      </c>
    </row>
    <row r="25" spans="1:8" x14ac:dyDescent="0.25">
      <c r="A25" s="244" t="s">
        <v>33</v>
      </c>
      <c r="B25" s="261">
        <v>-22521.300000000003</v>
      </c>
      <c r="C25" s="261">
        <v>-22521.300000000003</v>
      </c>
      <c r="D25" s="261">
        <v>-22521.300000000003</v>
      </c>
      <c r="E25" s="261">
        <v>-22521.300000000003</v>
      </c>
      <c r="F25" s="261">
        <v>-22521.300000000003</v>
      </c>
      <c r="G25" s="261">
        <f t="shared" si="4"/>
        <v>-112606.50000000001</v>
      </c>
    </row>
    <row r="26" spans="1:8" x14ac:dyDescent="0.25">
      <c r="A26" s="244" t="s">
        <v>35</v>
      </c>
      <c r="B26" s="261">
        <v>-234918.09</v>
      </c>
      <c r="C26" s="261">
        <v>-234918.09</v>
      </c>
      <c r="D26" s="261">
        <v>-234918.09</v>
      </c>
      <c r="E26" s="261">
        <v>-234918.09</v>
      </c>
      <c r="F26" s="261">
        <v>-234918.09</v>
      </c>
      <c r="G26" s="261">
        <f t="shared" si="4"/>
        <v>-1174590.45</v>
      </c>
    </row>
    <row r="27" spans="1:8" x14ac:dyDescent="0.25">
      <c r="A27" s="244" t="s">
        <v>36</v>
      </c>
      <c r="B27" s="261">
        <v>-274145.84000000003</v>
      </c>
      <c r="C27" s="261">
        <v>-274145.84000000003</v>
      </c>
      <c r="D27" s="261">
        <v>-274145.84000000003</v>
      </c>
      <c r="E27" s="261">
        <v>-274145.84000000003</v>
      </c>
      <c r="F27" s="261">
        <v>-274145.84000000003</v>
      </c>
      <c r="G27" s="261">
        <f t="shared" si="4"/>
        <v>-1370729.2000000002</v>
      </c>
    </row>
    <row r="28" spans="1:8" x14ac:dyDescent="0.25">
      <c r="A28" s="263" t="s">
        <v>2</v>
      </c>
      <c r="B28" s="260">
        <f>SUM(B15:B27)</f>
        <v>-8094831.4638132872</v>
      </c>
      <c r="C28" s="260">
        <f t="shared" ref="C28:G28" si="5">SUM(C15:C27)</f>
        <v>-9594703.9778054636</v>
      </c>
      <c r="D28" s="260">
        <f t="shared" si="5"/>
        <v>-16061575.923935311</v>
      </c>
      <c r="E28" s="260">
        <f t="shared" si="5"/>
        <v>-23553916.748106681</v>
      </c>
      <c r="F28" s="260">
        <f t="shared" si="5"/>
        <v>-29382467.561996929</v>
      </c>
      <c r="G28" s="260">
        <f t="shared" si="5"/>
        <v>-86687495.675657645</v>
      </c>
      <c r="H28" s="261">
        <f>G28-G8</f>
        <v>0</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90" zoomScaleNormal="90" workbookViewId="0">
      <selection activeCell="D16" sqref="D16"/>
    </sheetView>
  </sheetViews>
  <sheetFormatPr defaultColWidth="9.140625" defaultRowHeight="15" x14ac:dyDescent="0.25"/>
  <cols>
    <col min="1" max="1" width="4.42578125" style="1" customWidth="1"/>
    <col min="2" max="2" width="38.28515625" style="1" customWidth="1"/>
    <col min="3" max="3" width="13.28515625" style="1" customWidth="1"/>
    <col min="4" max="4" width="15.28515625" style="1" customWidth="1"/>
    <col min="5" max="5" width="15.85546875" style="1" customWidth="1"/>
    <col min="6" max="6" width="12.42578125" style="1" customWidth="1"/>
    <col min="7" max="16384" width="9.140625" style="1"/>
  </cols>
  <sheetData>
    <row r="1" spans="1:15" x14ac:dyDescent="0.25">
      <c r="A1" s="2" t="s">
        <v>0</v>
      </c>
      <c r="B1" s="2"/>
      <c r="C1" s="2"/>
      <c r="D1" s="2"/>
      <c r="E1" s="2"/>
      <c r="F1" s="2"/>
    </row>
    <row r="2" spans="1:15" x14ac:dyDescent="0.25">
      <c r="A2" s="2" t="str">
        <f>'Sch. 111 Charge Rates'!A2</f>
        <v>2024 Gas Schedule 111 Greenhouse Gas Emissions Cap and Invest Adjustment Filing</v>
      </c>
      <c r="B2" s="2"/>
      <c r="C2" s="2"/>
      <c r="D2" s="2"/>
      <c r="E2" s="2"/>
      <c r="F2" s="2"/>
    </row>
    <row r="3" spans="1:15" x14ac:dyDescent="0.25">
      <c r="A3" s="50" t="s">
        <v>81</v>
      </c>
      <c r="B3" s="2"/>
      <c r="C3" s="2"/>
      <c r="D3" s="2"/>
      <c r="E3" s="2"/>
      <c r="F3" s="2"/>
    </row>
    <row r="4" spans="1:15" x14ac:dyDescent="0.25">
      <c r="A4" s="2" t="str">
        <f>'Sch. 111 Charge Rates'!A4:H4</f>
        <v>Proposed Rates Effective January 1, 2025</v>
      </c>
      <c r="B4" s="2"/>
      <c r="C4" s="2"/>
      <c r="D4" s="2"/>
      <c r="E4" s="2"/>
      <c r="F4" s="2"/>
    </row>
    <row r="5" spans="1:15" ht="13.5" customHeight="1" x14ac:dyDescent="0.25">
      <c r="E5" s="4"/>
      <c r="F5" s="4"/>
    </row>
    <row r="6" spans="1:15" ht="13.5" customHeight="1" x14ac:dyDescent="0.25">
      <c r="E6" s="51" t="s">
        <v>83</v>
      </c>
      <c r="F6" s="51" t="s">
        <v>58</v>
      </c>
    </row>
    <row r="7" spans="1:15" ht="17.25" x14ac:dyDescent="0.25">
      <c r="B7" s="4"/>
      <c r="C7" s="4"/>
      <c r="D7" s="23" t="s">
        <v>61</v>
      </c>
      <c r="E7" s="51" t="s">
        <v>4</v>
      </c>
      <c r="F7" s="4" t="s">
        <v>5</v>
      </c>
    </row>
    <row r="8" spans="1:15" x14ac:dyDescent="0.25">
      <c r="A8" s="47" t="s">
        <v>1</v>
      </c>
      <c r="B8" s="4"/>
      <c r="C8" s="4"/>
      <c r="D8" s="82" t="str">
        <f>'Sch. 111 Charge Rates'!D8</f>
        <v>Jan. 2025 -</v>
      </c>
      <c r="E8" s="51" t="s">
        <v>10</v>
      </c>
      <c r="F8" s="23" t="s">
        <v>60</v>
      </c>
    </row>
    <row r="9" spans="1:15" x14ac:dyDescent="0.25">
      <c r="A9" s="6" t="s">
        <v>6</v>
      </c>
      <c r="B9" s="6" t="s">
        <v>7</v>
      </c>
      <c r="C9" s="6" t="s">
        <v>8</v>
      </c>
      <c r="D9" s="38" t="str">
        <f>'Sch. 111 Charge Rates'!D9</f>
        <v>Dec. 2025</v>
      </c>
      <c r="E9" s="52" t="s">
        <v>84</v>
      </c>
      <c r="F9" s="52" t="s">
        <v>84</v>
      </c>
    </row>
    <row r="10" spans="1:15" x14ac:dyDescent="0.25">
      <c r="B10" s="47" t="s">
        <v>12</v>
      </c>
      <c r="C10" s="47" t="s">
        <v>13</v>
      </c>
      <c r="D10" s="7" t="s">
        <v>14</v>
      </c>
      <c r="E10" s="23" t="s">
        <v>15</v>
      </c>
      <c r="F10" s="7" t="s">
        <v>16</v>
      </c>
      <c r="G10" s="3"/>
    </row>
    <row r="11" spans="1:15" x14ac:dyDescent="0.25">
      <c r="A11" s="47">
        <v>1</v>
      </c>
      <c r="B11" s="31" t="s">
        <v>52</v>
      </c>
      <c r="C11" s="47">
        <v>23</v>
      </c>
      <c r="D11" s="8">
        <f>'Low Income Forecast'!N9</f>
        <v>21094771.470028158</v>
      </c>
      <c r="E11" s="10">
        <f>D11*F11</f>
        <v>-3399422.4223950375</v>
      </c>
      <c r="F11" s="62">
        <f>-'Sch. 111 Charge Rates'!G11</f>
        <v>-0.16114999999999999</v>
      </c>
    </row>
    <row r="12" spans="1:15" x14ac:dyDescent="0.25">
      <c r="D12" s="22"/>
    </row>
    <row r="13" spans="1:15" ht="58.5" customHeight="1" x14ac:dyDescent="0.25">
      <c r="B13" s="306" t="s">
        <v>441</v>
      </c>
      <c r="C13" s="306"/>
      <c r="D13" s="306"/>
      <c r="E13" s="306"/>
      <c r="F13" s="306"/>
      <c r="G13" s="188"/>
      <c r="H13" s="188"/>
      <c r="I13" s="188"/>
      <c r="J13" s="188"/>
      <c r="K13" s="188"/>
      <c r="L13" s="188"/>
      <c r="M13" s="188"/>
      <c r="N13" s="188"/>
      <c r="O13" s="188"/>
    </row>
    <row r="14" spans="1:15" x14ac:dyDescent="0.25">
      <c r="B14" s="86"/>
      <c r="C14" s="86"/>
      <c r="D14" s="86"/>
      <c r="E14" s="86"/>
      <c r="F14" s="86"/>
      <c r="G14" s="86"/>
      <c r="H14" s="86"/>
      <c r="I14" s="86"/>
      <c r="J14" s="86"/>
      <c r="K14" s="86"/>
      <c r="L14" s="86"/>
      <c r="M14" s="86"/>
      <c r="N14" s="86"/>
      <c r="O14" s="86"/>
    </row>
    <row r="15" spans="1:15" x14ac:dyDescent="0.25">
      <c r="B15" s="86"/>
      <c r="C15" s="86"/>
      <c r="D15" s="86"/>
      <c r="E15" s="86"/>
      <c r="F15" s="86"/>
      <c r="G15" s="86"/>
      <c r="H15" s="86"/>
      <c r="I15" s="86"/>
      <c r="J15" s="86"/>
      <c r="K15" s="86"/>
      <c r="L15" s="86"/>
      <c r="M15" s="86"/>
      <c r="N15" s="86"/>
      <c r="O15" s="86"/>
    </row>
    <row r="16" spans="1:15" x14ac:dyDescent="0.25">
      <c r="B16" s="86"/>
      <c r="C16" s="86"/>
      <c r="D16" s="86"/>
      <c r="E16" s="86"/>
      <c r="F16" s="86"/>
    </row>
    <row r="17" spans="2:6" x14ac:dyDescent="0.25">
      <c r="B17" s="86"/>
      <c r="C17" s="86"/>
      <c r="D17" s="86"/>
      <c r="E17" s="86"/>
      <c r="F17" s="86"/>
    </row>
    <row r="18" spans="2:6" x14ac:dyDescent="0.25">
      <c r="B18" s="86"/>
      <c r="C18" s="86"/>
      <c r="D18" s="86"/>
      <c r="E18" s="86"/>
      <c r="F18" s="86"/>
    </row>
  </sheetData>
  <mergeCells count="1">
    <mergeCell ref="B13:F13"/>
  </mergeCells>
  <printOptions horizontalCentered="1"/>
  <pageMargins left="0.45" right="0.45" top="0.75" bottom="0.75" header="0.3" footer="0.3"/>
  <pageSetup orientation="landscape" blackAndWhite="1" r:id="rId1"/>
  <headerFooter>
    <oddFooter>&amp;L&amp;F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zoomScale="90" zoomScaleNormal="90" workbookViewId="0">
      <selection activeCell="H35" sqref="H35"/>
    </sheetView>
  </sheetViews>
  <sheetFormatPr defaultColWidth="9.140625" defaultRowHeight="15" x14ac:dyDescent="0.25"/>
  <cols>
    <col min="1" max="1" width="4.42578125" style="31" customWidth="1"/>
    <col min="2" max="2" width="38.28515625" style="31" customWidth="1"/>
    <col min="3" max="3" width="11" style="31" customWidth="1"/>
    <col min="4" max="4" width="15.42578125" style="31" customWidth="1"/>
    <col min="5" max="5" width="11.28515625" style="31" customWidth="1"/>
    <col min="6" max="8" width="16.140625" style="31" customWidth="1"/>
    <col min="9" max="9" width="11.5703125" style="31" bestFit="1" customWidth="1"/>
    <col min="10" max="10" width="14.7109375" style="31" customWidth="1"/>
    <col min="11" max="11" width="9.140625" style="31"/>
    <col min="12" max="12" width="12.85546875" style="31" bestFit="1" customWidth="1"/>
    <col min="13" max="13" width="9.140625" style="31"/>
    <col min="14" max="14" width="14" style="31" bestFit="1" customWidth="1"/>
    <col min="15" max="15" width="11.140625" style="31" bestFit="1" customWidth="1"/>
    <col min="16" max="16" width="11.7109375" style="31" bestFit="1" customWidth="1"/>
    <col min="17" max="16384" width="9.140625" style="31"/>
  </cols>
  <sheetData>
    <row r="1" spans="1:16" x14ac:dyDescent="0.25">
      <c r="A1" s="50" t="s">
        <v>0</v>
      </c>
      <c r="B1" s="50"/>
      <c r="C1" s="50"/>
      <c r="D1" s="50"/>
      <c r="E1" s="50"/>
      <c r="F1" s="50"/>
      <c r="G1" s="50"/>
      <c r="H1" s="50"/>
      <c r="I1" s="50"/>
      <c r="J1" s="50"/>
    </row>
    <row r="2" spans="1:16" x14ac:dyDescent="0.25">
      <c r="A2" s="50" t="str">
        <f>'Sch. 111 Charge Rates'!A2</f>
        <v>2024 Gas Schedule 111 Greenhouse Gas Emissions Cap and Invest Adjustment Filing</v>
      </c>
      <c r="B2" s="50"/>
      <c r="C2" s="50"/>
      <c r="D2" s="50"/>
      <c r="E2" s="50"/>
      <c r="F2" s="50"/>
      <c r="G2" s="50"/>
      <c r="H2" s="50"/>
      <c r="I2" s="50"/>
      <c r="J2" s="50"/>
    </row>
    <row r="3" spans="1:16" x14ac:dyDescent="0.25">
      <c r="A3" s="50" t="s">
        <v>82</v>
      </c>
      <c r="B3" s="50"/>
      <c r="C3" s="50"/>
      <c r="D3" s="50"/>
      <c r="E3" s="50"/>
      <c r="F3" s="50"/>
      <c r="G3" s="50"/>
      <c r="H3" s="50"/>
      <c r="I3" s="50"/>
      <c r="J3" s="50"/>
    </row>
    <row r="4" spans="1:16" x14ac:dyDescent="0.25">
      <c r="A4" s="50" t="str">
        <f>'Sch. 111 Charge Rates'!A4:H4</f>
        <v>Proposed Rates Effective January 1, 2025</v>
      </c>
      <c r="B4" s="50"/>
      <c r="C4" s="50"/>
      <c r="D4" s="50"/>
      <c r="E4" s="50"/>
      <c r="F4" s="50"/>
      <c r="G4" s="50"/>
      <c r="H4" s="50"/>
      <c r="I4" s="50"/>
      <c r="J4" s="50"/>
    </row>
    <row r="5" spans="1:16" x14ac:dyDescent="0.25">
      <c r="A5" s="81"/>
      <c r="B5" s="81"/>
      <c r="C5" s="81"/>
      <c r="D5" s="81"/>
      <c r="E5" s="81"/>
      <c r="F5" s="81"/>
      <c r="G5" s="187"/>
      <c r="H5" s="187"/>
      <c r="I5" s="81"/>
      <c r="J5" s="81"/>
    </row>
    <row r="6" spans="1:16" ht="13.5" customHeight="1" x14ac:dyDescent="0.25">
      <c r="E6" s="51"/>
      <c r="F6" s="51" t="s">
        <v>83</v>
      </c>
      <c r="G6" s="51" t="s">
        <v>83</v>
      </c>
      <c r="H6" s="51" t="s">
        <v>83</v>
      </c>
      <c r="I6" s="51"/>
      <c r="J6" s="51" t="s">
        <v>58</v>
      </c>
    </row>
    <row r="7" spans="1:16" ht="17.25" x14ac:dyDescent="0.25">
      <c r="B7" s="51"/>
      <c r="C7" s="51"/>
      <c r="D7" s="23" t="s">
        <v>51</v>
      </c>
      <c r="E7" s="23"/>
      <c r="F7" s="51" t="s">
        <v>4</v>
      </c>
      <c r="G7" s="51" t="s">
        <v>248</v>
      </c>
      <c r="H7" s="51" t="s">
        <v>4</v>
      </c>
      <c r="I7" s="23" t="s">
        <v>64</v>
      </c>
      <c r="J7" s="23" t="s">
        <v>65</v>
      </c>
    </row>
    <row r="8" spans="1:16" x14ac:dyDescent="0.25">
      <c r="A8" s="48" t="s">
        <v>1</v>
      </c>
      <c r="B8" s="51"/>
      <c r="C8" s="51"/>
      <c r="D8" s="82" t="str">
        <f>'Sch. 111 Charge Rates'!D8</f>
        <v>Jan. 2025 -</v>
      </c>
      <c r="E8" s="23" t="s">
        <v>3</v>
      </c>
      <c r="F8" s="51" t="s">
        <v>10</v>
      </c>
      <c r="G8" s="51" t="s">
        <v>250</v>
      </c>
      <c r="H8" s="51" t="s">
        <v>10</v>
      </c>
      <c r="I8" s="23" t="s">
        <v>86</v>
      </c>
      <c r="J8" s="23" t="s">
        <v>88</v>
      </c>
    </row>
    <row r="9" spans="1:16" x14ac:dyDescent="0.25">
      <c r="A9" s="52" t="s">
        <v>6</v>
      </c>
      <c r="B9" s="52" t="s">
        <v>7</v>
      </c>
      <c r="C9" s="52" t="s">
        <v>8</v>
      </c>
      <c r="D9" s="38" t="str">
        <f>'Sch. 111 Charge Rates'!D9</f>
        <v>Dec. 2025</v>
      </c>
      <c r="E9" s="52" t="s">
        <v>9</v>
      </c>
      <c r="F9" s="52" t="s">
        <v>84</v>
      </c>
      <c r="G9" s="52" t="s">
        <v>249</v>
      </c>
      <c r="H9" s="52" t="s">
        <v>294</v>
      </c>
      <c r="I9" s="52" t="s">
        <v>87</v>
      </c>
      <c r="J9" s="52" t="s">
        <v>84</v>
      </c>
    </row>
    <row r="10" spans="1:16" x14ac:dyDescent="0.25">
      <c r="B10" s="63" t="s">
        <v>12</v>
      </c>
      <c r="C10" s="63" t="s">
        <v>13</v>
      </c>
      <c r="D10" s="7" t="s">
        <v>14</v>
      </c>
      <c r="E10" s="23" t="s">
        <v>15</v>
      </c>
      <c r="F10" s="7" t="s">
        <v>16</v>
      </c>
      <c r="G10" s="192" t="s">
        <v>17</v>
      </c>
      <c r="H10" s="192" t="s">
        <v>18</v>
      </c>
      <c r="I10" s="23" t="s">
        <v>91</v>
      </c>
      <c r="J10" s="65" t="s">
        <v>92</v>
      </c>
      <c r="K10" s="23"/>
    </row>
    <row r="11" spans="1:16" x14ac:dyDescent="0.25">
      <c r="A11" s="48">
        <v>1</v>
      </c>
      <c r="B11" s="31" t="s">
        <v>19</v>
      </c>
      <c r="C11" s="48">
        <v>23</v>
      </c>
      <c r="D11" s="8">
        <f>SUM('CCA Therm Forecast'!N104:N105)</f>
        <v>561027369.33016872</v>
      </c>
      <c r="E11" s="9">
        <f t="shared" ref="E11:E24" si="0">D11/$D$25</f>
        <v>0.57784195255373705</v>
      </c>
      <c r="F11" s="53">
        <f t="shared" ref="F11:F24" si="1">$F$29*E11</f>
        <v>-81305237.751895979</v>
      </c>
      <c r="G11" s="103">
        <f>'CCA NV Cred True Up'!M11</f>
        <v>-1352421.4517745674</v>
      </c>
      <c r="H11" s="53">
        <f>SUM(F11:G11)</f>
        <v>-82657659.203670546</v>
      </c>
      <c r="I11" s="182">
        <f>SUM('CCA Customer Forecast'!N123:N124)</f>
        <v>9234251</v>
      </c>
      <c r="J11" s="54">
        <f>ROUND(H11/I11,2)</f>
        <v>-8.9499999999999993</v>
      </c>
      <c r="L11" s="222"/>
    </row>
    <row r="12" spans="1:16" ht="17.25" x14ac:dyDescent="0.25">
      <c r="A12" s="48">
        <f>A11+1</f>
        <v>2</v>
      </c>
      <c r="B12" s="79" t="s">
        <v>68</v>
      </c>
      <c r="C12" s="48">
        <v>16</v>
      </c>
      <c r="D12" s="8">
        <f>'CCA Therm Forecast'!N103</f>
        <v>6156</v>
      </c>
      <c r="E12" s="49">
        <f t="shared" si="0"/>
        <v>6.3405018264400753E-6</v>
      </c>
      <c r="F12" s="53">
        <f t="shared" si="1"/>
        <v>-892.14015387209201</v>
      </c>
      <c r="G12" s="103">
        <f>'CCA NV Cred True Up'!M12</f>
        <v>-276.05109060677796</v>
      </c>
      <c r="H12" s="53">
        <f t="shared" ref="H12:H24" si="2">SUM(F12:G12)</f>
        <v>-1168.19124447887</v>
      </c>
      <c r="I12" s="182">
        <f>'F2024 Forecast'!N46</f>
        <v>324</v>
      </c>
      <c r="J12" s="54">
        <f t="shared" ref="J12:J24" si="3">ROUND(H12/I12,2)</f>
        <v>-3.61</v>
      </c>
      <c r="L12" s="222"/>
    </row>
    <row r="13" spans="1:16" x14ac:dyDescent="0.25">
      <c r="A13" s="48">
        <f t="shared" ref="A13:A29" si="4">A12+1</f>
        <v>3</v>
      </c>
      <c r="B13" s="31" t="s">
        <v>21</v>
      </c>
      <c r="C13" s="48">
        <v>31</v>
      </c>
      <c r="D13" s="8">
        <f>'CCA Therm Forecast'!N106</f>
        <v>224583212.92383128</v>
      </c>
      <c r="E13" s="9">
        <f t="shared" si="0"/>
        <v>0.23131420918312745</v>
      </c>
      <c r="F13" s="53">
        <f t="shared" si="1"/>
        <v>-32547060.125886232</v>
      </c>
      <c r="G13" s="103">
        <f>'CCA NV Cred True Up'!M13</f>
        <v>-4226423.8248614669</v>
      </c>
      <c r="H13" s="53">
        <f t="shared" si="2"/>
        <v>-36773483.950747699</v>
      </c>
      <c r="I13" s="182">
        <f>'CCA Customer Forecast'!N125</f>
        <v>670116</v>
      </c>
      <c r="J13" s="54">
        <f t="shared" si="3"/>
        <v>-54.88</v>
      </c>
      <c r="L13" s="222"/>
    </row>
    <row r="14" spans="1:16" x14ac:dyDescent="0.25">
      <c r="A14" s="48">
        <f t="shared" si="4"/>
        <v>4</v>
      </c>
      <c r="B14" s="31" t="s">
        <v>22</v>
      </c>
      <c r="C14" s="48">
        <v>41</v>
      </c>
      <c r="D14" s="8">
        <f>'CCA Therm Forecast'!N107</f>
        <v>61501849.973336771</v>
      </c>
      <c r="E14" s="9">
        <f t="shared" si="0"/>
        <v>6.3345125419978124E-2</v>
      </c>
      <c r="F14" s="53">
        <f t="shared" si="1"/>
        <v>-8912974.3175164051</v>
      </c>
      <c r="G14" s="103">
        <f>'CCA NV Cred True Up'!M14</f>
        <v>-2867372.0737055428</v>
      </c>
      <c r="H14" s="53">
        <f t="shared" si="2"/>
        <v>-11780346.391221948</v>
      </c>
      <c r="I14" s="182">
        <f>'CCA Customer Forecast'!N126</f>
        <v>15227</v>
      </c>
      <c r="J14" s="54">
        <f t="shared" si="3"/>
        <v>-773.65</v>
      </c>
      <c r="L14" s="222"/>
      <c r="N14" s="53"/>
      <c r="O14" s="223"/>
      <c r="P14" s="224"/>
    </row>
    <row r="15" spans="1:16" x14ac:dyDescent="0.25">
      <c r="A15" s="48">
        <f t="shared" si="4"/>
        <v>5</v>
      </c>
      <c r="B15" s="31" t="s">
        <v>23</v>
      </c>
      <c r="C15" s="48">
        <v>85</v>
      </c>
      <c r="D15" s="8">
        <f>'CCA Therm Forecast'!N108</f>
        <v>15156935.025856322</v>
      </c>
      <c r="E15" s="9">
        <f t="shared" si="0"/>
        <v>1.5611204388348857E-2</v>
      </c>
      <c r="F15" s="53">
        <f t="shared" si="1"/>
        <v>-2196574.1303113648</v>
      </c>
      <c r="G15" s="103">
        <f>'CCA NV Cred True Up'!M15</f>
        <v>-809590.99062216328</v>
      </c>
      <c r="H15" s="53">
        <f t="shared" si="2"/>
        <v>-3006165.1209335281</v>
      </c>
      <c r="I15" s="182">
        <f>'CCA Customer Forecast'!N127</f>
        <v>348</v>
      </c>
      <c r="J15" s="54">
        <f t="shared" si="3"/>
        <v>-8638.41</v>
      </c>
      <c r="L15" s="222"/>
    </row>
    <row r="16" spans="1:16" x14ac:dyDescent="0.25">
      <c r="A16" s="48">
        <f t="shared" si="4"/>
        <v>6</v>
      </c>
      <c r="B16" s="31" t="s">
        <v>24</v>
      </c>
      <c r="C16" s="48">
        <v>86</v>
      </c>
      <c r="D16" s="8">
        <f>'CCA Therm Forecast'!N109</f>
        <v>4983268.9311856451</v>
      </c>
      <c r="E16" s="9">
        <f t="shared" si="0"/>
        <v>5.1326227680027073E-3</v>
      </c>
      <c r="F16" s="53">
        <f t="shared" si="1"/>
        <v>-722185.56060006132</v>
      </c>
      <c r="G16" s="103">
        <f>'CCA NV Cred True Up'!M16</f>
        <v>-339753.5992134118</v>
      </c>
      <c r="H16" s="53">
        <f t="shared" si="2"/>
        <v>-1061939.159813473</v>
      </c>
      <c r="I16" s="182">
        <f>'CCA Customer Forecast'!N128</f>
        <v>1147</v>
      </c>
      <c r="J16" s="54">
        <f t="shared" si="3"/>
        <v>-925.84</v>
      </c>
      <c r="L16" s="222"/>
    </row>
    <row r="17" spans="1:16" x14ac:dyDescent="0.25">
      <c r="A17" s="48">
        <f t="shared" si="4"/>
        <v>7</v>
      </c>
      <c r="B17" s="31" t="s">
        <v>25</v>
      </c>
      <c r="C17" s="48">
        <v>87</v>
      </c>
      <c r="D17" s="8">
        <f>'CCA Therm Forecast'!N110</f>
        <v>156330.02262126503</v>
      </c>
      <c r="E17" s="9">
        <f t="shared" si="0"/>
        <v>1.6101539862858175E-4</v>
      </c>
      <c r="F17" s="53">
        <f t="shared" si="1"/>
        <v>-22655.667712177226</v>
      </c>
      <c r="G17" s="103">
        <f>'CCA NV Cred True Up'!M17</f>
        <v>-89334.46557418583</v>
      </c>
      <c r="H17" s="53">
        <f t="shared" si="2"/>
        <v>-111990.13328636305</v>
      </c>
      <c r="I17" s="182">
        <f>'CCA Customer Forecast'!N129</f>
        <v>12</v>
      </c>
      <c r="J17" s="54">
        <f t="shared" si="3"/>
        <v>-9332.51</v>
      </c>
      <c r="L17" s="222"/>
    </row>
    <row r="18" spans="1:16" x14ac:dyDescent="0.25">
      <c r="A18" s="48">
        <f t="shared" si="4"/>
        <v>8</v>
      </c>
      <c r="B18" s="31" t="s">
        <v>26</v>
      </c>
      <c r="C18" s="48" t="s">
        <v>27</v>
      </c>
      <c r="D18" s="8">
        <f>'CCA Therm Forecast'!N111</f>
        <v>0</v>
      </c>
      <c r="E18" s="9">
        <f t="shared" si="0"/>
        <v>0</v>
      </c>
      <c r="F18" s="53">
        <f t="shared" si="1"/>
        <v>0</v>
      </c>
      <c r="G18" s="103">
        <f>'CCA NV Cred True Up'!M18</f>
        <v>-1151.5742376222481</v>
      </c>
      <c r="H18" s="53">
        <f t="shared" si="2"/>
        <v>-1151.5742376222481</v>
      </c>
      <c r="I18" s="182">
        <f>'CCA Customer Forecast'!N130</f>
        <v>12</v>
      </c>
      <c r="J18" s="54">
        <f t="shared" si="3"/>
        <v>-95.96</v>
      </c>
      <c r="L18" s="222"/>
    </row>
    <row r="19" spans="1:16" x14ac:dyDescent="0.25">
      <c r="A19" s="48">
        <f t="shared" si="4"/>
        <v>9</v>
      </c>
      <c r="B19" s="31" t="s">
        <v>28</v>
      </c>
      <c r="C19" s="48" t="s">
        <v>29</v>
      </c>
      <c r="D19" s="8">
        <f>'CCA Therm Forecast'!N112</f>
        <v>21115855</v>
      </c>
      <c r="E19" s="9">
        <f t="shared" si="0"/>
        <v>2.1748719492258577E-2</v>
      </c>
      <c r="F19" s="53">
        <f t="shared" si="1"/>
        <v>-3060153.0423717974</v>
      </c>
      <c r="G19" s="103">
        <f>'CCA NV Cred True Up'!M19</f>
        <v>-1177841.0409286348</v>
      </c>
      <c r="H19" s="53">
        <f t="shared" si="2"/>
        <v>-4237994.0833004322</v>
      </c>
      <c r="I19" s="182">
        <f>'CCA Customer Forecast'!N131</f>
        <v>1128</v>
      </c>
      <c r="J19" s="54">
        <f t="shared" si="3"/>
        <v>-3757.09</v>
      </c>
      <c r="L19" s="222"/>
      <c r="N19" s="53"/>
      <c r="O19" s="223"/>
      <c r="P19" s="224"/>
    </row>
    <row r="20" spans="1:16" x14ac:dyDescent="0.25">
      <c r="A20" s="48">
        <f t="shared" si="4"/>
        <v>10</v>
      </c>
      <c r="B20" s="31" t="s">
        <v>30</v>
      </c>
      <c r="C20" s="48" t="s">
        <v>31</v>
      </c>
      <c r="D20" s="8">
        <f>'CCA Therm Forecast'!N113</f>
        <v>52169777</v>
      </c>
      <c r="E20" s="9">
        <f t="shared" si="0"/>
        <v>5.3733360356314396E-2</v>
      </c>
      <c r="F20" s="53">
        <f t="shared" si="1"/>
        <v>-7560551.1501385197</v>
      </c>
      <c r="G20" s="103">
        <f>'CCA NV Cred True Up'!M20</f>
        <v>-2453093.066738341</v>
      </c>
      <c r="H20" s="53">
        <f t="shared" si="2"/>
        <v>-10013644.216876861</v>
      </c>
      <c r="I20" s="182">
        <f>'CCA Customer Forecast'!N132</f>
        <v>900</v>
      </c>
      <c r="J20" s="54">
        <f t="shared" si="3"/>
        <v>-11126.27</v>
      </c>
      <c r="L20" s="222"/>
    </row>
    <row r="21" spans="1:16" x14ac:dyDescent="0.25">
      <c r="A21" s="48">
        <f t="shared" si="4"/>
        <v>11</v>
      </c>
      <c r="B21" s="31" t="s">
        <v>32</v>
      </c>
      <c r="C21" s="48" t="s">
        <v>33</v>
      </c>
      <c r="D21" s="8">
        <f>'CCA Therm Forecast'!N114</f>
        <v>1371245</v>
      </c>
      <c r="E21" s="9">
        <f t="shared" si="0"/>
        <v>1.412342661955299E-3</v>
      </c>
      <c r="F21" s="53">
        <f t="shared" si="1"/>
        <v>-198723.63958679934</v>
      </c>
      <c r="G21" s="103">
        <f>'CCA NV Cred True Up'!M21</f>
        <v>-131222.05935002695</v>
      </c>
      <c r="H21" s="53">
        <f t="shared" si="2"/>
        <v>-329945.69893682632</v>
      </c>
      <c r="I21" s="182">
        <f>'CCA Customer Forecast'!N133</f>
        <v>60</v>
      </c>
      <c r="J21" s="54">
        <f t="shared" si="3"/>
        <v>-5499.09</v>
      </c>
      <c r="L21" s="222"/>
    </row>
    <row r="22" spans="1:16" x14ac:dyDescent="0.25">
      <c r="A22" s="48">
        <f t="shared" si="4"/>
        <v>12</v>
      </c>
      <c r="B22" s="31" t="s">
        <v>34</v>
      </c>
      <c r="C22" s="185" t="s">
        <v>35</v>
      </c>
      <c r="D22" s="8">
        <f>'CCA Therm Forecast'!N115</f>
        <v>10434263.130000003</v>
      </c>
      <c r="E22" s="9">
        <f t="shared" si="0"/>
        <v>1.0746989024256231E-2</v>
      </c>
      <c r="F22" s="53">
        <f t="shared" si="1"/>
        <v>-1512154.8268908544</v>
      </c>
      <c r="G22" s="103">
        <f>'CCA NV Cred True Up'!M22</f>
        <v>-197249.63728038035</v>
      </c>
      <c r="H22" s="53">
        <f t="shared" si="2"/>
        <v>-1709404.4641712348</v>
      </c>
      <c r="I22" s="182">
        <f>'CCA Customer Forecast'!N134</f>
        <v>96</v>
      </c>
      <c r="J22" s="54">
        <f t="shared" si="3"/>
        <v>-17806.3</v>
      </c>
      <c r="L22" s="222"/>
    </row>
    <row r="23" spans="1:16" x14ac:dyDescent="0.25">
      <c r="A23" s="185">
        <f t="shared" si="4"/>
        <v>13</v>
      </c>
      <c r="B23" s="31" t="s">
        <v>246</v>
      </c>
      <c r="C23" s="185" t="s">
        <v>232</v>
      </c>
      <c r="D23" s="8">
        <f>'CCA Therm Forecast'!N116</f>
        <v>2949711.24</v>
      </c>
      <c r="E23" s="9">
        <f t="shared" si="0"/>
        <v>3.0381172034910364E-3</v>
      </c>
      <c r="F23" s="53">
        <f t="shared" si="1"/>
        <v>-427478.20655163086</v>
      </c>
      <c r="G23" s="107">
        <v>0</v>
      </c>
      <c r="H23" s="53">
        <f t="shared" si="2"/>
        <v>-427478.20655163086</v>
      </c>
      <c r="I23" s="182">
        <f>'CCA Customer Forecast'!N135</f>
        <v>12</v>
      </c>
      <c r="J23" s="54">
        <f t="shared" si="3"/>
        <v>-35623.18</v>
      </c>
      <c r="L23" s="222"/>
    </row>
    <row r="24" spans="1:16" x14ac:dyDescent="0.25">
      <c r="A24" s="185">
        <f t="shared" si="4"/>
        <v>14</v>
      </c>
      <c r="B24" s="31" t="s">
        <v>36</v>
      </c>
      <c r="D24" s="8">
        <f>'CCA Therm Forecast'!N117</f>
        <v>15445095.219999999</v>
      </c>
      <c r="E24" s="9">
        <f t="shared" si="0"/>
        <v>1.5908001048075191E-2</v>
      </c>
      <c r="F24" s="53">
        <f t="shared" si="1"/>
        <v>-2238334.8970337738</v>
      </c>
      <c r="G24" s="103">
        <f>'CCA NV Cred True Up'!M23</f>
        <v>-724444.0450573666</v>
      </c>
      <c r="H24" s="53">
        <f t="shared" si="2"/>
        <v>-2962778.9420911404</v>
      </c>
      <c r="I24" s="182">
        <f>'CCA Customer Forecast'!N136</f>
        <v>84</v>
      </c>
      <c r="J24" s="54">
        <f t="shared" si="3"/>
        <v>-35271.18</v>
      </c>
      <c r="L24" s="222"/>
    </row>
    <row r="25" spans="1:16" x14ac:dyDescent="0.25">
      <c r="A25" s="185">
        <f t="shared" si="4"/>
        <v>15</v>
      </c>
      <c r="B25" s="31" t="s">
        <v>2</v>
      </c>
      <c r="D25" s="56">
        <f t="shared" ref="D25:I25" si="5">SUM(D11:D24)</f>
        <v>970901068.79700005</v>
      </c>
      <c r="E25" s="57">
        <f t="shared" si="5"/>
        <v>1</v>
      </c>
      <c r="F25" s="58">
        <f t="shared" si="5"/>
        <v>-140704975.45664948</v>
      </c>
      <c r="G25" s="58">
        <f t="shared" si="5"/>
        <v>-14370173.880434316</v>
      </c>
      <c r="H25" s="58">
        <f t="shared" si="5"/>
        <v>-155075149.33708379</v>
      </c>
      <c r="I25" s="59">
        <f t="shared" si="5"/>
        <v>9923717</v>
      </c>
      <c r="J25" s="61"/>
    </row>
    <row r="26" spans="1:16" x14ac:dyDescent="0.25">
      <c r="A26" s="185">
        <f t="shared" si="4"/>
        <v>16</v>
      </c>
      <c r="D26" s="60"/>
    </row>
    <row r="27" spans="1:16" x14ac:dyDescent="0.25">
      <c r="A27" s="185">
        <f t="shared" si="4"/>
        <v>17</v>
      </c>
      <c r="B27" s="31" t="s">
        <v>38</v>
      </c>
      <c r="D27" s="60"/>
      <c r="F27" s="74">
        <f>'2025 Rev Req'!J17</f>
        <v>-144104397.87904453</v>
      </c>
      <c r="G27" s="77"/>
      <c r="H27" s="77"/>
    </row>
    <row r="28" spans="1:16" x14ac:dyDescent="0.25">
      <c r="A28" s="185">
        <f t="shared" si="4"/>
        <v>18</v>
      </c>
      <c r="B28" s="31" t="s">
        <v>62</v>
      </c>
      <c r="D28" s="60"/>
      <c r="F28" s="74">
        <f>-'Sch. 111 Low Inc. Credit Rates'!E11</f>
        <v>3399422.4223950375</v>
      </c>
      <c r="G28" s="77"/>
      <c r="H28" s="77"/>
    </row>
    <row r="29" spans="1:16" x14ac:dyDescent="0.25">
      <c r="A29" s="185">
        <f t="shared" si="4"/>
        <v>19</v>
      </c>
      <c r="B29" s="31" t="s">
        <v>63</v>
      </c>
      <c r="E29" s="16"/>
      <c r="F29" s="75">
        <f>SUM(F27:F28)</f>
        <v>-140704975.45664948</v>
      </c>
      <c r="G29" s="190"/>
      <c r="H29" s="190"/>
      <c r="I29" s="16"/>
      <c r="J29" s="17"/>
    </row>
    <row r="30" spans="1:16" x14ac:dyDescent="0.25">
      <c r="A30" s="48"/>
      <c r="E30" s="16"/>
      <c r="F30" s="16"/>
      <c r="G30" s="16"/>
      <c r="H30" s="16"/>
      <c r="I30" s="16"/>
      <c r="J30" s="53"/>
    </row>
    <row r="31" spans="1:16" ht="17.25" x14ac:dyDescent="0.25">
      <c r="B31" s="31" t="s">
        <v>245</v>
      </c>
      <c r="D31" s="33"/>
    </row>
    <row r="32" spans="1:16" ht="17.25" x14ac:dyDescent="0.25">
      <c r="B32" s="31" t="s">
        <v>247</v>
      </c>
      <c r="D32" s="33"/>
    </row>
    <row r="33" spans="2:8" ht="17.25" x14ac:dyDescent="0.25">
      <c r="B33" s="31" t="s">
        <v>66</v>
      </c>
      <c r="D33" s="33"/>
    </row>
    <row r="34" spans="2:8" ht="17.25" x14ac:dyDescent="0.25">
      <c r="B34" s="31" t="s">
        <v>67</v>
      </c>
    </row>
    <row r="35" spans="2:8" x14ac:dyDescent="0.25">
      <c r="F35" s="73"/>
      <c r="G35" s="73"/>
      <c r="H35" s="73"/>
    </row>
    <row r="36" spans="2:8" x14ac:dyDescent="0.25">
      <c r="F36" s="55"/>
      <c r="G36" s="73"/>
      <c r="H36" s="73"/>
    </row>
  </sheetData>
  <printOptions horizontalCentered="1"/>
  <pageMargins left="0.45" right="0.45" top="0.75" bottom="0.75" header="0.3" footer="0.3"/>
  <pageSetup scale="82"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90" zoomScaleNormal="90" workbookViewId="0">
      <selection activeCell="L32" sqref="L32"/>
    </sheetView>
  </sheetViews>
  <sheetFormatPr defaultColWidth="9.140625" defaultRowHeight="15" x14ac:dyDescent="0.25"/>
  <cols>
    <col min="1" max="1" width="4.42578125" style="31" customWidth="1"/>
    <col min="2" max="2" width="2.42578125" style="31" customWidth="1"/>
    <col min="3" max="3" width="35.42578125" style="31" bestFit="1" customWidth="1"/>
    <col min="4" max="15" width="11.42578125" style="31" customWidth="1"/>
    <col min="16" max="16" width="12.5703125" style="31" customWidth="1"/>
    <col min="17" max="16384" width="9.140625" style="31"/>
  </cols>
  <sheetData>
    <row r="1" spans="1:16" x14ac:dyDescent="0.25">
      <c r="A1" s="50" t="s">
        <v>0</v>
      </c>
      <c r="B1" s="50"/>
      <c r="C1" s="50"/>
      <c r="D1" s="50"/>
      <c r="E1" s="50"/>
      <c r="F1" s="50"/>
      <c r="G1" s="50"/>
      <c r="H1" s="50"/>
      <c r="I1" s="50"/>
      <c r="J1" s="50"/>
      <c r="K1" s="50"/>
      <c r="L1" s="50"/>
      <c r="M1" s="50"/>
      <c r="N1" s="50"/>
      <c r="O1" s="50"/>
      <c r="P1" s="50"/>
    </row>
    <row r="2" spans="1:16" x14ac:dyDescent="0.25">
      <c r="A2" s="50" t="str">
        <f>'Sch. 111 Charge Rates'!A2</f>
        <v>2024 Gas Schedule 111 Greenhouse Gas Emissions Cap and Invest Adjustment Filing</v>
      </c>
      <c r="B2" s="50"/>
      <c r="C2" s="50"/>
      <c r="D2" s="50"/>
      <c r="E2" s="50"/>
      <c r="F2" s="50"/>
      <c r="G2" s="50"/>
      <c r="H2" s="50"/>
      <c r="I2" s="50"/>
      <c r="J2" s="50"/>
      <c r="K2" s="50"/>
      <c r="L2" s="50"/>
      <c r="M2" s="50"/>
      <c r="N2" s="50"/>
      <c r="O2" s="50"/>
      <c r="P2" s="50"/>
    </row>
    <row r="3" spans="1:16" x14ac:dyDescent="0.25">
      <c r="A3" s="50" t="s">
        <v>203</v>
      </c>
      <c r="B3" s="50"/>
      <c r="C3" s="50"/>
      <c r="D3" s="50"/>
      <c r="E3" s="50"/>
      <c r="F3" s="50"/>
      <c r="G3" s="50"/>
      <c r="H3" s="50"/>
      <c r="I3" s="50"/>
      <c r="J3" s="50"/>
      <c r="K3" s="50"/>
      <c r="L3" s="50"/>
      <c r="M3" s="50"/>
      <c r="N3" s="50"/>
      <c r="O3" s="50"/>
      <c r="P3" s="50"/>
    </row>
    <row r="4" spans="1:16" x14ac:dyDescent="0.25">
      <c r="A4" s="50" t="str">
        <f>'Sch. 111 Charge Rates'!A4:H4</f>
        <v>Proposed Rates Effective January 1, 2025</v>
      </c>
      <c r="B4" s="50"/>
      <c r="C4" s="50"/>
      <c r="D4" s="50"/>
      <c r="E4" s="50"/>
      <c r="F4" s="50"/>
      <c r="G4" s="50"/>
      <c r="H4" s="50"/>
      <c r="I4" s="50"/>
      <c r="J4" s="50"/>
      <c r="K4" s="50"/>
      <c r="L4" s="50"/>
      <c r="M4" s="50"/>
      <c r="N4" s="50"/>
      <c r="O4" s="50"/>
      <c r="P4" s="50"/>
    </row>
    <row r="5" spans="1:16" x14ac:dyDescent="0.25">
      <c r="C5" s="51"/>
      <c r="D5" s="23"/>
      <c r="E5" s="23"/>
      <c r="F5" s="51"/>
      <c r="G5" s="51"/>
      <c r="H5" s="51"/>
      <c r="I5" s="51"/>
      <c r="J5" s="51"/>
      <c r="K5" s="51"/>
      <c r="L5" s="51"/>
      <c r="M5" s="51"/>
      <c r="N5" s="51"/>
      <c r="O5" s="51"/>
    </row>
    <row r="6" spans="1:16" ht="15" customHeight="1" x14ac:dyDescent="0.25">
      <c r="A6" s="64" t="s">
        <v>1</v>
      </c>
      <c r="B6" s="64"/>
      <c r="C6" s="51"/>
      <c r="D6" s="23"/>
      <c r="E6" s="23"/>
      <c r="F6" s="51"/>
      <c r="G6" s="51"/>
      <c r="H6" s="51"/>
      <c r="I6" s="51"/>
      <c r="J6" s="51"/>
      <c r="K6" s="51"/>
      <c r="L6" s="51"/>
      <c r="M6" s="51"/>
      <c r="N6" s="51"/>
      <c r="O6" s="51"/>
    </row>
    <row r="7" spans="1:16" x14ac:dyDescent="0.25">
      <c r="A7" s="52" t="s">
        <v>6</v>
      </c>
      <c r="B7" s="52"/>
      <c r="C7" s="52"/>
      <c r="D7" s="36">
        <v>45658</v>
      </c>
      <c r="E7" s="37">
        <f>EDATE(D7,1)</f>
        <v>45689</v>
      </c>
      <c r="F7" s="37">
        <f t="shared" ref="F7:H7" si="0">EDATE(E7,1)</f>
        <v>45717</v>
      </c>
      <c r="G7" s="37">
        <f t="shared" si="0"/>
        <v>45748</v>
      </c>
      <c r="H7" s="37">
        <f t="shared" si="0"/>
        <v>45778</v>
      </c>
      <c r="I7" s="37">
        <f t="shared" ref="I7" si="1">EDATE(H7,1)</f>
        <v>45809</v>
      </c>
      <c r="J7" s="37">
        <f t="shared" ref="J7" si="2">EDATE(I7,1)</f>
        <v>45839</v>
      </c>
      <c r="K7" s="37">
        <f t="shared" ref="K7" si="3">EDATE(J7,1)</f>
        <v>45870</v>
      </c>
      <c r="L7" s="37">
        <f t="shared" ref="L7" si="4">EDATE(K7,1)</f>
        <v>45901</v>
      </c>
      <c r="M7" s="37">
        <f t="shared" ref="M7" si="5">EDATE(L7,1)</f>
        <v>45931</v>
      </c>
      <c r="N7" s="37">
        <f t="shared" ref="N7" si="6">EDATE(M7,1)</f>
        <v>45962</v>
      </c>
      <c r="O7" s="37">
        <f t="shared" ref="O7" si="7">EDATE(N7,1)</f>
        <v>45992</v>
      </c>
      <c r="P7" s="37" t="s">
        <v>2</v>
      </c>
    </row>
    <row r="8" spans="1:16" x14ac:dyDescent="0.25">
      <c r="C8" s="63" t="s">
        <v>12</v>
      </c>
      <c r="D8" s="63" t="s">
        <v>13</v>
      </c>
      <c r="E8" s="7" t="s">
        <v>14</v>
      </c>
      <c r="F8" s="23" t="s">
        <v>15</v>
      </c>
      <c r="G8" s="7" t="s">
        <v>16</v>
      </c>
      <c r="H8" s="23" t="s">
        <v>17</v>
      </c>
      <c r="I8" s="23" t="s">
        <v>18</v>
      </c>
      <c r="J8" s="23" t="s">
        <v>91</v>
      </c>
      <c r="K8" s="23" t="s">
        <v>92</v>
      </c>
      <c r="L8" s="23" t="s">
        <v>93</v>
      </c>
      <c r="M8" s="23" t="s">
        <v>94</v>
      </c>
      <c r="N8" s="23" t="s">
        <v>95</v>
      </c>
      <c r="O8" s="23" t="s">
        <v>96</v>
      </c>
      <c r="P8" s="65" t="s">
        <v>97</v>
      </c>
    </row>
    <row r="9" spans="1:16" x14ac:dyDescent="0.25">
      <c r="A9" s="64">
        <v>1</v>
      </c>
      <c r="B9" s="70" t="s">
        <v>54</v>
      </c>
      <c r="C9" s="42"/>
      <c r="D9" s="65"/>
      <c r="E9" s="65"/>
      <c r="F9" s="65"/>
      <c r="G9" s="23"/>
      <c r="H9" s="23"/>
      <c r="I9" s="23"/>
      <c r="J9" s="23"/>
      <c r="K9" s="23"/>
      <c r="L9" s="23"/>
      <c r="M9" s="23"/>
      <c r="N9" s="23"/>
      <c r="O9" s="23"/>
      <c r="P9" s="23"/>
    </row>
    <row r="10" spans="1:16" x14ac:dyDescent="0.25">
      <c r="A10" s="64">
        <f>A9+1</f>
        <v>2</v>
      </c>
      <c r="B10" s="31" t="s">
        <v>90</v>
      </c>
    </row>
    <row r="11" spans="1:16" ht="17.25" x14ac:dyDescent="0.25">
      <c r="A11" s="64">
        <f t="shared" ref="A11:A29" si="8">A10+1</f>
        <v>3</v>
      </c>
      <c r="C11" s="79" t="s">
        <v>70</v>
      </c>
      <c r="D11" s="67">
        <f>SUM('CCA Therm Forecast'!B104:B105)</f>
        <v>84058833.545424119</v>
      </c>
      <c r="E11" s="67">
        <f>SUM('CCA Therm Forecast'!C104:C105)</f>
        <v>72821678.076477751</v>
      </c>
      <c r="F11" s="67">
        <f>SUM('CCA Therm Forecast'!D104:D105)</f>
        <v>65673239.908731237</v>
      </c>
      <c r="G11" s="67">
        <f>SUM('CCA Therm Forecast'!E104:E105)</f>
        <v>45613422.353004888</v>
      </c>
      <c r="H11" s="67">
        <f>SUM('CCA Therm Forecast'!F104:F105)</f>
        <v>27838331.114824675</v>
      </c>
      <c r="I11" s="67">
        <f>SUM('CCA Therm Forecast'!G104:G105)</f>
        <v>19242096.286453843</v>
      </c>
      <c r="J11" s="67">
        <f>SUM('CCA Therm Forecast'!H104:H105)</f>
        <v>14462696.556093495</v>
      </c>
      <c r="K11" s="67">
        <f>SUM('CCA Therm Forecast'!I104:I105)</f>
        <v>14545471.344619371</v>
      </c>
      <c r="L11" s="67">
        <f>SUM('CCA Therm Forecast'!J104:J105)</f>
        <v>19948290.887460452</v>
      </c>
      <c r="M11" s="67">
        <f>SUM('CCA Therm Forecast'!K104:K105)</f>
        <v>42242618.393386595</v>
      </c>
      <c r="N11" s="67">
        <f>SUM('CCA Therm Forecast'!L104:L105)</f>
        <v>67432781.028621897</v>
      </c>
      <c r="O11" s="67">
        <f>SUM('CCA Therm Forecast'!M104:M105)</f>
        <v>87147909.835070387</v>
      </c>
      <c r="P11" s="66">
        <f>SUM(D11:O11)</f>
        <v>561027369.33016872</v>
      </c>
    </row>
    <row r="12" spans="1:16" x14ac:dyDescent="0.25">
      <c r="A12" s="64">
        <f t="shared" si="8"/>
        <v>4</v>
      </c>
      <c r="C12" s="31" t="s">
        <v>53</v>
      </c>
      <c r="D12" s="68">
        <f>D11/$P11</f>
        <v>0.1498301832329233</v>
      </c>
      <c r="E12" s="68">
        <f t="shared" ref="E12:G12" si="9">E11/$P11</f>
        <v>0.12980058025230076</v>
      </c>
      <c r="F12" s="68">
        <f t="shared" si="9"/>
        <v>0.11705888785272801</v>
      </c>
      <c r="G12" s="68">
        <f t="shared" si="9"/>
        <v>8.1303381700369506E-2</v>
      </c>
      <c r="H12" s="68">
        <f>H11/$P11</f>
        <v>4.962027280070469E-2</v>
      </c>
      <c r="I12" s="68">
        <f t="shared" ref="I12:O12" si="10">I11/$P11</f>
        <v>3.4297963590310558E-2</v>
      </c>
      <c r="J12" s="68">
        <f t="shared" si="10"/>
        <v>2.5778950095359951E-2</v>
      </c>
      <c r="K12" s="68">
        <f t="shared" si="10"/>
        <v>2.5926491539950618E-2</v>
      </c>
      <c r="L12" s="68">
        <f t="shared" si="10"/>
        <v>3.5556716085486974E-2</v>
      </c>
      <c r="M12" s="68">
        <f t="shared" si="10"/>
        <v>7.5295111616072524E-2</v>
      </c>
      <c r="N12" s="68">
        <f t="shared" si="10"/>
        <v>0.12019517177768418</v>
      </c>
      <c r="O12" s="68">
        <f t="shared" si="10"/>
        <v>0.15533628945610886</v>
      </c>
      <c r="P12" s="69">
        <f>SUM(D12:O12)</f>
        <v>0.99999999999999989</v>
      </c>
    </row>
    <row r="13" spans="1:16" x14ac:dyDescent="0.25">
      <c r="A13" s="64">
        <f t="shared" si="8"/>
        <v>5</v>
      </c>
      <c r="C13" s="64"/>
      <c r="D13" s="65"/>
      <c r="E13" s="65"/>
      <c r="F13" s="65"/>
      <c r="G13" s="23"/>
      <c r="H13" s="23"/>
      <c r="I13" s="23"/>
      <c r="J13" s="23"/>
      <c r="K13" s="23"/>
      <c r="L13" s="23"/>
      <c r="M13" s="23"/>
      <c r="N13" s="23"/>
      <c r="O13" s="23"/>
      <c r="P13" s="23"/>
    </row>
    <row r="14" spans="1:16" x14ac:dyDescent="0.25">
      <c r="A14" s="64">
        <f t="shared" si="8"/>
        <v>6</v>
      </c>
      <c r="B14" s="31" t="s">
        <v>204</v>
      </c>
    </row>
    <row r="15" spans="1:16" ht="17.25" x14ac:dyDescent="0.25">
      <c r="A15" s="64">
        <f t="shared" si="8"/>
        <v>7</v>
      </c>
      <c r="C15" s="79" t="s">
        <v>70</v>
      </c>
      <c r="D15" s="67">
        <f>'CCA Therm Forecast'!B106+'CCA Therm Forecast'!B111</f>
        <v>28985038.616575882</v>
      </c>
      <c r="E15" s="67">
        <f>'CCA Therm Forecast'!C106+'CCA Therm Forecast'!C111</f>
        <v>25618314.37452225</v>
      </c>
      <c r="F15" s="67">
        <f>'CCA Therm Forecast'!D106+'CCA Therm Forecast'!D111</f>
        <v>22864347.548268769</v>
      </c>
      <c r="G15" s="67">
        <f>'CCA Therm Forecast'!E106+'CCA Therm Forecast'!E111</f>
        <v>16506153.006995112</v>
      </c>
      <c r="H15" s="67">
        <f>'CCA Therm Forecast'!F106+'CCA Therm Forecast'!F111</f>
        <v>11794153.659175327</v>
      </c>
      <c r="I15" s="67">
        <f>'CCA Therm Forecast'!G106+'CCA Therm Forecast'!G111</f>
        <v>9768839.1175461579</v>
      </c>
      <c r="J15" s="67">
        <f>'CCA Therm Forecast'!H106+'CCA Therm Forecast'!H111</f>
        <v>8600190.934906505</v>
      </c>
      <c r="K15" s="67">
        <f>'CCA Therm Forecast'!I106+'CCA Therm Forecast'!I111</f>
        <v>9578076.6073806304</v>
      </c>
      <c r="L15" s="67">
        <f>'CCA Therm Forecast'!J106+'CCA Therm Forecast'!J111</f>
        <v>11405598.675539549</v>
      </c>
      <c r="M15" s="67">
        <f>'CCA Therm Forecast'!K106+'CCA Therm Forecast'!K111</f>
        <v>18948035.727613404</v>
      </c>
      <c r="N15" s="67">
        <f>'CCA Therm Forecast'!L106+'CCA Therm Forecast'!L111</f>
        <v>27175049.056378104</v>
      </c>
      <c r="O15" s="67">
        <f>'CCA Therm Forecast'!M106+'CCA Therm Forecast'!M111</f>
        <v>33339415.59892961</v>
      </c>
      <c r="P15" s="66">
        <f>SUM(D15:O15)</f>
        <v>224583212.92383128</v>
      </c>
    </row>
    <row r="16" spans="1:16" x14ac:dyDescent="0.25">
      <c r="A16" s="64">
        <f t="shared" si="8"/>
        <v>8</v>
      </c>
      <c r="C16" s="31" t="s">
        <v>53</v>
      </c>
      <c r="D16" s="68">
        <f>D15/$P15</f>
        <v>0.12906146563325874</v>
      </c>
      <c r="E16" s="68">
        <f t="shared" ref="E16" si="11">E15/$P15</f>
        <v>0.11407047766838589</v>
      </c>
      <c r="F16" s="68">
        <f t="shared" ref="F16" si="12">F15/$P15</f>
        <v>0.10180791008642016</v>
      </c>
      <c r="G16" s="68">
        <f t="shared" ref="G16" si="13">G15/$P15</f>
        <v>7.3496824593890148E-2</v>
      </c>
      <c r="H16" s="68">
        <f t="shared" ref="H16:O16" si="14">H15/$P15</f>
        <v>5.2515740182127429E-2</v>
      </c>
      <c r="I16" s="68">
        <f t="shared" si="14"/>
        <v>4.3497637202560266E-2</v>
      </c>
      <c r="J16" s="68">
        <f t="shared" si="14"/>
        <v>3.8294006141159402E-2</v>
      </c>
      <c r="K16" s="68">
        <f t="shared" si="14"/>
        <v>4.2648230393912349E-2</v>
      </c>
      <c r="L16" s="68">
        <f t="shared" si="14"/>
        <v>5.0785624299567865E-2</v>
      </c>
      <c r="M16" s="68">
        <f t="shared" si="14"/>
        <v>8.4369777602388035E-2</v>
      </c>
      <c r="N16" s="68">
        <f t="shared" si="14"/>
        <v>0.12100213859525949</v>
      </c>
      <c r="O16" s="68">
        <f t="shared" si="14"/>
        <v>0.1484501676010703</v>
      </c>
      <c r="P16" s="69">
        <f>SUM(D16:O16)</f>
        <v>1.0000000000000002</v>
      </c>
    </row>
    <row r="17" spans="1:16" x14ac:dyDescent="0.25">
      <c r="A17" s="64">
        <f t="shared" si="8"/>
        <v>9</v>
      </c>
      <c r="C17" s="64"/>
      <c r="D17" s="65"/>
      <c r="E17" s="65"/>
      <c r="F17" s="65"/>
      <c r="G17" s="23"/>
      <c r="H17" s="23"/>
      <c r="I17" s="23"/>
      <c r="J17" s="23"/>
      <c r="K17" s="23"/>
      <c r="L17" s="23"/>
      <c r="M17" s="23"/>
      <c r="N17" s="23"/>
      <c r="O17" s="23"/>
      <c r="P17" s="23"/>
    </row>
    <row r="18" spans="1:16" x14ac:dyDescent="0.25">
      <c r="A18" s="96">
        <f t="shared" si="8"/>
        <v>10</v>
      </c>
      <c r="B18" s="70" t="s">
        <v>89</v>
      </c>
      <c r="C18" s="64"/>
      <c r="D18" s="65"/>
      <c r="E18" s="65"/>
      <c r="F18" s="65"/>
      <c r="G18" s="23"/>
      <c r="H18" s="23"/>
      <c r="I18" s="23"/>
      <c r="J18" s="23"/>
      <c r="K18" s="23"/>
      <c r="L18" s="23"/>
      <c r="M18" s="23"/>
      <c r="N18" s="23"/>
      <c r="O18" s="23"/>
      <c r="P18" s="23"/>
    </row>
    <row r="19" spans="1:16" x14ac:dyDescent="0.25">
      <c r="A19" s="96">
        <f t="shared" si="8"/>
        <v>11</v>
      </c>
      <c r="B19" s="31" t="s">
        <v>90</v>
      </c>
    </row>
    <row r="20" spans="1:16" x14ac:dyDescent="0.25">
      <c r="A20" s="96">
        <f t="shared" si="8"/>
        <v>12</v>
      </c>
      <c r="C20" s="31" t="s">
        <v>56</v>
      </c>
      <c r="D20" s="67"/>
      <c r="E20" s="67"/>
      <c r="F20" s="67"/>
      <c r="G20" s="67"/>
      <c r="H20" s="67"/>
      <c r="I20" s="67"/>
      <c r="J20" s="67"/>
      <c r="K20" s="67"/>
      <c r="L20" s="67"/>
      <c r="M20" s="67"/>
      <c r="N20" s="67"/>
      <c r="O20" s="67"/>
      <c r="P20" s="76">
        <f>'Sch. 111 Non-Vol Credit Rates'!J11*12</f>
        <v>-107.39999999999999</v>
      </c>
    </row>
    <row r="21" spans="1:16" x14ac:dyDescent="0.25">
      <c r="A21" s="96">
        <f t="shared" si="8"/>
        <v>13</v>
      </c>
      <c r="C21" s="31" t="s">
        <v>69</v>
      </c>
      <c r="D21" s="71">
        <f>ROUND($P$20*D12,2)</f>
        <v>-16.09</v>
      </c>
      <c r="E21" s="71">
        <f t="shared" ref="E21:N21" si="15">ROUND($P$20*E12,2)</f>
        <v>-13.94</v>
      </c>
      <c r="F21" s="71">
        <f t="shared" si="15"/>
        <v>-12.57</v>
      </c>
      <c r="G21" s="71">
        <f t="shared" si="15"/>
        <v>-8.73</v>
      </c>
      <c r="H21" s="71">
        <f t="shared" si="15"/>
        <v>-5.33</v>
      </c>
      <c r="I21" s="71">
        <f t="shared" si="15"/>
        <v>-3.68</v>
      </c>
      <c r="J21" s="71">
        <f t="shared" si="15"/>
        <v>-2.77</v>
      </c>
      <c r="K21" s="71">
        <f t="shared" si="15"/>
        <v>-2.78</v>
      </c>
      <c r="L21" s="71">
        <f t="shared" si="15"/>
        <v>-3.82</v>
      </c>
      <c r="M21" s="71">
        <f t="shared" si="15"/>
        <v>-8.09</v>
      </c>
      <c r="N21" s="71">
        <f t="shared" si="15"/>
        <v>-12.91</v>
      </c>
      <c r="O21" s="71">
        <f>ROUND($P$20*O12,2)</f>
        <v>-16.68</v>
      </c>
      <c r="P21" s="72">
        <f>SUM(D21:O21)</f>
        <v>-107.38999999999999</v>
      </c>
    </row>
    <row r="22" spans="1:16" x14ac:dyDescent="0.25">
      <c r="A22" s="96">
        <f t="shared" si="8"/>
        <v>14</v>
      </c>
      <c r="D22" s="68"/>
      <c r="E22" s="68"/>
      <c r="F22" s="68"/>
      <c r="G22" s="68"/>
      <c r="H22" s="68"/>
      <c r="I22" s="68"/>
      <c r="J22" s="68"/>
      <c r="K22" s="68"/>
      <c r="L22" s="68"/>
      <c r="M22" s="68"/>
      <c r="N22" s="68"/>
      <c r="O22" s="68"/>
      <c r="P22" s="69"/>
    </row>
    <row r="23" spans="1:16" x14ac:dyDescent="0.25">
      <c r="A23" s="96">
        <f t="shared" si="8"/>
        <v>15</v>
      </c>
      <c r="B23" s="31" t="s">
        <v>55</v>
      </c>
    </row>
    <row r="24" spans="1:16" x14ac:dyDescent="0.25">
      <c r="A24" s="96">
        <f t="shared" si="8"/>
        <v>16</v>
      </c>
      <c r="C24" s="31" t="s">
        <v>56</v>
      </c>
      <c r="D24" s="67"/>
      <c r="E24" s="67"/>
      <c r="F24" s="67"/>
      <c r="G24" s="67"/>
      <c r="H24" s="67"/>
      <c r="I24" s="67"/>
      <c r="J24" s="67"/>
      <c r="K24" s="67"/>
      <c r="L24" s="67"/>
      <c r="M24" s="67"/>
      <c r="N24" s="67"/>
      <c r="O24" s="67"/>
      <c r="P24" s="76">
        <f>'Sch. 111 Non-Vol Credit Rates'!J13*12</f>
        <v>-658.56000000000006</v>
      </c>
    </row>
    <row r="25" spans="1:16" x14ac:dyDescent="0.25">
      <c r="A25" s="96">
        <f t="shared" si="8"/>
        <v>17</v>
      </c>
      <c r="C25" s="31" t="s">
        <v>69</v>
      </c>
      <c r="D25" s="71">
        <f>ROUND($P$24*D16,2)</f>
        <v>-84.99</v>
      </c>
      <c r="E25" s="71">
        <f t="shared" ref="E25:N25" si="16">ROUND($P$24*E16,2)</f>
        <v>-75.12</v>
      </c>
      <c r="F25" s="71">
        <f t="shared" si="16"/>
        <v>-67.05</v>
      </c>
      <c r="G25" s="71">
        <f t="shared" si="16"/>
        <v>-48.4</v>
      </c>
      <c r="H25" s="71">
        <f t="shared" si="16"/>
        <v>-34.58</v>
      </c>
      <c r="I25" s="71">
        <f t="shared" si="16"/>
        <v>-28.65</v>
      </c>
      <c r="J25" s="71">
        <f t="shared" si="16"/>
        <v>-25.22</v>
      </c>
      <c r="K25" s="71">
        <f t="shared" si="16"/>
        <v>-28.09</v>
      </c>
      <c r="L25" s="71">
        <f t="shared" si="16"/>
        <v>-33.450000000000003</v>
      </c>
      <c r="M25" s="71">
        <f t="shared" si="16"/>
        <v>-55.56</v>
      </c>
      <c r="N25" s="71">
        <f t="shared" si="16"/>
        <v>-79.69</v>
      </c>
      <c r="O25" s="71">
        <f>ROUND($P$24*O16,2)</f>
        <v>-97.76</v>
      </c>
      <c r="P25" s="72">
        <f>SUM(D25:O25)</f>
        <v>-658.56</v>
      </c>
    </row>
    <row r="26" spans="1:16" x14ac:dyDescent="0.25">
      <c r="A26" s="96">
        <f t="shared" si="8"/>
        <v>18</v>
      </c>
      <c r="D26" s="68"/>
      <c r="E26" s="68"/>
      <c r="F26" s="68"/>
      <c r="G26" s="68"/>
      <c r="H26" s="68"/>
      <c r="I26" s="68"/>
      <c r="J26" s="68"/>
      <c r="K26" s="68"/>
      <c r="L26" s="68"/>
      <c r="M26" s="68"/>
      <c r="N26" s="68"/>
      <c r="O26" s="68"/>
      <c r="P26" s="69"/>
    </row>
    <row r="27" spans="1:16" x14ac:dyDescent="0.25">
      <c r="A27" s="96">
        <f t="shared" si="8"/>
        <v>19</v>
      </c>
      <c r="B27" s="31" t="s">
        <v>59</v>
      </c>
    </row>
    <row r="28" spans="1:16" x14ac:dyDescent="0.25">
      <c r="A28" s="96">
        <f t="shared" si="8"/>
        <v>20</v>
      </c>
      <c r="C28" s="31" t="s">
        <v>56</v>
      </c>
      <c r="D28" s="67"/>
      <c r="E28" s="67"/>
      <c r="F28" s="67"/>
      <c r="G28" s="67"/>
      <c r="H28" s="67"/>
      <c r="I28" s="67"/>
      <c r="J28" s="67"/>
      <c r="K28" s="67"/>
      <c r="L28" s="67"/>
      <c r="M28" s="67"/>
      <c r="N28" s="67"/>
      <c r="O28" s="67"/>
      <c r="P28" s="76">
        <f>'Sch. 111 Non-Vol Credit Rates'!J18*12</f>
        <v>-1151.52</v>
      </c>
    </row>
    <row r="29" spans="1:16" x14ac:dyDescent="0.25">
      <c r="A29" s="96">
        <f t="shared" si="8"/>
        <v>21</v>
      </c>
      <c r="C29" s="31" t="s">
        <v>69</v>
      </c>
      <c r="D29" s="71">
        <f>ROUND($P$28*D16,2)</f>
        <v>-148.62</v>
      </c>
      <c r="E29" s="71">
        <f t="shared" ref="E29:N29" si="17">ROUND($P$28*E16,2)</f>
        <v>-131.35</v>
      </c>
      <c r="F29" s="71">
        <f t="shared" si="17"/>
        <v>-117.23</v>
      </c>
      <c r="G29" s="71">
        <f t="shared" si="17"/>
        <v>-84.63</v>
      </c>
      <c r="H29" s="71">
        <f t="shared" si="17"/>
        <v>-60.47</v>
      </c>
      <c r="I29" s="71">
        <f t="shared" si="17"/>
        <v>-50.09</v>
      </c>
      <c r="J29" s="71">
        <f t="shared" si="17"/>
        <v>-44.1</v>
      </c>
      <c r="K29" s="71">
        <f t="shared" si="17"/>
        <v>-49.11</v>
      </c>
      <c r="L29" s="71">
        <f t="shared" si="17"/>
        <v>-58.48</v>
      </c>
      <c r="M29" s="71">
        <f t="shared" si="17"/>
        <v>-97.15</v>
      </c>
      <c r="N29" s="71">
        <f t="shared" si="17"/>
        <v>-139.34</v>
      </c>
      <c r="O29" s="71">
        <f>ROUND($P$28*O16,2)</f>
        <v>-170.94</v>
      </c>
      <c r="P29" s="72">
        <f>SUM(D29:O29)</f>
        <v>-1151.5100000000002</v>
      </c>
    </row>
    <row r="30" spans="1:16" x14ac:dyDescent="0.25">
      <c r="D30" s="68"/>
      <c r="E30" s="68"/>
      <c r="F30" s="68"/>
      <c r="G30" s="68"/>
      <c r="H30" s="68"/>
      <c r="I30" s="68"/>
      <c r="J30" s="68"/>
      <c r="K30" s="68"/>
      <c r="L30" s="68"/>
      <c r="M30" s="68"/>
      <c r="N30" s="68"/>
      <c r="O30" s="68"/>
      <c r="P30" s="69"/>
    </row>
    <row r="31" spans="1:16" ht="17.25" x14ac:dyDescent="0.25">
      <c r="B31" s="31" t="s">
        <v>245</v>
      </c>
      <c r="D31" s="68"/>
      <c r="E31" s="68"/>
      <c r="F31" s="68"/>
      <c r="G31" s="68"/>
      <c r="H31" s="68"/>
      <c r="I31" s="68"/>
      <c r="J31" s="68"/>
      <c r="K31" s="68"/>
      <c r="L31" s="68"/>
      <c r="M31" s="68"/>
      <c r="N31" s="68"/>
      <c r="O31" s="68"/>
      <c r="P31" s="69"/>
    </row>
    <row r="32" spans="1:16" x14ac:dyDescent="0.25">
      <c r="D32" s="33"/>
    </row>
  </sheetData>
  <printOptions horizontalCentered="1"/>
  <pageMargins left="0.45" right="0.45" top="0.75" bottom="0.75" header="0.3" footer="0.3"/>
  <pageSetup scale="67" orientation="landscape" blackAndWhite="1" r:id="rId1"/>
  <headerFooter>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31" sqref="O3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zoomScale="85" zoomScaleNormal="85" workbookViewId="0">
      <pane xSplit="3" ySplit="9" topLeftCell="K10" activePane="bottomRight" state="frozenSplit"/>
      <selection activeCell="R40" sqref="R40"/>
      <selection pane="topRight" activeCell="R40" sqref="R40"/>
      <selection pane="bottomLeft" activeCell="R40" sqref="R40"/>
      <selection pane="bottomRight" activeCell="K42" sqref="K42"/>
    </sheetView>
  </sheetViews>
  <sheetFormatPr defaultRowHeight="15" x14ac:dyDescent="0.25"/>
  <cols>
    <col min="1" max="1" width="5" bestFit="1" customWidth="1"/>
    <col min="2" max="2" width="37.5703125" customWidth="1"/>
    <col min="3" max="3" width="8.42578125" bestFit="1" customWidth="1"/>
    <col min="4" max="4" width="14.28515625" bestFit="1" customWidth="1"/>
    <col min="5" max="5" width="14.7109375" customWidth="1"/>
    <col min="6" max="6" width="10" bestFit="1" customWidth="1"/>
    <col min="7" max="7" width="14.28515625" bestFit="1" customWidth="1"/>
    <col min="8" max="8" width="14.7109375" customWidth="1"/>
    <col min="9" max="9" width="13.7109375" bestFit="1" customWidth="1"/>
    <col min="10" max="10" width="14.42578125" bestFit="1" customWidth="1"/>
    <col min="11" max="15" width="12.5703125" bestFit="1" customWidth="1"/>
    <col min="16" max="16" width="12.28515625" bestFit="1" customWidth="1"/>
    <col min="17" max="17" width="12.5703125" bestFit="1" customWidth="1"/>
    <col min="18" max="18" width="12.28515625" bestFit="1" customWidth="1"/>
    <col min="19" max="19" width="11.5703125" bestFit="1" customWidth="1"/>
    <col min="20" max="21" width="12.5703125" bestFit="1" customWidth="1"/>
    <col min="22" max="22" width="16.5703125" bestFit="1" customWidth="1"/>
    <col min="23" max="23" width="14.140625" bestFit="1" customWidth="1"/>
    <col min="24" max="24" width="7.85546875" bestFit="1" customWidth="1"/>
    <col min="25" max="25" width="14.28515625" bestFit="1" customWidth="1"/>
    <col min="26" max="26" width="7.85546875" customWidth="1"/>
    <col min="27" max="27" width="14.42578125" bestFit="1" customWidth="1"/>
    <col min="28" max="28" width="16.5703125" bestFit="1" customWidth="1"/>
    <col min="29" max="29" width="9.140625" bestFit="1" customWidth="1"/>
  </cols>
  <sheetData>
    <row r="1" spans="1:29" x14ac:dyDescent="0.25">
      <c r="A1" s="135" t="s">
        <v>0</v>
      </c>
      <c r="B1" s="229"/>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row>
    <row r="2" spans="1:29" x14ac:dyDescent="0.25">
      <c r="A2" s="135" t="s">
        <v>228</v>
      </c>
      <c r="B2" s="229"/>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29" x14ac:dyDescent="0.25">
      <c r="A3" s="229" t="s">
        <v>100</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row>
    <row r="4" spans="1:29" x14ac:dyDescent="0.25">
      <c r="A4" s="229" t="s">
        <v>234</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row>
    <row r="5" spans="1:29" x14ac:dyDescent="0.25">
      <c r="F5" s="226"/>
      <c r="P5" s="226"/>
      <c r="Q5" s="226"/>
      <c r="R5" s="226"/>
      <c r="S5" s="226"/>
      <c r="T5" s="226"/>
    </row>
    <row r="6" spans="1:29" x14ac:dyDescent="0.25">
      <c r="F6" s="226"/>
      <c r="G6" s="97" t="s">
        <v>101</v>
      </c>
      <c r="P6" s="226"/>
      <c r="Q6" s="226"/>
      <c r="R6" s="226"/>
      <c r="S6" s="226"/>
      <c r="T6" s="226"/>
      <c r="V6" s="98" t="s">
        <v>296</v>
      </c>
      <c r="AB6" s="51" t="str">
        <f>V6</f>
        <v>12ME Dec. 2025</v>
      </c>
    </row>
    <row r="7" spans="1:29" x14ac:dyDescent="0.25">
      <c r="B7" s="97"/>
      <c r="C7" s="97"/>
      <c r="D7" s="97" t="s">
        <v>102</v>
      </c>
      <c r="E7" s="97" t="str">
        <f>D7</f>
        <v>UG-220067</v>
      </c>
      <c r="F7" s="97" t="s">
        <v>103</v>
      </c>
      <c r="G7" s="97" t="s">
        <v>104</v>
      </c>
      <c r="H7" s="226"/>
      <c r="I7" s="97"/>
      <c r="J7" s="97"/>
      <c r="K7" s="97"/>
      <c r="L7" s="97"/>
      <c r="M7" s="97"/>
      <c r="N7" s="97"/>
      <c r="O7" s="97"/>
      <c r="P7" s="97"/>
      <c r="Q7" s="97"/>
      <c r="R7" s="97"/>
      <c r="S7" s="97"/>
      <c r="T7" s="97"/>
      <c r="U7" s="97"/>
      <c r="V7" s="51" t="s">
        <v>117</v>
      </c>
      <c r="W7" s="98" t="s">
        <v>5</v>
      </c>
      <c r="X7" s="98"/>
      <c r="Y7" s="98" t="s">
        <v>5</v>
      </c>
      <c r="Z7" s="98"/>
      <c r="AA7" s="98" t="s">
        <v>5</v>
      </c>
      <c r="AB7" s="51" t="s">
        <v>117</v>
      </c>
      <c r="AC7" s="97"/>
    </row>
    <row r="8" spans="1:29" x14ac:dyDescent="0.25">
      <c r="A8" t="s">
        <v>1</v>
      </c>
      <c r="B8" s="97"/>
      <c r="C8" s="97" t="s">
        <v>105</v>
      </c>
      <c r="D8" s="97" t="s">
        <v>106</v>
      </c>
      <c r="E8" s="97" t="s">
        <v>107</v>
      </c>
      <c r="F8" s="97" t="s">
        <v>105</v>
      </c>
      <c r="G8" s="98" t="s">
        <v>243</v>
      </c>
      <c r="H8" s="226" t="s">
        <v>107</v>
      </c>
      <c r="I8" s="97" t="s">
        <v>108</v>
      </c>
      <c r="J8" s="97" t="s">
        <v>109</v>
      </c>
      <c r="K8" s="97" t="s">
        <v>5</v>
      </c>
      <c r="L8" s="97" t="s">
        <v>110</v>
      </c>
      <c r="M8" s="97" t="s">
        <v>111</v>
      </c>
      <c r="N8" s="97" t="s">
        <v>297</v>
      </c>
      <c r="O8" s="97" t="s">
        <v>112</v>
      </c>
      <c r="P8" s="97" t="s">
        <v>113</v>
      </c>
      <c r="Q8" s="97" t="s">
        <v>298</v>
      </c>
      <c r="R8" s="97" t="s">
        <v>114</v>
      </c>
      <c r="S8" s="97" t="s">
        <v>299</v>
      </c>
      <c r="T8" s="97" t="s">
        <v>115</v>
      </c>
      <c r="U8" s="97" t="s">
        <v>116</v>
      </c>
      <c r="V8" s="97" t="s">
        <v>300</v>
      </c>
      <c r="W8" s="97" t="s">
        <v>118</v>
      </c>
      <c r="X8" s="97" t="s">
        <v>119</v>
      </c>
      <c r="Y8" s="97" t="s">
        <v>120</v>
      </c>
      <c r="Z8" s="97" t="s">
        <v>119</v>
      </c>
      <c r="AA8" s="97" t="s">
        <v>121</v>
      </c>
      <c r="AB8" s="97" t="s">
        <v>300</v>
      </c>
      <c r="AC8" s="97" t="s">
        <v>119</v>
      </c>
    </row>
    <row r="9" spans="1:29" ht="17.25" x14ac:dyDescent="0.25">
      <c r="A9" t="s">
        <v>6</v>
      </c>
      <c r="B9" s="227" t="s">
        <v>7</v>
      </c>
      <c r="C9" s="227" t="s">
        <v>122</v>
      </c>
      <c r="D9" s="227" t="s">
        <v>123</v>
      </c>
      <c r="E9" s="227" t="s">
        <v>124</v>
      </c>
      <c r="F9" s="227" t="s">
        <v>125</v>
      </c>
      <c r="G9" s="99" t="s">
        <v>244</v>
      </c>
      <c r="H9" s="227" t="s">
        <v>4</v>
      </c>
      <c r="I9" s="227" t="s">
        <v>4</v>
      </c>
      <c r="J9" s="227" t="s">
        <v>4</v>
      </c>
      <c r="K9" s="227" t="s">
        <v>4</v>
      </c>
      <c r="L9" s="227" t="s">
        <v>4</v>
      </c>
      <c r="M9" s="227" t="s">
        <v>4</v>
      </c>
      <c r="N9" s="227" t="s">
        <v>4</v>
      </c>
      <c r="O9" s="227" t="s">
        <v>4</v>
      </c>
      <c r="P9" s="227" t="s">
        <v>4</v>
      </c>
      <c r="Q9" s="227" t="s">
        <v>4</v>
      </c>
      <c r="R9" s="227" t="s">
        <v>4</v>
      </c>
      <c r="S9" s="227" t="s">
        <v>4</v>
      </c>
      <c r="T9" s="227" t="s">
        <v>4</v>
      </c>
      <c r="U9" s="227" t="s">
        <v>4</v>
      </c>
      <c r="V9" s="97" t="s">
        <v>301</v>
      </c>
      <c r="W9" s="227" t="s">
        <v>126</v>
      </c>
      <c r="X9" s="227" t="s">
        <v>126</v>
      </c>
      <c r="Y9" s="227" t="s">
        <v>126</v>
      </c>
      <c r="Z9" s="227" t="s">
        <v>126</v>
      </c>
      <c r="AA9" s="227" t="s">
        <v>126</v>
      </c>
      <c r="AB9" s="97" t="s">
        <v>191</v>
      </c>
      <c r="AC9" s="227" t="s">
        <v>126</v>
      </c>
    </row>
    <row r="10" spans="1:29" x14ac:dyDescent="0.25">
      <c r="B10" s="97" t="s">
        <v>127</v>
      </c>
      <c r="C10" s="97" t="s">
        <v>128</v>
      </c>
      <c r="D10" s="100" t="s">
        <v>129</v>
      </c>
      <c r="E10" s="101" t="s">
        <v>130</v>
      </c>
      <c r="F10" s="97" t="s">
        <v>131</v>
      </c>
      <c r="G10" s="97" t="s">
        <v>132</v>
      </c>
      <c r="H10" s="97" t="s">
        <v>133</v>
      </c>
      <c r="I10" s="97" t="s">
        <v>134</v>
      </c>
      <c r="J10" s="97" t="s">
        <v>135</v>
      </c>
      <c r="K10" s="97" t="s">
        <v>136</v>
      </c>
      <c r="L10" s="97" t="s">
        <v>137</v>
      </c>
      <c r="M10" s="101" t="s">
        <v>138</v>
      </c>
      <c r="N10" s="101" t="s">
        <v>139</v>
      </c>
      <c r="O10" s="101" t="s">
        <v>140</v>
      </c>
      <c r="P10" s="101" t="s">
        <v>141</v>
      </c>
      <c r="Q10" s="101" t="s">
        <v>142</v>
      </c>
      <c r="R10" s="101" t="s">
        <v>143</v>
      </c>
      <c r="S10" s="101" t="s">
        <v>144</v>
      </c>
      <c r="T10" s="101" t="s">
        <v>302</v>
      </c>
      <c r="U10" s="101" t="s">
        <v>145</v>
      </c>
      <c r="V10" s="102" t="s">
        <v>303</v>
      </c>
      <c r="W10" s="97" t="s">
        <v>146</v>
      </c>
      <c r="X10" s="97" t="s">
        <v>304</v>
      </c>
      <c r="Y10" s="97" t="s">
        <v>147</v>
      </c>
      <c r="Z10" s="97" t="s">
        <v>305</v>
      </c>
      <c r="AA10" s="97" t="s">
        <v>306</v>
      </c>
      <c r="AB10" s="97" t="s">
        <v>307</v>
      </c>
      <c r="AC10" s="97" t="s">
        <v>435</v>
      </c>
    </row>
    <row r="11" spans="1:29" x14ac:dyDescent="0.25">
      <c r="A11" s="226">
        <v>1</v>
      </c>
      <c r="B11" t="s">
        <v>19</v>
      </c>
      <c r="C11" s="226" t="s">
        <v>231</v>
      </c>
      <c r="D11" s="175">
        <v>620836684.05687141</v>
      </c>
      <c r="E11" s="107">
        <v>403613457.09474093</v>
      </c>
      <c r="F11" s="104">
        <f t="shared" ref="F11:F16" si="0">(E11)/D11</f>
        <v>0.6501121268436002</v>
      </c>
      <c r="G11" s="175">
        <v>561414251</v>
      </c>
      <c r="H11" s="105">
        <f>F11*G11</f>
        <v>364982212.75791681</v>
      </c>
      <c r="I11" s="107">
        <v>310641733.36000001</v>
      </c>
      <c r="J11" s="107">
        <v>-33028000.390000001</v>
      </c>
      <c r="K11" s="103">
        <f>'Sch. 111 Charge'!J10+'Sch. 111 Credit'!J10+'Sch. 111 Credit'!J30</f>
        <v>33107091.691916399</v>
      </c>
      <c r="L11" s="107">
        <v>20525305.016559999</v>
      </c>
      <c r="M11" s="107">
        <v>7348912.5455899993</v>
      </c>
      <c r="N11" s="107">
        <v>8960171.4459599983</v>
      </c>
      <c r="O11" s="107">
        <v>9403688.7042499986</v>
      </c>
      <c r="P11" s="107">
        <v>-1235111.3521999998</v>
      </c>
      <c r="Q11" s="107">
        <v>26240502.091739997</v>
      </c>
      <c r="R11" s="107">
        <v>-2015477.1610899996</v>
      </c>
      <c r="S11" s="107">
        <v>50527.282590000003</v>
      </c>
      <c r="T11" s="107">
        <v>40803587.762679994</v>
      </c>
      <c r="U11" s="107">
        <v>24095899.649999999</v>
      </c>
      <c r="V11" s="106">
        <f t="shared" ref="V11:V24" si="1">SUM(H11:U11)</f>
        <v>809881043.40591323</v>
      </c>
      <c r="W11" s="103">
        <f>'Sch. 111 Charge'!L10</f>
        <v>-39653414.464256346</v>
      </c>
      <c r="X11" s="280">
        <f>W11/V11</f>
        <v>-4.8962023234296166E-2</v>
      </c>
      <c r="Y11" s="281">
        <f>'Sch. 111 Credit'!L10+'Sch. 111 Credit'!L30</f>
        <v>10909914.467501601</v>
      </c>
      <c r="Z11" s="280">
        <f>Y11/V11</f>
        <v>1.3471008559010735E-2</v>
      </c>
      <c r="AA11" s="282">
        <f>W11+Y11</f>
        <v>-28743499.996754743</v>
      </c>
      <c r="AB11" s="53">
        <f>V11+AA11</f>
        <v>781137543.40915847</v>
      </c>
      <c r="AC11" s="230">
        <f>AA11/V11</f>
        <v>-3.5491014675285433E-2</v>
      </c>
    </row>
    <row r="12" spans="1:29" x14ac:dyDescent="0.25">
      <c r="A12" s="226">
        <f>A11+1</f>
        <v>2</v>
      </c>
      <c r="B12" t="s">
        <v>20</v>
      </c>
      <c r="C12" s="226">
        <v>16</v>
      </c>
      <c r="D12" s="175">
        <v>8190.2669999999998</v>
      </c>
      <c r="E12" s="107">
        <v>5233.1499999999996</v>
      </c>
      <c r="F12" s="104">
        <f t="shared" si="0"/>
        <v>0.63894742381414427</v>
      </c>
      <c r="G12" s="175">
        <v>6156</v>
      </c>
      <c r="H12" s="105">
        <f t="shared" ref="H12:H24" si="2">F12*G12</f>
        <v>3933.3603409998723</v>
      </c>
      <c r="I12" s="107">
        <v>3406.24</v>
      </c>
      <c r="J12" s="107">
        <v>-362.16</v>
      </c>
      <c r="K12" s="103">
        <f>'Sch. 111 Charge'!J11+'Sch. 111 Credit'!J11</f>
        <v>458.38548000000003</v>
      </c>
      <c r="L12" s="107">
        <v>225.06336000000002</v>
      </c>
      <c r="M12" s="107"/>
      <c r="N12" s="107"/>
      <c r="O12" s="107">
        <v>103.11299999999999</v>
      </c>
      <c r="P12" s="107">
        <v>-13.543199999999999</v>
      </c>
      <c r="Q12" s="107">
        <v>287.73143999999996</v>
      </c>
      <c r="R12" s="107">
        <v>-22.100039999999996</v>
      </c>
      <c r="S12" s="107">
        <v>0.55404000000000009</v>
      </c>
      <c r="T12" s="107">
        <v>447.41807999999997</v>
      </c>
      <c r="U12" s="107"/>
      <c r="V12" s="106">
        <f t="shared" si="1"/>
        <v>8464.0625009998712</v>
      </c>
      <c r="W12" s="103">
        <f>'Sch. 111 Charge'!L11</f>
        <v>-435.10608000000025</v>
      </c>
      <c r="X12" s="280">
        <f t="shared" ref="X12:X25" si="3">W12/V12</f>
        <v>-5.1406293366642861E-2</v>
      </c>
      <c r="Y12" s="281">
        <f>'Sch. 111 Credit'!L11</f>
        <v>-200.87999999999977</v>
      </c>
      <c r="Z12" s="280">
        <f t="shared" ref="Z12:Z25" si="4">Y12/V12</f>
        <v>-2.3733284102789829E-2</v>
      </c>
      <c r="AA12" s="282">
        <f t="shared" ref="AA12:AA24" si="5">W12+Y12</f>
        <v>-635.98608000000002</v>
      </c>
      <c r="AB12" s="53">
        <f t="shared" ref="AB12:AB24" si="6">V12+AA12</f>
        <v>7828.0764209998715</v>
      </c>
      <c r="AC12" s="230">
        <f t="shared" ref="AC12:AC25" si="7">AA12/V12</f>
        <v>-7.5139577469432686E-2</v>
      </c>
    </row>
    <row r="13" spans="1:29" x14ac:dyDescent="0.25">
      <c r="A13" s="226">
        <f t="shared" ref="A13:A36" si="8">A12+1</f>
        <v>3</v>
      </c>
      <c r="B13" t="s">
        <v>21</v>
      </c>
      <c r="C13" s="226">
        <v>31</v>
      </c>
      <c r="D13" s="175">
        <v>222166912.14539161</v>
      </c>
      <c r="E13" s="107">
        <v>122121000.06</v>
      </c>
      <c r="F13" s="104">
        <f t="shared" si="0"/>
        <v>0.54968131339054194</v>
      </c>
      <c r="G13" s="175">
        <v>229680981</v>
      </c>
      <c r="H13" s="105">
        <f t="shared" si="2"/>
        <v>126251343.29690811</v>
      </c>
      <c r="I13" s="107">
        <v>125612528.51000001</v>
      </c>
      <c r="J13" s="107">
        <v>-13509835.300000001</v>
      </c>
      <c r="K13" s="103">
        <f>'Sch. 111 Charge'!J12+'Sch. 111 Credit'!J12</f>
        <v>17038162.932131805</v>
      </c>
      <c r="L13" s="107">
        <v>8397136.66536</v>
      </c>
      <c r="M13" s="107">
        <v>2542568.4596699998</v>
      </c>
      <c r="N13" s="107">
        <v>3146629.4397</v>
      </c>
      <c r="O13" s="107">
        <v>4108992.7500899998</v>
      </c>
      <c r="P13" s="107">
        <v>-463955.58162000001</v>
      </c>
      <c r="Q13" s="107">
        <v>9113741.32608</v>
      </c>
      <c r="R13" s="107">
        <v>-757947.23730000004</v>
      </c>
      <c r="S13" s="107">
        <v>13780.85886</v>
      </c>
      <c r="T13" s="107">
        <v>15310534.193459999</v>
      </c>
      <c r="U13" s="107">
        <v>1022080.37</v>
      </c>
      <c r="V13" s="106">
        <f t="shared" si="1"/>
        <v>297825760.68334001</v>
      </c>
      <c r="W13" s="103">
        <f>'Sch. 111 Charge'!L12</f>
        <v>-15873541.489456393</v>
      </c>
      <c r="X13" s="280">
        <f t="shared" si="3"/>
        <v>-5.3298080908231987E-2</v>
      </c>
      <c r="Y13" s="281">
        <f>'Sch. 111 Credit'!L12</f>
        <v>-1749002.7599999979</v>
      </c>
      <c r="Z13" s="280">
        <f t="shared" si="4"/>
        <v>-5.8725704451724915E-3</v>
      </c>
      <c r="AA13" s="282">
        <f t="shared" si="5"/>
        <v>-17622544.249456391</v>
      </c>
      <c r="AB13" s="53">
        <f t="shared" si="6"/>
        <v>280203216.43388361</v>
      </c>
      <c r="AC13" s="230">
        <f t="shared" si="7"/>
        <v>-5.9170651353404477E-2</v>
      </c>
    </row>
    <row r="14" spans="1:29" x14ac:dyDescent="0.25">
      <c r="A14" s="226">
        <f t="shared" si="8"/>
        <v>4</v>
      </c>
      <c r="B14" t="s">
        <v>22</v>
      </c>
      <c r="C14" s="226">
        <v>41</v>
      </c>
      <c r="D14" s="175">
        <v>62517991.156948164</v>
      </c>
      <c r="E14" s="107">
        <v>17786398.291046247</v>
      </c>
      <c r="F14" s="104">
        <f t="shared" si="0"/>
        <v>0.28450047677306872</v>
      </c>
      <c r="G14" s="175">
        <v>62798375</v>
      </c>
      <c r="H14" s="105">
        <f t="shared" si="2"/>
        <v>17866167.628073961</v>
      </c>
      <c r="I14" s="107">
        <v>33308110.090000004</v>
      </c>
      <c r="J14" s="107">
        <v>-3691288.48</v>
      </c>
      <c r="K14" s="103">
        <f>'Sch. 111 Charge'!J13+'Sch. 111 Credit'!J13</f>
        <v>4293577.3493186645</v>
      </c>
      <c r="L14" s="107">
        <v>2295908.5900000003</v>
      </c>
      <c r="M14" s="107">
        <v>343507.11125000002</v>
      </c>
      <c r="N14" s="107">
        <v>422005.08</v>
      </c>
      <c r="O14" s="107">
        <v>461568.05625000002</v>
      </c>
      <c r="P14" s="107">
        <v>-96709.497500000012</v>
      </c>
      <c r="Q14" s="107">
        <v>1741623.2724332651</v>
      </c>
      <c r="R14" s="107">
        <v>-79125.952499999985</v>
      </c>
      <c r="S14" s="107">
        <v>4395.8862499999996</v>
      </c>
      <c r="T14" s="107">
        <v>2001384.2112500002</v>
      </c>
      <c r="U14" s="107">
        <v>-709092.54999999993</v>
      </c>
      <c r="V14" s="106">
        <f t="shared" si="1"/>
        <v>58162030.794825889</v>
      </c>
      <c r="W14" s="103">
        <f>'Sch. 111 Charge'!L13</f>
        <v>-4346950.756115444</v>
      </c>
      <c r="X14" s="280">
        <f t="shared" si="3"/>
        <v>-7.4738634409962007E-2</v>
      </c>
      <c r="Y14" s="281">
        <f>'Sch. 111 Credit'!L13</f>
        <v>-1815972.0199999996</v>
      </c>
      <c r="Z14" s="280">
        <f t="shared" si="4"/>
        <v>-3.1222637779036232E-2</v>
      </c>
      <c r="AA14" s="282">
        <f t="shared" si="5"/>
        <v>-6162922.7761154436</v>
      </c>
      <c r="AB14" s="53">
        <f t="shared" si="6"/>
        <v>51999108.018710449</v>
      </c>
      <c r="AC14" s="230">
        <f t="shared" si="7"/>
        <v>-0.10596127218899824</v>
      </c>
    </row>
    <row r="15" spans="1:29" x14ac:dyDescent="0.25">
      <c r="A15" s="226">
        <f t="shared" si="8"/>
        <v>5</v>
      </c>
      <c r="B15" t="s">
        <v>23</v>
      </c>
      <c r="C15" s="226">
        <v>85</v>
      </c>
      <c r="D15" s="175">
        <v>19992939.502740219</v>
      </c>
      <c r="E15" s="107">
        <v>2272313.06</v>
      </c>
      <c r="F15" s="104">
        <f t="shared" si="0"/>
        <v>0.11365577631486147</v>
      </c>
      <c r="G15" s="175">
        <v>17393753</v>
      </c>
      <c r="H15" s="105">
        <f t="shared" si="2"/>
        <v>1976900.5002439506</v>
      </c>
      <c r="I15" s="107">
        <v>8634381.2799999993</v>
      </c>
      <c r="J15" s="107">
        <v>-1020839.36</v>
      </c>
      <c r="K15" s="103">
        <f>'Sch. 111 Charge'!J14+'Sch. 111 Credit'!J14</f>
        <v>1596769.8470442712</v>
      </c>
      <c r="L15" s="107">
        <v>572776.28628999996</v>
      </c>
      <c r="M15" s="107">
        <v>44665.084343310315</v>
      </c>
      <c r="N15" s="107">
        <v>56210.480414067439</v>
      </c>
      <c r="O15" s="107">
        <v>67139.886580000006</v>
      </c>
      <c r="P15" s="107">
        <v>-22437.941369999997</v>
      </c>
      <c r="Q15" s="107">
        <v>852194.97353110975</v>
      </c>
      <c r="R15" s="107">
        <v>-9914.4392100000023</v>
      </c>
      <c r="S15" s="107">
        <v>1391.5002400000001</v>
      </c>
      <c r="T15" s="107">
        <v>337264.87067000003</v>
      </c>
      <c r="U15" s="107"/>
      <c r="V15" s="106">
        <f t="shared" si="1"/>
        <v>13086502.96877671</v>
      </c>
      <c r="W15" s="103">
        <f>'Sch. 111 Charge'!L14</f>
        <v>-1071292.1676275251</v>
      </c>
      <c r="X15" s="280">
        <f t="shared" si="3"/>
        <v>-8.1862371497071262E-2</v>
      </c>
      <c r="Y15" s="281">
        <f>'Sch. 111 Credit'!L14</f>
        <v>-1089104.28</v>
      </c>
      <c r="Z15" s="280">
        <f t="shared" si="4"/>
        <v>-8.3223477089220149E-2</v>
      </c>
      <c r="AA15" s="282">
        <f t="shared" si="5"/>
        <v>-2160396.4476275248</v>
      </c>
      <c r="AB15" s="53">
        <f t="shared" si="6"/>
        <v>10926106.521149185</v>
      </c>
      <c r="AC15" s="230">
        <f t="shared" si="7"/>
        <v>-0.16508584858629138</v>
      </c>
    </row>
    <row r="16" spans="1:29" x14ac:dyDescent="0.25">
      <c r="A16" s="226">
        <f t="shared" si="8"/>
        <v>6</v>
      </c>
      <c r="B16" t="s">
        <v>24</v>
      </c>
      <c r="C16" s="226">
        <v>86</v>
      </c>
      <c r="D16" s="175">
        <v>5773170.4876905456</v>
      </c>
      <c r="E16" s="107">
        <v>1192875.52</v>
      </c>
      <c r="F16" s="104">
        <f t="shared" si="0"/>
        <v>0.20662398980654192</v>
      </c>
      <c r="G16" s="175">
        <v>5008156</v>
      </c>
      <c r="H16" s="105">
        <f t="shared" si="2"/>
        <v>1034805.1742935717</v>
      </c>
      <c r="I16" s="107">
        <v>2523032.5500000003</v>
      </c>
      <c r="J16" s="107">
        <v>-294028.84000000003</v>
      </c>
      <c r="K16" s="103">
        <f>'Sch. 111 Charge'!J15+'Sch. 111 Credit'!J15</f>
        <v>422338.23631676822</v>
      </c>
      <c r="L16" s="107">
        <v>164918.57708000002</v>
      </c>
      <c r="M16" s="107">
        <v>20984.173640000001</v>
      </c>
      <c r="N16" s="107">
        <v>24940.616880000001</v>
      </c>
      <c r="O16" s="107">
        <v>25591.677159999999</v>
      </c>
      <c r="P16" s="107">
        <v>-1752.8546000000003</v>
      </c>
      <c r="Q16" s="107">
        <v>208322.4932353904</v>
      </c>
      <c r="R16" s="107">
        <v>-4357.0957199999993</v>
      </c>
      <c r="S16" s="107">
        <v>300.48936000000003</v>
      </c>
      <c r="T16" s="107">
        <v>80380.903799999985</v>
      </c>
      <c r="U16" s="107">
        <v>-41367.880000000005</v>
      </c>
      <c r="V16" s="106">
        <f t="shared" si="1"/>
        <v>4164108.2214457309</v>
      </c>
      <c r="W16" s="103">
        <f>'Sch. 111 Charge'!L15</f>
        <v>-352217.44805620157</v>
      </c>
      <c r="X16" s="280">
        <f t="shared" si="3"/>
        <v>-8.4584124457244697E-2</v>
      </c>
      <c r="Y16" s="281">
        <f>'Sch. 111 Credit'!L15</f>
        <v>-329005.48</v>
      </c>
      <c r="Z16" s="280">
        <f t="shared" si="4"/>
        <v>-7.9009829356878003E-2</v>
      </c>
      <c r="AA16" s="282">
        <f t="shared" si="5"/>
        <v>-681222.92805620155</v>
      </c>
      <c r="AB16" s="53">
        <f t="shared" si="6"/>
        <v>3482885.2933895295</v>
      </c>
      <c r="AC16" s="230">
        <f t="shared" si="7"/>
        <v>-0.1635939538141227</v>
      </c>
    </row>
    <row r="17" spans="1:29" x14ac:dyDescent="0.25">
      <c r="A17" s="226">
        <f t="shared" si="8"/>
        <v>7</v>
      </c>
      <c r="B17" t="s">
        <v>25</v>
      </c>
      <c r="C17" s="226">
        <v>87</v>
      </c>
      <c r="D17" s="175">
        <v>21819455.762355208</v>
      </c>
      <c r="E17" s="107">
        <v>1509849.77</v>
      </c>
      <c r="F17" s="104">
        <f>(E17)/D17</f>
        <v>6.9197407416775353E-2</v>
      </c>
      <c r="G17" s="175">
        <v>18251688</v>
      </c>
      <c r="H17" s="105">
        <f t="shared" si="2"/>
        <v>1262969.4905798696</v>
      </c>
      <c r="I17" s="107">
        <v>8954460.6500000004</v>
      </c>
      <c r="J17" s="107">
        <v>-1071009.05</v>
      </c>
      <c r="K17" s="103">
        <f>'Sch. 111 Charge'!J16+'Sch. 111 Credit'!J16</f>
        <v>-207319.2508557121</v>
      </c>
      <c r="L17" s="107">
        <v>601028.08584000007</v>
      </c>
      <c r="M17" s="107">
        <v>18781.845997168857</v>
      </c>
      <c r="N17" s="107">
        <v>24240.063587347402</v>
      </c>
      <c r="O17" s="107">
        <v>38693.578560000002</v>
      </c>
      <c r="P17" s="107">
        <v>-9839.8867071706336</v>
      </c>
      <c r="Q17" s="107">
        <v>343451.93966006738</v>
      </c>
      <c r="R17" s="107">
        <v>-5363.7681534311187</v>
      </c>
      <c r="S17" s="107">
        <v>1642.65192</v>
      </c>
      <c r="T17" s="107">
        <v>162525.73920033651</v>
      </c>
      <c r="U17" s="107"/>
      <c r="V17" s="106">
        <f t="shared" si="1"/>
        <v>10114262.089628477</v>
      </c>
      <c r="W17" s="103">
        <f>'Sch. 111 Charge'!L16</f>
        <v>-11049.405998871014</v>
      </c>
      <c r="X17" s="280">
        <f t="shared" si="3"/>
        <v>-1.0924579471004085E-3</v>
      </c>
      <c r="Y17" s="281">
        <f>'Sch. 111 Credit'!L16</f>
        <v>131571.12</v>
      </c>
      <c r="Z17" s="280">
        <f t="shared" si="4"/>
        <v>1.3008474452616537E-2</v>
      </c>
      <c r="AA17" s="282">
        <f t="shared" si="5"/>
        <v>120521.71400112897</v>
      </c>
      <c r="AB17" s="53">
        <f t="shared" si="6"/>
        <v>10234783.803629605</v>
      </c>
      <c r="AC17" s="230">
        <f t="shared" si="7"/>
        <v>1.1916016505516129E-2</v>
      </c>
    </row>
    <row r="18" spans="1:29" x14ac:dyDescent="0.25">
      <c r="A18" s="226">
        <f t="shared" si="8"/>
        <v>8</v>
      </c>
      <c r="B18" t="s">
        <v>26</v>
      </c>
      <c r="C18" s="226" t="s">
        <v>27</v>
      </c>
      <c r="D18" s="175">
        <v>36958.529999999992</v>
      </c>
      <c r="E18" s="107">
        <v>23981.98</v>
      </c>
      <c r="F18" s="104">
        <f>(E18)/D18</f>
        <v>0.64888890331947735</v>
      </c>
      <c r="G18" s="175">
        <v>0</v>
      </c>
      <c r="H18" s="105">
        <f t="shared" si="2"/>
        <v>0</v>
      </c>
      <c r="I18" s="107"/>
      <c r="J18" s="107"/>
      <c r="K18" s="103">
        <f>'Sch. 111 Charge'!J17+'Sch. 111 Credit'!J17</f>
        <v>0</v>
      </c>
      <c r="L18" s="107"/>
      <c r="M18" s="107">
        <v>0</v>
      </c>
      <c r="N18" s="107">
        <v>0</v>
      </c>
      <c r="O18" s="107">
        <v>0</v>
      </c>
      <c r="P18" s="107"/>
      <c r="Q18" s="107"/>
      <c r="R18" s="107">
        <v>0</v>
      </c>
      <c r="S18" s="107">
        <v>0</v>
      </c>
      <c r="T18" s="107">
        <v>0</v>
      </c>
      <c r="U18" s="107">
        <v>0</v>
      </c>
      <c r="V18" s="106">
        <f t="shared" si="1"/>
        <v>0</v>
      </c>
      <c r="W18" s="103">
        <f>'Sch. 111 Charge'!L17</f>
        <v>0</v>
      </c>
      <c r="X18" s="280">
        <f>W13/($V$13-$I$13-$J$13-$L$13-$P$13-$Q$13)</f>
        <v>-9.4106617645777574E-2</v>
      </c>
      <c r="Y18" s="281">
        <f>'Sch. 111 Credit'!L17</f>
        <v>0</v>
      </c>
      <c r="Z18" s="280">
        <f>Y13/($V$13-$I$13-$J$13-$L$13-$P$13-$Q$13)</f>
        <v>-1.0368998884467977E-2</v>
      </c>
      <c r="AA18" s="282">
        <f t="shared" si="5"/>
        <v>0</v>
      </c>
      <c r="AB18" s="53">
        <f t="shared" si="6"/>
        <v>0</v>
      </c>
      <c r="AC18" s="280">
        <f>AA13/($V$13-$I$13-$J$13-$L$13-$P$13-$Q$13)</f>
        <v>-0.10447561653024555</v>
      </c>
    </row>
    <row r="19" spans="1:29" x14ac:dyDescent="0.25">
      <c r="A19" s="226">
        <f t="shared" si="8"/>
        <v>9</v>
      </c>
      <c r="B19" t="s">
        <v>28</v>
      </c>
      <c r="C19" s="226" t="s">
        <v>29</v>
      </c>
      <c r="D19" s="175">
        <v>19494505.608019032</v>
      </c>
      <c r="E19" s="107">
        <v>4475398.7622919884</v>
      </c>
      <c r="F19" s="104">
        <f t="shared" ref="F19:F25" si="9">(E19)/D19</f>
        <v>0.22957231397810063</v>
      </c>
      <c r="G19" s="175">
        <v>21115855</v>
      </c>
      <c r="H19" s="105">
        <f>F19*G19</f>
        <v>4847615.6939760456</v>
      </c>
      <c r="I19" s="107"/>
      <c r="J19" s="107"/>
      <c r="K19" s="103">
        <f>'Sch. 111 Charge'!J18+'Sch. 111 Credit'!J18</f>
        <v>1521000.7446500007</v>
      </c>
      <c r="L19" s="107"/>
      <c r="M19" s="107">
        <v>115503.72685000001</v>
      </c>
      <c r="N19" s="107">
        <v>141898.54560000001</v>
      </c>
      <c r="O19" s="107">
        <v>155201.53425000003</v>
      </c>
      <c r="P19" s="107"/>
      <c r="Q19" s="107"/>
      <c r="R19" s="107">
        <v>-44343.2955</v>
      </c>
      <c r="S19" s="107">
        <v>1478.1098499999998</v>
      </c>
      <c r="T19" s="107">
        <v>672962.29885000002</v>
      </c>
      <c r="U19" s="107">
        <v>-209266.58000000002</v>
      </c>
      <c r="V19" s="106">
        <f t="shared" si="1"/>
        <v>7202050.7785260454</v>
      </c>
      <c r="W19" s="103">
        <f>'Sch. 111 Charge'!L18</f>
        <v>-1492468.6314000008</v>
      </c>
      <c r="X19" s="280">
        <f t="shared" si="3"/>
        <v>-0.20722828501154303</v>
      </c>
      <c r="Y19" s="281">
        <f>'Sch. 111 Credit'!L18</f>
        <v>-863709.60000000056</v>
      </c>
      <c r="Z19" s="280">
        <f t="shared" si="4"/>
        <v>-0.11992550824207954</v>
      </c>
      <c r="AA19" s="282">
        <f t="shared" si="5"/>
        <v>-2356178.2314000013</v>
      </c>
      <c r="AB19" s="53">
        <f t="shared" si="6"/>
        <v>4845872.5471260436</v>
      </c>
      <c r="AC19" s="230">
        <f t="shared" si="7"/>
        <v>-0.32715379325362259</v>
      </c>
    </row>
    <row r="20" spans="1:29" x14ac:dyDescent="0.25">
      <c r="A20" s="226">
        <f t="shared" si="8"/>
        <v>10</v>
      </c>
      <c r="B20" t="s">
        <v>30</v>
      </c>
      <c r="C20" s="226" t="s">
        <v>31</v>
      </c>
      <c r="D20" s="175">
        <v>68886791.019958794</v>
      </c>
      <c r="E20" s="107">
        <v>7339677.3100000005</v>
      </c>
      <c r="F20" s="104">
        <f t="shared" si="9"/>
        <v>0.1065469475544804</v>
      </c>
      <c r="G20" s="175">
        <v>55843995</v>
      </c>
      <c r="H20" s="105">
        <f t="shared" si="2"/>
        <v>5950007.2064976655</v>
      </c>
      <c r="I20" s="107"/>
      <c r="J20" s="107"/>
      <c r="K20" s="103">
        <f>'Sch. 111 Charge'!J19+'Sch. 111 Credit'!J19</f>
        <v>3649486.4019099995</v>
      </c>
      <c r="L20" s="107"/>
      <c r="M20" s="107">
        <v>136830.83991976644</v>
      </c>
      <c r="N20" s="107">
        <v>172306.98853675899</v>
      </c>
      <c r="O20" s="107">
        <v>215557.82070000004</v>
      </c>
      <c r="P20" s="107"/>
      <c r="Q20" s="107"/>
      <c r="R20" s="107">
        <v>-71480.313600000009</v>
      </c>
      <c r="S20" s="107">
        <v>4467.5196000000005</v>
      </c>
      <c r="T20" s="107">
        <v>1082815.06305</v>
      </c>
      <c r="U20" s="107"/>
      <c r="V20" s="106">
        <f t="shared" si="1"/>
        <v>11139991.526614191</v>
      </c>
      <c r="W20" s="103">
        <f>'Sch. 111 Charge'!L19</f>
        <v>-3687359.8383600004</v>
      </c>
      <c r="X20" s="280">
        <f t="shared" si="3"/>
        <v>-0.33100203259137578</v>
      </c>
      <c r="Y20" s="281">
        <f>'Sch. 111 Credit'!L19</f>
        <v>-1568610</v>
      </c>
      <c r="Z20" s="280">
        <f t="shared" si="4"/>
        <v>-0.14080890423053599</v>
      </c>
      <c r="AA20" s="282">
        <f t="shared" si="5"/>
        <v>-5255969.8383600004</v>
      </c>
      <c r="AB20" s="53">
        <f t="shared" si="6"/>
        <v>5884021.6882541906</v>
      </c>
      <c r="AC20" s="230">
        <f t="shared" si="7"/>
        <v>-0.47181093682191177</v>
      </c>
    </row>
    <row r="21" spans="1:29" x14ac:dyDescent="0.25">
      <c r="A21" s="226">
        <f t="shared" si="8"/>
        <v>11</v>
      </c>
      <c r="B21" t="s">
        <v>32</v>
      </c>
      <c r="C21" s="226" t="s">
        <v>33</v>
      </c>
      <c r="D21" s="175">
        <v>1718484.3400000003</v>
      </c>
      <c r="E21" s="107">
        <v>367155.5</v>
      </c>
      <c r="F21" s="104">
        <f t="shared" si="9"/>
        <v>0.21365076856039314</v>
      </c>
      <c r="G21" s="175">
        <v>1371245</v>
      </c>
      <c r="H21" s="105">
        <f t="shared" si="2"/>
        <v>292967.54813459626</v>
      </c>
      <c r="I21" s="107"/>
      <c r="J21" s="107"/>
      <c r="K21" s="103">
        <f>'Sch. 111 Charge'!J20+'Sch. 111 Credit'!J20</f>
        <v>183381.72834999999</v>
      </c>
      <c r="L21" s="107"/>
      <c r="M21" s="107">
        <v>5745.5165500000003</v>
      </c>
      <c r="N21" s="107">
        <v>6828.8001000000004</v>
      </c>
      <c r="O21" s="107">
        <v>7007.0619500000003</v>
      </c>
      <c r="P21" s="107"/>
      <c r="Q21" s="107"/>
      <c r="R21" s="107">
        <v>-1453.5197000000001</v>
      </c>
      <c r="S21" s="107">
        <v>82.274699999999996</v>
      </c>
      <c r="T21" s="107">
        <v>22008.482249999997</v>
      </c>
      <c r="U21" s="107">
        <v>-10271.129999999999</v>
      </c>
      <c r="V21" s="106">
        <f t="shared" si="1"/>
        <v>506296.76233459625</v>
      </c>
      <c r="W21" s="103">
        <f>'Sch. 111 Charge'!L20</f>
        <v>-96919.596600000019</v>
      </c>
      <c r="X21" s="280">
        <f t="shared" si="3"/>
        <v>-0.19142843448789187</v>
      </c>
      <c r="Y21" s="281">
        <f>'Sch. 111 Credit'!L20</f>
        <v>-195431.40000000002</v>
      </c>
      <c r="Z21" s="280">
        <f t="shared" si="4"/>
        <v>-0.38600167834145721</v>
      </c>
      <c r="AA21" s="282">
        <f t="shared" si="5"/>
        <v>-292350.99660000007</v>
      </c>
      <c r="AB21" s="53">
        <f t="shared" si="6"/>
        <v>213945.76573459618</v>
      </c>
      <c r="AC21" s="230">
        <f t="shared" si="7"/>
        <v>-0.57743011282934908</v>
      </c>
    </row>
    <row r="22" spans="1:29" x14ac:dyDescent="0.25">
      <c r="A22" s="226">
        <f t="shared" si="8"/>
        <v>12</v>
      </c>
      <c r="B22" t="s">
        <v>34</v>
      </c>
      <c r="C22" s="226" t="s">
        <v>35</v>
      </c>
      <c r="D22" s="175">
        <v>97500425.645479575</v>
      </c>
      <c r="E22" s="107">
        <v>4790056.76</v>
      </c>
      <c r="F22" s="104">
        <f>(E22)/D22</f>
        <v>4.9128572806616068E-2</v>
      </c>
      <c r="G22" s="175">
        <v>74039109</v>
      </c>
      <c r="H22" s="105">
        <f t="shared" si="2"/>
        <v>3637435.7570434832</v>
      </c>
      <c r="I22" s="107"/>
      <c r="J22" s="107"/>
      <c r="K22" s="103">
        <f>'Sch. 111 Charge'!J21+'Sch. 111 Credit'!J21</f>
        <v>696716.98142790096</v>
      </c>
      <c r="L22" s="107"/>
      <c r="M22" s="107">
        <v>59228.836960147804</v>
      </c>
      <c r="N22" s="107">
        <v>77246.987013374703</v>
      </c>
      <c r="O22" s="107">
        <v>156962.91107999999</v>
      </c>
      <c r="P22" s="107"/>
      <c r="Q22" s="107"/>
      <c r="R22" s="107">
        <v>-31230.436366332655</v>
      </c>
      <c r="S22" s="107">
        <v>6663.5198100000007</v>
      </c>
      <c r="T22" s="107">
        <v>959914.99845580431</v>
      </c>
      <c r="U22" s="107"/>
      <c r="V22" s="106">
        <f>SUM(H22:U22)</f>
        <v>5562939.5554243792</v>
      </c>
      <c r="W22" s="103">
        <f>'Sch. 111 Charge'!L21</f>
        <v>-737493.71802840033</v>
      </c>
      <c r="X22" s="280">
        <f t="shared" si="3"/>
        <v>-0.13257266426870951</v>
      </c>
      <c r="Y22" s="281">
        <f>'Sch. 111 Credit'!L21</f>
        <v>12853.439999999944</v>
      </c>
      <c r="Z22" s="280">
        <f t="shared" si="4"/>
        <v>2.3105482042253462E-3</v>
      </c>
      <c r="AA22" s="282">
        <f t="shared" si="5"/>
        <v>-724640.27802840038</v>
      </c>
      <c r="AB22" s="53">
        <f t="shared" si="6"/>
        <v>4838299.2773959786</v>
      </c>
      <c r="AC22" s="230">
        <f t="shared" si="7"/>
        <v>-0.13026211606448415</v>
      </c>
    </row>
    <row r="23" spans="1:29" x14ac:dyDescent="0.25">
      <c r="A23" s="226">
        <f t="shared" si="8"/>
        <v>13</v>
      </c>
      <c r="B23" t="s">
        <v>246</v>
      </c>
      <c r="C23" s="226" t="s">
        <v>232</v>
      </c>
      <c r="D23" s="175">
        <v>44508541</v>
      </c>
      <c r="E23" s="107">
        <v>195933.21000000002</v>
      </c>
      <c r="F23" s="104">
        <f>(E23)/D23</f>
        <v>4.4021485673951888E-3</v>
      </c>
      <c r="G23" s="175">
        <v>33595800</v>
      </c>
      <c r="H23" s="105">
        <f t="shared" si="2"/>
        <v>147893.70284049527</v>
      </c>
      <c r="I23" s="107"/>
      <c r="J23" s="107"/>
      <c r="K23" s="103">
        <f>'Sch. 111 Charge'!J22+'Sch. 111 Credit'!J22</f>
        <v>-75390.083230799995</v>
      </c>
      <c r="L23" s="107"/>
      <c r="M23" s="107">
        <v>19021.067999999999</v>
      </c>
      <c r="N23" s="107">
        <v>24843.48</v>
      </c>
      <c r="O23" s="107">
        <v>71223.09599999999</v>
      </c>
      <c r="P23" s="107">
        <v>3741778.0260000001</v>
      </c>
      <c r="Q23" s="107"/>
      <c r="R23" s="107">
        <v>-6212.7060000000001</v>
      </c>
      <c r="S23" s="107">
        <v>3023.6220000000003</v>
      </c>
      <c r="T23" s="107">
        <v>159796.25399999999</v>
      </c>
      <c r="U23" s="107"/>
      <c r="V23" s="106">
        <f>SUM(H23:U23)</f>
        <v>4085976.4596096957</v>
      </c>
      <c r="W23" s="103">
        <f>'Sch. 111 Charge'!L22</f>
        <v>-208485.59044320002</v>
      </c>
      <c r="X23" s="280">
        <f t="shared" si="3"/>
        <v>-5.1024667543756522E-2</v>
      </c>
      <c r="Y23" s="281">
        <f>'Sch. 111 Credit'!L22</f>
        <v>331743.48</v>
      </c>
      <c r="Z23" s="280">
        <f t="shared" si="4"/>
        <v>8.1190746760124277E-2</v>
      </c>
      <c r="AA23" s="282">
        <f t="shared" si="5"/>
        <v>123257.88955679996</v>
      </c>
      <c r="AB23" s="53">
        <f t="shared" si="6"/>
        <v>4209234.3491664957</v>
      </c>
      <c r="AC23" s="230">
        <f t="shared" si="7"/>
        <v>3.0166079216367759E-2</v>
      </c>
    </row>
    <row r="24" spans="1:29" x14ac:dyDescent="0.25">
      <c r="A24" s="226">
        <f t="shared" si="8"/>
        <v>14</v>
      </c>
      <c r="B24" t="s">
        <v>36</v>
      </c>
      <c r="D24" s="175">
        <v>32154478.538398605</v>
      </c>
      <c r="E24" s="107">
        <v>1699064.4523564125</v>
      </c>
      <c r="F24" s="108">
        <f t="shared" si="9"/>
        <v>5.2840678175744761E-2</v>
      </c>
      <c r="G24" s="175">
        <v>34046817</v>
      </c>
      <c r="H24" s="105">
        <f t="shared" si="2"/>
        <v>1799056.9000054756</v>
      </c>
      <c r="I24" s="107"/>
      <c r="J24" s="107"/>
      <c r="K24" s="103">
        <f>'Sch. 111 Charge'!J23+'Sch. 111 Credit'!J23</f>
        <v>1551828.9448525999</v>
      </c>
      <c r="L24" s="107"/>
      <c r="M24" s="107"/>
      <c r="N24" s="107"/>
      <c r="O24" s="107">
        <v>24854.176410000004</v>
      </c>
      <c r="P24" s="107"/>
      <c r="Q24" s="107"/>
      <c r="R24" s="107">
        <v>0</v>
      </c>
      <c r="S24" s="107">
        <v>3404.6817000000001</v>
      </c>
      <c r="T24" s="107">
        <v>0</v>
      </c>
      <c r="U24" s="107"/>
      <c r="V24" s="106">
        <f t="shared" si="1"/>
        <v>3379144.7029680754</v>
      </c>
      <c r="W24" s="103">
        <f>'Sch. 111 Charge'!L23</f>
        <v>-1091659.3301496003</v>
      </c>
      <c r="X24" s="280">
        <f t="shared" si="3"/>
        <v>-0.32305788183345335</v>
      </c>
      <c r="Y24" s="281">
        <f>'Sch. 111 Credit'!L23</f>
        <v>-933971.64000000013</v>
      </c>
      <c r="Z24" s="280">
        <f t="shared" si="4"/>
        <v>-0.27639291066157812</v>
      </c>
      <c r="AA24" s="282">
        <f t="shared" si="5"/>
        <v>-2025630.9701496004</v>
      </c>
      <c r="AB24" s="53">
        <f t="shared" si="6"/>
        <v>1353513.732818475</v>
      </c>
      <c r="AC24" s="230">
        <f t="shared" si="7"/>
        <v>-0.59945079249503141</v>
      </c>
    </row>
    <row r="25" spans="1:29" x14ac:dyDescent="0.25">
      <c r="A25" s="226">
        <f t="shared" si="8"/>
        <v>15</v>
      </c>
      <c r="B25" t="s">
        <v>2</v>
      </c>
      <c r="D25" s="109">
        <f>SUM(D11:D24)</f>
        <v>1217415528.060853</v>
      </c>
      <c r="E25" s="110">
        <f>SUM(E11:E24)</f>
        <v>567392394.92043555</v>
      </c>
      <c r="F25" s="104">
        <f t="shared" si="9"/>
        <v>0.46606305065305048</v>
      </c>
      <c r="G25" s="109">
        <f>SUM(G11:G24)</f>
        <v>1114566181</v>
      </c>
      <c r="H25" s="110">
        <f>SUM(H11:H24)</f>
        <v>530053309.016855</v>
      </c>
      <c r="I25" s="110">
        <f t="shared" ref="I25:L25" si="10">SUM(I11:I24)</f>
        <v>489677652.68000001</v>
      </c>
      <c r="J25" s="110">
        <f t="shared" si="10"/>
        <v>-52615363.579999998</v>
      </c>
      <c r="K25" s="110">
        <f t="shared" si="10"/>
        <v>63778103.909311898</v>
      </c>
      <c r="L25" s="110">
        <f t="shared" si="10"/>
        <v>32557298.28449</v>
      </c>
      <c r="M25" s="110">
        <f>SUM(M11:M24)</f>
        <v>10655749.208770392</v>
      </c>
      <c r="N25" s="110">
        <f>SUM(N11:N24)</f>
        <v>13057321.927791549</v>
      </c>
      <c r="O25" s="110">
        <f>SUM(O11:O24)</f>
        <v>14736584.366280001</v>
      </c>
      <c r="P25" s="110">
        <f>SUM(P11:P24)</f>
        <v>1911957.3688028296</v>
      </c>
      <c r="Q25" s="110">
        <f>SUM(Q11:Q24)</f>
        <v>38500123.828119829</v>
      </c>
      <c r="R25" s="110">
        <f t="shared" ref="R25:V25" si="11">SUM(R11:R24)</f>
        <v>-3026928.0251797633</v>
      </c>
      <c r="S25" s="110">
        <f t="shared" si="11"/>
        <v>91158.950920000003</v>
      </c>
      <c r="T25" s="110">
        <f t="shared" si="11"/>
        <v>61593622.195746146</v>
      </c>
      <c r="U25" s="110">
        <f t="shared" si="11"/>
        <v>24147981.880000003</v>
      </c>
      <c r="V25" s="111">
        <f t="shared" si="11"/>
        <v>1225118572.0119081</v>
      </c>
      <c r="W25" s="110">
        <f>SUM(W11:W24)</f>
        <v>-68623287.542571992</v>
      </c>
      <c r="X25" s="283">
        <f t="shared" si="3"/>
        <v>-5.6013588488727097E-2</v>
      </c>
      <c r="Y25" s="110">
        <f>SUM(Y11:Y24)</f>
        <v>2841074.4475016026</v>
      </c>
      <c r="Z25" s="283">
        <f t="shared" si="4"/>
        <v>2.3190199809280075E-3</v>
      </c>
      <c r="AA25" s="284">
        <f>SUM(AA11:AA24)</f>
        <v>-65782213.095070377</v>
      </c>
      <c r="AB25" s="110">
        <f>SUM(AB11:AB24)</f>
        <v>1159336358.9168375</v>
      </c>
      <c r="AC25" s="231">
        <f t="shared" si="7"/>
        <v>-5.3694568507799079E-2</v>
      </c>
    </row>
    <row r="26" spans="1:29" x14ac:dyDescent="0.25">
      <c r="A26" s="226"/>
      <c r="D26" s="112"/>
      <c r="E26" s="105"/>
      <c r="G26" s="112"/>
      <c r="M26" s="105"/>
      <c r="N26" s="105"/>
      <c r="U26" s="105"/>
      <c r="V26" s="105"/>
      <c r="AC26" s="113"/>
    </row>
    <row r="27" spans="1:29" s="118" customFormat="1" x14ac:dyDescent="0.25">
      <c r="A27" s="226"/>
      <c r="B27" s="114" t="s">
        <v>148</v>
      </c>
      <c r="C27" s="115"/>
      <c r="D27" s="116"/>
      <c r="E27" s="117"/>
      <c r="W27" s="119"/>
      <c r="X27" s="119"/>
      <c r="Y27" s="119"/>
      <c r="Z27" s="119"/>
      <c r="AA27" s="119"/>
      <c r="AB27" s="119"/>
      <c r="AC27" s="120"/>
    </row>
    <row r="28" spans="1:29" s="118" customFormat="1" x14ac:dyDescent="0.25">
      <c r="A28" s="226">
        <f>A25+1</f>
        <v>16</v>
      </c>
      <c r="B28" s="121" t="s">
        <v>19</v>
      </c>
      <c r="C28" s="122" t="s">
        <v>149</v>
      </c>
      <c r="D28" s="123">
        <f>D11+D12</f>
        <v>620844874.32387137</v>
      </c>
      <c r="E28" s="124">
        <f>E11+E12</f>
        <v>403618690.2447409</v>
      </c>
      <c r="F28" s="104">
        <f t="shared" ref="F28:F36" si="12">(E28)/D28</f>
        <v>0.65011197955737365</v>
      </c>
      <c r="G28" s="123">
        <f>G11+G12</f>
        <v>561420407</v>
      </c>
      <c r="H28" s="124">
        <f>H11+H12</f>
        <v>364986146.11825782</v>
      </c>
      <c r="I28" s="124">
        <f t="shared" ref="I28:U28" si="13">I11+I12</f>
        <v>310645139.60000002</v>
      </c>
      <c r="J28" s="124">
        <f t="shared" si="13"/>
        <v>-33028362.550000001</v>
      </c>
      <c r="K28" s="124">
        <f t="shared" si="13"/>
        <v>33107550.0773964</v>
      </c>
      <c r="L28" s="124">
        <f t="shared" si="13"/>
        <v>20525530.079919998</v>
      </c>
      <c r="M28" s="124">
        <f t="shared" si="13"/>
        <v>7348912.5455899993</v>
      </c>
      <c r="N28" s="124">
        <f t="shared" si="13"/>
        <v>8960171.4459599983</v>
      </c>
      <c r="O28" s="124">
        <f t="shared" si="13"/>
        <v>9403791.8172499985</v>
      </c>
      <c r="P28" s="124">
        <f t="shared" si="13"/>
        <v>-1235124.8953999998</v>
      </c>
      <c r="Q28" s="124">
        <f t="shared" si="13"/>
        <v>26240789.823179998</v>
      </c>
      <c r="R28" s="124">
        <f t="shared" si="13"/>
        <v>-2015499.2611299995</v>
      </c>
      <c r="S28" s="124">
        <f t="shared" si="13"/>
        <v>50527.836630000005</v>
      </c>
      <c r="T28" s="124">
        <f t="shared" si="13"/>
        <v>40804035.180759996</v>
      </c>
      <c r="U28" s="124">
        <f t="shared" si="13"/>
        <v>24095899.649999999</v>
      </c>
      <c r="V28" s="124">
        <f>V11+V12</f>
        <v>809889507.46841419</v>
      </c>
      <c r="W28" s="105">
        <f>SUM(W11:W12)</f>
        <v>-39653849.570336349</v>
      </c>
      <c r="X28" s="285">
        <f>W28/V28</f>
        <v>-4.8962048779083431E-2</v>
      </c>
      <c r="Y28" s="105">
        <f>SUM(Y11:Y12)</f>
        <v>10909713.5875016</v>
      </c>
      <c r="Z28" s="285">
        <f>Y28/V28</f>
        <v>1.347061974120844E-2</v>
      </c>
      <c r="AA28" s="105">
        <f>SUM(AA11:AA12)</f>
        <v>-28744135.982834741</v>
      </c>
      <c r="AB28" s="105">
        <f>SUM(AB11:AB12)</f>
        <v>781145371.48557949</v>
      </c>
      <c r="AC28" s="230">
        <f>AA28/V28</f>
        <v>-3.5491429037874979E-2</v>
      </c>
    </row>
    <row r="29" spans="1:29" s="118" customFormat="1" x14ac:dyDescent="0.25">
      <c r="A29" s="226">
        <f t="shared" si="8"/>
        <v>17</v>
      </c>
      <c r="B29" s="125" t="s">
        <v>150</v>
      </c>
      <c r="C29" s="122" t="s">
        <v>151</v>
      </c>
      <c r="D29" s="123">
        <f t="shared" ref="D29:E33" si="14">D13+D18</f>
        <v>222203870.67539161</v>
      </c>
      <c r="E29" s="124">
        <f t="shared" si="14"/>
        <v>122144982.04000001</v>
      </c>
      <c r="F29" s="104">
        <f t="shared" si="12"/>
        <v>0.54969781430331843</v>
      </c>
      <c r="G29" s="123">
        <f t="shared" ref="G29:V33" si="15">G13+G18</f>
        <v>229680981</v>
      </c>
      <c r="H29" s="124">
        <f t="shared" si="15"/>
        <v>126251343.29690811</v>
      </c>
      <c r="I29" s="124">
        <f t="shared" si="15"/>
        <v>125612528.51000001</v>
      </c>
      <c r="J29" s="124">
        <f t="shared" si="15"/>
        <v>-13509835.300000001</v>
      </c>
      <c r="K29" s="124">
        <f t="shared" si="15"/>
        <v>17038162.932131805</v>
      </c>
      <c r="L29" s="124">
        <f t="shared" si="15"/>
        <v>8397136.66536</v>
      </c>
      <c r="M29" s="124">
        <f t="shared" si="15"/>
        <v>2542568.4596699998</v>
      </c>
      <c r="N29" s="124">
        <f t="shared" si="15"/>
        <v>3146629.4397</v>
      </c>
      <c r="O29" s="124">
        <f t="shared" si="15"/>
        <v>4108992.7500899998</v>
      </c>
      <c r="P29" s="124">
        <f t="shared" si="15"/>
        <v>-463955.58162000001</v>
      </c>
      <c r="Q29" s="124">
        <f t="shared" si="15"/>
        <v>9113741.32608</v>
      </c>
      <c r="R29" s="124">
        <f t="shared" si="15"/>
        <v>-757947.23730000004</v>
      </c>
      <c r="S29" s="124">
        <f t="shared" si="15"/>
        <v>13780.85886</v>
      </c>
      <c r="T29" s="124">
        <f t="shared" si="15"/>
        <v>15310534.193459999</v>
      </c>
      <c r="U29" s="124">
        <f t="shared" si="15"/>
        <v>1022080.37</v>
      </c>
      <c r="V29" s="124">
        <f t="shared" si="15"/>
        <v>297825760.68334001</v>
      </c>
      <c r="W29" s="105">
        <f t="shared" ref="W29:AB33" si="16">SUM(W13,W18)</f>
        <v>-15873541.489456393</v>
      </c>
      <c r="X29" s="285">
        <f t="shared" ref="X29:X36" si="17">W29/V29</f>
        <v>-5.3298080908231987E-2</v>
      </c>
      <c r="Y29" s="105">
        <f t="shared" ref="Y29:Y33" si="18">SUM(Y13,Y18)</f>
        <v>-1749002.7599999979</v>
      </c>
      <c r="Z29" s="285">
        <f t="shared" ref="Z29:Z36" si="19">Y29/V29</f>
        <v>-5.8725704451724915E-3</v>
      </c>
      <c r="AA29" s="105">
        <f t="shared" ref="AA29:AA33" si="20">SUM(AA13,AA18)</f>
        <v>-17622544.249456391</v>
      </c>
      <c r="AB29" s="105">
        <f t="shared" si="16"/>
        <v>280203216.43388361</v>
      </c>
      <c r="AC29" s="230">
        <f t="shared" ref="AC29:AC36" si="21">AA29/V29</f>
        <v>-5.9170651353404477E-2</v>
      </c>
    </row>
    <row r="30" spans="1:29" s="118" customFormat="1" x14ac:dyDescent="0.25">
      <c r="A30" s="226">
        <f t="shared" si="8"/>
        <v>18</v>
      </c>
      <c r="B30" s="121" t="s">
        <v>152</v>
      </c>
      <c r="C30" s="122" t="s">
        <v>153</v>
      </c>
      <c r="D30" s="123">
        <f t="shared" si="14"/>
        <v>82012496.764967203</v>
      </c>
      <c r="E30" s="124">
        <f t="shared" si="14"/>
        <v>22261797.053338237</v>
      </c>
      <c r="F30" s="104">
        <f t="shared" si="12"/>
        <v>0.27144396197492282</v>
      </c>
      <c r="G30" s="123">
        <f t="shared" si="15"/>
        <v>83914230</v>
      </c>
      <c r="H30" s="124">
        <f t="shared" si="15"/>
        <v>22713783.322050005</v>
      </c>
      <c r="I30" s="124">
        <f t="shared" si="15"/>
        <v>33308110.090000004</v>
      </c>
      <c r="J30" s="124">
        <f t="shared" si="15"/>
        <v>-3691288.48</v>
      </c>
      <c r="K30" s="124">
        <f t="shared" si="15"/>
        <v>5814578.0939686652</v>
      </c>
      <c r="L30" s="124">
        <f t="shared" si="15"/>
        <v>2295908.5900000003</v>
      </c>
      <c r="M30" s="124">
        <f t="shared" si="15"/>
        <v>459010.83810000005</v>
      </c>
      <c r="N30" s="124">
        <f t="shared" si="15"/>
        <v>563903.62560000003</v>
      </c>
      <c r="O30" s="124">
        <f t="shared" si="15"/>
        <v>616769.59050000005</v>
      </c>
      <c r="P30" s="124">
        <f t="shared" si="15"/>
        <v>-96709.497500000012</v>
      </c>
      <c r="Q30" s="124">
        <f t="shared" si="15"/>
        <v>1741623.2724332651</v>
      </c>
      <c r="R30" s="124">
        <f t="shared" si="15"/>
        <v>-123469.24799999999</v>
      </c>
      <c r="S30" s="124">
        <f t="shared" si="15"/>
        <v>5873.9960999999994</v>
      </c>
      <c r="T30" s="124">
        <f t="shared" si="15"/>
        <v>2674346.5101000001</v>
      </c>
      <c r="U30" s="124">
        <f t="shared" si="15"/>
        <v>-918359.12999999989</v>
      </c>
      <c r="V30" s="124">
        <f t="shared" si="15"/>
        <v>65364081.573351935</v>
      </c>
      <c r="W30" s="105">
        <f t="shared" si="16"/>
        <v>-5839419.3875154443</v>
      </c>
      <c r="X30" s="285">
        <f t="shared" si="17"/>
        <v>-8.9336823022020367E-2</v>
      </c>
      <c r="Y30" s="105">
        <f t="shared" si="18"/>
        <v>-2679681.62</v>
      </c>
      <c r="Z30" s="285">
        <f t="shared" si="19"/>
        <v>-4.0996240679873189E-2</v>
      </c>
      <c r="AA30" s="105">
        <f t="shared" si="20"/>
        <v>-8519101.0075154454</v>
      </c>
      <c r="AB30" s="105">
        <f t="shared" si="16"/>
        <v>56844980.565836489</v>
      </c>
      <c r="AC30" s="230">
        <f t="shared" si="21"/>
        <v>-0.13033306370189357</v>
      </c>
    </row>
    <row r="31" spans="1:29" s="118" customFormat="1" x14ac:dyDescent="0.25">
      <c r="A31" s="226">
        <f t="shared" si="8"/>
        <v>19</v>
      </c>
      <c r="B31" s="121" t="s">
        <v>23</v>
      </c>
      <c r="C31" s="122" t="s">
        <v>154</v>
      </c>
      <c r="D31" s="123">
        <f t="shared" si="14"/>
        <v>88879730.522699013</v>
      </c>
      <c r="E31" s="124">
        <f t="shared" si="14"/>
        <v>9611990.370000001</v>
      </c>
      <c r="F31" s="104">
        <f t="shared" si="12"/>
        <v>0.10814603412355298</v>
      </c>
      <c r="G31" s="123">
        <f t="shared" si="15"/>
        <v>73237748</v>
      </c>
      <c r="H31" s="124">
        <f t="shared" si="15"/>
        <v>7926907.7067416161</v>
      </c>
      <c r="I31" s="124">
        <f t="shared" si="15"/>
        <v>8634381.2799999993</v>
      </c>
      <c r="J31" s="124">
        <f t="shared" si="15"/>
        <v>-1020839.36</v>
      </c>
      <c r="K31" s="124">
        <f t="shared" si="15"/>
        <v>5246256.248954271</v>
      </c>
      <c r="L31" s="124">
        <f t="shared" si="15"/>
        <v>572776.28628999996</v>
      </c>
      <c r="M31" s="124">
        <f t="shared" si="15"/>
        <v>181495.92426307674</v>
      </c>
      <c r="N31" s="124">
        <f t="shared" si="15"/>
        <v>228517.46895082644</v>
      </c>
      <c r="O31" s="124">
        <f t="shared" si="15"/>
        <v>282697.70728000003</v>
      </c>
      <c r="P31" s="124">
        <f t="shared" si="15"/>
        <v>-22437.941369999997</v>
      </c>
      <c r="Q31" s="124">
        <f t="shared" si="15"/>
        <v>852194.97353110975</v>
      </c>
      <c r="R31" s="124">
        <f t="shared" si="15"/>
        <v>-81394.752810000005</v>
      </c>
      <c r="S31" s="124">
        <f t="shared" si="15"/>
        <v>5859.0198400000008</v>
      </c>
      <c r="T31" s="124">
        <f t="shared" si="15"/>
        <v>1420079.9337200001</v>
      </c>
      <c r="U31" s="124">
        <f t="shared" si="15"/>
        <v>0</v>
      </c>
      <c r="V31" s="124">
        <f t="shared" si="15"/>
        <v>24226494.495390899</v>
      </c>
      <c r="W31" s="105">
        <f t="shared" si="16"/>
        <v>-4758652.005987525</v>
      </c>
      <c r="X31" s="285">
        <f t="shared" si="17"/>
        <v>-0.19642346551181231</v>
      </c>
      <c r="Y31" s="105">
        <f t="shared" si="18"/>
        <v>-2657714.2800000003</v>
      </c>
      <c r="Z31" s="285">
        <f t="shared" si="19"/>
        <v>-0.10970279998642113</v>
      </c>
      <c r="AA31" s="105">
        <f t="shared" si="20"/>
        <v>-7416366.2859875252</v>
      </c>
      <c r="AB31" s="105">
        <f t="shared" si="16"/>
        <v>16810128.209403373</v>
      </c>
      <c r="AC31" s="230">
        <f t="shared" si="21"/>
        <v>-0.30612626549823341</v>
      </c>
    </row>
    <row r="32" spans="1:29" s="118" customFormat="1" x14ac:dyDescent="0.25">
      <c r="A32" s="226">
        <f t="shared" si="8"/>
        <v>20</v>
      </c>
      <c r="B32" s="121" t="s">
        <v>155</v>
      </c>
      <c r="C32" s="122" t="s">
        <v>156</v>
      </c>
      <c r="D32" s="123">
        <f t="shared" si="14"/>
        <v>7491654.8276905455</v>
      </c>
      <c r="E32" s="124">
        <f t="shared" si="14"/>
        <v>1560031.02</v>
      </c>
      <c r="F32" s="104">
        <f t="shared" si="12"/>
        <v>0.20823583785972574</v>
      </c>
      <c r="G32" s="123">
        <f t="shared" si="15"/>
        <v>6379401</v>
      </c>
      <c r="H32" s="124">
        <f t="shared" si="15"/>
        <v>1327772.7224281679</v>
      </c>
      <c r="I32" s="124">
        <f t="shared" si="15"/>
        <v>2523032.5500000003</v>
      </c>
      <c r="J32" s="124">
        <f t="shared" si="15"/>
        <v>-294028.84000000003</v>
      </c>
      <c r="K32" s="124">
        <f t="shared" si="15"/>
        <v>605719.96466676821</v>
      </c>
      <c r="L32" s="124">
        <f t="shared" si="15"/>
        <v>164918.57708000002</v>
      </c>
      <c r="M32" s="124">
        <f t="shared" si="15"/>
        <v>26729.690190000001</v>
      </c>
      <c r="N32" s="124">
        <f t="shared" si="15"/>
        <v>31769.416980000002</v>
      </c>
      <c r="O32" s="124">
        <f t="shared" si="15"/>
        <v>32598.739109999999</v>
      </c>
      <c r="P32" s="124">
        <f t="shared" si="15"/>
        <v>-1752.8546000000003</v>
      </c>
      <c r="Q32" s="124">
        <f t="shared" si="15"/>
        <v>208322.4932353904</v>
      </c>
      <c r="R32" s="124">
        <f t="shared" si="15"/>
        <v>-5810.6154199999992</v>
      </c>
      <c r="S32" s="124">
        <f t="shared" si="15"/>
        <v>382.76406000000003</v>
      </c>
      <c r="T32" s="124">
        <f t="shared" si="15"/>
        <v>102389.38604999999</v>
      </c>
      <c r="U32" s="124">
        <f t="shared" si="15"/>
        <v>-51639.01</v>
      </c>
      <c r="V32" s="124">
        <f t="shared" si="15"/>
        <v>4670404.9837803273</v>
      </c>
      <c r="W32" s="105">
        <f t="shared" si="16"/>
        <v>-449137.04465620161</v>
      </c>
      <c r="X32" s="285">
        <f t="shared" si="17"/>
        <v>-9.6166616431763982E-2</v>
      </c>
      <c r="Y32" s="105">
        <f t="shared" si="18"/>
        <v>-524436.88</v>
      </c>
      <c r="Z32" s="285">
        <f t="shared" si="19"/>
        <v>-0.11228938000479552</v>
      </c>
      <c r="AA32" s="105">
        <f t="shared" si="20"/>
        <v>-973573.92465620162</v>
      </c>
      <c r="AB32" s="105">
        <f t="shared" si="16"/>
        <v>3696831.0591241256</v>
      </c>
      <c r="AC32" s="230">
        <f t="shared" si="21"/>
        <v>-0.20845599643655949</v>
      </c>
    </row>
    <row r="33" spans="1:29" s="118" customFormat="1" x14ac:dyDescent="0.25">
      <c r="A33" s="226">
        <f t="shared" si="8"/>
        <v>21</v>
      </c>
      <c r="B33" s="126" t="s">
        <v>157</v>
      </c>
      <c r="C33" s="122" t="s">
        <v>158</v>
      </c>
      <c r="D33" s="123">
        <f t="shared" si="14"/>
        <v>119319881.40783478</v>
      </c>
      <c r="E33" s="124">
        <f t="shared" si="14"/>
        <v>6299906.5299999993</v>
      </c>
      <c r="F33" s="104">
        <f t="shared" si="12"/>
        <v>5.2798464561550719E-2</v>
      </c>
      <c r="G33" s="123">
        <f t="shared" si="15"/>
        <v>92290797</v>
      </c>
      <c r="H33" s="124">
        <f t="shared" si="15"/>
        <v>4900405.2476233523</v>
      </c>
      <c r="I33" s="124">
        <f t="shared" si="15"/>
        <v>8954460.6500000004</v>
      </c>
      <c r="J33" s="124">
        <f t="shared" si="15"/>
        <v>-1071009.05</v>
      </c>
      <c r="K33" s="124">
        <f t="shared" si="15"/>
        <v>489397.73057218886</v>
      </c>
      <c r="L33" s="124">
        <f t="shared" si="15"/>
        <v>601028.08584000007</v>
      </c>
      <c r="M33" s="124">
        <f t="shared" si="15"/>
        <v>78010.682957316661</v>
      </c>
      <c r="N33" s="124">
        <f t="shared" si="15"/>
        <v>101487.05060072211</v>
      </c>
      <c r="O33" s="124">
        <f t="shared" si="15"/>
        <v>195656.48963999999</v>
      </c>
      <c r="P33" s="124">
        <f t="shared" si="15"/>
        <v>-9839.8867071706336</v>
      </c>
      <c r="Q33" s="124">
        <f t="shared" si="15"/>
        <v>343451.93966006738</v>
      </c>
      <c r="R33" s="124">
        <f t="shared" si="15"/>
        <v>-36594.204519763771</v>
      </c>
      <c r="S33" s="124">
        <f t="shared" si="15"/>
        <v>8306.17173</v>
      </c>
      <c r="T33" s="124">
        <f t="shared" si="15"/>
        <v>1122440.7376561407</v>
      </c>
      <c r="U33" s="124">
        <f t="shared" si="15"/>
        <v>0</v>
      </c>
      <c r="V33" s="124">
        <f t="shared" si="15"/>
        <v>15677201.645052856</v>
      </c>
      <c r="W33" s="105">
        <f t="shared" si="16"/>
        <v>-748543.12402727129</v>
      </c>
      <c r="X33" s="285">
        <f t="shared" si="17"/>
        <v>-4.7747240928261186E-2</v>
      </c>
      <c r="Y33" s="105">
        <f t="shared" si="18"/>
        <v>144424.55999999994</v>
      </c>
      <c r="Z33" s="285">
        <f t="shared" si="19"/>
        <v>9.2123941038657862E-3</v>
      </c>
      <c r="AA33" s="105">
        <f t="shared" si="20"/>
        <v>-604118.56402727147</v>
      </c>
      <c r="AB33" s="105">
        <f t="shared" si="16"/>
        <v>15073083.081025584</v>
      </c>
      <c r="AC33" s="230">
        <f t="shared" si="21"/>
        <v>-3.8534846824395404E-2</v>
      </c>
    </row>
    <row r="34" spans="1:29" s="118" customFormat="1" x14ac:dyDescent="0.25">
      <c r="A34" s="226">
        <f t="shared" si="8"/>
        <v>22</v>
      </c>
      <c r="B34" s="126" t="s">
        <v>308</v>
      </c>
      <c r="C34" s="122" t="s">
        <v>232</v>
      </c>
      <c r="D34" s="123">
        <f>D23</f>
        <v>44508541</v>
      </c>
      <c r="E34" s="124">
        <f>E23</f>
        <v>195933.21000000002</v>
      </c>
      <c r="F34" s="104">
        <f t="shared" si="12"/>
        <v>4.4021485673951888E-3</v>
      </c>
      <c r="G34" s="123">
        <f>G23</f>
        <v>33595800</v>
      </c>
      <c r="H34" s="124">
        <f>H23</f>
        <v>147893.70284049527</v>
      </c>
      <c r="I34" s="124">
        <f t="shared" ref="I34:AB35" si="22">I23</f>
        <v>0</v>
      </c>
      <c r="J34" s="124">
        <f t="shared" si="22"/>
        <v>0</v>
      </c>
      <c r="K34" s="124">
        <f t="shared" si="22"/>
        <v>-75390.083230799995</v>
      </c>
      <c r="L34" s="124">
        <f t="shared" si="22"/>
        <v>0</v>
      </c>
      <c r="M34" s="124">
        <f t="shared" si="22"/>
        <v>19021.067999999999</v>
      </c>
      <c r="N34" s="124">
        <f t="shared" si="22"/>
        <v>24843.48</v>
      </c>
      <c r="O34" s="124">
        <f t="shared" si="22"/>
        <v>71223.09599999999</v>
      </c>
      <c r="P34" s="124">
        <f t="shared" si="22"/>
        <v>3741778.0260000001</v>
      </c>
      <c r="Q34" s="124">
        <f t="shared" si="22"/>
        <v>0</v>
      </c>
      <c r="R34" s="124">
        <f t="shared" si="22"/>
        <v>-6212.7060000000001</v>
      </c>
      <c r="S34" s="124">
        <f t="shared" si="22"/>
        <v>3023.6220000000003</v>
      </c>
      <c r="T34" s="124">
        <f t="shared" si="22"/>
        <v>159796.25399999999</v>
      </c>
      <c r="U34" s="124">
        <f t="shared" si="22"/>
        <v>0</v>
      </c>
      <c r="V34" s="124">
        <f t="shared" si="22"/>
        <v>4085976.4596096957</v>
      </c>
      <c r="W34" s="105">
        <f t="shared" si="22"/>
        <v>-208485.59044320002</v>
      </c>
      <c r="X34" s="285">
        <f t="shared" si="17"/>
        <v>-5.1024667543756522E-2</v>
      </c>
      <c r="Y34" s="105">
        <f t="shared" ref="Y34" si="23">Y23</f>
        <v>331743.48</v>
      </c>
      <c r="Z34" s="285">
        <f t="shared" si="19"/>
        <v>8.1190746760124277E-2</v>
      </c>
      <c r="AA34" s="105">
        <f t="shared" ref="AA34" si="24">AA23</f>
        <v>123257.88955679996</v>
      </c>
      <c r="AB34" s="105">
        <f t="shared" si="22"/>
        <v>4209234.3491664957</v>
      </c>
      <c r="AC34" s="230">
        <f t="shared" si="21"/>
        <v>3.0166079216367759E-2</v>
      </c>
    </row>
    <row r="35" spans="1:29" s="118" customFormat="1" x14ac:dyDescent="0.25">
      <c r="A35" s="226">
        <f t="shared" si="8"/>
        <v>23</v>
      </c>
      <c r="B35" s="126" t="s">
        <v>36</v>
      </c>
      <c r="C35" s="121"/>
      <c r="D35" s="123">
        <f>D24</f>
        <v>32154478.538398605</v>
      </c>
      <c r="E35" s="124">
        <f>E24</f>
        <v>1699064.4523564125</v>
      </c>
      <c r="F35" s="104">
        <f t="shared" si="12"/>
        <v>5.2840678175744761E-2</v>
      </c>
      <c r="G35" s="123">
        <f>G24</f>
        <v>34046817</v>
      </c>
      <c r="H35" s="124">
        <f>H24</f>
        <v>1799056.9000054756</v>
      </c>
      <c r="I35" s="124">
        <f t="shared" si="22"/>
        <v>0</v>
      </c>
      <c r="J35" s="124">
        <f t="shared" si="22"/>
        <v>0</v>
      </c>
      <c r="K35" s="124">
        <f t="shared" si="22"/>
        <v>1551828.9448525999</v>
      </c>
      <c r="L35" s="124">
        <f t="shared" si="22"/>
        <v>0</v>
      </c>
      <c r="M35" s="124">
        <f t="shared" si="22"/>
        <v>0</v>
      </c>
      <c r="N35" s="124">
        <f t="shared" si="22"/>
        <v>0</v>
      </c>
      <c r="O35" s="124">
        <f t="shared" si="22"/>
        <v>24854.176410000004</v>
      </c>
      <c r="P35" s="124">
        <f t="shared" si="22"/>
        <v>0</v>
      </c>
      <c r="Q35" s="124">
        <f t="shared" si="22"/>
        <v>0</v>
      </c>
      <c r="R35" s="124">
        <f t="shared" si="22"/>
        <v>0</v>
      </c>
      <c r="S35" s="124">
        <f t="shared" si="22"/>
        <v>3404.6817000000001</v>
      </c>
      <c r="T35" s="124">
        <f t="shared" si="22"/>
        <v>0</v>
      </c>
      <c r="U35" s="124">
        <f t="shared" si="22"/>
        <v>0</v>
      </c>
      <c r="V35" s="124">
        <f>V24</f>
        <v>3379144.7029680754</v>
      </c>
      <c r="W35" s="105">
        <f>W24</f>
        <v>-1091659.3301496003</v>
      </c>
      <c r="X35" s="285">
        <f t="shared" si="17"/>
        <v>-0.32305788183345335</v>
      </c>
      <c r="Y35" s="105">
        <f>Y24</f>
        <v>-933971.64000000013</v>
      </c>
      <c r="Z35" s="285">
        <f t="shared" si="19"/>
        <v>-0.27639291066157812</v>
      </c>
      <c r="AA35" s="105">
        <f>AA24</f>
        <v>-2025630.9701496004</v>
      </c>
      <c r="AB35" s="105">
        <f>AB24</f>
        <v>1353513.732818475</v>
      </c>
      <c r="AC35" s="230">
        <f t="shared" si="21"/>
        <v>-0.59945079249503141</v>
      </c>
    </row>
    <row r="36" spans="1:29" s="118" customFormat="1" x14ac:dyDescent="0.25">
      <c r="A36" s="226">
        <f t="shared" si="8"/>
        <v>24</v>
      </c>
      <c r="B36" s="126" t="s">
        <v>2</v>
      </c>
      <c r="C36" s="126"/>
      <c r="D36" s="127">
        <f>SUM(D28:D35)</f>
        <v>1217415528.0608532</v>
      </c>
      <c r="E36" s="128">
        <f>SUM(E28:E35)</f>
        <v>567392394.92043567</v>
      </c>
      <c r="F36" s="129">
        <f t="shared" si="12"/>
        <v>0.46606305065305048</v>
      </c>
      <c r="G36" s="127">
        <f>SUM(G28:G35)</f>
        <v>1114566181</v>
      </c>
      <c r="H36" s="128">
        <f>SUM(H28:H35)</f>
        <v>530053309.01685494</v>
      </c>
      <c r="I36" s="128">
        <f t="shared" ref="I36:U36" si="25">SUM(I28:I35)</f>
        <v>489677652.68000001</v>
      </c>
      <c r="J36" s="128">
        <f t="shared" si="25"/>
        <v>-52615363.579999998</v>
      </c>
      <c r="K36" s="128">
        <f t="shared" si="25"/>
        <v>63778103.909311898</v>
      </c>
      <c r="L36" s="128">
        <f t="shared" si="25"/>
        <v>32557298.28449</v>
      </c>
      <c r="M36" s="128">
        <f t="shared" si="25"/>
        <v>10655749.208770391</v>
      </c>
      <c r="N36" s="128">
        <f t="shared" si="25"/>
        <v>13057321.927791549</v>
      </c>
      <c r="O36" s="128">
        <f t="shared" si="25"/>
        <v>14736584.366280001</v>
      </c>
      <c r="P36" s="128">
        <f t="shared" si="25"/>
        <v>1911957.3688028296</v>
      </c>
      <c r="Q36" s="128">
        <f t="shared" si="25"/>
        <v>38500123.828119829</v>
      </c>
      <c r="R36" s="128">
        <f t="shared" si="25"/>
        <v>-3026928.0251797633</v>
      </c>
      <c r="S36" s="128">
        <f t="shared" si="25"/>
        <v>91158.950920000003</v>
      </c>
      <c r="T36" s="128">
        <f t="shared" si="25"/>
        <v>61593622.195746139</v>
      </c>
      <c r="U36" s="128">
        <f t="shared" si="25"/>
        <v>24147981.879999999</v>
      </c>
      <c r="V36" s="128">
        <f>SUM(V28:V35)</f>
        <v>1225118572.0119081</v>
      </c>
      <c r="W36" s="110">
        <f>SUM(W28:W35)</f>
        <v>-68623287.542571977</v>
      </c>
      <c r="X36" s="286">
        <f t="shared" si="17"/>
        <v>-5.6013588488727083E-2</v>
      </c>
      <c r="Y36" s="110">
        <f>SUM(Y28:Y35)</f>
        <v>2841074.4475016021</v>
      </c>
      <c r="Z36" s="286">
        <f t="shared" si="19"/>
        <v>2.3190199809280071E-3</v>
      </c>
      <c r="AA36" s="110">
        <f>SUM(AA28:AA35)</f>
        <v>-65782213.095070377</v>
      </c>
      <c r="AB36" s="110">
        <f>SUM(AB28:AB35)</f>
        <v>1159336358.9168375</v>
      </c>
      <c r="AC36" s="231">
        <f t="shared" si="21"/>
        <v>-5.3694568507799079E-2</v>
      </c>
    </row>
    <row r="37" spans="1:29" s="118" customFormat="1" x14ac:dyDescent="0.25">
      <c r="B37" s="130"/>
      <c r="C37" s="130"/>
      <c r="D37" s="130"/>
      <c r="E37" s="130"/>
      <c r="F37" s="130"/>
      <c r="I37" s="131"/>
      <c r="M37" s="130"/>
      <c r="N37" s="130"/>
      <c r="P37" s="130"/>
      <c r="Q37" s="130"/>
      <c r="R37" s="130"/>
      <c r="S37" s="130"/>
      <c r="T37" s="130"/>
      <c r="U37" s="130"/>
      <c r="V37" s="130"/>
      <c r="W37" s="132"/>
      <c r="X37" s="132"/>
      <c r="Y37" s="132"/>
      <c r="Z37" s="132"/>
      <c r="AA37" s="132"/>
      <c r="AB37" s="132"/>
    </row>
    <row r="38" spans="1:29" ht="17.25" x14ac:dyDescent="0.25">
      <c r="B38" t="s">
        <v>159</v>
      </c>
    </row>
    <row r="39" spans="1:29" ht="17.25" x14ac:dyDescent="0.25">
      <c r="B39" t="s">
        <v>309</v>
      </c>
    </row>
    <row r="41" spans="1:29" x14ac:dyDescent="0.25">
      <c r="B41" s="83" t="s">
        <v>230</v>
      </c>
      <c r="C41" s="83"/>
      <c r="D41" s="83"/>
      <c r="E41" s="83"/>
      <c r="F41" s="83"/>
      <c r="G41" s="83"/>
      <c r="H41" s="83"/>
      <c r="I41" s="83"/>
      <c r="J41" s="83"/>
      <c r="K41" s="83"/>
      <c r="L41" s="83"/>
      <c r="M41" s="83"/>
      <c r="N41" s="83"/>
      <c r="O41" s="83"/>
      <c r="P41" s="83"/>
      <c r="Q41" s="83"/>
      <c r="R41" s="83"/>
      <c r="S41" s="83"/>
      <c r="T41" s="83"/>
      <c r="U41" s="83"/>
      <c r="V41" s="287">
        <v>1.6391277313232422E-7</v>
      </c>
    </row>
  </sheetData>
  <printOptions horizontalCentered="1"/>
  <pageMargins left="0.45" right="0.45" top="0.75" bottom="0.75" header="0.3" footer="0.3"/>
  <pageSetup paperSize="5" scale="49" orientation="landscape" blackAndWhite="1" r:id="rId1"/>
  <headerFooter>
    <oddFooter>&amp;L&amp;F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9"/>
  <sheetViews>
    <sheetView zoomScale="85" zoomScaleNormal="85" workbookViewId="0">
      <selection activeCell="J22" sqref="J22"/>
    </sheetView>
  </sheetViews>
  <sheetFormatPr defaultColWidth="9.140625" defaultRowHeight="15" x14ac:dyDescent="0.25"/>
  <cols>
    <col min="1" max="1" width="2.140625" style="134" customWidth="1"/>
    <col min="2" max="2" width="2.42578125" style="134" customWidth="1"/>
    <col min="3" max="3" width="34.85546875" style="134" customWidth="1"/>
    <col min="4" max="5" width="11.85546875" style="134" customWidth="1"/>
    <col min="6" max="6" width="2.7109375" style="136" customWidth="1"/>
    <col min="7" max="8" width="11.85546875" style="134" customWidth="1"/>
    <col min="9" max="16384" width="9.140625" style="134"/>
  </cols>
  <sheetData>
    <row r="1" spans="2:8" x14ac:dyDescent="0.25">
      <c r="B1" s="133" t="s">
        <v>0</v>
      </c>
      <c r="C1" s="133"/>
      <c r="D1" s="133"/>
      <c r="E1" s="133"/>
      <c r="F1" s="133"/>
      <c r="G1" s="133"/>
      <c r="H1" s="133"/>
    </row>
    <row r="2" spans="2:8" x14ac:dyDescent="0.25">
      <c r="B2" s="133" t="str">
        <f>'Rate Impacts Sch 111'!A2</f>
        <v>2024 Gas Schedule 111 Greenhouse Gas Emissions Cap and Invest Adjustment Filing</v>
      </c>
      <c r="C2" s="133"/>
      <c r="D2" s="133"/>
      <c r="E2" s="133"/>
      <c r="F2" s="133"/>
      <c r="G2" s="133"/>
      <c r="H2" s="133"/>
    </row>
    <row r="3" spans="2:8" x14ac:dyDescent="0.25">
      <c r="B3" s="135" t="s">
        <v>160</v>
      </c>
      <c r="C3" s="135"/>
      <c r="D3" s="135"/>
      <c r="E3" s="135"/>
      <c r="F3" s="135"/>
      <c r="G3" s="135"/>
      <c r="H3" s="135"/>
    </row>
    <row r="4" spans="2:8" x14ac:dyDescent="0.25">
      <c r="B4" s="135" t="str">
        <f>'Rate Impacts Sch 111'!A4</f>
        <v>Proposed Rates Effective January 1, 2025</v>
      </c>
      <c r="C4" s="135"/>
      <c r="D4" s="135"/>
      <c r="E4" s="135"/>
      <c r="F4" s="135"/>
      <c r="G4" s="135"/>
      <c r="H4" s="135"/>
    </row>
    <row r="6" spans="2:8" x14ac:dyDescent="0.25">
      <c r="G6" s="137" t="s">
        <v>161</v>
      </c>
      <c r="H6" s="137"/>
    </row>
    <row r="7" spans="2:8" x14ac:dyDescent="0.25">
      <c r="D7" s="138" t="s">
        <v>162</v>
      </c>
      <c r="E7" s="138"/>
      <c r="F7" s="139"/>
      <c r="G7" s="138" t="s">
        <v>163</v>
      </c>
      <c r="H7" s="138"/>
    </row>
    <row r="8" spans="2:8" ht="17.25" x14ac:dyDescent="0.25">
      <c r="D8" s="140" t="s">
        <v>164</v>
      </c>
      <c r="E8" s="140" t="s">
        <v>165</v>
      </c>
      <c r="F8" s="141"/>
      <c r="G8" s="140" t="s">
        <v>166</v>
      </c>
      <c r="H8" s="140" t="s">
        <v>165</v>
      </c>
    </row>
    <row r="9" spans="2:8" x14ac:dyDescent="0.25">
      <c r="B9" s="134" t="s">
        <v>167</v>
      </c>
      <c r="D9" s="142">
        <v>64</v>
      </c>
      <c r="E9" s="143"/>
      <c r="F9" s="144"/>
      <c r="G9" s="142">
        <v>64</v>
      </c>
      <c r="H9" s="143"/>
    </row>
    <row r="10" spans="2:8" x14ac:dyDescent="0.25">
      <c r="D10" s="142"/>
      <c r="E10" s="143"/>
      <c r="F10" s="144"/>
      <c r="G10" s="142"/>
      <c r="H10" s="143"/>
    </row>
    <row r="11" spans="2:8" x14ac:dyDescent="0.25">
      <c r="B11" s="134" t="s">
        <v>168</v>
      </c>
      <c r="D11" s="142"/>
      <c r="E11" s="143"/>
      <c r="F11" s="144"/>
      <c r="G11" s="142"/>
      <c r="H11" s="143"/>
    </row>
    <row r="12" spans="2:8" x14ac:dyDescent="0.25">
      <c r="C12" s="134" t="s">
        <v>169</v>
      </c>
      <c r="D12" s="243">
        <v>12.5</v>
      </c>
      <c r="E12" s="143">
        <f>D12</f>
        <v>12.5</v>
      </c>
      <c r="F12" s="146"/>
      <c r="G12" s="147">
        <f>$D$12</f>
        <v>12.5</v>
      </c>
      <c r="H12" s="143">
        <f>G12</f>
        <v>12.5</v>
      </c>
    </row>
    <row r="13" spans="2:8" x14ac:dyDescent="0.25">
      <c r="C13" s="134" t="s">
        <v>170</v>
      </c>
      <c r="D13" s="233">
        <f>SUM(D12:D12)</f>
        <v>12.5</v>
      </c>
      <c r="E13" s="148">
        <f>SUM(E12:E12)</f>
        <v>12.5</v>
      </c>
      <c r="F13" s="146"/>
      <c r="G13" s="148">
        <f>SUM(G12:G12)</f>
        <v>12.5</v>
      </c>
      <c r="H13" s="148">
        <f>SUM(H12:H12)</f>
        <v>12.5</v>
      </c>
    </row>
    <row r="14" spans="2:8" x14ac:dyDescent="0.25">
      <c r="D14" s="234"/>
      <c r="E14" s="149"/>
      <c r="F14" s="146"/>
      <c r="G14" s="149"/>
      <c r="H14" s="149"/>
    </row>
    <row r="15" spans="2:8" x14ac:dyDescent="0.25">
      <c r="C15" s="134" t="s">
        <v>171</v>
      </c>
      <c r="D15" s="232">
        <f>'Sch. 111 Credit'!$F$10</f>
        <v>-9.9700000000000006</v>
      </c>
      <c r="E15" s="143">
        <f>D15</f>
        <v>-9.9700000000000006</v>
      </c>
      <c r="F15" s="146"/>
      <c r="G15" s="145">
        <f>'Sch. 111 Credit'!$I$10</f>
        <v>-8.9499999999999993</v>
      </c>
      <c r="H15" s="143">
        <f>G15</f>
        <v>-8.9499999999999993</v>
      </c>
    </row>
    <row r="16" spans="2:8" x14ac:dyDescent="0.25">
      <c r="D16" s="235"/>
      <c r="E16" s="143"/>
      <c r="F16" s="146"/>
      <c r="G16" s="147"/>
      <c r="H16" s="143"/>
    </row>
    <row r="17" spans="2:8" x14ac:dyDescent="0.25">
      <c r="B17" s="134" t="s">
        <v>172</v>
      </c>
      <c r="D17" s="236"/>
      <c r="E17" s="143"/>
      <c r="H17" s="143"/>
    </row>
    <row r="18" spans="2:8" x14ac:dyDescent="0.25">
      <c r="C18" s="134" t="s">
        <v>173</v>
      </c>
      <c r="D18" s="176">
        <v>0.45612999999999998</v>
      </c>
      <c r="E18" s="143"/>
      <c r="F18" s="150"/>
      <c r="G18" s="151">
        <f>$D$18</f>
        <v>0.45612999999999998</v>
      </c>
      <c r="H18" s="143"/>
    </row>
    <row r="19" spans="2:8" x14ac:dyDescent="0.25">
      <c r="C19" s="134" t="s">
        <v>182</v>
      </c>
      <c r="D19" s="176">
        <v>3.6560000000000002E-2</v>
      </c>
      <c r="E19" s="143"/>
      <c r="F19" s="150"/>
      <c r="G19" s="237">
        <f>$D$19</f>
        <v>3.6560000000000002E-2</v>
      </c>
      <c r="H19" s="143"/>
    </row>
    <row r="20" spans="2:8" x14ac:dyDescent="0.25">
      <c r="C20" s="134" t="s">
        <v>175</v>
      </c>
      <c r="D20" s="176">
        <v>1.3089999999999999E-2</v>
      </c>
      <c r="E20" s="143"/>
      <c r="F20" s="150"/>
      <c r="G20" s="152">
        <f>D20</f>
        <v>1.3089999999999999E-2</v>
      </c>
      <c r="H20" s="143"/>
    </row>
    <row r="21" spans="2:8" x14ac:dyDescent="0.25">
      <c r="C21" s="134" t="s">
        <v>176</v>
      </c>
      <c r="D21" s="176">
        <v>1.5959999999999998E-2</v>
      </c>
      <c r="E21" s="143"/>
      <c r="F21" s="150"/>
      <c r="G21" s="152">
        <f>D21</f>
        <v>1.5959999999999998E-2</v>
      </c>
      <c r="H21" s="143"/>
    </row>
    <row r="22" spans="2:8" x14ac:dyDescent="0.25">
      <c r="C22" s="134" t="s">
        <v>177</v>
      </c>
      <c r="D22" s="176">
        <v>1.6749999999999998E-2</v>
      </c>
      <c r="E22" s="143"/>
      <c r="F22" s="150"/>
      <c r="G22" s="152">
        <f>$D$22</f>
        <v>1.6749999999999998E-2</v>
      </c>
      <c r="H22" s="143"/>
    </row>
    <row r="23" spans="2:8" x14ac:dyDescent="0.25">
      <c r="C23" s="134" t="s">
        <v>178</v>
      </c>
      <c r="D23" s="176">
        <v>-2.1999999999999997E-3</v>
      </c>
      <c r="E23" s="143"/>
      <c r="F23" s="150"/>
      <c r="G23" s="152">
        <f>$D$23</f>
        <v>-2.1999999999999997E-3</v>
      </c>
      <c r="H23" s="143"/>
    </row>
    <row r="24" spans="2:8" x14ac:dyDescent="0.25">
      <c r="C24" s="134" t="s">
        <v>310</v>
      </c>
      <c r="D24" s="176">
        <v>4.6739999999999997E-2</v>
      </c>
      <c r="E24" s="143"/>
      <c r="F24" s="150"/>
      <c r="G24" s="152">
        <f>$D$24</f>
        <v>4.6739999999999997E-2</v>
      </c>
      <c r="H24" s="143"/>
    </row>
    <row r="25" spans="2:8" x14ac:dyDescent="0.25">
      <c r="C25" s="134" t="s">
        <v>179</v>
      </c>
      <c r="D25" s="176">
        <v>-3.5899999999999994E-3</v>
      </c>
      <c r="E25" s="143"/>
      <c r="F25" s="150"/>
      <c r="G25" s="152">
        <f>$D$25</f>
        <v>-3.5899999999999994E-3</v>
      </c>
      <c r="H25" s="143"/>
    </row>
    <row r="26" spans="2:8" x14ac:dyDescent="0.25">
      <c r="C26" s="134" t="s">
        <v>311</v>
      </c>
      <c r="D26" s="176">
        <v>9.0000000000000006E-5</v>
      </c>
      <c r="E26" s="143"/>
      <c r="F26" s="150"/>
      <c r="G26" s="152">
        <f>$D$26</f>
        <v>9.0000000000000006E-5</v>
      </c>
      <c r="H26" s="143"/>
    </row>
    <row r="27" spans="2:8" x14ac:dyDescent="0.25">
      <c r="C27" s="134" t="s">
        <v>180</v>
      </c>
      <c r="D27" s="176">
        <v>7.2679999999999995E-2</v>
      </c>
      <c r="E27" s="143"/>
      <c r="F27" s="150"/>
      <c r="G27" s="152">
        <f>$D$27</f>
        <v>7.2679999999999995E-2</v>
      </c>
      <c r="H27" s="143"/>
    </row>
    <row r="28" spans="2:8" x14ac:dyDescent="0.25">
      <c r="C28" s="134" t="s">
        <v>181</v>
      </c>
      <c r="D28" s="176">
        <v>4.292E-2</v>
      </c>
      <c r="E28" s="143"/>
      <c r="F28" s="150"/>
      <c r="G28" s="152">
        <f>$D$28</f>
        <v>4.292E-2</v>
      </c>
      <c r="H28" s="143"/>
    </row>
    <row r="29" spans="2:8" x14ac:dyDescent="0.25">
      <c r="C29" s="134" t="s">
        <v>170</v>
      </c>
      <c r="D29" s="238">
        <f>SUM(D18:D28)</f>
        <v>0.69513000000000003</v>
      </c>
      <c r="E29" s="143">
        <f>ROUND(D29*D$9,2)</f>
        <v>44.49</v>
      </c>
      <c r="F29" s="150"/>
      <c r="G29" s="153">
        <f>SUM(G18:G28)</f>
        <v>0.69513000000000003</v>
      </c>
      <c r="H29" s="143">
        <f>ROUND(G29*G$9,2)</f>
        <v>44.49</v>
      </c>
    </row>
    <row r="30" spans="2:8" x14ac:dyDescent="0.25">
      <c r="D30" s="236"/>
    </row>
    <row r="31" spans="2:8" x14ac:dyDescent="0.25">
      <c r="C31" s="134" t="s">
        <v>174</v>
      </c>
      <c r="D31" s="183">
        <f>'Sch. 111 Charge'!$F$10</f>
        <v>0.23183000000000001</v>
      </c>
      <c r="E31" s="143">
        <f>ROUND(D31*D$9,2)</f>
        <v>14.84</v>
      </c>
      <c r="F31" s="150"/>
      <c r="G31" s="183">
        <f>'Sch. 111 Charge'!$I$10</f>
        <v>0.16114999999999999</v>
      </c>
      <c r="H31" s="143">
        <f>ROUND(G31*G$9,2)</f>
        <v>10.31</v>
      </c>
    </row>
    <row r="32" spans="2:8" x14ac:dyDescent="0.25">
      <c r="D32" s="239"/>
      <c r="E32" s="143"/>
      <c r="F32" s="150"/>
      <c r="G32" s="151"/>
      <c r="H32" s="143"/>
    </row>
    <row r="33" spans="2:8" x14ac:dyDescent="0.25">
      <c r="C33" s="134" t="s">
        <v>183</v>
      </c>
      <c r="D33" s="176">
        <v>0.55332000000000003</v>
      </c>
      <c r="E33" s="143"/>
      <c r="F33" s="150"/>
      <c r="G33" s="152">
        <f>$D$33</f>
        <v>0.55332000000000003</v>
      </c>
      <c r="H33" s="143"/>
    </row>
    <row r="34" spans="2:8" x14ac:dyDescent="0.25">
      <c r="C34" s="134" t="s">
        <v>184</v>
      </c>
      <c r="D34" s="176">
        <v>-5.883E-2</v>
      </c>
      <c r="E34" s="143"/>
      <c r="F34" s="150"/>
      <c r="G34" s="152">
        <f>$D$34</f>
        <v>-5.883E-2</v>
      </c>
      <c r="H34" s="143"/>
    </row>
    <row r="35" spans="2:8" x14ac:dyDescent="0.25">
      <c r="C35" s="134" t="s">
        <v>170</v>
      </c>
      <c r="D35" s="238">
        <f>SUM(D33:D34)</f>
        <v>0.49449000000000004</v>
      </c>
      <c r="E35" s="143">
        <f>ROUND(D35*D$9,2)</f>
        <v>31.65</v>
      </c>
      <c r="F35" s="150"/>
      <c r="G35" s="153">
        <f>SUM(G33:G34)</f>
        <v>0.49449000000000004</v>
      </c>
      <c r="H35" s="143">
        <f>ROUND(G35*G$9,2)</f>
        <v>31.65</v>
      </c>
    </row>
    <row r="36" spans="2:8" x14ac:dyDescent="0.25">
      <c r="C36" s="134" t="s">
        <v>185</v>
      </c>
      <c r="D36" s="238">
        <f>D29+D31+D35</f>
        <v>1.4214500000000001</v>
      </c>
      <c r="E36" s="154">
        <f>SUM(E29,E31,E35)</f>
        <v>90.97999999999999</v>
      </c>
      <c r="F36" s="155"/>
      <c r="G36" s="153">
        <f>G29+G31+G35</f>
        <v>1.35077</v>
      </c>
      <c r="H36" s="154">
        <f>SUM(H29,H31,H35)</f>
        <v>86.45</v>
      </c>
    </row>
    <row r="37" spans="2:8" x14ac:dyDescent="0.25">
      <c r="E37" s="143"/>
      <c r="H37" s="143"/>
    </row>
    <row r="38" spans="2:8" x14ac:dyDescent="0.25">
      <c r="B38" s="134" t="s">
        <v>186</v>
      </c>
      <c r="D38" s="147"/>
      <c r="E38" s="143">
        <f>E13+E15+E36</f>
        <v>93.509999999999991</v>
      </c>
      <c r="F38" s="149"/>
      <c r="G38" s="147"/>
      <c r="H38" s="143">
        <f>H13+H15+H36</f>
        <v>90</v>
      </c>
    </row>
    <row r="39" spans="2:8" x14ac:dyDescent="0.25">
      <c r="B39" s="134" t="s">
        <v>187</v>
      </c>
      <c r="D39" s="147"/>
      <c r="E39" s="143"/>
      <c r="F39" s="149"/>
      <c r="G39" s="147"/>
      <c r="H39" s="143">
        <f>H38-$E38</f>
        <v>-3.5099999999999909</v>
      </c>
    </row>
    <row r="40" spans="2:8" x14ac:dyDescent="0.25">
      <c r="B40" s="134" t="s">
        <v>188</v>
      </c>
      <c r="D40" s="9"/>
      <c r="E40" s="9"/>
      <c r="F40" s="156"/>
      <c r="G40" s="9"/>
      <c r="H40" s="157">
        <f>H39/$E38</f>
        <v>-3.7536092396535034E-2</v>
      </c>
    </row>
    <row r="41" spans="2:8" x14ac:dyDescent="0.25">
      <c r="E41" s="143"/>
    </row>
    <row r="42" spans="2:8" x14ac:dyDescent="0.25">
      <c r="B42" s="134" t="s">
        <v>189</v>
      </c>
      <c r="D42" s="151">
        <f>D29+D31</f>
        <v>0.92696000000000001</v>
      </c>
      <c r="E42" s="143"/>
      <c r="F42" s="155"/>
      <c r="G42" s="151">
        <f>G29+G31</f>
        <v>0.85628000000000004</v>
      </c>
    </row>
    <row r="44" spans="2:8" ht="17.25" x14ac:dyDescent="0.25">
      <c r="B44" s="158" t="s">
        <v>312</v>
      </c>
      <c r="D44" s="158"/>
      <c r="E44" s="158"/>
      <c r="F44" s="159"/>
      <c r="G44" s="159"/>
      <c r="H44" s="159"/>
    </row>
    <row r="49" ht="14.25" customHeight="1" x14ac:dyDescent="0.25"/>
  </sheetData>
  <printOptions horizontalCentered="1"/>
  <pageMargins left="0.5" right="0.5" top="1" bottom="1" header="0.5" footer="0.5"/>
  <pageSetup scale="78" orientation="landscape" blackAndWhite="1" r:id="rId1"/>
  <headerFooter alignWithMargins="0">
    <oddFooter>&amp;L&amp;F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zoomScale="90" zoomScaleNormal="90" workbookViewId="0">
      <selection activeCell="G28" sqref="G28"/>
    </sheetView>
  </sheetViews>
  <sheetFormatPr defaultColWidth="8.7109375" defaultRowHeight="15" x14ac:dyDescent="0.25"/>
  <cols>
    <col min="1" max="1" width="37.7109375" style="31" customWidth="1"/>
    <col min="2" max="2" width="9.140625" style="31" bestFit="1" customWidth="1"/>
    <col min="3" max="3" width="18.5703125" style="31" bestFit="1" customWidth="1"/>
    <col min="4" max="9" width="13.7109375" style="31" customWidth="1"/>
    <col min="10" max="11" width="14.42578125" style="31" customWidth="1"/>
    <col min="12" max="12" width="15.28515625" style="31" bestFit="1" customWidth="1"/>
    <col min="13" max="13" width="7.85546875" style="31" bestFit="1" customWidth="1"/>
    <col min="14" max="16384" width="8.7109375" style="31"/>
  </cols>
  <sheetData>
    <row r="1" spans="1:25" s="134" customFormat="1" x14ac:dyDescent="0.25">
      <c r="A1" s="307" t="s">
        <v>0</v>
      </c>
      <c r="B1" s="307"/>
      <c r="C1" s="307"/>
      <c r="D1" s="307"/>
      <c r="E1" s="307"/>
      <c r="F1" s="307"/>
      <c r="G1" s="307"/>
      <c r="H1" s="307"/>
      <c r="I1" s="307"/>
      <c r="J1" s="307"/>
      <c r="K1" s="307"/>
      <c r="L1" s="307"/>
      <c r="M1" s="307"/>
      <c r="N1" s="135"/>
    </row>
    <row r="2" spans="1:25" s="134" customFormat="1" x14ac:dyDescent="0.25">
      <c r="A2" s="307" t="s">
        <v>211</v>
      </c>
      <c r="B2" s="308"/>
      <c r="C2" s="308"/>
      <c r="D2" s="308"/>
      <c r="E2" s="308"/>
      <c r="F2" s="308"/>
      <c r="G2" s="308"/>
      <c r="H2" s="308"/>
      <c r="I2" s="308"/>
      <c r="J2" s="308"/>
      <c r="K2" s="308"/>
      <c r="L2" s="308"/>
      <c r="M2" s="308"/>
      <c r="N2" s="160"/>
      <c r="O2" s="161"/>
      <c r="P2" s="161"/>
      <c r="Q2" s="161"/>
      <c r="R2" s="161"/>
      <c r="S2" s="161"/>
      <c r="T2" s="161"/>
      <c r="U2" s="161"/>
      <c r="V2" s="161"/>
      <c r="W2" s="161"/>
      <c r="X2" s="161"/>
      <c r="Y2" s="161"/>
    </row>
    <row r="3" spans="1:25" s="134" customFormat="1" x14ac:dyDescent="0.25">
      <c r="A3" s="307" t="s">
        <v>190</v>
      </c>
      <c r="B3" s="307"/>
      <c r="C3" s="307"/>
      <c r="D3" s="307"/>
      <c r="E3" s="307"/>
      <c r="F3" s="307"/>
      <c r="G3" s="307"/>
      <c r="H3" s="307"/>
      <c r="I3" s="307"/>
      <c r="J3" s="307"/>
      <c r="K3" s="307"/>
      <c r="L3" s="307"/>
      <c r="M3" s="307"/>
      <c r="N3" s="135"/>
    </row>
    <row r="4" spans="1:25" s="134" customFormat="1" x14ac:dyDescent="0.25">
      <c r="A4" s="307" t="s">
        <v>234</v>
      </c>
      <c r="B4" s="307"/>
      <c r="C4" s="307"/>
      <c r="D4" s="307"/>
      <c r="E4" s="307"/>
      <c r="F4" s="307"/>
      <c r="G4" s="307"/>
      <c r="H4" s="307"/>
      <c r="I4" s="307"/>
      <c r="J4" s="307"/>
      <c r="K4" s="307"/>
      <c r="L4" s="307"/>
      <c r="M4" s="307"/>
      <c r="N4" s="135"/>
    </row>
    <row r="5" spans="1:25" x14ac:dyDescent="0.25">
      <c r="F5" s="279"/>
      <c r="G5" s="279"/>
      <c r="H5" s="279"/>
      <c r="I5" s="279"/>
    </row>
    <row r="6" spans="1:25" x14ac:dyDescent="0.25">
      <c r="D6" s="303" t="s">
        <v>162</v>
      </c>
      <c r="E6" s="304"/>
      <c r="F6" s="305"/>
      <c r="G6" s="303" t="s">
        <v>191</v>
      </c>
      <c r="H6" s="304"/>
      <c r="I6" s="305"/>
    </row>
    <row r="7" spans="1:25" x14ac:dyDescent="0.25">
      <c r="A7" s="51"/>
      <c r="B7" s="51"/>
      <c r="C7" s="51" t="s">
        <v>101</v>
      </c>
      <c r="D7" s="51" t="s">
        <v>5</v>
      </c>
      <c r="E7" s="51" t="s">
        <v>5</v>
      </c>
      <c r="F7" s="51" t="s">
        <v>2</v>
      </c>
      <c r="G7" s="51" t="s">
        <v>5</v>
      </c>
      <c r="H7" s="51" t="s">
        <v>5</v>
      </c>
      <c r="I7" s="51" t="s">
        <v>2</v>
      </c>
      <c r="J7" s="225" t="s">
        <v>101</v>
      </c>
      <c r="K7" s="225" t="s">
        <v>101</v>
      </c>
      <c r="L7" s="51" t="s">
        <v>192</v>
      </c>
      <c r="M7" s="51"/>
      <c r="V7" s="162"/>
      <c r="W7" s="162"/>
      <c r="X7" s="162"/>
    </row>
    <row r="8" spans="1:25" x14ac:dyDescent="0.25">
      <c r="A8" s="51"/>
      <c r="B8" s="51" t="s">
        <v>105</v>
      </c>
      <c r="C8" s="51" t="s">
        <v>193</v>
      </c>
      <c r="D8" s="51" t="s">
        <v>84</v>
      </c>
      <c r="E8" s="51" t="s">
        <v>194</v>
      </c>
      <c r="F8" s="51" t="s">
        <v>192</v>
      </c>
      <c r="G8" s="51" t="s">
        <v>84</v>
      </c>
      <c r="H8" s="51" t="s">
        <v>194</v>
      </c>
      <c r="I8" s="51" t="s">
        <v>192</v>
      </c>
      <c r="J8" s="225" t="s">
        <v>4</v>
      </c>
      <c r="K8" s="225" t="s">
        <v>4</v>
      </c>
      <c r="L8" s="51" t="s">
        <v>4</v>
      </c>
      <c r="M8" s="51" t="s">
        <v>119</v>
      </c>
      <c r="V8" s="162"/>
      <c r="W8" s="162"/>
      <c r="X8" s="162"/>
    </row>
    <row r="9" spans="1:25" x14ac:dyDescent="0.25">
      <c r="A9" s="52" t="s">
        <v>7</v>
      </c>
      <c r="B9" s="52" t="s">
        <v>122</v>
      </c>
      <c r="C9" s="78" t="s">
        <v>296</v>
      </c>
      <c r="D9" s="38" t="s">
        <v>166</v>
      </c>
      <c r="E9" s="38" t="s">
        <v>166</v>
      </c>
      <c r="F9" s="52" t="s">
        <v>166</v>
      </c>
      <c r="G9" s="38" t="s">
        <v>166</v>
      </c>
      <c r="H9" s="38" t="s">
        <v>166</v>
      </c>
      <c r="I9" s="52" t="s">
        <v>166</v>
      </c>
      <c r="J9" s="140" t="s">
        <v>162</v>
      </c>
      <c r="K9" s="140" t="s">
        <v>191</v>
      </c>
      <c r="L9" s="52" t="s">
        <v>126</v>
      </c>
      <c r="M9" s="52" t="s">
        <v>126</v>
      </c>
      <c r="V9" s="162"/>
      <c r="W9" s="163"/>
      <c r="X9" s="162"/>
    </row>
    <row r="10" spans="1:25" x14ac:dyDescent="0.25">
      <c r="A10" s="31" t="s">
        <v>19</v>
      </c>
      <c r="B10" s="279">
        <v>23</v>
      </c>
      <c r="C10" s="175">
        <v>561027369.33016872</v>
      </c>
      <c r="D10" s="164">
        <v>0.23183000000000001</v>
      </c>
      <c r="E10" s="164">
        <v>0</v>
      </c>
      <c r="F10" s="165">
        <f>SUM(D10:E10)</f>
        <v>0.23183000000000001</v>
      </c>
      <c r="G10" s="166">
        <f>'Sch. 111 Rate Summary'!F10</f>
        <v>0.16114999999999999</v>
      </c>
      <c r="H10" s="166">
        <f>'Sch. 111 Rate Summary'!G10</f>
        <v>0</v>
      </c>
      <c r="I10" s="165">
        <f>SUM(G10:H10)</f>
        <v>0.16114999999999999</v>
      </c>
      <c r="J10" s="106">
        <f>C10*F10</f>
        <v>130062975.03181303</v>
      </c>
      <c r="K10" s="106">
        <f>C10*I10</f>
        <v>90409560.567556679</v>
      </c>
      <c r="L10" s="53">
        <f>K10-J10</f>
        <v>-39653414.464256346</v>
      </c>
      <c r="M10" s="60">
        <f>IF(J10=0,0,L10/J10)</f>
        <v>-0.30487857481775454</v>
      </c>
      <c r="V10" s="162"/>
      <c r="W10" s="167"/>
      <c r="X10" s="162"/>
    </row>
    <row r="11" spans="1:25" x14ac:dyDescent="0.25">
      <c r="A11" s="31" t="s">
        <v>20</v>
      </c>
      <c r="B11" s="279">
        <v>16</v>
      </c>
      <c r="C11" s="39">
        <v>6156</v>
      </c>
      <c r="D11" s="164">
        <v>0.23183000000000001</v>
      </c>
      <c r="E11" s="164">
        <v>0</v>
      </c>
      <c r="F11" s="165">
        <f t="shared" ref="F11:F23" si="0">SUM(D11:E11)</f>
        <v>0.23183000000000001</v>
      </c>
      <c r="G11" s="166">
        <f>'Sch. 111 Rate Summary'!F10</f>
        <v>0.16114999999999999</v>
      </c>
      <c r="H11" s="166">
        <f>'Sch. 111 Rate Summary'!G10</f>
        <v>0</v>
      </c>
      <c r="I11" s="165">
        <f t="shared" ref="I11:I23" si="1">SUM(G11:H11)</f>
        <v>0.16114999999999999</v>
      </c>
      <c r="J11" s="106">
        <f t="shared" ref="J11:J22" si="2">C11*F11</f>
        <v>1427.1454800000001</v>
      </c>
      <c r="K11" s="106">
        <f t="shared" ref="K11:K23" si="3">C11*I11</f>
        <v>992.03939999999989</v>
      </c>
      <c r="L11" s="53">
        <f t="shared" ref="L11:L23" si="4">K11-J11</f>
        <v>-435.10608000000025</v>
      </c>
      <c r="M11" s="60">
        <f t="shared" ref="M11:M24" si="5">IF(J11=0,0,L11/J11)</f>
        <v>-0.30487857481775454</v>
      </c>
      <c r="V11" s="162"/>
      <c r="W11" s="162"/>
      <c r="X11" s="162"/>
    </row>
    <row r="12" spans="1:25" x14ac:dyDescent="0.25">
      <c r="A12" s="31" t="s">
        <v>21</v>
      </c>
      <c r="B12" s="279">
        <v>31</v>
      </c>
      <c r="C12" s="175">
        <v>224583212.92383128</v>
      </c>
      <c r="D12" s="164">
        <v>0.23183000000000001</v>
      </c>
      <c r="E12" s="164">
        <v>0</v>
      </c>
      <c r="F12" s="165">
        <f t="shared" si="0"/>
        <v>0.23183000000000001</v>
      </c>
      <c r="G12" s="166">
        <f>'Sch. 111 Rate Summary'!F12</f>
        <v>0.16114999999999999</v>
      </c>
      <c r="H12" s="166">
        <f>'Sch. 111 Rate Summary'!G12</f>
        <v>0</v>
      </c>
      <c r="I12" s="165">
        <f t="shared" si="1"/>
        <v>0.16114999999999999</v>
      </c>
      <c r="J12" s="106">
        <f t="shared" si="2"/>
        <v>52065126.252131805</v>
      </c>
      <c r="K12" s="106">
        <f t="shared" si="3"/>
        <v>36191584.762675412</v>
      </c>
      <c r="L12" s="53">
        <f t="shared" si="4"/>
        <v>-15873541.489456393</v>
      </c>
      <c r="M12" s="60">
        <f t="shared" si="5"/>
        <v>-0.30487857481775438</v>
      </c>
      <c r="V12" s="162"/>
      <c r="W12" s="162"/>
      <c r="X12" s="162"/>
    </row>
    <row r="13" spans="1:25" x14ac:dyDescent="0.25">
      <c r="A13" s="31" t="s">
        <v>22</v>
      </c>
      <c r="B13" s="279">
        <v>41</v>
      </c>
      <c r="C13" s="175">
        <v>61501849.973336771</v>
      </c>
      <c r="D13" s="164">
        <v>0.23183000000000001</v>
      </c>
      <c r="E13" s="164">
        <v>0</v>
      </c>
      <c r="F13" s="165">
        <f t="shared" si="0"/>
        <v>0.23183000000000001</v>
      </c>
      <c r="G13" s="166">
        <f>'Sch. 111 Rate Summary'!F13</f>
        <v>0.16114999999999999</v>
      </c>
      <c r="H13" s="166">
        <f>'Sch. 111 Rate Summary'!G13</f>
        <v>0</v>
      </c>
      <c r="I13" s="165">
        <f t="shared" si="1"/>
        <v>0.16114999999999999</v>
      </c>
      <c r="J13" s="106">
        <f t="shared" si="2"/>
        <v>14257973.879318664</v>
      </c>
      <c r="K13" s="106">
        <f t="shared" si="3"/>
        <v>9911023.1232032198</v>
      </c>
      <c r="L13" s="53">
        <f t="shared" si="4"/>
        <v>-4346950.756115444</v>
      </c>
      <c r="M13" s="60">
        <f t="shared" si="5"/>
        <v>-0.30487857481775443</v>
      </c>
    </row>
    <row r="14" spans="1:25" x14ac:dyDescent="0.25">
      <c r="A14" s="31" t="s">
        <v>23</v>
      </c>
      <c r="B14" s="279">
        <v>85</v>
      </c>
      <c r="C14" s="175">
        <v>15156935.025856322</v>
      </c>
      <c r="D14" s="164">
        <v>0.23183000000000001</v>
      </c>
      <c r="E14" s="164">
        <v>0</v>
      </c>
      <c r="F14" s="165">
        <f t="shared" si="0"/>
        <v>0.23183000000000001</v>
      </c>
      <c r="G14" s="166">
        <f>'Sch. 111 Rate Summary'!F14</f>
        <v>0.16114999999999999</v>
      </c>
      <c r="H14" s="166">
        <f>'Sch. 111 Rate Summary'!G14</f>
        <v>0</v>
      </c>
      <c r="I14" s="165">
        <f t="shared" si="1"/>
        <v>0.16114999999999999</v>
      </c>
      <c r="J14" s="106">
        <f t="shared" si="2"/>
        <v>3513832.2470442713</v>
      </c>
      <c r="K14" s="106">
        <f t="shared" si="3"/>
        <v>2442540.0794167463</v>
      </c>
      <c r="L14" s="53">
        <f t="shared" si="4"/>
        <v>-1071292.1676275251</v>
      </c>
      <c r="M14" s="60">
        <f t="shared" si="5"/>
        <v>-0.30487857481775443</v>
      </c>
    </row>
    <row r="15" spans="1:25" x14ac:dyDescent="0.25">
      <c r="A15" s="31" t="s">
        <v>24</v>
      </c>
      <c r="B15" s="279">
        <v>86</v>
      </c>
      <c r="C15" s="175">
        <v>4983268.9311856451</v>
      </c>
      <c r="D15" s="164">
        <v>0.23183000000000001</v>
      </c>
      <c r="E15" s="164">
        <v>0</v>
      </c>
      <c r="F15" s="165">
        <f t="shared" si="0"/>
        <v>0.23183000000000001</v>
      </c>
      <c r="G15" s="166">
        <f>'Sch. 111 Rate Summary'!F15</f>
        <v>0.16114999999999999</v>
      </c>
      <c r="H15" s="166">
        <f>'Sch. 111 Rate Summary'!G15</f>
        <v>0</v>
      </c>
      <c r="I15" s="165">
        <f t="shared" si="1"/>
        <v>0.16114999999999999</v>
      </c>
      <c r="J15" s="106">
        <f t="shared" si="2"/>
        <v>1155271.2363167682</v>
      </c>
      <c r="K15" s="106">
        <f t="shared" si="3"/>
        <v>803053.78826056665</v>
      </c>
      <c r="L15" s="53">
        <f t="shared" si="4"/>
        <v>-352217.44805620157</v>
      </c>
      <c r="M15" s="60">
        <f t="shared" si="5"/>
        <v>-0.30487857481775449</v>
      </c>
    </row>
    <row r="16" spans="1:25" x14ac:dyDescent="0.25">
      <c r="A16" s="31" t="s">
        <v>25</v>
      </c>
      <c r="B16" s="279">
        <v>87</v>
      </c>
      <c r="C16" s="175">
        <v>156330.02262126503</v>
      </c>
      <c r="D16" s="164">
        <v>0.23183000000000001</v>
      </c>
      <c r="E16" s="164">
        <v>0</v>
      </c>
      <c r="F16" s="165">
        <f>SUM(D16:E16)</f>
        <v>0.23183000000000001</v>
      </c>
      <c r="G16" s="166">
        <f>'Sch. 111 Rate Summary'!F16</f>
        <v>0.16114999999999999</v>
      </c>
      <c r="H16" s="166">
        <f>'Sch. 111 Rate Summary'!G16</f>
        <v>0</v>
      </c>
      <c r="I16" s="165">
        <f t="shared" si="1"/>
        <v>0.16114999999999999</v>
      </c>
      <c r="J16" s="106">
        <f t="shared" si="2"/>
        <v>36241.989144287872</v>
      </c>
      <c r="K16" s="106">
        <f t="shared" si="3"/>
        <v>25192.583145416858</v>
      </c>
      <c r="L16" s="53">
        <f t="shared" si="4"/>
        <v>-11049.405998871014</v>
      </c>
      <c r="M16" s="60">
        <f t="shared" si="5"/>
        <v>-0.30487857481775443</v>
      </c>
    </row>
    <row r="17" spans="1:13" x14ac:dyDescent="0.25">
      <c r="A17" s="31" t="s">
        <v>26</v>
      </c>
      <c r="B17" s="279" t="s">
        <v>27</v>
      </c>
      <c r="C17" s="175">
        <v>0</v>
      </c>
      <c r="D17" s="164">
        <v>0.23183000000000001</v>
      </c>
      <c r="E17" s="164">
        <v>0</v>
      </c>
      <c r="F17" s="165">
        <f>SUM(D17:E17)</f>
        <v>0.23183000000000001</v>
      </c>
      <c r="G17" s="166">
        <f>'Sch. 111 Rate Summary'!F17</f>
        <v>0.16114999999999999</v>
      </c>
      <c r="H17" s="166">
        <f>'Sch. 111 Rate Summary'!G17</f>
        <v>0</v>
      </c>
      <c r="I17" s="165">
        <f t="shared" si="1"/>
        <v>0.16114999999999999</v>
      </c>
      <c r="J17" s="106">
        <f t="shared" si="2"/>
        <v>0</v>
      </c>
      <c r="K17" s="106">
        <f t="shared" si="3"/>
        <v>0</v>
      </c>
      <c r="L17" s="53">
        <f t="shared" si="4"/>
        <v>0</v>
      </c>
      <c r="M17" s="60">
        <f t="shared" si="5"/>
        <v>0</v>
      </c>
    </row>
    <row r="18" spans="1:13" x14ac:dyDescent="0.25">
      <c r="A18" s="31" t="s">
        <v>28</v>
      </c>
      <c r="B18" s="279" t="s">
        <v>29</v>
      </c>
      <c r="C18" s="175">
        <v>21115855</v>
      </c>
      <c r="D18" s="164">
        <v>0.23183000000000001</v>
      </c>
      <c r="E18" s="164">
        <v>0</v>
      </c>
      <c r="F18" s="165">
        <f t="shared" si="0"/>
        <v>0.23183000000000001</v>
      </c>
      <c r="G18" s="166">
        <f>'Sch. 111 Rate Summary'!F18</f>
        <v>0.16114999999999999</v>
      </c>
      <c r="H18" s="166">
        <f>'Sch. 111 Rate Summary'!G18</f>
        <v>0</v>
      </c>
      <c r="I18" s="165">
        <f t="shared" si="1"/>
        <v>0.16114999999999999</v>
      </c>
      <c r="J18" s="106">
        <f t="shared" si="2"/>
        <v>4895288.6646500006</v>
      </c>
      <c r="K18" s="106">
        <f t="shared" si="3"/>
        <v>3402820.0332499999</v>
      </c>
      <c r="L18" s="53">
        <f t="shared" si="4"/>
        <v>-1492468.6314000008</v>
      </c>
      <c r="M18" s="60">
        <f t="shared" si="5"/>
        <v>-0.30487857481775449</v>
      </c>
    </row>
    <row r="19" spans="1:13" x14ac:dyDescent="0.25">
      <c r="A19" s="31" t="s">
        <v>30</v>
      </c>
      <c r="B19" s="279" t="s">
        <v>31</v>
      </c>
      <c r="C19" s="175">
        <v>52169777</v>
      </c>
      <c r="D19" s="164">
        <v>0.23183000000000001</v>
      </c>
      <c r="E19" s="164">
        <v>0</v>
      </c>
      <c r="F19" s="165">
        <f t="shared" si="0"/>
        <v>0.23183000000000001</v>
      </c>
      <c r="G19" s="166">
        <f>'Sch. 111 Rate Summary'!F19</f>
        <v>0.16114999999999999</v>
      </c>
      <c r="H19" s="166">
        <f>'Sch. 111 Rate Summary'!G19</f>
        <v>0</v>
      </c>
      <c r="I19" s="165">
        <f t="shared" si="1"/>
        <v>0.16114999999999999</v>
      </c>
      <c r="J19" s="106">
        <f t="shared" si="2"/>
        <v>12094519.40191</v>
      </c>
      <c r="K19" s="106">
        <f t="shared" si="3"/>
        <v>8407159.5635499991</v>
      </c>
      <c r="L19" s="53">
        <f t="shared" si="4"/>
        <v>-3687359.8383600004</v>
      </c>
      <c r="M19" s="60">
        <f t="shared" si="5"/>
        <v>-0.30487857481775443</v>
      </c>
    </row>
    <row r="20" spans="1:13" x14ac:dyDescent="0.25">
      <c r="A20" s="31" t="s">
        <v>32</v>
      </c>
      <c r="B20" s="279" t="s">
        <v>33</v>
      </c>
      <c r="C20" s="175">
        <v>1371245</v>
      </c>
      <c r="D20" s="164">
        <v>0.23183000000000001</v>
      </c>
      <c r="E20" s="164">
        <v>0</v>
      </c>
      <c r="F20" s="165">
        <f t="shared" si="0"/>
        <v>0.23183000000000001</v>
      </c>
      <c r="G20" s="166">
        <f>'Sch. 111 Rate Summary'!F20</f>
        <v>0.16114999999999999</v>
      </c>
      <c r="H20" s="166">
        <f>'Sch. 111 Rate Summary'!G20</f>
        <v>0</v>
      </c>
      <c r="I20" s="165">
        <f t="shared" si="1"/>
        <v>0.16114999999999999</v>
      </c>
      <c r="J20" s="106">
        <f t="shared" si="2"/>
        <v>317895.72834999999</v>
      </c>
      <c r="K20" s="106">
        <f t="shared" si="3"/>
        <v>220976.13174999997</v>
      </c>
      <c r="L20" s="53">
        <f t="shared" si="4"/>
        <v>-96919.596600000019</v>
      </c>
      <c r="M20" s="60">
        <f t="shared" si="5"/>
        <v>-0.30487857481775443</v>
      </c>
    </row>
    <row r="21" spans="1:13" x14ac:dyDescent="0.25">
      <c r="A21" s="31" t="s">
        <v>34</v>
      </c>
      <c r="B21" s="279" t="s">
        <v>35</v>
      </c>
      <c r="C21" s="175">
        <v>10434263.130000003</v>
      </c>
      <c r="D21" s="164">
        <v>0.23183000000000001</v>
      </c>
      <c r="E21" s="164">
        <v>0</v>
      </c>
      <c r="F21" s="165">
        <f t="shared" si="0"/>
        <v>0.23183000000000001</v>
      </c>
      <c r="G21" s="166">
        <f>'Sch. 111 Rate Summary'!F21</f>
        <v>0.16114999999999999</v>
      </c>
      <c r="H21" s="166">
        <f>'Sch. 111 Rate Summary'!G21</f>
        <v>0</v>
      </c>
      <c r="I21" s="165">
        <f t="shared" si="1"/>
        <v>0.16114999999999999</v>
      </c>
      <c r="J21" s="106">
        <f t="shared" si="2"/>
        <v>2418975.2214279007</v>
      </c>
      <c r="K21" s="106">
        <f t="shared" si="3"/>
        <v>1681481.5033995004</v>
      </c>
      <c r="L21" s="53">
        <f t="shared" si="4"/>
        <v>-737493.71802840033</v>
      </c>
      <c r="M21" s="60">
        <f t="shared" si="5"/>
        <v>-0.30487857481775443</v>
      </c>
    </row>
    <row r="22" spans="1:13" x14ac:dyDescent="0.25">
      <c r="A22" s="31" t="s">
        <v>246</v>
      </c>
      <c r="B22" s="279" t="s">
        <v>232</v>
      </c>
      <c r="C22" s="175">
        <v>2949711.24</v>
      </c>
      <c r="D22" s="164">
        <v>0.23183000000000001</v>
      </c>
      <c r="E22" s="164">
        <v>0</v>
      </c>
      <c r="F22" s="165">
        <f t="shared" si="0"/>
        <v>0.23183000000000001</v>
      </c>
      <c r="G22" s="166">
        <f>'Sch. 111 Rate Summary'!F22</f>
        <v>0.16114999999999999</v>
      </c>
      <c r="H22" s="166">
        <f>'Sch. 111 Rate Summary'!G22</f>
        <v>0</v>
      </c>
      <c r="I22" s="165">
        <f t="shared" si="1"/>
        <v>0.16114999999999999</v>
      </c>
      <c r="J22" s="106">
        <f t="shared" si="2"/>
        <v>683831.55676920002</v>
      </c>
      <c r="K22" s="106">
        <f t="shared" si="3"/>
        <v>475345.96632599999</v>
      </c>
      <c r="L22" s="53">
        <f t="shared" si="4"/>
        <v>-208485.59044320002</v>
      </c>
      <c r="M22" s="60">
        <f t="shared" si="5"/>
        <v>-0.30487857481775443</v>
      </c>
    </row>
    <row r="23" spans="1:13" x14ac:dyDescent="0.25">
      <c r="A23" s="31" t="s">
        <v>36</v>
      </c>
      <c r="B23" s="279"/>
      <c r="C23" s="175">
        <v>15445095.219999999</v>
      </c>
      <c r="D23" s="164">
        <v>0.23183000000000001</v>
      </c>
      <c r="E23" s="164">
        <v>0</v>
      </c>
      <c r="F23" s="165">
        <f t="shared" si="0"/>
        <v>0.23183000000000001</v>
      </c>
      <c r="G23" s="166">
        <f>'Sch. 111 Rate Summary'!F23</f>
        <v>0.16114999999999999</v>
      </c>
      <c r="H23" s="166">
        <f>'Sch. 111 Rate Summary'!G23</f>
        <v>0</v>
      </c>
      <c r="I23" s="165">
        <f t="shared" si="1"/>
        <v>0.16114999999999999</v>
      </c>
      <c r="J23" s="106">
        <f>C23*F23</f>
        <v>3580636.4248525999</v>
      </c>
      <c r="K23" s="106">
        <f t="shared" si="3"/>
        <v>2488977.0947029996</v>
      </c>
      <c r="L23" s="53">
        <f t="shared" si="4"/>
        <v>-1091659.3301496003</v>
      </c>
      <c r="M23" s="240">
        <f t="shared" si="5"/>
        <v>-0.30487857481775449</v>
      </c>
    </row>
    <row r="24" spans="1:13" x14ac:dyDescent="0.25">
      <c r="A24" s="31" t="s">
        <v>2</v>
      </c>
      <c r="C24" s="43">
        <f>SUM(C10:C23)</f>
        <v>970901068.79700005</v>
      </c>
      <c r="D24" s="168"/>
      <c r="E24" s="168"/>
      <c r="F24" s="165"/>
      <c r="G24" s="165"/>
      <c r="H24" s="165"/>
      <c r="I24" s="165"/>
      <c r="J24" s="111">
        <f t="shared" ref="J24:L24" si="6">SUM(J10:J23)</f>
        <v>225083994.77920851</v>
      </c>
      <c r="K24" s="111">
        <f t="shared" si="6"/>
        <v>156460707.23663652</v>
      </c>
      <c r="L24" s="58">
        <f t="shared" si="6"/>
        <v>-68623287.542571992</v>
      </c>
      <c r="M24" s="60">
        <f t="shared" si="5"/>
        <v>-0.30487857481775454</v>
      </c>
    </row>
    <row r="25" spans="1:13" x14ac:dyDescent="0.25">
      <c r="J25" s="53"/>
      <c r="K25" s="53"/>
    </row>
    <row r="26" spans="1:13" x14ac:dyDescent="0.25">
      <c r="C26" s="44"/>
      <c r="D26" s="44"/>
      <c r="E26" s="44"/>
      <c r="J26" s="53"/>
      <c r="K26" s="53"/>
    </row>
    <row r="27" spans="1:13" x14ac:dyDescent="0.25">
      <c r="A27" s="169"/>
      <c r="B27" s="162"/>
      <c r="C27" s="162"/>
      <c r="D27" s="162"/>
      <c r="E27" s="162"/>
      <c r="F27" s="162"/>
      <c r="G27" s="162"/>
      <c r="H27" s="162"/>
      <c r="I27" s="162"/>
      <c r="J27" s="162"/>
      <c r="K27" s="162"/>
      <c r="L27" s="162"/>
    </row>
    <row r="28" spans="1:13" x14ac:dyDescent="0.25">
      <c r="B28" s="162"/>
      <c r="C28" s="162"/>
      <c r="D28" s="162"/>
      <c r="E28" s="162"/>
      <c r="F28" s="162"/>
      <c r="G28" s="162"/>
      <c r="H28" s="162"/>
      <c r="I28" s="162"/>
      <c r="J28" s="162"/>
      <c r="K28" s="241"/>
      <c r="L28" s="162"/>
    </row>
    <row r="43" spans="2:2" ht="17.25" x14ac:dyDescent="0.25">
      <c r="B43" s="170"/>
    </row>
  </sheetData>
  <mergeCells count="6">
    <mergeCell ref="A1:M1"/>
    <mergeCell ref="A2:M2"/>
    <mergeCell ref="A3:M3"/>
    <mergeCell ref="A4:M4"/>
    <mergeCell ref="D6:F6"/>
    <mergeCell ref="G6:I6"/>
  </mergeCells>
  <printOptions horizontalCentered="1"/>
  <pageMargins left="0.7" right="0.7" top="0.75" bottom="0.75" header="0.3" footer="0.3"/>
  <pageSetup scale="84" orientation="landscape" blackAndWhite="1" r:id="rId1"/>
  <headerFooter>
    <oddFooter>&amp;L&amp;F 
&amp;A&amp;C&amp;P&amp;R&amp;D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D79D74EC5BCA42BA761DA67DBEBD71" ma:contentTypeVersion="16" ma:contentTypeDescription="" ma:contentTypeScope="" ma:versionID="30c631f209990b28cd5f7d8af2c9a47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2024-11-15T08:00:00+00:00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240884</DocketNumber>
    <DelegatedOrder xmlns="dc463f71-b30c-4ab2-9473-d307f9d35888">false</DelegatedOrder>
  </documentManagement>
</p:properties>
</file>

<file path=customXml/itemProps1.xml><?xml version="1.0" encoding="utf-8"?>
<ds:datastoreItem xmlns:ds="http://schemas.openxmlformats.org/officeDocument/2006/customXml" ds:itemID="{A4182240-353C-413C-AB1C-8300D44D55F2}"/>
</file>

<file path=customXml/itemProps2.xml><?xml version="1.0" encoding="utf-8"?>
<ds:datastoreItem xmlns:ds="http://schemas.openxmlformats.org/officeDocument/2006/customXml" ds:itemID="{D338B835-A872-4C02-828F-6CE0C61EC078}"/>
</file>

<file path=customXml/itemProps3.xml><?xml version="1.0" encoding="utf-8"?>
<ds:datastoreItem xmlns:ds="http://schemas.openxmlformats.org/officeDocument/2006/customXml" ds:itemID="{94D1706B-092D-4869-BA67-E94CC8705284}"/>
</file>

<file path=customXml/itemProps4.xml><?xml version="1.0" encoding="utf-8"?>
<ds:datastoreItem xmlns:ds="http://schemas.openxmlformats.org/officeDocument/2006/customXml" ds:itemID="{C643E203-AC1D-4B8B-BFB3-64334890FB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Sch. 111 Rate Summary</vt:lpstr>
      <vt:lpstr>Sch. 111 Charge Rates</vt:lpstr>
      <vt:lpstr>Sch. 111 Low Inc. Credit Rates</vt:lpstr>
      <vt:lpstr>Sch. 111 Non-Vol Credit Rates</vt:lpstr>
      <vt:lpstr>Sch.111 Non-Vol Credit Seasonal</vt:lpstr>
      <vt:lpstr>Rate Impacts--&gt;</vt:lpstr>
      <vt:lpstr>Rate Impacts Sch 111</vt:lpstr>
      <vt:lpstr>Typical Res Bill Sch 111</vt:lpstr>
      <vt:lpstr>Sch. 111 Charge</vt:lpstr>
      <vt:lpstr>Sch. 111 Credit</vt:lpstr>
      <vt:lpstr>Work Papers--&gt;</vt:lpstr>
      <vt:lpstr>2025 Rev Req</vt:lpstr>
      <vt:lpstr>Rev Req in Rates</vt:lpstr>
      <vt:lpstr>Low Income Forecast</vt:lpstr>
      <vt:lpstr>CCA Therm Forecast</vt:lpstr>
      <vt:lpstr>CCA Customer Forecast</vt:lpstr>
      <vt:lpstr>F2024 Forecast</vt:lpstr>
      <vt:lpstr>True-up--&gt;</vt:lpstr>
      <vt:lpstr>CCA NV Cred True Up</vt:lpstr>
      <vt:lpstr>CCA Rev_Actual</vt:lpstr>
      <vt:lpstr>CCA_Unbilled</vt:lpstr>
      <vt:lpstr>Sch. 111 NV Rates_Eff Oct23</vt:lpstr>
      <vt:lpstr>Sch. 111 NV Rates_Eff Nov23</vt:lpstr>
      <vt:lpstr>Sch. 111 NV Rates_Eff Jan24</vt:lpstr>
      <vt:lpstr>CCA Projected Rev_Oct24-Dec24</vt:lpstr>
      <vt:lpstr>CCA Projected Rev_Aug23-Dec23</vt:lpstr>
      <vt:lpstr>'CCA Customer Forecast'!Print_Area</vt:lpstr>
      <vt:lpstr>'CCA NV Cred True Up'!Print_Area</vt:lpstr>
      <vt:lpstr>'CCA Therm Forecast'!Print_Area</vt:lpstr>
      <vt:lpstr>'F2024 Forecast'!Print_Area</vt:lpstr>
      <vt:lpstr>'Low Income Forecast'!Print_Area</vt:lpstr>
      <vt:lpstr>'Rate Impacts Sch 111'!Print_Area</vt:lpstr>
      <vt:lpstr>'Sch. 111 Charge'!Print_Area</vt:lpstr>
      <vt:lpstr>'Sch. 111 Charge Rates'!Print_Area</vt:lpstr>
      <vt:lpstr>'Sch. 111 Credit'!Print_Area</vt:lpstr>
      <vt:lpstr>'Sch. 111 Low Inc. Credit Rates'!Print_Area</vt:lpstr>
      <vt:lpstr>'Sch. 111 Non-Vol Credit Rates'!Print_Area</vt:lpstr>
      <vt:lpstr>'Sch. 111 NV Rates_Eff Jan24'!Print_Area</vt:lpstr>
      <vt:lpstr>'Sch. 111 NV Rates_Eff Nov23'!Print_Area</vt:lpstr>
      <vt:lpstr>'Sch. 111 NV Rates_Eff Oct23'!Print_Area</vt:lpstr>
      <vt:lpstr>'Sch. 111 Rate Summary'!Print_Area</vt:lpstr>
      <vt:lpstr>'Sch.111 Non-Vol Credit Seasonal'!Print_Area</vt:lpstr>
      <vt:lpstr>'Typical Res Bill Sch 111'!Print_Area</vt:lpstr>
      <vt:lpstr>'CCA Customer Forecast'!Print_Titles</vt:lpstr>
      <vt:lpstr>'CCA Therm Forecast'!Print_Titles</vt:lpstr>
      <vt:lpstr>'Sch. 111 Rate Summary'!Print_Titles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Paul</dc:creator>
  <cp:lastModifiedBy>Traore, Lori</cp:lastModifiedBy>
  <cp:lastPrinted>2024-10-27T02:53:43Z</cp:lastPrinted>
  <dcterms:created xsi:type="dcterms:W3CDTF">2023-05-22T00:13:46Z</dcterms:created>
  <dcterms:modified xsi:type="dcterms:W3CDTF">2024-11-15T20:05:12Z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0x0101006E56B4D1795A2E4DB2F0B01679ED314A009ED79D74EC5BCA42BA761DA67DBEBD71</vt:lpwstr>
  </property>
  <property fmtid="{D5CDD505-2E9C-101B-9397-08002B2CF9AE}" pid="3" name="_docset_NoMedatataSyncRequired">
    <vt:lpwstr>False</vt:lpwstr>
  </property>
</Properties>
</file>