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omments2.xml" ContentType="application/vnd.openxmlformats-officedocument.spreadsheetml.comments+xml"/>
  <Override PartName="/xl/customProperty3.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omments3.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omments4.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M:\2024\2024 WA LIRAP\2024-09-01 LIRAP 92-192 (Admin)\Electric (UE-24    ) - For Filing\"/>
    </mc:Choice>
  </mc:AlternateContent>
  <xr:revisionPtr revIDLastSave="0" documentId="8_{B644DBA2-C4ED-49DF-8E74-96CC293F6DCB}" xr6:coauthVersionLast="47" xr6:coauthVersionMax="47" xr10:uidLastSave="{00000000-0000-0000-0000-000000000000}"/>
  <bookViews>
    <workbookView xWindow="28680" yWindow="-120" windowWidth="29040" windowHeight="15840" xr2:uid="{00000000-000D-0000-FFFF-FFFF00000000}"/>
  </bookViews>
  <sheets>
    <sheet name="WA Electric - Sched 92" sheetId="1" r:id="rId1"/>
    <sheet name="LIRAP Balance" sheetId="5" r:id="rId2"/>
    <sheet name="LIRAP Expense Summary" sheetId="18" r:id="rId3"/>
    <sheet name="Revenue By Month" sheetId="14" r:id="rId4"/>
    <sheet name="Billing Determinants" sheetId="15" r:id="rId5"/>
    <sheet name="Rev Conv Factor" sheetId="6" r:id="rId6"/>
    <sheet name="Base Revenue" sheetId="16" r:id="rId7"/>
  </sheets>
  <externalReferences>
    <externalReference r:id="rId8"/>
    <externalReference r:id="rId9"/>
    <externalReference r:id="rId10"/>
    <externalReference r:id="rId11"/>
    <externalReference r:id="rId12"/>
  </externalReferences>
  <definedNames>
    <definedName name="Base1_Billing2" localSheetId="6">'[1]Pres &amp; Prop Rev'!$N$8</definedName>
    <definedName name="Base1_Billing2" localSheetId="2">'[2]Pres &amp; Prop Rev'!$O$8</definedName>
    <definedName name="Base1_Billing2">'[3]Pres &amp; Prop Rev'!$N$8</definedName>
    <definedName name="LoadBySch">'[4]Bill Determ'!$A$219:$BZ$238</definedName>
    <definedName name="PGALoad">[4]Inputs!$A$4:$BZ$19</definedName>
    <definedName name="_xlnm.Print_Area" localSheetId="6">'Base Revenue'!$A$1:$O$37</definedName>
    <definedName name="_xlnm.Print_Area" localSheetId="4">'Billing Determinants'!$A$1:$AC$45</definedName>
    <definedName name="_xlnm.Print_Area" localSheetId="1">'LIRAP Balance'!$A$11:$E$29</definedName>
    <definedName name="_xlnm.Print_Area" localSheetId="2">'LIRAP Expense Summary'!$A$1:$F$58</definedName>
    <definedName name="_xlnm.Print_Area" localSheetId="5">'Rev Conv Factor'!$A$1:$E$29</definedName>
    <definedName name="_xlnm.Print_Area" localSheetId="3">'Revenue By Month'!$A$1:$AD$39</definedName>
    <definedName name="_xlnm.Print_Area" localSheetId="0">'WA Electric - Sched 92'!$A$4:$I$31</definedName>
    <definedName name="SL_RateIncr" localSheetId="2">'[5]St Lts'!$AD$1</definedName>
    <definedName name="SL_RateIncr">'[1]St Lts'!$AD$1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8" l="1"/>
  <c r="D38" i="18"/>
  <c r="E38" i="18"/>
  <c r="C39" i="18"/>
  <c r="D39" i="18"/>
  <c r="E39" i="18"/>
  <c r="F39" i="18"/>
  <c r="F38" i="18"/>
  <c r="J11" i="18" l="1"/>
  <c r="K9" i="18" s="1"/>
  <c r="K14" i="18"/>
  <c r="B15" i="18"/>
  <c r="C15" i="18"/>
  <c r="C28" i="18" s="1"/>
  <c r="D15" i="18"/>
  <c r="D28" i="18" s="1"/>
  <c r="E15" i="18"/>
  <c r="F15" i="18"/>
  <c r="K15" i="18"/>
  <c r="K16" i="18"/>
  <c r="I17" i="18"/>
  <c r="B17" i="18"/>
  <c r="C17" i="18"/>
  <c r="D17" i="18"/>
  <c r="E17" i="18"/>
  <c r="F17" i="18"/>
  <c r="K19" i="18"/>
  <c r="K20" i="18"/>
  <c r="K24" i="18"/>
  <c r="B33" i="18"/>
  <c r="B35" i="18" s="1"/>
  <c r="D33" i="18"/>
  <c r="D35" i="18" s="1"/>
  <c r="K25" i="18"/>
  <c r="K26" i="18"/>
  <c r="B28" i="18"/>
  <c r="K27" i="18"/>
  <c r="K28" i="18"/>
  <c r="I29" i="18"/>
  <c r="J29" i="18"/>
  <c r="I30" i="18"/>
  <c r="J30" i="18"/>
  <c r="C40" i="18"/>
  <c r="B55" i="18"/>
  <c r="B57" i="18"/>
  <c r="B58" i="18"/>
  <c r="C33" i="18" l="1"/>
  <c r="C35" i="18" s="1"/>
  <c r="K29" i="18"/>
  <c r="K11" i="18"/>
  <c r="K30" i="18"/>
  <c r="K10" i="18"/>
  <c r="D40" i="18"/>
  <c r="D41" i="18" s="1"/>
  <c r="F28" i="18"/>
  <c r="F33" i="18"/>
  <c r="F35" i="18" s="1"/>
  <c r="F40" i="18"/>
  <c r="C41" i="18" l="1"/>
  <c r="F41" i="18"/>
  <c r="E40" i="18"/>
  <c r="E28" i="18"/>
  <c r="E33" i="18"/>
  <c r="E35" i="18" s="1"/>
  <c r="E41" i="18" l="1"/>
  <c r="AC4" i="5" l="1"/>
  <c r="AB4" i="5"/>
  <c r="AA4" i="5"/>
  <c r="Z4" i="5"/>
  <c r="Y4" i="5"/>
  <c r="X4" i="5"/>
  <c r="W4" i="5"/>
  <c r="V4" i="5"/>
  <c r="U4" i="5"/>
  <c r="T4" i="5"/>
  <c r="S4" i="5"/>
  <c r="R4" i="5"/>
  <c r="Q4" i="5"/>
  <c r="P4" i="5"/>
  <c r="O4" i="5"/>
  <c r="N4" i="5"/>
  <c r="M4" i="5"/>
  <c r="L4" i="5"/>
  <c r="K4" i="5"/>
  <c r="J4" i="5"/>
  <c r="I4" i="5"/>
  <c r="H4" i="5"/>
  <c r="G4" i="5"/>
  <c r="F4" i="5"/>
  <c r="E4" i="5"/>
  <c r="D4" i="5"/>
  <c r="C4" i="5"/>
  <c r="C53" i="1" l="1"/>
  <c r="E48" i="1"/>
  <c r="C45" i="1"/>
  <c r="G13" i="1"/>
  <c r="C13" i="1" s="1"/>
  <c r="AD19" i="15"/>
  <c r="AE19" i="15"/>
  <c r="G27" i="1" l="1"/>
  <c r="D13" i="15"/>
  <c r="E13" i="15"/>
  <c r="F13" i="15"/>
  <c r="G13" i="15"/>
  <c r="H13" i="15"/>
  <c r="I13" i="15"/>
  <c r="J13" i="15"/>
  <c r="K13" i="15"/>
  <c r="L13" i="15"/>
  <c r="M13" i="15"/>
  <c r="N13" i="15"/>
  <c r="O13" i="15"/>
  <c r="P13" i="15"/>
  <c r="Q13" i="15"/>
  <c r="R13" i="15"/>
  <c r="S13" i="15"/>
  <c r="T13" i="15"/>
  <c r="U13" i="15"/>
  <c r="V13" i="15"/>
  <c r="W13" i="15"/>
  <c r="X13" i="15"/>
  <c r="Y13" i="15"/>
  <c r="Z13" i="15"/>
  <c r="AA13" i="15"/>
  <c r="AB13" i="15"/>
  <c r="AC13" i="15"/>
  <c r="C13" i="15"/>
  <c r="H1" i="5" l="1"/>
  <c r="V1" i="5"/>
  <c r="W1" i="5" s="1"/>
  <c r="X1" i="5" s="1"/>
  <c r="Y1" i="5" s="1"/>
  <c r="Z1" i="5" s="1"/>
  <c r="AA1" i="5" s="1"/>
  <c r="AB1" i="5" s="1"/>
  <c r="AC1" i="5" s="1"/>
  <c r="U1" i="5"/>
  <c r="T1" i="5"/>
  <c r="D1" i="5"/>
  <c r="E1" i="5"/>
  <c r="F1" i="5"/>
  <c r="G1" i="5"/>
  <c r="C1" i="5"/>
  <c r="C22" i="15" l="1"/>
  <c r="AC8" i="15" l="1"/>
  <c r="D7" i="15"/>
  <c r="E7" i="15" s="1"/>
  <c r="I13" i="1" l="1"/>
  <c r="H13" i="1"/>
  <c r="F13" i="1"/>
  <c r="E13" i="1"/>
  <c r="D13" i="1"/>
  <c r="D15" i="14" l="1"/>
  <c r="E15" i="14" s="1"/>
  <c r="F15" i="14" s="1"/>
  <c r="D16" i="14"/>
  <c r="E16" i="14" s="1"/>
  <c r="D17" i="14"/>
  <c r="E17" i="14" s="1"/>
  <c r="D18" i="14"/>
  <c r="E18" i="14" s="1"/>
  <c r="F16" i="14" l="1"/>
  <c r="F17" i="14"/>
  <c r="F18" i="14"/>
  <c r="D20" i="14"/>
  <c r="D29" i="14" s="1"/>
  <c r="D19" i="14"/>
  <c r="AC16" i="15"/>
  <c r="AC24" i="15" s="1"/>
  <c r="AD10" i="14" s="1"/>
  <c r="AC15" i="15"/>
  <c r="AC14" i="15"/>
  <c r="AC23" i="15" s="1"/>
  <c r="AD9" i="14" s="1"/>
  <c r="AC22" i="15"/>
  <c r="AD8" i="14" s="1"/>
  <c r="AC12" i="15"/>
  <c r="AC11" i="15"/>
  <c r="AC10" i="15"/>
  <c r="AC9" i="15"/>
  <c r="AC19" i="15"/>
  <c r="AD5" i="14" s="1"/>
  <c r="E20" i="14" l="1"/>
  <c r="F20" i="14" s="1"/>
  <c r="E19" i="14"/>
  <c r="F19" i="14" s="1"/>
  <c r="AC20" i="15"/>
  <c r="AD6" i="14" s="1"/>
  <c r="AC17" i="15"/>
  <c r="AC31" i="15" s="1"/>
  <c r="AC21" i="15"/>
  <c r="D4" i="14"/>
  <c r="AC25" i="15" l="1"/>
  <c r="AD7" i="14"/>
  <c r="AD11" i="14" s="1"/>
  <c r="AD12" i="14" s="1"/>
  <c r="E4" i="14"/>
  <c r="F4" i="14" l="1"/>
  <c r="F7" i="15"/>
  <c r="G4" i="14" l="1"/>
  <c r="G7" i="15"/>
  <c r="H7" i="15" l="1"/>
  <c r="H4" i="14"/>
  <c r="I7" i="15" l="1"/>
  <c r="I4" i="14"/>
  <c r="J4" i="14" l="1"/>
  <c r="J7" i="15"/>
  <c r="K7" i="15" l="1"/>
  <c r="K4" i="14"/>
  <c r="L7" i="15" l="1"/>
  <c r="L4" i="14"/>
  <c r="M7" i="15" l="1"/>
  <c r="M4" i="14"/>
  <c r="N4" i="14" l="1"/>
  <c r="N7" i="15"/>
  <c r="O4" i="14" l="1"/>
  <c r="O7" i="15"/>
  <c r="P4" i="14" l="1"/>
  <c r="P7" i="15"/>
  <c r="Q7" i="15" l="1"/>
  <c r="Q4" i="14"/>
  <c r="R7" i="15" l="1"/>
  <c r="R4" i="14"/>
  <c r="S7" i="15" l="1"/>
  <c r="S4" i="14"/>
  <c r="T7" i="15" l="1"/>
  <c r="T4" i="14"/>
  <c r="U7" i="15" l="1"/>
  <c r="U4" i="14"/>
  <c r="V4" i="14" l="1"/>
  <c r="V7" i="15"/>
  <c r="W4" i="14" l="1"/>
  <c r="W7" i="15"/>
  <c r="X4" i="14" l="1"/>
  <c r="X7" i="15"/>
  <c r="Y7" i="15" l="1"/>
  <c r="Y4" i="14"/>
  <c r="Z4" i="14" l="1"/>
  <c r="Z7" i="15"/>
  <c r="AA7" i="15" l="1"/>
  <c r="AA4" i="14"/>
  <c r="AB7" i="15" l="1"/>
  <c r="AB4" i="14"/>
  <c r="AC7" i="15" l="1"/>
  <c r="AD4" i="14" s="1"/>
  <c r="AC4" i="14"/>
  <c r="AD32" i="14" l="1"/>
  <c r="AD23" i="14"/>
  <c r="B12" i="5" l="1"/>
  <c r="C8" i="15" l="1"/>
  <c r="D8" i="15"/>
  <c r="E8" i="15"/>
  <c r="F8" i="15"/>
  <c r="G8" i="15"/>
  <c r="H8" i="15"/>
  <c r="I8" i="15"/>
  <c r="J8" i="15"/>
  <c r="K8" i="15"/>
  <c r="L8" i="15"/>
  <c r="M8" i="15"/>
  <c r="N8" i="15"/>
  <c r="O8" i="15"/>
  <c r="P8" i="15"/>
  <c r="Q8" i="15"/>
  <c r="R8" i="15"/>
  <c r="S8" i="15"/>
  <c r="T8" i="15"/>
  <c r="U8" i="15"/>
  <c r="V8" i="15"/>
  <c r="W8" i="15"/>
  <c r="X8" i="15"/>
  <c r="Y8" i="15"/>
  <c r="Z8" i="15"/>
  <c r="AA8" i="15"/>
  <c r="AB8" i="15"/>
  <c r="C9" i="15"/>
  <c r="D9" i="15"/>
  <c r="E9" i="15"/>
  <c r="F9" i="15"/>
  <c r="G9" i="15"/>
  <c r="H9" i="15"/>
  <c r="I9" i="15"/>
  <c r="J9" i="15"/>
  <c r="K9" i="15"/>
  <c r="L9" i="15"/>
  <c r="M9" i="15"/>
  <c r="N9" i="15"/>
  <c r="O9" i="15"/>
  <c r="P9" i="15"/>
  <c r="Q9" i="15"/>
  <c r="R9" i="15"/>
  <c r="S9" i="15"/>
  <c r="T9" i="15"/>
  <c r="U9" i="15"/>
  <c r="V9" i="15"/>
  <c r="W9" i="15"/>
  <c r="X9" i="15"/>
  <c r="Y9" i="15"/>
  <c r="Z9" i="15"/>
  <c r="AA9" i="15"/>
  <c r="AB9" i="15"/>
  <c r="C10" i="15"/>
  <c r="D10" i="15"/>
  <c r="E10" i="15"/>
  <c r="F10" i="15"/>
  <c r="G10" i="15"/>
  <c r="H10" i="15"/>
  <c r="I10" i="15"/>
  <c r="J10" i="15"/>
  <c r="K10" i="15"/>
  <c r="L10" i="15"/>
  <c r="M10" i="15"/>
  <c r="N10" i="15"/>
  <c r="O10" i="15"/>
  <c r="P10" i="15"/>
  <c r="Q10" i="15"/>
  <c r="R10" i="15"/>
  <c r="S10" i="15"/>
  <c r="T10" i="15"/>
  <c r="U10" i="15"/>
  <c r="V10" i="15"/>
  <c r="W10" i="15"/>
  <c r="X10" i="15"/>
  <c r="Y10" i="15"/>
  <c r="Z10" i="15"/>
  <c r="AA10" i="15"/>
  <c r="AB10" i="15"/>
  <c r="C11" i="15"/>
  <c r="D11" i="15"/>
  <c r="E11" i="15"/>
  <c r="F11" i="15"/>
  <c r="G11" i="15"/>
  <c r="H11" i="15"/>
  <c r="I11" i="15"/>
  <c r="J11" i="15"/>
  <c r="K11" i="15"/>
  <c r="L11" i="15"/>
  <c r="M11" i="15"/>
  <c r="N11" i="15"/>
  <c r="O11" i="15"/>
  <c r="P11" i="15"/>
  <c r="Q11" i="15"/>
  <c r="R11" i="15"/>
  <c r="S11" i="15"/>
  <c r="T11" i="15"/>
  <c r="U11" i="15"/>
  <c r="V11" i="15"/>
  <c r="W11" i="15"/>
  <c r="X11" i="15"/>
  <c r="Y11" i="15"/>
  <c r="Z11" i="15"/>
  <c r="AA11" i="15"/>
  <c r="AB11" i="15"/>
  <c r="C12" i="15"/>
  <c r="D12" i="15"/>
  <c r="E12" i="15"/>
  <c r="F12" i="15"/>
  <c r="G12" i="15"/>
  <c r="H12" i="15"/>
  <c r="I12" i="15"/>
  <c r="J12" i="15"/>
  <c r="K12" i="15"/>
  <c r="L12" i="15"/>
  <c r="M12" i="15"/>
  <c r="N12" i="15"/>
  <c r="O12" i="15"/>
  <c r="P12" i="15"/>
  <c r="Q12" i="15"/>
  <c r="R12" i="15"/>
  <c r="S12" i="15"/>
  <c r="T12" i="15"/>
  <c r="U12" i="15"/>
  <c r="V12" i="15"/>
  <c r="W12" i="15"/>
  <c r="X12" i="15"/>
  <c r="Y12" i="15"/>
  <c r="Z12" i="15"/>
  <c r="AA12" i="15"/>
  <c r="AB12" i="15"/>
  <c r="C14" i="15"/>
  <c r="D14" i="15"/>
  <c r="E14" i="15"/>
  <c r="F14" i="15"/>
  <c r="G14" i="15"/>
  <c r="H14" i="15"/>
  <c r="I14" i="15"/>
  <c r="J14" i="15"/>
  <c r="K14" i="15"/>
  <c r="L14" i="15"/>
  <c r="M14" i="15"/>
  <c r="N14" i="15"/>
  <c r="O14" i="15"/>
  <c r="P14" i="15"/>
  <c r="Q14" i="15"/>
  <c r="R14" i="15"/>
  <c r="S14" i="15"/>
  <c r="T14" i="15"/>
  <c r="U14" i="15"/>
  <c r="V14" i="15"/>
  <c r="W14" i="15"/>
  <c r="X14" i="15"/>
  <c r="Y14" i="15"/>
  <c r="Z14" i="15"/>
  <c r="AA14" i="15"/>
  <c r="AB14" i="15"/>
  <c r="C15" i="15"/>
  <c r="D15" i="15"/>
  <c r="E15" i="15"/>
  <c r="F15" i="15"/>
  <c r="G15" i="15"/>
  <c r="H15" i="15"/>
  <c r="I15" i="15"/>
  <c r="J15" i="15"/>
  <c r="K15" i="15"/>
  <c r="L15" i="15"/>
  <c r="M15" i="15"/>
  <c r="N15" i="15"/>
  <c r="O15" i="15"/>
  <c r="P15" i="15"/>
  <c r="Q15" i="15"/>
  <c r="R15" i="15"/>
  <c r="S15" i="15"/>
  <c r="T15" i="15"/>
  <c r="U15" i="15"/>
  <c r="V15" i="15"/>
  <c r="W15" i="15"/>
  <c r="X15" i="15"/>
  <c r="Y15" i="15"/>
  <c r="Z15" i="15"/>
  <c r="AA15" i="15"/>
  <c r="AB15" i="15"/>
  <c r="C16" i="15"/>
  <c r="D16" i="15"/>
  <c r="E16" i="15"/>
  <c r="F16" i="15"/>
  <c r="G16" i="15"/>
  <c r="H16" i="15"/>
  <c r="I16" i="15"/>
  <c r="J16" i="15"/>
  <c r="K16" i="15"/>
  <c r="L16" i="15"/>
  <c r="M16" i="15"/>
  <c r="N16" i="15"/>
  <c r="O16" i="15"/>
  <c r="P16" i="15"/>
  <c r="Q16" i="15"/>
  <c r="R16" i="15"/>
  <c r="S16" i="15"/>
  <c r="T16" i="15"/>
  <c r="U16" i="15"/>
  <c r="V16" i="15"/>
  <c r="W16" i="15"/>
  <c r="X16" i="15"/>
  <c r="Y16" i="15"/>
  <c r="Z16" i="15"/>
  <c r="AA16" i="15"/>
  <c r="AB16" i="15"/>
  <c r="C27" i="1" l="1"/>
  <c r="AB17" i="15" l="1"/>
  <c r="AB31" i="15" s="1"/>
  <c r="AA17" i="15"/>
  <c r="AA31" i="15" s="1"/>
  <c r="Z17" i="15"/>
  <c r="Z31" i="15" s="1"/>
  <c r="Y17" i="15"/>
  <c r="Y31" i="15" s="1"/>
  <c r="X17" i="15"/>
  <c r="X31" i="15" s="1"/>
  <c r="W17" i="15"/>
  <c r="W31" i="15" s="1"/>
  <c r="V17" i="15"/>
  <c r="V31" i="15" s="1"/>
  <c r="U17" i="15"/>
  <c r="U31" i="15" s="1"/>
  <c r="T17" i="15"/>
  <c r="T31" i="15" s="1"/>
  <c r="S17" i="15"/>
  <c r="S31" i="15" s="1"/>
  <c r="R17" i="15"/>
  <c r="R31" i="15" s="1"/>
  <c r="Q17" i="15"/>
  <c r="Q31" i="15" s="1"/>
  <c r="P17" i="15"/>
  <c r="P31" i="15" s="1"/>
  <c r="O17" i="15"/>
  <c r="O31" i="15" s="1"/>
  <c r="N17" i="15"/>
  <c r="N31" i="15" s="1"/>
  <c r="M17" i="15"/>
  <c r="M31" i="15" s="1"/>
  <c r="L17" i="15"/>
  <c r="L31" i="15" s="1"/>
  <c r="K17" i="15"/>
  <c r="K31" i="15" s="1"/>
  <c r="J17" i="15"/>
  <c r="J31" i="15" s="1"/>
  <c r="I17" i="15"/>
  <c r="I31" i="15" s="1"/>
  <c r="H17" i="15"/>
  <c r="H31" i="15" s="1"/>
  <c r="G17" i="15"/>
  <c r="G31" i="15" s="1"/>
  <c r="F17" i="15"/>
  <c r="F31" i="15" s="1"/>
  <c r="E17" i="15"/>
  <c r="E31" i="15" s="1"/>
  <c r="D17" i="15"/>
  <c r="D31" i="15" s="1"/>
  <c r="C17" i="15"/>
  <c r="C31" i="15" s="1"/>
  <c r="R23" i="14" l="1"/>
  <c r="S23" i="14"/>
  <c r="T23" i="14"/>
  <c r="U23" i="14"/>
  <c r="V23" i="14"/>
  <c r="W23" i="14"/>
  <c r="X23" i="14"/>
  <c r="Y23" i="14"/>
  <c r="Z23" i="14"/>
  <c r="AA23" i="14"/>
  <c r="AB23" i="14"/>
  <c r="AC23" i="14"/>
  <c r="R32" i="14"/>
  <c r="S32" i="14"/>
  <c r="T32" i="14"/>
  <c r="U32" i="14"/>
  <c r="V32" i="14"/>
  <c r="W32" i="14"/>
  <c r="X32" i="14"/>
  <c r="Y32" i="14"/>
  <c r="Z32" i="14"/>
  <c r="AA32" i="14"/>
  <c r="AB32" i="14"/>
  <c r="AC32" i="14"/>
  <c r="Q19" i="15"/>
  <c r="R19" i="15"/>
  <c r="S19" i="15"/>
  <c r="T19" i="15"/>
  <c r="U19" i="15"/>
  <c r="V19" i="15"/>
  <c r="W19" i="15"/>
  <c r="X19" i="15"/>
  <c r="Y19" i="15"/>
  <c r="Z19" i="15"/>
  <c r="AA19" i="15"/>
  <c r="AB19" i="15"/>
  <c r="Q20" i="15"/>
  <c r="R6" i="14" s="1"/>
  <c r="R20" i="15"/>
  <c r="S20" i="15"/>
  <c r="T6" i="14" s="1"/>
  <c r="T20" i="15"/>
  <c r="U6" i="14" s="1"/>
  <c r="U20" i="15"/>
  <c r="V6" i="14" s="1"/>
  <c r="V20" i="15"/>
  <c r="W6" i="14" s="1"/>
  <c r="W20" i="15"/>
  <c r="X6" i="14" s="1"/>
  <c r="X20" i="15"/>
  <c r="Y6" i="14" s="1"/>
  <c r="Y20" i="15"/>
  <c r="Z6" i="14" s="1"/>
  <c r="Z20" i="15"/>
  <c r="AA6" i="14" s="1"/>
  <c r="AA20" i="15"/>
  <c r="AB6" i="14" s="1"/>
  <c r="AB20" i="15"/>
  <c r="AC6" i="14" s="1"/>
  <c r="Q21" i="15"/>
  <c r="R7" i="14" s="1"/>
  <c r="R21" i="15"/>
  <c r="S21" i="15"/>
  <c r="T7" i="14" s="1"/>
  <c r="T21" i="15"/>
  <c r="U7" i="14" s="1"/>
  <c r="U21" i="15"/>
  <c r="V7" i="14" s="1"/>
  <c r="V21" i="15"/>
  <c r="W7" i="14" s="1"/>
  <c r="W21" i="15"/>
  <c r="X7" i="14" s="1"/>
  <c r="X21" i="15"/>
  <c r="Y7" i="14" s="1"/>
  <c r="Y21" i="15"/>
  <c r="Z7" i="14" s="1"/>
  <c r="Z21" i="15"/>
  <c r="AA7" i="14" s="1"/>
  <c r="AA21" i="15"/>
  <c r="AB7" i="14" s="1"/>
  <c r="AB21" i="15"/>
  <c r="AC7" i="14" s="1"/>
  <c r="Q22" i="15"/>
  <c r="R8" i="14" s="1"/>
  <c r="R22" i="15"/>
  <c r="S22" i="15"/>
  <c r="T8" i="14" s="1"/>
  <c r="T22" i="15"/>
  <c r="U8" i="14" s="1"/>
  <c r="U22" i="15"/>
  <c r="V8" i="14" s="1"/>
  <c r="V22" i="15"/>
  <c r="W8" i="14" s="1"/>
  <c r="W22" i="15"/>
  <c r="X8" i="14" s="1"/>
  <c r="X22" i="15"/>
  <c r="Y8" i="14" s="1"/>
  <c r="Y22" i="15"/>
  <c r="Z8" i="14" s="1"/>
  <c r="Z22" i="15"/>
  <c r="AA8" i="14" s="1"/>
  <c r="AA22" i="15"/>
  <c r="AB8" i="14" s="1"/>
  <c r="AB22" i="15"/>
  <c r="AC8" i="14" s="1"/>
  <c r="Q23" i="15"/>
  <c r="R9" i="14" s="1"/>
  <c r="R23" i="15"/>
  <c r="S23" i="15"/>
  <c r="T9" i="14" s="1"/>
  <c r="T23" i="15"/>
  <c r="U9" i="14" s="1"/>
  <c r="U23" i="15"/>
  <c r="V9" i="14" s="1"/>
  <c r="V23" i="15"/>
  <c r="W9" i="14" s="1"/>
  <c r="W23" i="15"/>
  <c r="X9" i="14" s="1"/>
  <c r="X23" i="15"/>
  <c r="Y9" i="14" s="1"/>
  <c r="Y23" i="15"/>
  <c r="Z9" i="14" s="1"/>
  <c r="Z23" i="15"/>
  <c r="AA9" i="14" s="1"/>
  <c r="AA23" i="15"/>
  <c r="AB9" i="14" s="1"/>
  <c r="AB23" i="15"/>
  <c r="AC9" i="14" s="1"/>
  <c r="Q24" i="15"/>
  <c r="R10" i="14" s="1"/>
  <c r="R24" i="15"/>
  <c r="S24" i="15"/>
  <c r="T10" i="14" s="1"/>
  <c r="T24" i="15"/>
  <c r="U10" i="14" s="1"/>
  <c r="U24" i="15"/>
  <c r="V10" i="14" s="1"/>
  <c r="V24" i="15"/>
  <c r="W10" i="14" s="1"/>
  <c r="W24" i="15"/>
  <c r="X10" i="14" s="1"/>
  <c r="X24" i="15"/>
  <c r="Y10" i="14" s="1"/>
  <c r="Y24" i="15"/>
  <c r="Z10" i="14" s="1"/>
  <c r="Z24" i="15"/>
  <c r="AA10" i="14" s="1"/>
  <c r="AA24" i="15"/>
  <c r="AB10" i="14" s="1"/>
  <c r="AB24" i="15"/>
  <c r="AC10" i="14" s="1"/>
  <c r="S8" i="14" l="1"/>
  <c r="AE22" i="15"/>
  <c r="S6" i="14"/>
  <c r="AE20" i="15"/>
  <c r="S7" i="14"/>
  <c r="AE21" i="15"/>
  <c r="S10" i="14"/>
  <c r="AE24" i="15"/>
  <c r="S9" i="14"/>
  <c r="AE23" i="15"/>
  <c r="X5" i="14"/>
  <c r="X11" i="14" s="1"/>
  <c r="W25" i="15"/>
  <c r="W5" i="14"/>
  <c r="W11" i="14" s="1"/>
  <c r="V25" i="15"/>
  <c r="AC5" i="14"/>
  <c r="AC11" i="14" s="1"/>
  <c r="AB25" i="15"/>
  <c r="U5" i="14"/>
  <c r="U11" i="14" s="1"/>
  <c r="T25" i="15"/>
  <c r="AB5" i="14"/>
  <c r="AB11" i="14" s="1"/>
  <c r="AB12" i="14" s="1"/>
  <c r="AA25" i="15"/>
  <c r="T5" i="14"/>
  <c r="T11" i="14" s="1"/>
  <c r="S25" i="15"/>
  <c r="V5" i="14"/>
  <c r="V11" i="14" s="1"/>
  <c r="U25" i="15"/>
  <c r="AA5" i="14"/>
  <c r="AA11" i="14" s="1"/>
  <c r="Z25" i="15"/>
  <c r="S5" i="14"/>
  <c r="R25" i="15"/>
  <c r="Z5" i="14"/>
  <c r="Z11" i="14" s="1"/>
  <c r="Y25" i="15"/>
  <c r="R5" i="14"/>
  <c r="R11" i="14" s="1"/>
  <c r="Q25" i="15"/>
  <c r="Y5" i="14"/>
  <c r="Y11" i="14" s="1"/>
  <c r="X25" i="15"/>
  <c r="AE25" i="15" l="1"/>
  <c r="S11" i="14"/>
  <c r="W12" i="14"/>
  <c r="R12" i="14"/>
  <c r="Z12" i="14"/>
  <c r="S12" i="14"/>
  <c r="AA12" i="14"/>
  <c r="T12" i="14"/>
  <c r="U12" i="14"/>
  <c r="Y12" i="14"/>
  <c r="AC12" i="14"/>
  <c r="V12" i="14"/>
  <c r="X12" i="14"/>
  <c r="D32" i="14"/>
  <c r="E32" i="14"/>
  <c r="F32" i="14"/>
  <c r="G32" i="14"/>
  <c r="H32" i="14"/>
  <c r="I32" i="14"/>
  <c r="J32" i="14"/>
  <c r="K32" i="14"/>
  <c r="L32" i="14"/>
  <c r="M32" i="14"/>
  <c r="N32" i="14"/>
  <c r="O32" i="14"/>
  <c r="P32" i="14"/>
  <c r="Q32" i="14"/>
  <c r="D23" i="14"/>
  <c r="E23" i="14"/>
  <c r="F23" i="14"/>
  <c r="G23" i="14"/>
  <c r="H23" i="14"/>
  <c r="I23" i="14"/>
  <c r="J23" i="14"/>
  <c r="K23" i="14"/>
  <c r="L23" i="14"/>
  <c r="M23" i="14"/>
  <c r="N23" i="14"/>
  <c r="O23" i="14"/>
  <c r="P23" i="14"/>
  <c r="Q23" i="14"/>
  <c r="B14" i="5" l="1"/>
  <c r="C19" i="15"/>
  <c r="D19" i="15"/>
  <c r="E19" i="15"/>
  <c r="F19" i="15"/>
  <c r="G19" i="15"/>
  <c r="H19" i="15"/>
  <c r="I19" i="15"/>
  <c r="J19" i="15"/>
  <c r="K19" i="15"/>
  <c r="L19" i="15"/>
  <c r="M19" i="15"/>
  <c r="N19" i="15"/>
  <c r="O19" i="15"/>
  <c r="P19" i="15"/>
  <c r="C20" i="15"/>
  <c r="D20" i="15"/>
  <c r="E6" i="14" s="1"/>
  <c r="E20" i="15"/>
  <c r="F20" i="15"/>
  <c r="G20" i="15"/>
  <c r="H6" i="14" s="1"/>
  <c r="H20" i="15"/>
  <c r="I6" i="14" s="1"/>
  <c r="I20" i="15"/>
  <c r="J6" i="14" s="1"/>
  <c r="J20" i="15"/>
  <c r="K6" i="14" s="1"/>
  <c r="K20" i="15"/>
  <c r="L6" i="14" s="1"/>
  <c r="L20" i="15"/>
  <c r="M6" i="14" s="1"/>
  <c r="M20" i="15"/>
  <c r="N6" i="14" s="1"/>
  <c r="N20" i="15"/>
  <c r="O6" i="14" s="1"/>
  <c r="O20" i="15"/>
  <c r="P6" i="14" s="1"/>
  <c r="P20" i="15"/>
  <c r="Q6" i="14" s="1"/>
  <c r="C21" i="15"/>
  <c r="D21" i="15"/>
  <c r="E7" i="14" s="1"/>
  <c r="E21" i="15"/>
  <c r="F21" i="15"/>
  <c r="G21" i="15"/>
  <c r="H7" i="14" s="1"/>
  <c r="H21" i="15"/>
  <c r="I7" i="14" s="1"/>
  <c r="I21" i="15"/>
  <c r="J7" i="14" s="1"/>
  <c r="J21" i="15"/>
  <c r="K7" i="14" s="1"/>
  <c r="K21" i="15"/>
  <c r="L7" i="14" s="1"/>
  <c r="L21" i="15"/>
  <c r="M7" i="14" s="1"/>
  <c r="M21" i="15"/>
  <c r="N7" i="14" s="1"/>
  <c r="N21" i="15"/>
  <c r="O7" i="14" s="1"/>
  <c r="O21" i="15"/>
  <c r="P7" i="14" s="1"/>
  <c r="P21" i="15"/>
  <c r="Q7" i="14" s="1"/>
  <c r="D8" i="14"/>
  <c r="D27" i="14" s="1"/>
  <c r="D22" i="15"/>
  <c r="E8" i="14" s="1"/>
  <c r="E22" i="15"/>
  <c r="F22" i="15"/>
  <c r="G22" i="15"/>
  <c r="H8" i="14" s="1"/>
  <c r="H22" i="15"/>
  <c r="I8" i="14" s="1"/>
  <c r="I22" i="15"/>
  <c r="J8" i="14" s="1"/>
  <c r="J22" i="15"/>
  <c r="K8" i="14" s="1"/>
  <c r="K22" i="15"/>
  <c r="L8" i="14" s="1"/>
  <c r="L22" i="15"/>
  <c r="M8" i="14" s="1"/>
  <c r="M22" i="15"/>
  <c r="N8" i="14" s="1"/>
  <c r="N22" i="15"/>
  <c r="O8" i="14" s="1"/>
  <c r="O22" i="15"/>
  <c r="P8" i="14" s="1"/>
  <c r="P22" i="15"/>
  <c r="Q8" i="14" s="1"/>
  <c r="C23" i="15"/>
  <c r="D23" i="15"/>
  <c r="E9" i="14" s="1"/>
  <c r="E23" i="15"/>
  <c r="F23" i="15"/>
  <c r="G23" i="15"/>
  <c r="H9" i="14" s="1"/>
  <c r="H23" i="15"/>
  <c r="I9" i="14" s="1"/>
  <c r="I23" i="15"/>
  <c r="J9" i="14" s="1"/>
  <c r="J23" i="15"/>
  <c r="K9" i="14" s="1"/>
  <c r="K23" i="15"/>
  <c r="L9" i="14" s="1"/>
  <c r="L23" i="15"/>
  <c r="M9" i="14" s="1"/>
  <c r="M23" i="15"/>
  <c r="N9" i="14" s="1"/>
  <c r="N23" i="15"/>
  <c r="O9" i="14" s="1"/>
  <c r="O23" i="15"/>
  <c r="P9" i="14" s="1"/>
  <c r="P23" i="15"/>
  <c r="Q9" i="14" s="1"/>
  <c r="C24" i="15"/>
  <c r="D24" i="15"/>
  <c r="E24" i="15"/>
  <c r="F24" i="15"/>
  <c r="G24" i="15"/>
  <c r="H10" i="14" s="1"/>
  <c r="H24" i="15"/>
  <c r="I10" i="14" s="1"/>
  <c r="I24" i="15"/>
  <c r="J10" i="14" s="1"/>
  <c r="J24" i="15"/>
  <c r="K10" i="14" s="1"/>
  <c r="K24" i="15"/>
  <c r="L10" i="14" s="1"/>
  <c r="L24" i="15"/>
  <c r="M10" i="14" s="1"/>
  <c r="M24" i="15"/>
  <c r="N10" i="14" s="1"/>
  <c r="N24" i="15"/>
  <c r="O10" i="14" s="1"/>
  <c r="O24" i="15"/>
  <c r="P10" i="14" s="1"/>
  <c r="P24" i="15"/>
  <c r="Q10" i="14" s="1"/>
  <c r="D7" i="1" l="1"/>
  <c r="E7" i="1"/>
  <c r="F7" i="1"/>
  <c r="I7" i="1"/>
  <c r="I11" i="1" s="1"/>
  <c r="G7" i="1"/>
  <c r="H7" i="1"/>
  <c r="G6" i="14"/>
  <c r="AD20" i="15"/>
  <c r="G7" i="14"/>
  <c r="AD21" i="15"/>
  <c r="G8" i="14"/>
  <c r="AD22" i="15"/>
  <c r="G9" i="14"/>
  <c r="AD23" i="15"/>
  <c r="G10" i="14"/>
  <c r="AD24" i="15"/>
  <c r="P5" i="14"/>
  <c r="O25" i="15"/>
  <c r="H5" i="14"/>
  <c r="G25" i="15"/>
  <c r="O5" i="14"/>
  <c r="N25" i="15"/>
  <c r="G5" i="14"/>
  <c r="F25" i="15"/>
  <c r="Q5" i="14"/>
  <c r="P25" i="15"/>
  <c r="N5" i="14"/>
  <c r="M25" i="15"/>
  <c r="E25" i="15"/>
  <c r="I5" i="14"/>
  <c r="H25" i="15"/>
  <c r="M5" i="14"/>
  <c r="L25" i="15"/>
  <c r="E5" i="14"/>
  <c r="D25" i="15"/>
  <c r="L5" i="14"/>
  <c r="K25" i="15"/>
  <c r="D5" i="14"/>
  <c r="D24" i="14" s="1"/>
  <c r="C25" i="15"/>
  <c r="K5" i="14"/>
  <c r="J25" i="15"/>
  <c r="J5" i="14"/>
  <c r="I25" i="15"/>
  <c r="F6" i="14"/>
  <c r="F8" i="14"/>
  <c r="F7" i="14"/>
  <c r="F9" i="14"/>
  <c r="F5" i="14"/>
  <c r="D9" i="14"/>
  <c r="D28" i="14" s="1"/>
  <c r="D7" i="14"/>
  <c r="D26" i="14" s="1"/>
  <c r="D6" i="14"/>
  <c r="D25" i="14" s="1"/>
  <c r="D11" i="1" l="1"/>
  <c r="AD25" i="15"/>
  <c r="E11" i="1"/>
  <c r="O11" i="14" l="1"/>
  <c r="O12" i="14" s="1"/>
  <c r="Q11" i="14"/>
  <c r="Q12" i="14" s="1"/>
  <c r="D15" i="1" l="1"/>
  <c r="D19" i="1" s="1"/>
  <c r="D23" i="1" l="1"/>
  <c r="I15" i="1"/>
  <c r="E15" i="1"/>
  <c r="E19" i="1" s="1"/>
  <c r="E23" i="1" s="1"/>
  <c r="AD16" i="14" s="1"/>
  <c r="AD25" i="14" s="1"/>
  <c r="G15" i="1"/>
  <c r="G19" i="1" s="1"/>
  <c r="F15" i="1"/>
  <c r="F19" i="1" s="1"/>
  <c r="H15" i="1"/>
  <c r="H19" i="1" s="1"/>
  <c r="AD15" i="14" l="1"/>
  <c r="AD24" i="14" s="1"/>
  <c r="D51" i="1"/>
  <c r="E51" i="1" s="1"/>
  <c r="D50" i="1"/>
  <c r="E50" i="1" s="1"/>
  <c r="D49" i="1"/>
  <c r="D21" i="1"/>
  <c r="F23" i="1"/>
  <c r="AD17" i="14" s="1"/>
  <c r="AD26" i="14" s="1"/>
  <c r="H23" i="1"/>
  <c r="AD19" i="14" s="1"/>
  <c r="AD28" i="14" s="1"/>
  <c r="G23" i="1"/>
  <c r="AD18" i="14" s="1"/>
  <c r="AD27" i="14" s="1"/>
  <c r="E21" i="1"/>
  <c r="E25" i="1"/>
  <c r="X16" i="14"/>
  <c r="X25" i="14" s="1"/>
  <c r="I19" i="1"/>
  <c r="C15" i="1"/>
  <c r="D53" i="1" l="1"/>
  <c r="E55" i="1" s="1"/>
  <c r="E49" i="1"/>
  <c r="I25" i="1"/>
  <c r="I23" i="1"/>
  <c r="AD20" i="14" s="1"/>
  <c r="AD29" i="14" s="1"/>
  <c r="AD30" i="14" s="1"/>
  <c r="G33" i="1"/>
  <c r="H33" i="1"/>
  <c r="F33" i="1"/>
  <c r="Y16" i="14"/>
  <c r="Y25" i="14" s="1"/>
  <c r="E33" i="1"/>
  <c r="AA16" i="14"/>
  <c r="AA25" i="14" s="1"/>
  <c r="U16" i="14"/>
  <c r="U25" i="14" s="1"/>
  <c r="D33" i="1"/>
  <c r="C19" i="1"/>
  <c r="R16" i="14"/>
  <c r="R25" i="14" s="1"/>
  <c r="AB16" i="14"/>
  <c r="AB25" i="14" s="1"/>
  <c r="Z16" i="14"/>
  <c r="Z25" i="14" s="1"/>
  <c r="T16" i="14"/>
  <c r="T25" i="14" s="1"/>
  <c r="S16" i="14"/>
  <c r="S25" i="14" s="1"/>
  <c r="V16" i="14"/>
  <c r="V25" i="14" s="1"/>
  <c r="Z15" i="14"/>
  <c r="Z24" i="14" s="1"/>
  <c r="S15" i="14"/>
  <c r="S24" i="14" s="1"/>
  <c r="AC15" i="14"/>
  <c r="AC24" i="14" s="1"/>
  <c r="X15" i="14"/>
  <c r="X24" i="14" s="1"/>
  <c r="AB15" i="14"/>
  <c r="AB24" i="14" s="1"/>
  <c r="R15" i="14"/>
  <c r="R24" i="14" s="1"/>
  <c r="T15" i="14"/>
  <c r="T24" i="14" s="1"/>
  <c r="V15" i="14"/>
  <c r="V24" i="14" s="1"/>
  <c r="AA15" i="14"/>
  <c r="AA24" i="14" s="1"/>
  <c r="W15" i="14"/>
  <c r="W24" i="14" s="1"/>
  <c r="U15" i="14"/>
  <c r="U24" i="14" s="1"/>
  <c r="Y15" i="14"/>
  <c r="Y24" i="14" s="1"/>
  <c r="AC16" i="14"/>
  <c r="AC25" i="14" s="1"/>
  <c r="W16" i="14"/>
  <c r="W25" i="14" s="1"/>
  <c r="E53" i="1" l="1"/>
  <c r="D45" i="1"/>
  <c r="E45" i="1" s="1"/>
  <c r="F45" i="1" s="1"/>
  <c r="S20" i="14"/>
  <c r="S29" i="14" s="1"/>
  <c r="AC20" i="14"/>
  <c r="AC29" i="14" s="1"/>
  <c r="T20" i="14"/>
  <c r="T29" i="14" s="1"/>
  <c r="V20" i="14"/>
  <c r="V29" i="14" s="1"/>
  <c r="U20" i="14"/>
  <c r="U29" i="14" s="1"/>
  <c r="Z20" i="14"/>
  <c r="Z29" i="14" s="1"/>
  <c r="AA20" i="14"/>
  <c r="AA29" i="14" s="1"/>
  <c r="Y20" i="14"/>
  <c r="Y29" i="14" s="1"/>
  <c r="R20" i="14"/>
  <c r="R29" i="14" s="1"/>
  <c r="W20" i="14"/>
  <c r="W29" i="14" s="1"/>
  <c r="AB20" i="14"/>
  <c r="AB29" i="14" s="1"/>
  <c r="X20" i="14"/>
  <c r="X29" i="14" s="1"/>
  <c r="D39" i="1"/>
  <c r="E20" i="6"/>
  <c r="E22" i="6" s="1"/>
  <c r="D40" i="1" l="1"/>
  <c r="E26" i="6"/>
  <c r="D42" i="1" l="1"/>
  <c r="U17" i="14" l="1"/>
  <c r="U26" i="14" s="1"/>
  <c r="Y17" i="14"/>
  <c r="Y26" i="14" s="1"/>
  <c r="AC17" i="14"/>
  <c r="AC26" i="14" s="1"/>
  <c r="R17" i="14"/>
  <c r="R26" i="14" s="1"/>
  <c r="V17" i="14"/>
  <c r="V26" i="14" s="1"/>
  <c r="Z17" i="14"/>
  <c r="Z26" i="14" s="1"/>
  <c r="S17" i="14"/>
  <c r="S26" i="14" s="1"/>
  <c r="W17" i="14"/>
  <c r="W26" i="14" s="1"/>
  <c r="AA17" i="14"/>
  <c r="AA26" i="14" s="1"/>
  <c r="T17" i="14"/>
  <c r="T26" i="14" s="1"/>
  <c r="X17" i="14"/>
  <c r="X26" i="14" s="1"/>
  <c r="AB17" i="14"/>
  <c r="AB26" i="14" s="1"/>
  <c r="P11" i="14"/>
  <c r="P12" i="14" s="1"/>
  <c r="N17" i="14"/>
  <c r="N26" i="14" s="1"/>
  <c r="P17" i="14"/>
  <c r="P26" i="14" s="1"/>
  <c r="O17" i="14"/>
  <c r="O26" i="14" s="1"/>
  <c r="Q17" i="14"/>
  <c r="Q26" i="14" s="1"/>
  <c r="N11" i="14"/>
  <c r="N12" i="14" s="1"/>
  <c r="N16" i="14"/>
  <c r="N25" i="14" s="1"/>
  <c r="P16" i="14"/>
  <c r="P25" i="14" s="1"/>
  <c r="Q16" i="14"/>
  <c r="Q25" i="14" s="1"/>
  <c r="O16" i="14"/>
  <c r="O25" i="14" s="1"/>
  <c r="G11" i="1"/>
  <c r="G25" i="1" s="1"/>
  <c r="J16" i="14"/>
  <c r="L16" i="14"/>
  <c r="K17" i="14"/>
  <c r="L17" i="14"/>
  <c r="I16" i="14"/>
  <c r="I17" i="14"/>
  <c r="G16" i="14"/>
  <c r="M16" i="14"/>
  <c r="M17" i="14"/>
  <c r="H17" i="14"/>
  <c r="J17" i="14"/>
  <c r="G17" i="14"/>
  <c r="K16" i="14"/>
  <c r="H16" i="14"/>
  <c r="D29" i="1" l="1"/>
  <c r="D25" i="1"/>
  <c r="U18" i="14"/>
  <c r="U27" i="14" s="1"/>
  <c r="Y18" i="14"/>
  <c r="Y27" i="14" s="1"/>
  <c r="AC18" i="14"/>
  <c r="AC27" i="14" s="1"/>
  <c r="R18" i="14"/>
  <c r="R27" i="14" s="1"/>
  <c r="V18" i="14"/>
  <c r="V27" i="14" s="1"/>
  <c r="Z18" i="14"/>
  <c r="Z27" i="14" s="1"/>
  <c r="S18" i="14"/>
  <c r="S27" i="14" s="1"/>
  <c r="W18" i="14"/>
  <c r="W27" i="14" s="1"/>
  <c r="AA18" i="14"/>
  <c r="AA27" i="14" s="1"/>
  <c r="T18" i="14"/>
  <c r="T27" i="14" s="1"/>
  <c r="X18" i="14"/>
  <c r="X27" i="14" s="1"/>
  <c r="AB18" i="14"/>
  <c r="AB27" i="14" s="1"/>
  <c r="Q15" i="14"/>
  <c r="Q24" i="14" s="1"/>
  <c r="M15" i="14"/>
  <c r="K15" i="14"/>
  <c r="J15" i="14"/>
  <c r="O15" i="14"/>
  <c r="O24" i="14" s="1"/>
  <c r="H15" i="14"/>
  <c r="G15" i="14"/>
  <c r="N15" i="14"/>
  <c r="N24" i="14" s="1"/>
  <c r="I15" i="14"/>
  <c r="L15" i="14"/>
  <c r="P15" i="14"/>
  <c r="P24" i="14" s="1"/>
  <c r="N18" i="14"/>
  <c r="N27" i="14" s="1"/>
  <c r="Q18" i="14"/>
  <c r="Q27" i="14" s="1"/>
  <c r="O18" i="14"/>
  <c r="O27" i="14" s="1"/>
  <c r="P18" i="14"/>
  <c r="P27" i="14" s="1"/>
  <c r="G21" i="1"/>
  <c r="G29" i="1" s="1"/>
  <c r="G18" i="14"/>
  <c r="I18" i="14"/>
  <c r="M18" i="14"/>
  <c r="J18" i="14"/>
  <c r="H18" i="14"/>
  <c r="K18" i="14"/>
  <c r="L18" i="14"/>
  <c r="G31" i="1" l="1"/>
  <c r="N45" i="1" s="1"/>
  <c r="M45" i="1"/>
  <c r="D31" i="1"/>
  <c r="N42" i="1" s="1"/>
  <c r="M42" i="1"/>
  <c r="C32" i="14"/>
  <c r="V36" i="14" l="1"/>
  <c r="AD38" i="14"/>
  <c r="AD37" i="14"/>
  <c r="AD34" i="14"/>
  <c r="AD35" i="14"/>
  <c r="AD36" i="14"/>
  <c r="AD33" i="14"/>
  <c r="AB36" i="14"/>
  <c r="Q33" i="14"/>
  <c r="S36" i="14"/>
  <c r="U36" i="14"/>
  <c r="X36" i="14"/>
  <c r="Z34" i="14"/>
  <c r="AB34" i="14"/>
  <c r="W34" i="14"/>
  <c r="S34" i="14"/>
  <c r="AA33" i="14"/>
  <c r="U34" i="14"/>
  <c r="T34" i="14"/>
  <c r="R33" i="14"/>
  <c r="X34" i="14"/>
  <c r="Y34" i="14"/>
  <c r="Z33" i="14"/>
  <c r="Y33" i="14"/>
  <c r="AC34" i="14"/>
  <c r="AC33" i="14"/>
  <c r="R34" i="14"/>
  <c r="X33" i="14"/>
  <c r="W33" i="14"/>
  <c r="AB33" i="14"/>
  <c r="AA34" i="14"/>
  <c r="V34" i="14"/>
  <c r="T33" i="14"/>
  <c r="V33" i="14"/>
  <c r="S33" i="14"/>
  <c r="U33" i="14"/>
  <c r="X38" i="14"/>
  <c r="T38" i="14"/>
  <c r="Y38" i="14"/>
  <c r="AC38" i="14"/>
  <c r="V38" i="14"/>
  <c r="R38" i="14"/>
  <c r="AB38" i="14"/>
  <c r="Z38" i="14"/>
  <c r="W38" i="14"/>
  <c r="S38" i="14"/>
  <c r="AA38" i="14"/>
  <c r="U38" i="14"/>
  <c r="W35" i="14"/>
  <c r="AC35" i="14"/>
  <c r="AA35" i="14"/>
  <c r="R35" i="14"/>
  <c r="T35" i="14"/>
  <c r="V35" i="14"/>
  <c r="AB35" i="14"/>
  <c r="Y35" i="14"/>
  <c r="X35" i="14"/>
  <c r="Z35" i="14"/>
  <c r="U35" i="14"/>
  <c r="S35" i="14"/>
  <c r="R36" i="14"/>
  <c r="Z36" i="14"/>
  <c r="AA36" i="14"/>
  <c r="AC36" i="14"/>
  <c r="W36" i="14"/>
  <c r="T36" i="14"/>
  <c r="Y36" i="14"/>
  <c r="D33" i="14"/>
  <c r="N35" i="14"/>
  <c r="P33" i="14"/>
  <c r="P35" i="14"/>
  <c r="P34" i="14"/>
  <c r="O35" i="14"/>
  <c r="N33" i="14"/>
  <c r="Q35" i="14"/>
  <c r="O34" i="14"/>
  <c r="Q34" i="14"/>
  <c r="N34" i="14"/>
  <c r="O33" i="14"/>
  <c r="O36" i="14"/>
  <c r="P36" i="14"/>
  <c r="N36" i="14"/>
  <c r="Q36" i="14"/>
  <c r="M27" i="14"/>
  <c r="K27" i="14"/>
  <c r="K36" i="14" s="1"/>
  <c r="J27" i="14"/>
  <c r="G27" i="14"/>
  <c r="G36" i="14" s="1"/>
  <c r="F27" i="14"/>
  <c r="D36" i="14"/>
  <c r="M26" i="14"/>
  <c r="K26" i="14"/>
  <c r="K35" i="14" s="1"/>
  <c r="J26" i="14"/>
  <c r="J35" i="14" s="1"/>
  <c r="I26" i="14"/>
  <c r="G26" i="14"/>
  <c r="G35" i="14" s="1"/>
  <c r="F26" i="14"/>
  <c r="D35" i="14"/>
  <c r="L25" i="14"/>
  <c r="L34" i="14" s="1"/>
  <c r="K25" i="14"/>
  <c r="K34" i="14" s="1"/>
  <c r="J25" i="14"/>
  <c r="J34" i="14" s="1"/>
  <c r="I25" i="14"/>
  <c r="G25" i="14"/>
  <c r="G34" i="14" s="1"/>
  <c r="F25" i="14"/>
  <c r="F34" i="14" s="1"/>
  <c r="E25" i="14"/>
  <c r="M11" i="14"/>
  <c r="M12" i="14" s="1"/>
  <c r="L11" i="14"/>
  <c r="L12" i="14" s="1"/>
  <c r="K11" i="14"/>
  <c r="K12" i="14" s="1"/>
  <c r="J24" i="14"/>
  <c r="I11" i="14"/>
  <c r="I12" i="14" s="1"/>
  <c r="G11" i="14"/>
  <c r="G12" i="14" s="1"/>
  <c r="F24" i="14"/>
  <c r="E11" i="14"/>
  <c r="D11" i="14"/>
  <c r="AD39" i="14" l="1"/>
  <c r="AC3" i="5" s="1"/>
  <c r="AC5" i="5" s="1"/>
  <c r="H11" i="14"/>
  <c r="H12" i="14" s="1"/>
  <c r="H27" i="14"/>
  <c r="H36" i="14" s="1"/>
  <c r="F33" i="14"/>
  <c r="J33" i="14"/>
  <c r="M25" i="14"/>
  <c r="M34" i="14" s="1"/>
  <c r="E26" i="14"/>
  <c r="E35" i="14" s="1"/>
  <c r="F35" i="14"/>
  <c r="E27" i="14"/>
  <c r="E36" i="14" s="1"/>
  <c r="F36" i="14"/>
  <c r="I27" i="14"/>
  <c r="I36" i="14" s="1"/>
  <c r="J36" i="14"/>
  <c r="D34" i="14"/>
  <c r="E34" i="14"/>
  <c r="H25" i="14"/>
  <c r="H34" i="14" s="1"/>
  <c r="I34" i="14"/>
  <c r="H26" i="14"/>
  <c r="H35" i="14" s="1"/>
  <c r="I35" i="14"/>
  <c r="L26" i="14"/>
  <c r="L35" i="14" s="1"/>
  <c r="M35" i="14"/>
  <c r="L27" i="14"/>
  <c r="L36" i="14" s="1"/>
  <c r="M36" i="14"/>
  <c r="F11" i="14"/>
  <c r="J11" i="14"/>
  <c r="J12" i="14" s="1"/>
  <c r="E24" i="14"/>
  <c r="I24" i="14"/>
  <c r="M24" i="14"/>
  <c r="H24" i="14"/>
  <c r="L24" i="14"/>
  <c r="G24" i="14"/>
  <c r="K24" i="14"/>
  <c r="C40" i="1"/>
  <c r="H33" i="14" l="1"/>
  <c r="M33" i="14"/>
  <c r="G33" i="14"/>
  <c r="E33" i="14"/>
  <c r="K33" i="14"/>
  <c r="I33" i="14"/>
  <c r="L33" i="14"/>
  <c r="F11" i="1" l="1"/>
  <c r="F25" i="1" s="1"/>
  <c r="U19" i="14" l="1"/>
  <c r="U28" i="14" s="1"/>
  <c r="Y19" i="14"/>
  <c r="Y28" i="14" s="1"/>
  <c r="AC19" i="14"/>
  <c r="AC28" i="14" s="1"/>
  <c r="S19" i="14"/>
  <c r="S28" i="14" s="1"/>
  <c r="W19" i="14"/>
  <c r="W28" i="14" s="1"/>
  <c r="AA19" i="14"/>
  <c r="AA28" i="14" s="1"/>
  <c r="R19" i="14"/>
  <c r="R28" i="14" s="1"/>
  <c r="Z19" i="14"/>
  <c r="Z28" i="14" s="1"/>
  <c r="T19" i="14"/>
  <c r="T28" i="14" s="1"/>
  <c r="AB19" i="14"/>
  <c r="AB28" i="14" s="1"/>
  <c r="V19" i="14"/>
  <c r="V28" i="14" s="1"/>
  <c r="X19" i="14"/>
  <c r="X28" i="14" s="1"/>
  <c r="N19" i="14"/>
  <c r="N28" i="14" s="1"/>
  <c r="P19" i="14"/>
  <c r="P28" i="14" s="1"/>
  <c r="P37" i="14" s="1"/>
  <c r="O19" i="14"/>
  <c r="O28" i="14" s="1"/>
  <c r="O37" i="14" s="1"/>
  <c r="Q19" i="14"/>
  <c r="Q28" i="14" s="1"/>
  <c r="E29" i="1"/>
  <c r="F21" i="1"/>
  <c r="F29" i="1" s="1"/>
  <c r="H11" i="1"/>
  <c r="C7" i="1"/>
  <c r="D17" i="1" s="1"/>
  <c r="F31" i="1" l="1"/>
  <c r="N44" i="1" s="1"/>
  <c r="M44" i="1"/>
  <c r="E31" i="1"/>
  <c r="N43" i="1" s="1"/>
  <c r="M43" i="1"/>
  <c r="X37" i="14"/>
  <c r="X39" i="14" s="1"/>
  <c r="W3" i="5" s="1"/>
  <c r="W5" i="5" s="1"/>
  <c r="X30" i="14"/>
  <c r="Z37" i="14"/>
  <c r="Z39" i="14" s="1"/>
  <c r="Y3" i="5" s="1"/>
  <c r="Y5" i="5" s="1"/>
  <c r="Z30" i="14"/>
  <c r="S37" i="14"/>
  <c r="S39" i="14" s="1"/>
  <c r="R3" i="5" s="1"/>
  <c r="R5" i="5" s="1"/>
  <c r="S30" i="14"/>
  <c r="V37" i="14"/>
  <c r="V39" i="14" s="1"/>
  <c r="U3" i="5" s="1"/>
  <c r="U5" i="5" s="1"/>
  <c r="V30" i="14"/>
  <c r="R37" i="14"/>
  <c r="R39" i="14" s="1"/>
  <c r="Q3" i="5" s="1"/>
  <c r="Q5" i="5" s="1"/>
  <c r="R30" i="14"/>
  <c r="AC37" i="14"/>
  <c r="AC39" i="14" s="1"/>
  <c r="AB3" i="5" s="1"/>
  <c r="AB5" i="5" s="1"/>
  <c r="AC30" i="14"/>
  <c r="AB37" i="14"/>
  <c r="AB39" i="14" s="1"/>
  <c r="AA3" i="5" s="1"/>
  <c r="AA5" i="5" s="1"/>
  <c r="AB30" i="14"/>
  <c r="AA37" i="14"/>
  <c r="AA39" i="14" s="1"/>
  <c r="Z3" i="5" s="1"/>
  <c r="Z5" i="5" s="1"/>
  <c r="AA30" i="14"/>
  <c r="Y37" i="14"/>
  <c r="Y39" i="14" s="1"/>
  <c r="X3" i="5" s="1"/>
  <c r="X5" i="5" s="1"/>
  <c r="Y30" i="14"/>
  <c r="T37" i="14"/>
  <c r="T39" i="14" s="1"/>
  <c r="S3" i="5" s="1"/>
  <c r="S5" i="5" s="1"/>
  <c r="T30" i="14"/>
  <c r="W37" i="14"/>
  <c r="W39" i="14" s="1"/>
  <c r="V3" i="5" s="1"/>
  <c r="V5" i="5" s="1"/>
  <c r="W30" i="14"/>
  <c r="U37" i="14"/>
  <c r="U39" i="14" s="1"/>
  <c r="T3" i="5" s="1"/>
  <c r="T5" i="5" s="1"/>
  <c r="U30" i="14"/>
  <c r="L20" i="14"/>
  <c r="L29" i="14" s="1"/>
  <c r="L38" i="14" s="1"/>
  <c r="D38" i="14"/>
  <c r="I20" i="14"/>
  <c r="I29" i="14" s="1"/>
  <c r="I38" i="14" s="1"/>
  <c r="K20" i="14"/>
  <c r="K29" i="14" s="1"/>
  <c r="K38" i="14" s="1"/>
  <c r="H20" i="14"/>
  <c r="H29" i="14" s="1"/>
  <c r="H38" i="14" s="1"/>
  <c r="M20" i="14"/>
  <c r="M29" i="14" s="1"/>
  <c r="M38" i="14" s="1"/>
  <c r="N37" i="14"/>
  <c r="J20" i="14"/>
  <c r="J29" i="14" s="1"/>
  <c r="J38" i="14" s="1"/>
  <c r="Q37" i="14"/>
  <c r="I21" i="1"/>
  <c r="I29" i="1" s="1"/>
  <c r="N20" i="14"/>
  <c r="N29" i="14" s="1"/>
  <c r="N38" i="14" s="1"/>
  <c r="Q20" i="14"/>
  <c r="Q29" i="14" s="1"/>
  <c r="Q38" i="14" s="1"/>
  <c r="O20" i="14"/>
  <c r="O29" i="14" s="1"/>
  <c r="P20" i="14"/>
  <c r="P29" i="14" s="1"/>
  <c r="G20" i="14"/>
  <c r="H21" i="1"/>
  <c r="H29" i="1" s="1"/>
  <c r="H25" i="1"/>
  <c r="G19" i="14"/>
  <c r="G28" i="14" s="1"/>
  <c r="E28" i="14"/>
  <c r="M19" i="14"/>
  <c r="M28" i="14" s="1"/>
  <c r="H19" i="14"/>
  <c r="H28" i="14" s="1"/>
  <c r="L19" i="14"/>
  <c r="L28" i="14" s="1"/>
  <c r="K19" i="14"/>
  <c r="K28" i="14" s="1"/>
  <c r="F28" i="14"/>
  <c r="J19" i="14"/>
  <c r="J28" i="14" s="1"/>
  <c r="I19" i="14"/>
  <c r="I28" i="14" s="1"/>
  <c r="C11" i="1"/>
  <c r="C25" i="1" s="1"/>
  <c r="H31" i="1" l="1"/>
  <c r="N46" i="1" s="1"/>
  <c r="M46" i="1"/>
  <c r="I31" i="1"/>
  <c r="N47" i="1" s="1"/>
  <c r="M47" i="1"/>
  <c r="C34" i="1"/>
  <c r="C29" i="1"/>
  <c r="Q39" i="14"/>
  <c r="P3" i="5" s="1"/>
  <c r="P5" i="5" s="1"/>
  <c r="E29" i="14"/>
  <c r="E38" i="14" s="1"/>
  <c r="F29" i="14"/>
  <c r="F30" i="14" s="1"/>
  <c r="G29" i="14"/>
  <c r="G38" i="14" s="1"/>
  <c r="O30" i="14"/>
  <c r="O38" i="14"/>
  <c r="O39" i="14" s="1"/>
  <c r="N3" i="5" s="1"/>
  <c r="N5" i="5" s="1"/>
  <c r="N39" i="14"/>
  <c r="M3" i="5" s="1"/>
  <c r="M5" i="5" s="1"/>
  <c r="P30" i="14"/>
  <c r="P38" i="14"/>
  <c r="P39" i="14" s="1"/>
  <c r="O3" i="5" s="1"/>
  <c r="O5" i="5" s="1"/>
  <c r="Q30" i="14"/>
  <c r="N30" i="14"/>
  <c r="C21" i="1"/>
  <c r="D37" i="14"/>
  <c r="D39" i="14" s="1"/>
  <c r="D30" i="14"/>
  <c r="G37" i="14"/>
  <c r="I37" i="14"/>
  <c r="I39" i="14" s="1"/>
  <c r="H3" i="5" s="1"/>
  <c r="H5" i="5" s="1"/>
  <c r="I30" i="14"/>
  <c r="F37" i="14"/>
  <c r="H37" i="14"/>
  <c r="H39" i="14" s="1"/>
  <c r="G3" i="5" s="1"/>
  <c r="G5" i="5" s="1"/>
  <c r="H30" i="14"/>
  <c r="E37" i="14"/>
  <c r="J37" i="14"/>
  <c r="J30" i="14"/>
  <c r="K37" i="14"/>
  <c r="K39" i="14" s="1"/>
  <c r="J3" i="5" s="1"/>
  <c r="J5" i="5" s="1"/>
  <c r="K30" i="14"/>
  <c r="L37" i="14"/>
  <c r="L39" i="14" s="1"/>
  <c r="K3" i="5" s="1"/>
  <c r="K5" i="5" s="1"/>
  <c r="L30" i="14"/>
  <c r="M37" i="14"/>
  <c r="M39" i="14" s="1"/>
  <c r="L3" i="5" s="1"/>
  <c r="L5" i="5" s="1"/>
  <c r="M30" i="14"/>
  <c r="C39" i="1"/>
  <c r="M48" i="1" l="1"/>
  <c r="C31" i="1"/>
  <c r="N48" i="1" s="1"/>
  <c r="C36" i="1"/>
  <c r="C42" i="1"/>
  <c r="E42" i="1" s="1"/>
  <c r="E39" i="1"/>
  <c r="C3" i="5"/>
  <c r="E30" i="14"/>
  <c r="F38" i="14"/>
  <c r="F39" i="14" s="1"/>
  <c r="G30" i="14"/>
  <c r="AE30" i="14" s="1"/>
  <c r="E39" i="14"/>
  <c r="D3" i="5" s="1"/>
  <c r="G39" i="14"/>
  <c r="F3" i="5" s="1"/>
  <c r="J39" i="14"/>
  <c r="I3" i="5" s="1"/>
  <c r="I5" i="5" s="1"/>
  <c r="F5" i="5" l="1"/>
  <c r="B13" i="5"/>
  <c r="E3" i="5"/>
  <c r="AE39" i="14"/>
  <c r="C5" i="5"/>
  <c r="C7" i="5" s="1"/>
  <c r="D5" i="5"/>
  <c r="D7" i="5" l="1"/>
  <c r="E5" i="5"/>
  <c r="E7" i="5" l="1"/>
  <c r="B11" i="5" s="1"/>
  <c r="F7" i="5" l="1"/>
  <c r="G7" i="5" s="1"/>
  <c r="H7" i="5" s="1"/>
  <c r="I7" i="5" s="1"/>
  <c r="J7" i="5" s="1"/>
  <c r="K7" i="5" s="1"/>
  <c r="L7" i="5" s="1"/>
  <c r="M7" i="5" s="1"/>
  <c r="N7" i="5" s="1"/>
  <c r="O7" i="5" s="1"/>
  <c r="P7" i="5" s="1"/>
  <c r="Q7" i="5" s="1"/>
  <c r="R7" i="5" s="1"/>
  <c r="S7" i="5" s="1"/>
  <c r="T7" i="5" s="1"/>
  <c r="U7" i="5" s="1"/>
  <c r="V7" i="5" s="1"/>
  <c r="W7" i="5" s="1"/>
  <c r="X7" i="5" s="1"/>
  <c r="Y7" i="5" s="1"/>
  <c r="Z7" i="5" s="1"/>
  <c r="AA7" i="5" s="1"/>
  <c r="AB7" i="5" s="1"/>
  <c r="AC7" i="5" s="1"/>
  <c r="B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Miller</author>
    <author>Garbarino, Marcus</author>
  </authors>
  <commentList>
    <comment ref="C11" authorId="0" shapeId="0" xr:uid="{00000000-0006-0000-0000-000001000000}">
      <text>
        <r>
          <rPr>
            <b/>
            <sz val="8"/>
            <color indexed="81"/>
            <rFont val="Tahoma"/>
            <family val="2"/>
          </rPr>
          <t>Joe Miller:</t>
        </r>
        <r>
          <rPr>
            <sz val="8"/>
            <color indexed="81"/>
            <rFont val="Tahoma"/>
            <family val="2"/>
          </rPr>
          <t xml:space="preserve">
This is the gross number.  Must times by revenue conversion factor to get net number available to spend</t>
        </r>
      </text>
    </comment>
    <comment ref="G13" authorId="1" shapeId="0" xr:uid="{BDBA662F-A2C9-4EFC-8B76-7F42E2CB22BF}">
      <text>
        <r>
          <rPr>
            <b/>
            <sz val="9"/>
            <color indexed="81"/>
            <rFont val="Tahoma"/>
            <family val="2"/>
          </rPr>
          <t>Garbarino, Marcus:</t>
        </r>
        <r>
          <rPr>
            <sz val="9"/>
            <color indexed="81"/>
            <rFont val="Tahoma"/>
            <family val="2"/>
          </rPr>
          <t xml:space="preserve">
Total 25/25I base revenue less Block 3 base revenue from compliance filing workpapers</t>
        </r>
      </text>
    </comment>
    <comment ref="C17" authorId="0" shapeId="0" xr:uid="{DB9FB9A4-1B5F-4D42-9CC7-62D28B12B2E3}">
      <text>
        <r>
          <rPr>
            <b/>
            <sz val="8"/>
            <color indexed="81"/>
            <rFont val="Tahoma"/>
            <family val="2"/>
          </rPr>
          <t>Joe Miller:</t>
        </r>
        <r>
          <rPr>
            <sz val="8"/>
            <color indexed="81"/>
            <rFont val="Tahoma"/>
            <family val="2"/>
          </rPr>
          <t xml:space="preserve">
goal seek this number to make LIRAP Balance zero at end of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Garbarino, Marcus</author>
  </authors>
  <commentList>
    <comment ref="B7" authorId="0" shapeId="0" xr:uid="{F0F725D8-F7BE-4E4A-9351-2FDDB492263F}">
      <text>
        <r>
          <rPr>
            <b/>
            <sz val="9"/>
            <color indexed="81"/>
            <rFont val="Tahoma"/>
            <family val="2"/>
          </rPr>
          <t>Garbarino, Marcus:</t>
        </r>
        <r>
          <rPr>
            <sz val="9"/>
            <color indexed="81"/>
            <rFont val="Tahoma"/>
            <family val="2"/>
          </rPr>
          <t xml:space="preserve">
242770.ED.WA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Miller</author>
  </authors>
  <commentList>
    <comment ref="A4" authorId="0" shapeId="0" xr:uid="{00000000-0006-0000-0400-000001000000}">
      <text>
        <r>
          <rPr>
            <sz val="9"/>
            <color indexed="81"/>
            <rFont val="Tahoma"/>
            <family val="2"/>
          </rPr>
          <t xml:space="preserve">
EREV June 2024 Mid-Month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KZX5DR</author>
  </authors>
  <commentList>
    <comment ref="I13" authorId="0" shapeId="0" xr:uid="{BAAA9948-2636-4098-80E2-A81B08D4B1E7}">
      <text>
        <r>
          <rPr>
            <sz val="8"/>
            <color indexed="81"/>
            <rFont val="Tahoma"/>
            <family val="2"/>
          </rPr>
          <t>Change the cell range named Bill1Base2 to '2'.
Copy the values from col. D to this column.
Change the cell range named Bill1Base2 back to '1'.
Add impact of BPA ResEx for Schs 12, 22, 32 below since Sch 59 rates are not included in Rate Design tab.</t>
        </r>
      </text>
    </comment>
  </commentList>
</comments>
</file>

<file path=xl/sharedStrings.xml><?xml version="1.0" encoding="utf-8"?>
<sst xmlns="http://schemas.openxmlformats.org/spreadsheetml/2006/main" count="385" uniqueCount="295">
  <si>
    <t/>
  </si>
  <si>
    <t xml:space="preserve"> </t>
  </si>
  <si>
    <t>RESIDENTIAL</t>
  </si>
  <si>
    <t xml:space="preserve">GENERAL SVC. </t>
  </si>
  <si>
    <t>LG. GEN. SVC.</t>
  </si>
  <si>
    <t>EX LG GEN SVC</t>
  </si>
  <si>
    <t>PUMPING</t>
  </si>
  <si>
    <t>ST &amp; AREA LTG</t>
  </si>
  <si>
    <t>TOTAL</t>
  </si>
  <si>
    <t>SCH. 30, 31, 32</t>
  </si>
  <si>
    <t>Source</t>
  </si>
  <si>
    <t>Revenue Conversion Factor</t>
  </si>
  <si>
    <t>End March</t>
  </si>
  <si>
    <t>End April</t>
  </si>
  <si>
    <t>End May</t>
  </si>
  <si>
    <t>End June</t>
  </si>
  <si>
    <t>End July</t>
  </si>
  <si>
    <t>End August</t>
  </si>
  <si>
    <t>End September</t>
  </si>
  <si>
    <t>End November</t>
  </si>
  <si>
    <t>End December</t>
  </si>
  <si>
    <t>End January</t>
  </si>
  <si>
    <t>End February</t>
  </si>
  <si>
    <t>Expected elec tariff rider revenue</t>
  </si>
  <si>
    <t>Net change in balance</t>
  </si>
  <si>
    <t>Elec Tariff rider balance</t>
  </si>
  <si>
    <t>AVISTA UTILITIES</t>
  </si>
  <si>
    <t xml:space="preserve">Line </t>
  </si>
  <si>
    <t>No.</t>
  </si>
  <si>
    <t>Description</t>
  </si>
  <si>
    <t>Factor</t>
  </si>
  <si>
    <t>Revenues</t>
  </si>
  <si>
    <t>Expense:</t>
  </si>
  <si>
    <t xml:space="preserve">  Uncollectibles</t>
  </si>
  <si>
    <t xml:space="preserve">  Commission Fees</t>
  </si>
  <si>
    <t xml:space="preserve">  Washington Excise Tax</t>
  </si>
  <si>
    <t xml:space="preserve">  Franchise Fees</t>
  </si>
  <si>
    <t xml:space="preserve">    Total Expense</t>
  </si>
  <si>
    <t>Net Operating Income Before FIT</t>
  </si>
  <si>
    <t>REVENUE CONVERSION FACTOR</t>
  </si>
  <si>
    <t>Residential Schedule 001</t>
  </si>
  <si>
    <t>General Svc Schedule 011/012</t>
  </si>
  <si>
    <t>Large Gen Svc Schedule 021/022</t>
  </si>
  <si>
    <t>Pumping Schedule 31/32</t>
  </si>
  <si>
    <t>Street and Area Lights</t>
  </si>
  <si>
    <t>Total</t>
  </si>
  <si>
    <t>Present</t>
  </si>
  <si>
    <t>Forecast</t>
  </si>
  <si>
    <t>WA001</t>
  </si>
  <si>
    <t>WA012</t>
  </si>
  <si>
    <t>WA022</t>
  </si>
  <si>
    <t>WA025</t>
  </si>
  <si>
    <t>WA031</t>
  </si>
  <si>
    <t>WA032</t>
  </si>
  <si>
    <t>WA04X</t>
  </si>
  <si>
    <t>WA011/12</t>
  </si>
  <si>
    <t>WA021/22</t>
  </si>
  <si>
    <t>WA031/32</t>
  </si>
  <si>
    <t>Forecasted Loads</t>
  </si>
  <si>
    <t>Present Billed Revenue</t>
  </si>
  <si>
    <t>Forecasted Usage</t>
  </si>
  <si>
    <t>Total Forecasted Usage</t>
  </si>
  <si>
    <t>Percentage of Current Base Volumetric Revenue</t>
  </si>
  <si>
    <t>Revenue Spread Based on Current Allocation</t>
  </si>
  <si>
    <t>Percentage Increase &lt;Decrease&gt;</t>
  </si>
  <si>
    <t>Proposed Billed Revenue</t>
  </si>
  <si>
    <t>Overall Billed Percentage Increase &lt;Decrease&gt;</t>
  </si>
  <si>
    <t>Proposed</t>
  </si>
  <si>
    <t>Change</t>
  </si>
  <si>
    <t>Base Revenue</t>
  </si>
  <si>
    <t xml:space="preserve">Revenue Requirement </t>
  </si>
  <si>
    <t>41-48</t>
  </si>
  <si>
    <t>Impact</t>
  </si>
  <si>
    <t>Street &amp; Area Lights</t>
  </si>
  <si>
    <t>30/31/32</t>
  </si>
  <si>
    <t>Pumping Service</t>
  </si>
  <si>
    <t>Extra Large General Service</t>
  </si>
  <si>
    <t>21/22</t>
  </si>
  <si>
    <t>Large General Service</t>
  </si>
  <si>
    <t>11/12</t>
  </si>
  <si>
    <t>General Service</t>
  </si>
  <si>
    <t>Residential</t>
  </si>
  <si>
    <t>(k)</t>
  </si>
  <si>
    <t>(j)</t>
  </si>
  <si>
    <t>(h)</t>
  </si>
  <si>
    <t>(g)</t>
  </si>
  <si>
    <t>(f)</t>
  </si>
  <si>
    <t>(e)</t>
  </si>
  <si>
    <t>(d)</t>
  </si>
  <si>
    <t>(c)</t>
  </si>
  <si>
    <t>(b)</t>
  </si>
  <si>
    <t>(a)</t>
  </si>
  <si>
    <t>Rates (2)</t>
  </si>
  <si>
    <t>Revenue</t>
  </si>
  <si>
    <t>Increase</t>
  </si>
  <si>
    <t>Rates(1)</t>
  </si>
  <si>
    <t>Number</t>
  </si>
  <si>
    <t>Service</t>
  </si>
  <si>
    <t>on Billed</t>
  </si>
  <si>
    <t>General</t>
  </si>
  <si>
    <t>at Present</t>
  </si>
  <si>
    <t>Percent</t>
  </si>
  <si>
    <t>Under Proposed</t>
  </si>
  <si>
    <t>Under Present</t>
  </si>
  <si>
    <t>Schedule</t>
  </si>
  <si>
    <t>Type of</t>
  </si>
  <si>
    <t>Tariff</t>
  </si>
  <si>
    <t>Base</t>
  </si>
  <si>
    <t>Total Billed</t>
  </si>
  <si>
    <t>Base Tariff</t>
  </si>
  <si>
    <t>(000s of Dollars)</t>
  </si>
  <si>
    <t>PROPOSED INCREASE BY SERVICE SCHEDULE</t>
  </si>
  <si>
    <t>WASHINGTON ELECTRIC</t>
  </si>
  <si>
    <t>Accounting Adjustment</t>
  </si>
  <si>
    <t xml:space="preserve">End October </t>
  </si>
  <si>
    <t>Total Annual Forecasted kWh's</t>
  </si>
  <si>
    <t xml:space="preserve">  Federal Income Tax @ 21%</t>
  </si>
  <si>
    <t>SCH. 41-48</t>
  </si>
  <si>
    <t>Basic Charge</t>
  </si>
  <si>
    <t>First 800 kWh's</t>
  </si>
  <si>
    <t>801 - 1500 kWh's</t>
  </si>
  <si>
    <t>Over 1500 kWh's</t>
  </si>
  <si>
    <t>Overfunded "Rebate"</t>
  </si>
  <si>
    <t>Adjusted Billed</t>
  </si>
  <si>
    <t xml:space="preserve">Base </t>
  </si>
  <si>
    <t>Misc</t>
  </si>
  <si>
    <t>Rate</t>
  </si>
  <si>
    <t>Rate Adjustment</t>
  </si>
  <si>
    <t xml:space="preserve">Rate </t>
  </si>
  <si>
    <t xml:space="preserve">Net </t>
  </si>
  <si>
    <t>(i)</t>
  </si>
  <si>
    <t>1/2</t>
  </si>
  <si>
    <t>SCH. 21,22,23</t>
  </si>
  <si>
    <t>$ Change</t>
  </si>
  <si>
    <t>% Change</t>
  </si>
  <si>
    <t>WA_1</t>
  </si>
  <si>
    <t>WA_2</t>
  </si>
  <si>
    <t>WA_11</t>
  </si>
  <si>
    <t>WA_12</t>
  </si>
  <si>
    <t>WA_13</t>
  </si>
  <si>
    <t>WA_21</t>
  </si>
  <si>
    <t>WA_22</t>
  </si>
  <si>
    <t>WA_23</t>
  </si>
  <si>
    <t>WA_25</t>
  </si>
  <si>
    <t>WA_31</t>
  </si>
  <si>
    <t>WA_32</t>
  </si>
  <si>
    <t>WA_4X</t>
  </si>
  <si>
    <t>WA001/002</t>
  </si>
  <si>
    <t>WA011/013</t>
  </si>
  <si>
    <t>WA021/023</t>
  </si>
  <si>
    <t>Washington LIRAP Spending Forecast</t>
  </si>
  <si>
    <t>Direct Service</t>
  </si>
  <si>
    <t>24-25 PY</t>
  </si>
  <si>
    <t>25-26 PY</t>
  </si>
  <si>
    <t>26-27 PY</t>
  </si>
  <si>
    <t>Customers</t>
  </si>
  <si>
    <t>Participants</t>
  </si>
  <si>
    <t>Total Benefit</t>
  </si>
  <si>
    <t>Saturation Forecast</t>
  </si>
  <si>
    <t>AFP</t>
  </si>
  <si>
    <t>LIRAP Share Elec</t>
  </si>
  <si>
    <t>AMP</t>
  </si>
  <si>
    <t>LIRAP Share Gas</t>
  </si>
  <si>
    <t>BD Elec</t>
  </si>
  <si>
    <t>BD Gas</t>
  </si>
  <si>
    <t>AFP Elec</t>
  </si>
  <si>
    <t>AFP Gas</t>
  </si>
  <si>
    <t>AMP Elec</t>
  </si>
  <si>
    <t>Electric Only</t>
  </si>
  <si>
    <t>Dual Fuel</t>
  </si>
  <si>
    <t>Gas Only</t>
  </si>
  <si>
    <t>Overall</t>
  </si>
  <si>
    <t>AMP Gas</t>
  </si>
  <si>
    <t xml:space="preserve">Electric </t>
  </si>
  <si>
    <t>Other DS Elec</t>
  </si>
  <si>
    <t xml:space="preserve">Gas </t>
  </si>
  <si>
    <t>Other DS Gas</t>
  </si>
  <si>
    <t>Direct Service Total</t>
  </si>
  <si>
    <t>Percent Electric</t>
  </si>
  <si>
    <t>Percent Gas</t>
  </si>
  <si>
    <t>LIRAP Share</t>
  </si>
  <si>
    <t>WA Actuals (Oct 2018-Sept 22)</t>
  </si>
  <si>
    <t>Average Benefit</t>
  </si>
  <si>
    <t>Agency Con-Ed Elec</t>
  </si>
  <si>
    <t>18-19 PY</t>
  </si>
  <si>
    <t>Agency Con-Ed Gas</t>
  </si>
  <si>
    <t>19-20 PY</t>
  </si>
  <si>
    <t>Admin/Con-Ed/Outreach Total</t>
  </si>
  <si>
    <t>20-21 PY</t>
  </si>
  <si>
    <t>21-22</t>
  </si>
  <si>
    <t>LIRAP Total</t>
  </si>
  <si>
    <t>Avista Outreach Elec</t>
  </si>
  <si>
    <t>Avg</t>
  </si>
  <si>
    <t>Avista Outreach Gas</t>
  </si>
  <si>
    <t>Avista Con-Ed Electric</t>
  </si>
  <si>
    <t>Avista Con-Ed Gas</t>
  </si>
  <si>
    <t>LIRAP Grand Total</t>
  </si>
  <si>
    <t>Expected LIRAP Expense</t>
  </si>
  <si>
    <t>Present Annual LIRAP Revenue</t>
  </si>
  <si>
    <t>UE-220053</t>
  </si>
  <si>
    <t>TWELVE MONTHS ENDED SEPTEMBER 30, 2021</t>
  </si>
  <si>
    <t>Source:  UE-220053</t>
  </si>
  <si>
    <t>Present LIRAP Rates</t>
  </si>
  <si>
    <t xml:space="preserve">LIRAP Revenue Increase &lt;Decrease&gt; </t>
  </si>
  <si>
    <t>Proposed LIRAP Rates</t>
  </si>
  <si>
    <t>Present LIRAP Revenue as a Percentage of Billed Revenue</t>
  </si>
  <si>
    <t>Gross LIRAP Revenue</t>
  </si>
  <si>
    <t xml:space="preserve">Net LIRAP Revenue </t>
  </si>
  <si>
    <t>Annual Electric (Oct - Sep)</t>
  </si>
  <si>
    <t>Annual Natural Gas (Oct - Sep)</t>
  </si>
  <si>
    <t>12 MONTHS ENDED SEPTEMBER 30, 2021</t>
  </si>
  <si>
    <t>Sch 78</t>
  </si>
  <si>
    <t xml:space="preserve">Percent </t>
  </si>
  <si>
    <t>Tax</t>
  </si>
  <si>
    <t>from Sp Ct</t>
  </si>
  <si>
    <t>Credit</t>
  </si>
  <si>
    <t>Extra Large General Service - Special Contract</t>
  </si>
  <si>
    <t>25I</t>
  </si>
  <si>
    <t>(1) Excludes all present rate adjustments:  Schedule 59 (BPA Residential Exchange), Schedule 75 (Decoupling), Schedule 76 (Tax Credit)</t>
  </si>
  <si>
    <t xml:space="preserve">      Scheduke 89 (Low Income Discount), Schedule 91 (DSM), Schedule 92 (LIRAP), Schedule 93 (ERM) and Schedule 98 (REC Revenue).</t>
  </si>
  <si>
    <t>(2) Includes all present rate adjustments:  Schedule 59 (BPA Residential Exchange), Schedule 75 (Decoupling), Schedule 76 (Tax Credit)</t>
  </si>
  <si>
    <t>Proposed LIRAP Revenue as a Percentage of Billed Revenue</t>
  </si>
  <si>
    <t>Street and Area Lights*</t>
  </si>
  <si>
    <t>LIRAP Rates</t>
  </si>
  <si>
    <t>Net LIRAP Revenue</t>
  </si>
  <si>
    <t>Direct Service Electric</t>
  </si>
  <si>
    <t>Direct Service Gas</t>
  </si>
  <si>
    <t>Admin Electric</t>
  </si>
  <si>
    <t>Admin Gas</t>
  </si>
  <si>
    <t>Con-Ed Electric</t>
  </si>
  <si>
    <t>Con-Ed Gas</t>
  </si>
  <si>
    <t>Monthly Gas</t>
  </si>
  <si>
    <t>Monthly Electric</t>
  </si>
  <si>
    <t>(Overfunded)/Underfunded</t>
  </si>
  <si>
    <t>Extra Large Gen Schedule 25/25I</t>
  </si>
  <si>
    <t>Extra Large Gen Schedule 25/25I (1st &amp; 2nd Block Only)</t>
  </si>
  <si>
    <t>WA_25I</t>
  </si>
  <si>
    <t>Rate Schedule</t>
  </si>
  <si>
    <t>Change in Annual Revenue</t>
  </si>
  <si>
    <t>($)</t>
  </si>
  <si>
    <t>(%)</t>
  </si>
  <si>
    <t>Schedule 21/22/23</t>
  </si>
  <si>
    <t>Schedule 25/25I</t>
  </si>
  <si>
    <t>Schedule 31/32</t>
  </si>
  <si>
    <t>Forecasted End of October 2024 Balance</t>
  </si>
  <si>
    <t>November 2024 - October 2026 Expenditure Budget</t>
  </si>
  <si>
    <t>November 2024 - October 2026 Forecasted Revenue</t>
  </si>
  <si>
    <t>SCHEDULE 1,7,8</t>
  </si>
  <si>
    <t>SCH. 11,12,13,17,18</t>
  </si>
  <si>
    <t>WA025/025I</t>
  </si>
  <si>
    <t>WA 25/25I Block 3</t>
  </si>
  <si>
    <t>Source:  UE-220053 Compliance Filing, RY2 Attachment 1</t>
  </si>
  <si>
    <t>SCHEDULE 25/25I
Exc Block 3</t>
  </si>
  <si>
    <t>Average Monthly Bill @ 945 kWh's - Increase &lt;Decrease&gt;</t>
  </si>
  <si>
    <t>Avg Monthly Usage</t>
  </si>
  <si>
    <t>Schedule 01/07/08</t>
  </si>
  <si>
    <t>Schedule 11/12/13/17/18</t>
  </si>
  <si>
    <t>23-24 PY (Updated)</t>
  </si>
  <si>
    <t>Average Annual Bill (low income)</t>
  </si>
  <si>
    <t>Meter Count, 2023 PBR</t>
  </si>
  <si>
    <t>Service Type</t>
  </si>
  <si>
    <t>Meters</t>
  </si>
  <si>
    <t>Percentage</t>
  </si>
  <si>
    <t>RES-E</t>
  </si>
  <si>
    <t>RES-G</t>
  </si>
  <si>
    <t>Fuel Type</t>
  </si>
  <si>
    <t>Low Income Premises*</t>
  </si>
  <si>
    <t>Low Income Accounts</t>
  </si>
  <si>
    <t>Elec</t>
  </si>
  <si>
    <t>Gas</t>
  </si>
  <si>
    <t>Dual</t>
  </si>
  <si>
    <t>Grand Total</t>
  </si>
  <si>
    <t>Admin/Con-Ed/Outreach*</t>
  </si>
  <si>
    <t>Agency Admin (program implementation) Elec</t>
  </si>
  <si>
    <t>Agency Admin (program implementation) Gas</t>
  </si>
  <si>
    <t>Agency Capital Expense Elec</t>
  </si>
  <si>
    <t>Agency Capital Expense Gas</t>
  </si>
  <si>
    <t>22-23</t>
  </si>
  <si>
    <t>Actual (Oct 23-Jul 24)</t>
  </si>
  <si>
    <t>Previous forecast</t>
  </si>
  <si>
    <t>Funding Change</t>
  </si>
  <si>
    <t xml:space="preserve">*The funding structure for Agency Admin and Con-Ed is currently under revision by the Energy Assistance Advisory Group's Joint Program Implementation Funding Structure subcommittee.  With this revision, agency con-ed funding will be rolled into agency admin funding.  This will also include an annual $200,000 capital expense fund which is intended to help agencies pay for one-off capital expenses that support LIRAP. </t>
  </si>
  <si>
    <t>MED</t>
  </si>
  <si>
    <t>Other Direct Service</t>
  </si>
  <si>
    <t>Agency Admin</t>
  </si>
  <si>
    <t>Agency Con-Ed</t>
  </si>
  <si>
    <t>Avista Outreach</t>
  </si>
  <si>
    <t>Avista Con-Ed</t>
  </si>
  <si>
    <t>Estimated Total LIRAP Costs Aug-Sept 2024</t>
  </si>
  <si>
    <t>LIHEAP</t>
  </si>
  <si>
    <t>Avista Outreach Electric</t>
  </si>
  <si>
    <t>Agency Performance Fund Elec</t>
  </si>
  <si>
    <t>Agency Performance Fund Gas</t>
  </si>
  <si>
    <t xml:space="preserve">*After the tariff and customer notices were prepared, there was a modification to the budget resulting is a small projected overfunded balance in October 2026. This amounts was not deemed material for the overall filing and the funding and balances will be re-evaluated next year and adjusted as necessary. </t>
  </si>
  <si>
    <t>Total Projected DSM Balance October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</si>
</sst>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00000_);_(&quot;$&quot;* \(#,##0.00000\);_(&quot;$&quot;* &quot;-&quot;??_);_(@_)"/>
    <numFmt numFmtId="166" formatCode="_(* #,##0_);_(* \(#,##0\);_(* &quot;-&quot;??_);_(@_)"/>
    <numFmt numFmtId="167" formatCode="0.000000"/>
    <numFmt numFmtId="168" formatCode="#,###_);\(#,###\)"/>
    <numFmt numFmtId="169" formatCode="0.00000"/>
    <numFmt numFmtId="170" formatCode="#,###.0_);\(#,###.0\)"/>
    <numFmt numFmtId="171" formatCode="mmm\ yy"/>
    <numFmt numFmtId="172" formatCode="0.0%"/>
    <numFmt numFmtId="173" formatCode="_(&quot;$&quot;* #,##0.000000_);_(&quot;$&quot;* \(#,##0.000000\);_(&quot;$&quot;* &quot;-&quot;??_);_(@_)"/>
    <numFmt numFmtId="174" formatCode="0.0%;\ \(0.0%\)"/>
    <numFmt numFmtId="175" formatCode="&quot;$&quot;#,##0.000_);\(&quot;$&quot;#,##0.000\)"/>
    <numFmt numFmtId="176" formatCode="#,##0_);\(#,##0\);"/>
    <numFmt numFmtId="177" formatCode="&quot;$&quot;#,##0"/>
    <numFmt numFmtId="178" formatCode="0.00%;\ \(0.00%\)"/>
  </numFmts>
  <fonts count="58">
    <font>
      <sz val="11"/>
      <color theme="1"/>
      <name val="Calibri"/>
      <family val="2"/>
      <scheme val="minor"/>
    </font>
    <font>
      <sz val="11"/>
      <color theme="1"/>
      <name val="Calibri"/>
      <family val="2"/>
      <scheme val="minor"/>
    </font>
    <font>
      <sz val="10"/>
      <name val="Arial"/>
      <family val="2"/>
    </font>
    <font>
      <sz val="10"/>
      <name val="Arial"/>
      <family val="2"/>
    </font>
    <font>
      <sz val="8"/>
      <name val="Geneva"/>
    </font>
    <font>
      <b/>
      <sz val="8"/>
      <color indexed="10"/>
      <name val="Geneva"/>
    </font>
    <font>
      <sz val="11"/>
      <name val="Calibri"/>
      <family val="2"/>
      <scheme val="minor"/>
    </font>
    <font>
      <b/>
      <sz val="11"/>
      <color theme="1"/>
      <name val="Calibri"/>
      <family val="2"/>
      <scheme val="minor"/>
    </font>
    <font>
      <sz val="8"/>
      <color indexed="81"/>
      <name val="Tahoma"/>
      <family val="2"/>
    </font>
    <font>
      <b/>
      <sz val="8"/>
      <color indexed="81"/>
      <name val="Tahoma"/>
      <family val="2"/>
    </font>
    <font>
      <sz val="9"/>
      <color theme="1"/>
      <name val="Calibri"/>
      <family val="2"/>
      <scheme val="minor"/>
    </font>
    <font>
      <b/>
      <sz val="10"/>
      <name val="Times New Roman"/>
      <family val="1"/>
    </font>
    <font>
      <b/>
      <i/>
      <sz val="10"/>
      <name val="Times New Roman"/>
      <family val="1"/>
    </font>
    <font>
      <sz val="10"/>
      <name val="Times New Roman"/>
      <family val="1"/>
    </font>
    <font>
      <sz val="10"/>
      <color indexed="12"/>
      <name val="Times New Roman"/>
      <family val="1"/>
    </font>
    <font>
      <i/>
      <sz val="10"/>
      <name val="Times New Roman"/>
      <family val="1"/>
    </font>
    <font>
      <b/>
      <sz val="10"/>
      <color indexed="12"/>
      <name val="Times New Roman"/>
      <family val="1"/>
    </font>
    <font>
      <sz val="10"/>
      <color indexed="48"/>
      <name val="Times New Roman"/>
      <family val="1"/>
    </font>
    <font>
      <b/>
      <sz val="10"/>
      <name val="Arial"/>
      <family val="2"/>
    </font>
    <font>
      <sz val="14"/>
      <name val="Times New Roman"/>
      <family val="1"/>
    </font>
    <font>
      <sz val="10"/>
      <name val="Geneva"/>
    </font>
    <font>
      <sz val="12"/>
      <name val="Arial"/>
      <family val="2"/>
    </font>
    <font>
      <sz val="11"/>
      <color indexed="8"/>
      <name val="Calibri"/>
      <family val="2"/>
    </font>
    <font>
      <sz val="12"/>
      <color theme="1"/>
      <name val="Times New Roman"/>
      <family val="2"/>
    </font>
    <font>
      <sz val="12"/>
      <name val="Times New Roman"/>
      <family val="1"/>
    </font>
    <font>
      <sz val="8"/>
      <color indexed="56"/>
      <name val="Arial"/>
      <family val="2"/>
    </font>
    <font>
      <sz val="10"/>
      <name val="MS Sans Serif"/>
      <family val="2"/>
    </font>
    <font>
      <b/>
      <sz val="10"/>
      <name val="MS Sans Serif"/>
      <family val="2"/>
    </font>
    <font>
      <u/>
      <sz val="7.5"/>
      <color theme="0"/>
      <name val="Arial"/>
      <family val="2"/>
    </font>
    <font>
      <sz val="12"/>
      <color indexed="10"/>
      <name val="Times New Roman"/>
      <family val="1"/>
    </font>
    <font>
      <sz val="10"/>
      <name val="Arial"/>
      <family val="2"/>
    </font>
    <font>
      <sz val="10"/>
      <color theme="1"/>
      <name val="Arial"/>
      <family val="2"/>
    </font>
    <font>
      <sz val="10"/>
      <color rgb="FF0000FF"/>
      <name val="Arial"/>
      <family val="2"/>
    </font>
    <font>
      <sz val="10"/>
      <name val="Arial"/>
      <family val="2"/>
    </font>
    <font>
      <u/>
      <sz val="10"/>
      <color indexed="12"/>
      <name val="Arial"/>
      <family val="2"/>
    </font>
    <font>
      <sz val="11"/>
      <color rgb="FF0000FF"/>
      <name val="Calibri"/>
      <family val="2"/>
      <scheme val="minor"/>
    </font>
    <font>
      <sz val="10"/>
      <name val="Arial"/>
      <family val="2"/>
    </font>
    <font>
      <u/>
      <sz val="10"/>
      <name val="Arial"/>
      <family val="2"/>
    </font>
    <font>
      <sz val="10"/>
      <color indexed="60"/>
      <name val="Arial"/>
      <family val="2"/>
    </font>
    <font>
      <sz val="9"/>
      <color indexed="81"/>
      <name val="Tahoma"/>
      <family val="2"/>
    </font>
    <font>
      <u val="singleAccounting"/>
      <sz val="11"/>
      <color theme="1"/>
      <name val="Calibri"/>
      <family val="2"/>
      <scheme val="minor"/>
    </font>
    <font>
      <u/>
      <sz val="11"/>
      <color theme="1"/>
      <name val="Calibri"/>
      <family val="2"/>
      <scheme val="minor"/>
    </font>
    <font>
      <b/>
      <sz val="11"/>
      <color rgb="FF0000FF"/>
      <name val="Calibri"/>
      <family val="2"/>
      <scheme val="minor"/>
    </font>
    <font>
      <sz val="11"/>
      <color theme="5" tint="-0.249977111117893"/>
      <name val="Calibri"/>
      <family val="2"/>
      <scheme val="minor"/>
    </font>
    <font>
      <sz val="10"/>
      <color theme="1"/>
      <name val="Tahoma"/>
      <family val="2"/>
    </font>
    <font>
      <b/>
      <sz val="11"/>
      <color theme="0"/>
      <name val="Calibri"/>
      <family val="2"/>
      <scheme val="minor"/>
    </font>
    <font>
      <sz val="11"/>
      <color rgb="FFFF0000"/>
      <name val="Calibri"/>
      <family val="2"/>
      <scheme val="minor"/>
    </font>
    <font>
      <b/>
      <sz val="14"/>
      <color theme="0"/>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b/>
      <u/>
      <sz val="10"/>
      <name val="Arial"/>
      <family val="2"/>
    </font>
    <font>
      <b/>
      <sz val="9"/>
      <color indexed="81"/>
      <name val="Tahoma"/>
      <family val="2"/>
    </font>
    <font>
      <b/>
      <sz val="11"/>
      <color rgb="FF000000"/>
      <name val="Calibri"/>
      <family val="2"/>
      <scheme val="minor"/>
    </font>
    <font>
      <b/>
      <sz val="12"/>
      <color theme="1"/>
      <name val="Times New Roman"/>
      <family val="1"/>
    </font>
    <font>
      <sz val="12"/>
      <color theme="1"/>
      <name val="Times New Roman"/>
      <family val="1"/>
    </font>
    <font>
      <i/>
      <sz val="11"/>
      <name val="Calibri"/>
      <family val="2"/>
      <scheme val="minor"/>
    </font>
  </fonts>
  <fills count="2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57"/>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9"/>
      </patternFill>
    </fill>
    <fill>
      <patternFill patternType="solid">
        <fgColor rgb="FF00B050"/>
        <bgColor indexed="64"/>
      </patternFill>
    </fill>
    <fill>
      <patternFill patternType="solid">
        <fgColor theme="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0" tint="-0.499984740745262"/>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s>
  <borders count="4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7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9" fillId="3" borderId="0"/>
    <xf numFmtId="43" fontId="2" fillId="0" borderId="0" applyFont="0" applyFill="0" applyBorder="0" applyAlignment="0" applyProtection="0"/>
    <xf numFmtId="0" fontId="2" fillId="0" borderId="0">
      <alignment readingOrder="1"/>
    </xf>
    <xf numFmtId="0" fontId="20" fillId="0" borderId="0"/>
    <xf numFmtId="40"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xf numFmtId="41" fontId="2" fillId="0" borderId="0" applyFont="0" applyFill="0" applyBorder="0" applyAlignment="0" applyProtection="0"/>
    <xf numFmtId="0" fontId="13" fillId="0" borderId="0"/>
    <xf numFmtId="0" fontId="28" fillId="0" borderId="0" applyNumberFormat="0" applyFill="0" applyBorder="0" applyAlignment="0" applyProtection="0">
      <alignment vertical="top"/>
      <protection locked="0"/>
    </xf>
    <xf numFmtId="44" fontId="2" fillId="0" borderId="0" applyFont="0" applyFill="0" applyBorder="0" applyAlignment="0" applyProtection="0"/>
    <xf numFmtId="9" fontId="13" fillId="0" borderId="0" applyFont="0" applyFill="0" applyBorder="0" applyAlignment="0" applyProtection="0"/>
    <xf numFmtId="43"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0" fontId="21" fillId="0" borderId="0"/>
    <xf numFmtId="0" fontId="22" fillId="0" borderId="0"/>
    <xf numFmtId="0" fontId="13" fillId="0" borderId="0"/>
    <xf numFmtId="0" fontId="21" fillId="0" borderId="0"/>
    <xf numFmtId="0" fontId="13" fillId="0" borderId="0"/>
    <xf numFmtId="0" fontId="2" fillId="0" borderId="0"/>
    <xf numFmtId="0" fontId="2" fillId="0" borderId="0"/>
    <xf numFmtId="0" fontId="23" fillId="0" borderId="0"/>
    <xf numFmtId="0" fontId="2" fillId="0" borderId="0"/>
    <xf numFmtId="9" fontId="1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38" fontId="25" fillId="0" borderId="0" applyNumberFormat="0" applyFont="0" applyFill="0" applyBorder="0">
      <alignment horizontal="left" indent="4"/>
      <protection locked="0"/>
    </xf>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0" fontId="27" fillId="0" borderId="5">
      <alignment horizontal="center"/>
    </xf>
    <xf numFmtId="3" fontId="26" fillId="0" borderId="0" applyFont="0" applyFill="0" applyBorder="0" applyAlignment="0" applyProtection="0"/>
    <xf numFmtId="0" fontId="26" fillId="4" borderId="0" applyNumberFormat="0" applyFont="0" applyBorder="0" applyAlignment="0" applyProtection="0"/>
    <xf numFmtId="166" fontId="21" fillId="2" borderId="0" applyFont="0" applyFill="0" applyBorder="0" applyAlignment="0" applyProtection="0">
      <alignment wrapText="1"/>
    </xf>
    <xf numFmtId="0" fontId="2" fillId="5" borderId="0" applyNumberFormat="0" applyFont="0" applyFill="0" applyBorder="0" applyAlignment="0" applyProtection="0"/>
    <xf numFmtId="0" fontId="24" fillId="0" borderId="0"/>
    <xf numFmtId="43" fontId="2"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 fillId="0" borderId="0"/>
    <xf numFmtId="0" fontId="2" fillId="0" borderId="0"/>
    <xf numFmtId="0" fontId="28"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xf numFmtId="0" fontId="2" fillId="0" borderId="0"/>
    <xf numFmtId="0" fontId="30" fillId="0" borderId="0">
      <alignment readingOrder="1"/>
    </xf>
    <xf numFmtId="0" fontId="1" fillId="0" borderId="0"/>
    <xf numFmtId="3" fontId="31" fillId="0" borderId="0"/>
    <xf numFmtId="3" fontId="31" fillId="0" borderId="0"/>
    <xf numFmtId="0" fontId="2" fillId="0" borderId="0"/>
    <xf numFmtId="0" fontId="30" fillId="0" borderId="0">
      <alignment readingOrder="1"/>
    </xf>
    <xf numFmtId="0" fontId="1" fillId="0" borderId="0"/>
    <xf numFmtId="3" fontId="31" fillId="0" borderId="0"/>
    <xf numFmtId="3" fontId="31" fillId="0" borderId="0"/>
    <xf numFmtId="0" fontId="2" fillId="0" borderId="0"/>
    <xf numFmtId="0" fontId="1" fillId="0" borderId="0"/>
    <xf numFmtId="3" fontId="31" fillId="0" borderId="0"/>
    <xf numFmtId="3" fontId="31" fillId="0" borderId="0"/>
    <xf numFmtId="0" fontId="2" fillId="0" borderId="0"/>
    <xf numFmtId="3" fontId="31" fillId="0" borderId="0"/>
    <xf numFmtId="0" fontId="2" fillId="0" borderId="0"/>
    <xf numFmtId="0" fontId="33" fillId="0" borderId="0">
      <alignment readingOrder="1"/>
    </xf>
    <xf numFmtId="43" fontId="2" fillId="0" borderId="0" applyFont="0" applyFill="0" applyBorder="0" applyAlignment="0" applyProtection="0"/>
    <xf numFmtId="0" fontId="34"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0" fontId="2" fillId="0" borderId="0">
      <alignment readingOrder="1"/>
    </xf>
    <xf numFmtId="0" fontId="2" fillId="0" borderId="0">
      <alignment readingOrder="1"/>
    </xf>
    <xf numFmtId="0" fontId="2" fillId="0" borderId="0">
      <alignment readingOrder="1"/>
    </xf>
    <xf numFmtId="0" fontId="36"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 fillId="19"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2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2" fillId="19" borderId="0" applyFont="0" applyFill="0" applyBorder="0" applyAlignment="0" applyProtection="0"/>
    <xf numFmtId="0" fontId="2" fillId="19" borderId="0" applyFont="0" applyFill="0" applyBorder="0" applyAlignment="0" applyProtection="0"/>
    <xf numFmtId="2" fontId="2" fillId="19" borderId="0" applyFont="0" applyFill="0" applyBorder="0" applyAlignment="0" applyProtection="0"/>
    <xf numFmtId="41" fontId="38" fillId="2" borderId="7">
      <alignment horizontal="left"/>
      <protection locked="0"/>
    </xf>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0" borderId="0"/>
    <xf numFmtId="43" fontId="44" fillId="0" borderId="0" applyFont="0" applyFill="0" applyBorder="0" applyAlignment="0" applyProtection="0"/>
  </cellStyleXfs>
  <cellXfs count="304">
    <xf numFmtId="0" fontId="0" fillId="0" borderId="0" xfId="0"/>
    <xf numFmtId="0" fontId="2" fillId="0" borderId="0" xfId="3"/>
    <xf numFmtId="0" fontId="4" fillId="0" borderId="0" xfId="3" applyFont="1" applyAlignment="1">
      <alignment horizontal="center"/>
    </xf>
    <xf numFmtId="0" fontId="5" fillId="0" borderId="0" xfId="3" applyFont="1"/>
    <xf numFmtId="10" fontId="0" fillId="0" borderId="0" xfId="2" applyNumberFormat="1" applyFont="1"/>
    <xf numFmtId="0" fontId="0" fillId="0" borderId="0" xfId="0" applyFont="1"/>
    <xf numFmtId="164" fontId="0" fillId="0" borderId="0" xfId="0" applyNumberFormat="1" applyFont="1"/>
    <xf numFmtId="0" fontId="6" fillId="0" borderId="0" xfId="3" applyFont="1" applyAlignment="1">
      <alignment horizontal="left"/>
    </xf>
    <xf numFmtId="0" fontId="6" fillId="0" borderId="0" xfId="3" applyFont="1" applyAlignment="1">
      <alignment horizontal="center"/>
    </xf>
    <xf numFmtId="0" fontId="6" fillId="0" borderId="1" xfId="3" applyFont="1" applyBorder="1" applyAlignment="1">
      <alignment horizontal="center"/>
    </xf>
    <xf numFmtId="0" fontId="6" fillId="0" borderId="0" xfId="3" applyFont="1"/>
    <xf numFmtId="37" fontId="6" fillId="0" borderId="2" xfId="3" applyNumberFormat="1" applyFont="1" applyBorder="1"/>
    <xf numFmtId="37" fontId="6" fillId="0" borderId="0" xfId="3" applyNumberFormat="1" applyFont="1"/>
    <xf numFmtId="0" fontId="6" fillId="0" borderId="0" xfId="3" applyFont="1" applyFill="1"/>
    <xf numFmtId="164" fontId="0" fillId="0" borderId="0" xfId="1" applyNumberFormat="1" applyFont="1"/>
    <xf numFmtId="164" fontId="0" fillId="0" borderId="0" xfId="0" applyNumberFormat="1"/>
    <xf numFmtId="0" fontId="10" fillId="0" borderId="0" xfId="0" applyFont="1"/>
    <xf numFmtId="0" fontId="10" fillId="0" borderId="1" xfId="0" applyFont="1" applyBorder="1"/>
    <xf numFmtId="164" fontId="10" fillId="0" borderId="0" xfId="1" applyNumberFormat="1" applyFont="1"/>
    <xf numFmtId="0" fontId="13" fillId="0" borderId="0" xfId="0" applyFont="1"/>
    <xf numFmtId="166" fontId="13" fillId="0" borderId="0" xfId="12" applyNumberFormat="1" applyFont="1"/>
    <xf numFmtId="0" fontId="14" fillId="0" borderId="0" xfId="0" applyFont="1"/>
    <xf numFmtId="0" fontId="15" fillId="0" borderId="0" xfId="0" applyFont="1"/>
    <xf numFmtId="0" fontId="11" fillId="0" borderId="0" xfId="0" applyFont="1" applyAlignment="1">
      <alignment horizontal="center"/>
    </xf>
    <xf numFmtId="166" fontId="11" fillId="0" borderId="0" xfId="12" applyNumberFormat="1" applyFont="1" applyAlignment="1">
      <alignment horizontal="center"/>
    </xf>
    <xf numFmtId="0" fontId="16" fillId="0" borderId="0" xfId="0" applyFont="1" applyAlignment="1">
      <alignment horizontal="center"/>
    </xf>
    <xf numFmtId="168" fontId="13" fillId="0" borderId="0" xfId="0" applyNumberFormat="1" applyFont="1"/>
    <xf numFmtId="167" fontId="15" fillId="0" borderId="0" xfId="0" applyNumberFormat="1" applyFont="1" applyBorder="1"/>
    <xf numFmtId="0" fontId="13" fillId="0" borderId="0" xfId="0" applyFont="1" applyBorder="1"/>
    <xf numFmtId="0" fontId="14" fillId="0" borderId="0" xfId="0" applyFont="1" applyBorder="1"/>
    <xf numFmtId="0" fontId="15" fillId="0" borderId="0" xfId="0" applyFont="1" applyBorder="1"/>
    <xf numFmtId="167" fontId="13" fillId="0" borderId="0" xfId="0" applyNumberFormat="1" applyFont="1" applyBorder="1"/>
    <xf numFmtId="168" fontId="13" fillId="0" borderId="0" xfId="0" applyNumberFormat="1" applyFont="1" applyBorder="1"/>
    <xf numFmtId="170" fontId="13" fillId="0" borderId="0" xfId="0" applyNumberFormat="1" applyFont="1"/>
    <xf numFmtId="0" fontId="0" fillId="0" borderId="0" xfId="0" applyFont="1" applyFill="1"/>
    <xf numFmtId="164" fontId="10" fillId="0" borderId="0" xfId="1" applyNumberFormat="1" applyFont="1" applyBorder="1"/>
    <xf numFmtId="0" fontId="0" fillId="0" borderId="0" xfId="0" applyFont="1" applyAlignment="1">
      <alignment horizontal="right"/>
    </xf>
    <xf numFmtId="164" fontId="0" fillId="0" borderId="0" xfId="1" applyNumberFormat="1" applyFont="1" applyAlignment="1">
      <alignment horizontal="right"/>
    </xf>
    <xf numFmtId="164" fontId="0" fillId="0" borderId="0" xfId="0" applyNumberFormat="1" applyFont="1" applyBorder="1"/>
    <xf numFmtId="169" fontId="0" fillId="0" borderId="0" xfId="0" applyNumberFormat="1"/>
    <xf numFmtId="10" fontId="0" fillId="0" borderId="0" xfId="0" applyNumberFormat="1"/>
    <xf numFmtId="164" fontId="0" fillId="0" borderId="1" xfId="1" applyNumberFormat="1" applyFont="1" applyBorder="1"/>
    <xf numFmtId="0" fontId="0" fillId="0" borderId="0" xfId="0"/>
    <xf numFmtId="166" fontId="0" fillId="0" borderId="2" xfId="0" applyNumberFormat="1" applyBorder="1"/>
    <xf numFmtId="164" fontId="6" fillId="0" borderId="0" xfId="1" applyNumberFormat="1" applyFont="1" applyFill="1"/>
    <xf numFmtId="164" fontId="0" fillId="0" borderId="1" xfId="0" applyNumberFormat="1" applyFont="1" applyFill="1" applyBorder="1"/>
    <xf numFmtId="0" fontId="19" fillId="0" borderId="0" xfId="0" applyFont="1"/>
    <xf numFmtId="164" fontId="10" fillId="0" borderId="0" xfId="1" applyNumberFormat="1" applyFont="1" applyFill="1"/>
    <xf numFmtId="0" fontId="2" fillId="0" borderId="0" xfId="3"/>
    <xf numFmtId="0" fontId="11" fillId="0" borderId="0" xfId="3" applyFont="1" applyAlignment="1">
      <alignment horizontal="center"/>
    </xf>
    <xf numFmtId="0" fontId="11" fillId="0" borderId="0" xfId="3" applyFont="1" applyBorder="1" applyAlignment="1">
      <alignment horizontal="center"/>
    </xf>
    <xf numFmtId="0" fontId="13" fillId="0" borderId="0" xfId="3" applyFont="1" applyAlignment="1">
      <alignment horizontal="center"/>
    </xf>
    <xf numFmtId="167" fontId="11" fillId="0" borderId="0" xfId="3" applyNumberFormat="1" applyFont="1"/>
    <xf numFmtId="167" fontId="13" fillId="0" borderId="0" xfId="3" applyNumberFormat="1" applyFont="1"/>
    <xf numFmtId="10" fontId="17" fillId="0" borderId="0" xfId="3" applyNumberFormat="1" applyFont="1"/>
    <xf numFmtId="0" fontId="11" fillId="0" borderId="1" xfId="3" applyFont="1" applyBorder="1" applyAlignment="1">
      <alignment horizontal="center"/>
    </xf>
    <xf numFmtId="0" fontId="11" fillId="0" borderId="0" xfId="3" applyFont="1"/>
    <xf numFmtId="0" fontId="12" fillId="0" borderId="0" xfId="3" applyFont="1" applyBorder="1" applyAlignment="1">
      <alignment horizontal="center"/>
    </xf>
    <xf numFmtId="0" fontId="12" fillId="0" borderId="1" xfId="3" applyFont="1" applyBorder="1" applyAlignment="1">
      <alignment horizontal="center"/>
    </xf>
    <xf numFmtId="167" fontId="15" fillId="0" borderId="0" xfId="3" applyNumberFormat="1" applyFont="1"/>
    <xf numFmtId="167" fontId="15" fillId="0" borderId="0" xfId="3" applyNumberFormat="1" applyFont="1" applyBorder="1"/>
    <xf numFmtId="167" fontId="15" fillId="0" borderId="3" xfId="3" applyNumberFormat="1" applyFont="1" applyBorder="1"/>
    <xf numFmtId="166" fontId="0" fillId="0" borderId="0" xfId="0" applyNumberFormat="1"/>
    <xf numFmtId="164" fontId="10" fillId="0" borderId="0" xfId="0" applyNumberFormat="1" applyFont="1"/>
    <xf numFmtId="17" fontId="0" fillId="0" borderId="0" xfId="0" applyNumberFormat="1" applyAlignment="1">
      <alignment horizontal="center"/>
    </xf>
    <xf numFmtId="0" fontId="0" fillId="0" borderId="0" xfId="0" applyBorder="1"/>
    <xf numFmtId="0" fontId="32" fillId="0" borderId="0" xfId="67" applyFont="1" applyAlignment="1">
      <alignment horizontal="left" indent="1" readingOrder="1"/>
    </xf>
    <xf numFmtId="0" fontId="32" fillId="0" borderId="0" xfId="67" applyFont="1" applyBorder="1" applyAlignment="1">
      <alignment horizontal="left" indent="1" readingOrder="1"/>
    </xf>
    <xf numFmtId="171" fontId="18" fillId="0" borderId="0" xfId="72" applyNumberFormat="1" applyFont="1">
      <alignment readingOrder="1"/>
    </xf>
    <xf numFmtId="172" fontId="0" fillId="0" borderId="0" xfId="2" applyNumberFormat="1" applyFont="1"/>
    <xf numFmtId="0" fontId="10" fillId="0" borderId="0" xfId="0" applyFont="1" applyFill="1"/>
    <xf numFmtId="167" fontId="0" fillId="0" borderId="0" xfId="0" applyNumberFormat="1"/>
    <xf numFmtId="43" fontId="33" fillId="0" borderId="0" xfId="12" applyFont="1" applyAlignment="1">
      <alignment readingOrder="1"/>
    </xf>
    <xf numFmtId="10" fontId="0" fillId="0" borderId="0" xfId="0" applyNumberFormat="1" applyFont="1"/>
    <xf numFmtId="165" fontId="7" fillId="0" borderId="0" xfId="1" applyNumberFormat="1" applyFont="1"/>
    <xf numFmtId="174" fontId="0" fillId="0" borderId="0" xfId="2" applyNumberFormat="1" applyFont="1"/>
    <xf numFmtId="165" fontId="0" fillId="0" borderId="0" xfId="0" applyNumberFormat="1"/>
    <xf numFmtId="0" fontId="6" fillId="0" borderId="1" xfId="3" applyFont="1" applyBorder="1" applyAlignment="1">
      <alignment horizontal="left"/>
    </xf>
    <xf numFmtId="0" fontId="6" fillId="0" borderId="0" xfId="3" applyFont="1"/>
    <xf numFmtId="10" fontId="2" fillId="0" borderId="0" xfId="14" applyNumberFormat="1" applyFont="1"/>
    <xf numFmtId="166" fontId="2" fillId="0" borderId="0" xfId="86" applyNumberFormat="1" applyFont="1"/>
    <xf numFmtId="166" fontId="0" fillId="0" borderId="0" xfId="0" applyNumberFormat="1" applyFill="1"/>
    <xf numFmtId="0" fontId="2" fillId="0" borderId="0" xfId="0" applyFont="1"/>
    <xf numFmtId="0" fontId="2" fillId="0" borderId="0" xfId="0" applyFont="1" applyAlignment="1">
      <alignment horizontal="center"/>
    </xf>
    <xf numFmtId="5" fontId="2" fillId="0" borderId="0" xfId="0" applyNumberFormat="1" applyFont="1" applyAlignment="1">
      <alignment horizontal="center"/>
    </xf>
    <xf numFmtId="5" fontId="18" fillId="0" borderId="0" xfId="0" applyNumberFormat="1" applyFont="1" applyAlignment="1">
      <alignment horizontal="center"/>
    </xf>
    <xf numFmtId="10" fontId="18" fillId="0" borderId="0" xfId="0" applyNumberFormat="1" applyFont="1" applyAlignment="1">
      <alignment horizontal="center"/>
    </xf>
    <xf numFmtId="0" fontId="18" fillId="0" borderId="0" xfId="0" applyFont="1" applyAlignment="1">
      <alignment horizontal="center"/>
    </xf>
    <xf numFmtId="0" fontId="2" fillId="0" borderId="1" xfId="0" applyFont="1" applyBorder="1" applyAlignment="1">
      <alignment horizontal="center"/>
    </xf>
    <xf numFmtId="5" fontId="2" fillId="0" borderId="1" xfId="0" applyNumberFormat="1" applyFont="1" applyBorder="1" applyAlignment="1">
      <alignment horizontal="center"/>
    </xf>
    <xf numFmtId="10" fontId="18" fillId="0" borderId="1" xfId="0" applyNumberFormat="1" applyFont="1" applyBorder="1" applyAlignment="1">
      <alignment horizontal="center"/>
    </xf>
    <xf numFmtId="0" fontId="18" fillId="0" borderId="1" xfId="0" applyFont="1" applyBorder="1" applyAlignment="1">
      <alignment horizontal="center"/>
    </xf>
    <xf numFmtId="5" fontId="18" fillId="0" borderId="0" xfId="0" applyNumberFormat="1" applyFont="1"/>
    <xf numFmtId="5" fontId="2" fillId="0" borderId="0" xfId="0" applyNumberFormat="1" applyFont="1"/>
    <xf numFmtId="10" fontId="18" fillId="0" borderId="0" xfId="0" applyNumberFormat="1" applyFont="1"/>
    <xf numFmtId="0" fontId="18" fillId="0" borderId="0" xfId="0" applyFont="1"/>
    <xf numFmtId="174" fontId="18" fillId="0" borderId="0" xfId="0" applyNumberFormat="1" applyFont="1" applyAlignment="1">
      <alignment horizontal="center"/>
    </xf>
    <xf numFmtId="172" fontId="18" fillId="0" borderId="0" xfId="0" applyNumberFormat="1" applyFont="1" applyAlignment="1">
      <alignment horizontal="center"/>
    </xf>
    <xf numFmtId="177" fontId="2" fillId="0" borderId="0" xfId="0" applyNumberFormat="1" applyFont="1" applyAlignment="1">
      <alignment horizontal="center"/>
    </xf>
    <xf numFmtId="16" fontId="2" fillId="0" borderId="0" xfId="0" quotePrefix="1" applyNumberFormat="1" applyFont="1" applyAlignment="1">
      <alignment horizontal="center"/>
    </xf>
    <xf numFmtId="0" fontId="2" fillId="0" borderId="0" xfId="0" quotePrefix="1" applyFont="1" applyAlignment="1">
      <alignment horizontal="center"/>
    </xf>
    <xf numFmtId="5" fontId="37" fillId="0" borderId="0" xfId="0" applyNumberFormat="1" applyFont="1" applyAlignment="1">
      <alignment horizontal="center"/>
    </xf>
    <xf numFmtId="0" fontId="2" fillId="0" borderId="0" xfId="0" applyFont="1" applyAlignment="1">
      <alignment horizontal="left" indent="3"/>
    </xf>
    <xf numFmtId="176" fontId="2" fillId="0" borderId="0" xfId="0" applyNumberFormat="1" applyFont="1"/>
    <xf numFmtId="172" fontId="2" fillId="0" borderId="0" xfId="0" applyNumberFormat="1" applyFont="1"/>
    <xf numFmtId="0" fontId="2" fillId="0" borderId="0" xfId="0" applyFont="1" applyAlignment="1">
      <alignment horizontal="left"/>
    </xf>
    <xf numFmtId="0" fontId="2" fillId="0" borderId="0" xfId="0" applyFont="1" applyAlignment="1">
      <alignment horizontal="left" indent="1"/>
    </xf>
    <xf numFmtId="3" fontId="2" fillId="0" borderId="0" xfId="0" applyNumberFormat="1" applyFont="1"/>
    <xf numFmtId="165" fontId="2" fillId="0" borderId="0" xfId="382" applyNumberFormat="1" applyFont="1"/>
    <xf numFmtId="164" fontId="2" fillId="0" borderId="0" xfId="382" applyNumberFormat="1" applyFont="1"/>
    <xf numFmtId="3" fontId="2" fillId="0" borderId="0" xfId="0" applyNumberFormat="1" applyFont="1" applyBorder="1"/>
    <xf numFmtId="0" fontId="2" fillId="0" borderId="0" xfId="0" applyFont="1" applyBorder="1"/>
    <xf numFmtId="164" fontId="2" fillId="0" borderId="0" xfId="382" applyNumberFormat="1" applyFont="1" applyBorder="1"/>
    <xf numFmtId="164" fontId="2" fillId="0" borderId="0" xfId="0" applyNumberFormat="1" applyFont="1"/>
    <xf numFmtId="164" fontId="32" fillId="0" borderId="0" xfId="382" applyNumberFormat="1" applyFont="1"/>
    <xf numFmtId="175" fontId="2" fillId="0" borderId="0" xfId="0" applyNumberFormat="1" applyFont="1"/>
    <xf numFmtId="0" fontId="18" fillId="0" borderId="0" xfId="0" applyFont="1" applyAlignment="1">
      <alignment horizontal="right"/>
    </xf>
    <xf numFmtId="0" fontId="18" fillId="0" borderId="0" xfId="0" applyFont="1" applyAlignment="1">
      <alignment horizontal="left"/>
    </xf>
    <xf numFmtId="178" fontId="0" fillId="0" borderId="0" xfId="2" applyNumberFormat="1" applyFont="1"/>
    <xf numFmtId="43" fontId="0" fillId="0" borderId="0" xfId="12" applyFont="1"/>
    <xf numFmtId="164" fontId="40" fillId="0" borderId="0" xfId="0" applyNumberFormat="1" applyFont="1"/>
    <xf numFmtId="0" fontId="41" fillId="0" borderId="0" xfId="0" applyFont="1" applyAlignment="1">
      <alignment horizontal="center"/>
    </xf>
    <xf numFmtId="166" fontId="0" fillId="0" borderId="0" xfId="12" applyNumberFormat="1" applyFont="1"/>
    <xf numFmtId="165" fontId="40" fillId="0" borderId="0" xfId="1" applyNumberFormat="1" applyFont="1"/>
    <xf numFmtId="167" fontId="15" fillId="0" borderId="4" xfId="3" applyNumberFormat="1" applyFont="1" applyBorder="1"/>
    <xf numFmtId="44" fontId="0" fillId="0" borderId="0" xfId="1" applyFont="1"/>
    <xf numFmtId="169" fontId="35" fillId="0" borderId="0" xfId="0" applyNumberFormat="1" applyFont="1"/>
    <xf numFmtId="165" fontId="42" fillId="0" borderId="0" xfId="0" applyNumberFormat="1" applyFont="1" applyFill="1"/>
    <xf numFmtId="5" fontId="18" fillId="0" borderId="1" xfId="0" applyNumberFormat="1" applyFont="1" applyBorder="1" applyAlignment="1">
      <alignment horizontal="center"/>
    </xf>
    <xf numFmtId="5" fontId="2" fillId="0" borderId="0" xfId="3" applyNumberFormat="1" applyAlignment="1">
      <alignment horizontal="center"/>
    </xf>
    <xf numFmtId="5" fontId="18" fillId="0" borderId="0" xfId="3" applyNumberFormat="1" applyFont="1" applyAlignment="1">
      <alignment horizontal="center"/>
    </xf>
    <xf numFmtId="5" fontId="37" fillId="0" borderId="0" xfId="3" applyNumberFormat="1" applyFont="1" applyAlignment="1">
      <alignment horizontal="center"/>
    </xf>
    <xf numFmtId="172" fontId="18" fillId="0" borderId="0" xfId="14" applyNumberFormat="1" applyFont="1"/>
    <xf numFmtId="9" fontId="0" fillId="0" borderId="0" xfId="2" applyFont="1"/>
    <xf numFmtId="164" fontId="35" fillId="0" borderId="0" xfId="1" applyNumberFormat="1" applyFont="1" applyFill="1"/>
    <xf numFmtId="164" fontId="0" fillId="0" borderId="0" xfId="1" applyNumberFormat="1" applyFont="1" applyFill="1"/>
    <xf numFmtId="164" fontId="0" fillId="0" borderId="0" xfId="0" applyNumberFormat="1" applyFill="1"/>
    <xf numFmtId="0" fontId="0" fillId="0" borderId="0" xfId="0" applyFill="1"/>
    <xf numFmtId="173" fontId="0" fillId="0" borderId="0" xfId="1" applyNumberFormat="1" applyFont="1" applyFill="1"/>
    <xf numFmtId="44" fontId="0" fillId="0" borderId="0" xfId="1" applyFont="1" applyFill="1"/>
    <xf numFmtId="10" fontId="0" fillId="0" borderId="0" xfId="2" applyNumberFormat="1" applyFont="1" applyFill="1"/>
    <xf numFmtId="165" fontId="0" fillId="0" borderId="0" xfId="1" applyNumberFormat="1" applyFont="1" applyFill="1"/>
    <xf numFmtId="43" fontId="0" fillId="0" borderId="0" xfId="0" applyNumberFormat="1"/>
    <xf numFmtId="0" fontId="43" fillId="0" borderId="0" xfId="0" applyFont="1"/>
    <xf numFmtId="5" fontId="18" fillId="0" borderId="0" xfId="0" applyNumberFormat="1" applyFont="1" applyAlignment="1">
      <alignment horizontal="center"/>
    </xf>
    <xf numFmtId="164" fontId="10" fillId="0" borderId="0" xfId="1" applyNumberFormat="1" applyFont="1" applyFill="1" applyBorder="1"/>
    <xf numFmtId="0" fontId="7" fillId="0" borderId="13" xfId="0" applyFont="1" applyBorder="1" applyAlignment="1">
      <alignment horizontal="center"/>
    </xf>
    <xf numFmtId="0" fontId="7" fillId="0" borderId="14" xfId="0" applyFont="1" applyBorder="1" applyAlignment="1">
      <alignment horizontal="center"/>
    </xf>
    <xf numFmtId="166" fontId="7" fillId="0" borderId="16" xfId="12" applyNumberFormat="1" applyFont="1" applyBorder="1" applyAlignment="1">
      <alignment horizontal="right"/>
    </xf>
    <xf numFmtId="166" fontId="7" fillId="0" borderId="16" xfId="12" applyNumberFormat="1" applyFont="1" applyBorder="1" applyAlignment="1">
      <alignment horizontal="center"/>
    </xf>
    <xf numFmtId="166" fontId="7" fillId="0" borderId="18" xfId="12" applyNumberFormat="1" applyFont="1" applyBorder="1" applyAlignment="1">
      <alignment horizontal="center"/>
    </xf>
    <xf numFmtId="0" fontId="0" fillId="0" borderId="16" xfId="0" applyBorder="1"/>
    <xf numFmtId="0" fontId="7" fillId="0" borderId="21" xfId="0" applyFont="1" applyBorder="1"/>
    <xf numFmtId="9" fontId="49" fillId="24" borderId="22" xfId="2" applyFont="1" applyFill="1" applyBorder="1" applyAlignment="1">
      <alignment horizontal="center"/>
    </xf>
    <xf numFmtId="9" fontId="50" fillId="24" borderId="22" xfId="2" applyFont="1" applyFill="1" applyBorder="1" applyAlignment="1">
      <alignment horizontal="center"/>
    </xf>
    <xf numFmtId="3" fontId="0" fillId="0" borderId="16" xfId="0" applyNumberFormat="1" applyBorder="1"/>
    <xf numFmtId="164" fontId="0" fillId="0" borderId="16" xfId="1" applyNumberFormat="1" applyFont="1" applyBorder="1"/>
    <xf numFmtId="0" fontId="0" fillId="0" borderId="11" xfId="0" applyBorder="1"/>
    <xf numFmtId="164" fontId="6" fillId="0" borderId="23" xfId="0" applyNumberFormat="1" applyFont="1" applyBorder="1"/>
    <xf numFmtId="164" fontId="0" fillId="0" borderId="13" xfId="0" applyNumberFormat="1" applyBorder="1"/>
    <xf numFmtId="166" fontId="0" fillId="0" borderId="16" xfId="12" applyNumberFormat="1" applyFont="1" applyBorder="1"/>
    <xf numFmtId="0" fontId="0" fillId="0" borderId="25" xfId="0" applyBorder="1"/>
    <xf numFmtId="164" fontId="6" fillId="0" borderId="26" xfId="0" applyNumberFormat="1" applyFont="1" applyBorder="1"/>
    <xf numFmtId="164" fontId="0" fillId="0" borderId="27" xfId="0" applyNumberFormat="1" applyBorder="1"/>
    <xf numFmtId="9" fontId="0" fillId="0" borderId="16" xfId="2" applyFont="1" applyBorder="1"/>
    <xf numFmtId="164" fontId="6" fillId="0" borderId="28" xfId="0" applyNumberFormat="1" applyFont="1" applyBorder="1"/>
    <xf numFmtId="164" fontId="0" fillId="0" borderId="22" xfId="0" applyNumberFormat="1" applyBorder="1"/>
    <xf numFmtId="164" fontId="6" fillId="0" borderId="13" xfId="0" applyNumberFormat="1" applyFont="1" applyBorder="1"/>
    <xf numFmtId="0" fontId="0" fillId="0" borderId="16" xfId="0" applyBorder="1" applyAlignment="1">
      <alignment wrapText="1"/>
    </xf>
    <xf numFmtId="164" fontId="6" fillId="0" borderId="22" xfId="0" applyNumberFormat="1" applyFont="1" applyBorder="1"/>
    <xf numFmtId="164" fontId="0" fillId="0" borderId="30" xfId="1" applyNumberFormat="1" applyFont="1" applyFill="1" applyBorder="1"/>
    <xf numFmtId="164" fontId="6" fillId="0" borderId="30" xfId="0" applyNumberFormat="1" applyFont="1" applyBorder="1"/>
    <xf numFmtId="164" fontId="0" fillId="0" borderId="30" xfId="0" applyNumberFormat="1" applyBorder="1"/>
    <xf numFmtId="164" fontId="0" fillId="0" borderId="31" xfId="0" applyNumberFormat="1" applyBorder="1"/>
    <xf numFmtId="0" fontId="45" fillId="20" borderId="8" xfId="0" applyFont="1" applyFill="1" applyBorder="1"/>
    <xf numFmtId="164" fontId="7" fillId="0" borderId="5" xfId="1" applyNumberFormat="1" applyFont="1" applyFill="1" applyBorder="1"/>
    <xf numFmtId="0" fontId="7" fillId="0" borderId="11" xfId="0" applyFont="1" applyBorder="1" applyAlignment="1">
      <alignment horizontal="right"/>
    </xf>
    <xf numFmtId="164" fontId="0" fillId="0" borderId="13" xfId="1" applyNumberFormat="1" applyFont="1" applyBorder="1"/>
    <xf numFmtId="164" fontId="46" fillId="0" borderId="13" xfId="0" applyNumberFormat="1" applyFont="1" applyBorder="1"/>
    <xf numFmtId="164" fontId="0" fillId="0" borderId="14" xfId="0" applyNumberFormat="1" applyBorder="1"/>
    <xf numFmtId="164" fontId="0" fillId="0" borderId="22" xfId="1" applyNumberFormat="1" applyFont="1" applyBorder="1"/>
    <xf numFmtId="164" fontId="46" fillId="0" borderId="22" xfId="0" applyNumberFormat="1" applyFont="1" applyBorder="1"/>
    <xf numFmtId="164" fontId="0" fillId="0" borderId="34" xfId="0" applyNumberFormat="1" applyBorder="1"/>
    <xf numFmtId="0" fontId="7" fillId="0" borderId="21" xfId="0" applyFont="1" applyBorder="1" applyAlignment="1">
      <alignment horizontal="right"/>
    </xf>
    <xf numFmtId="0" fontId="45" fillId="20" borderId="24" xfId="0" applyFont="1" applyFill="1" applyBorder="1" applyAlignment="1">
      <alignment horizontal="right"/>
    </xf>
    <xf numFmtId="164" fontId="7" fillId="0" borderId="20" xfId="1" applyNumberFormat="1" applyFont="1" applyBorder="1"/>
    <xf numFmtId="164" fontId="7" fillId="0" borderId="35" xfId="1" applyNumberFormat="1" applyFont="1" applyBorder="1"/>
    <xf numFmtId="0" fontId="51" fillId="0" borderId="36" xfId="0" applyFont="1" applyBorder="1" applyAlignment="1">
      <alignment horizontal="right" wrapText="1"/>
    </xf>
    <xf numFmtId="164" fontId="7" fillId="0" borderId="37" xfId="1" applyNumberFormat="1" applyFont="1" applyFill="1" applyBorder="1"/>
    <xf numFmtId="164" fontId="0" fillId="0" borderId="16" xfId="2" applyNumberFormat="1" applyFont="1" applyBorder="1"/>
    <xf numFmtId="164" fontId="1" fillId="0" borderId="13" xfId="1" applyNumberFormat="1" applyFont="1" applyFill="1" applyBorder="1"/>
    <xf numFmtId="164" fontId="0" fillId="0" borderId="16" xfId="1" applyNumberFormat="1" applyFont="1" applyFill="1" applyBorder="1"/>
    <xf numFmtId="164" fontId="1" fillId="0" borderId="30" xfId="1" applyNumberFormat="1" applyFont="1" applyFill="1" applyBorder="1"/>
    <xf numFmtId="164" fontId="7" fillId="0" borderId="27" xfId="1" applyNumberFormat="1" applyFont="1" applyFill="1" applyBorder="1"/>
    <xf numFmtId="0" fontId="7" fillId="0" borderId="0" xfId="0" applyFont="1" applyAlignment="1">
      <alignment horizontal="right"/>
    </xf>
    <xf numFmtId="164" fontId="7" fillId="0" borderId="0" xfId="0" applyNumberFormat="1" applyFont="1"/>
    <xf numFmtId="0" fontId="7" fillId="0" borderId="0" xfId="0" applyFont="1"/>
    <xf numFmtId="17" fontId="7" fillId="0" borderId="0" xfId="0" applyNumberFormat="1" applyFont="1"/>
    <xf numFmtId="0" fontId="11" fillId="0" borderId="0" xfId="0" applyFont="1" applyAlignment="1">
      <alignment horizontal="centerContinuous"/>
    </xf>
    <xf numFmtId="0" fontId="12" fillId="0" borderId="0" xfId="0" applyFont="1" applyAlignment="1">
      <alignment horizontal="centerContinuous"/>
    </xf>
    <xf numFmtId="167" fontId="15" fillId="0" borderId="1" xfId="0" applyNumberFormat="1" applyFont="1" applyBorder="1"/>
    <xf numFmtId="165" fontId="7" fillId="0" borderId="0" xfId="1" applyNumberFormat="1" applyFont="1" applyFill="1"/>
    <xf numFmtId="172" fontId="18" fillId="0" borderId="0" xfId="0" applyNumberFormat="1" applyFont="1"/>
    <xf numFmtId="174" fontId="52" fillId="0" borderId="0" xfId="0" applyNumberFormat="1" applyFont="1" applyAlignment="1">
      <alignment horizontal="center"/>
    </xf>
    <xf numFmtId="5" fontId="52" fillId="0" borderId="0" xfId="3" applyNumberFormat="1" applyFont="1" applyAlignment="1">
      <alignment horizontal="center"/>
    </xf>
    <xf numFmtId="172" fontId="52" fillId="0" borderId="0" xfId="0" applyNumberFormat="1" applyFont="1" applyAlignment="1">
      <alignment horizontal="center"/>
    </xf>
    <xf numFmtId="172" fontId="18" fillId="0" borderId="0" xfId="14" applyNumberFormat="1" applyFont="1" applyFill="1"/>
    <xf numFmtId="10" fontId="18" fillId="0" borderId="0" xfId="14" applyNumberFormat="1" applyFont="1"/>
    <xf numFmtId="172" fontId="2" fillId="0" borderId="0" xfId="14" applyNumberFormat="1" applyFont="1"/>
    <xf numFmtId="0" fontId="50" fillId="0" borderId="0" xfId="0" applyFont="1"/>
    <xf numFmtId="0" fontId="0" fillId="0" borderId="0" xfId="0" applyAlignment="1">
      <alignment horizontal="right"/>
    </xf>
    <xf numFmtId="44" fontId="0" fillId="0" borderId="0" xfId="0" applyNumberFormat="1" applyFont="1"/>
    <xf numFmtId="0" fontId="7" fillId="0" borderId="17" xfId="0" applyFont="1" applyBorder="1" applyAlignment="1">
      <alignment horizontal="right"/>
    </xf>
    <xf numFmtId="0" fontId="7" fillId="0" borderId="25" xfId="0" applyFont="1" applyBorder="1" applyAlignment="1">
      <alignment horizontal="center"/>
    </xf>
    <xf numFmtId="43" fontId="2" fillId="0" borderId="0" xfId="12" applyFont="1" applyAlignment="1">
      <alignment readingOrder="1"/>
    </xf>
    <xf numFmtId="166" fontId="6" fillId="0" borderId="0" xfId="0" applyNumberFormat="1" applyFont="1"/>
    <xf numFmtId="166" fontId="35" fillId="0" borderId="0" xfId="12" applyNumberFormat="1" applyFont="1"/>
    <xf numFmtId="166" fontId="6" fillId="0" borderId="0" xfId="12" applyNumberFormat="1" applyFont="1"/>
    <xf numFmtId="164" fontId="0" fillId="0" borderId="13" xfId="1" applyNumberFormat="1" applyFont="1" applyFill="1" applyBorder="1"/>
    <xf numFmtId="164" fontId="0" fillId="0" borderId="22" xfId="1" applyNumberFormat="1" applyFont="1" applyFill="1" applyBorder="1"/>
    <xf numFmtId="164" fontId="0" fillId="0" borderId="14" xfId="1" applyNumberFormat="1" applyFont="1" applyFill="1" applyBorder="1"/>
    <xf numFmtId="164" fontId="0" fillId="0" borderId="38" xfId="1" applyNumberFormat="1" applyFont="1" applyFill="1" applyBorder="1"/>
    <xf numFmtId="164" fontId="0" fillId="0" borderId="34" xfId="1" applyNumberFormat="1" applyFont="1" applyFill="1" applyBorder="1"/>
    <xf numFmtId="164" fontId="0" fillId="0" borderId="39" xfId="1" applyNumberFormat="1" applyFont="1" applyFill="1" applyBorder="1"/>
    <xf numFmtId="0" fontId="7" fillId="0" borderId="40" xfId="0" applyFont="1" applyBorder="1" applyAlignment="1">
      <alignment horizontal="right"/>
    </xf>
    <xf numFmtId="164" fontId="1" fillId="0" borderId="15" xfId="1" applyNumberFormat="1" applyFont="1" applyFill="1" applyBorder="1"/>
    <xf numFmtId="0" fontId="47" fillId="20" borderId="25" xfId="0" applyFont="1" applyFill="1" applyBorder="1" applyAlignment="1">
      <alignment horizontal="right"/>
    </xf>
    <xf numFmtId="0" fontId="0" fillId="0" borderId="32" xfId="0" applyBorder="1" applyAlignment="1">
      <alignment vertical="center" wrapText="1"/>
    </xf>
    <xf numFmtId="6" fontId="0" fillId="0" borderId="33" xfId="0" applyNumberFormat="1" applyBorder="1" applyAlignment="1">
      <alignment vertical="center" wrapText="1"/>
    </xf>
    <xf numFmtId="6" fontId="0" fillId="0" borderId="0" xfId="0" applyNumberFormat="1"/>
    <xf numFmtId="0" fontId="55" fillId="27" borderId="0" xfId="0" applyFont="1" applyFill="1"/>
    <xf numFmtId="0" fontId="56" fillId="27" borderId="0" xfId="0" applyFont="1" applyFill="1" applyAlignment="1">
      <alignment horizontal="right"/>
    </xf>
    <xf numFmtId="172" fontId="56" fillId="27" borderId="0" xfId="2" applyNumberFormat="1" applyFont="1" applyFill="1" applyAlignment="1">
      <alignment horizontal="center"/>
    </xf>
    <xf numFmtId="172" fontId="56" fillId="27" borderId="1" xfId="2" applyNumberFormat="1" applyFont="1" applyFill="1" applyBorder="1" applyAlignment="1">
      <alignment horizontal="center"/>
    </xf>
    <xf numFmtId="166" fontId="35" fillId="0" borderId="0" xfId="12" applyNumberFormat="1" applyFont="1" applyFill="1"/>
    <xf numFmtId="0" fontId="55" fillId="27" borderId="0" xfId="0" applyFont="1" applyFill="1" applyAlignment="1">
      <alignment horizontal="center"/>
    </xf>
    <xf numFmtId="0" fontId="6" fillId="0" borderId="1" xfId="3" applyFont="1" applyBorder="1" applyAlignment="1">
      <alignment horizontal="center" wrapText="1"/>
    </xf>
    <xf numFmtId="44" fontId="0" fillId="0" borderId="0" xfId="0" applyNumberFormat="1"/>
    <xf numFmtId="164" fontId="56" fillId="27" borderId="0" xfId="1" applyNumberFormat="1" applyFont="1" applyFill="1"/>
    <xf numFmtId="164" fontId="56" fillId="27" borderId="1" xfId="1" applyNumberFormat="1" applyFont="1" applyFill="1" applyBorder="1"/>
    <xf numFmtId="0" fontId="48" fillId="0" borderId="13" xfId="0" applyFont="1" applyBorder="1" applyAlignment="1">
      <alignment horizontal="center" wrapText="1"/>
    </xf>
    <xf numFmtId="0" fontId="0" fillId="0" borderId="16" xfId="0" applyBorder="1" applyAlignment="1">
      <alignment horizontal="center" wrapText="1"/>
    </xf>
    <xf numFmtId="164" fontId="0" fillId="0" borderId="0" xfId="1" applyNumberFormat="1" applyFont="1" applyBorder="1"/>
    <xf numFmtId="9" fontId="50" fillId="24" borderId="34" xfId="2" applyFont="1" applyFill="1" applyBorder="1" applyAlignment="1">
      <alignment horizontal="center"/>
    </xf>
    <xf numFmtId="164" fontId="0" fillId="0" borderId="38" xfId="0" applyNumberFormat="1" applyBorder="1"/>
    <xf numFmtId="166" fontId="0" fillId="0" borderId="0" xfId="12" applyNumberFormat="1" applyFont="1" applyBorder="1"/>
    <xf numFmtId="9" fontId="0" fillId="0" borderId="0" xfId="2" applyFont="1" applyBorder="1"/>
    <xf numFmtId="0" fontId="0" fillId="0" borderId="0" xfId="0" applyAlignment="1">
      <alignment horizontal="center"/>
    </xf>
    <xf numFmtId="0" fontId="0" fillId="0" borderId="16" xfId="0" applyBorder="1" applyAlignment="1">
      <alignment horizontal="center" vertical="center"/>
    </xf>
    <xf numFmtId="0" fontId="7" fillId="0" borderId="11" xfId="0" applyFont="1" applyBorder="1" applyAlignment="1">
      <alignment horizontal="right" wrapText="1"/>
    </xf>
    <xf numFmtId="164" fontId="0" fillId="0" borderId="0" xfId="1" applyNumberFormat="1" applyFont="1" applyFill="1" applyBorder="1"/>
    <xf numFmtId="0" fontId="7" fillId="0" borderId="25" xfId="0" applyFont="1" applyBorder="1" applyAlignment="1">
      <alignment horizontal="right" wrapText="1"/>
    </xf>
    <xf numFmtId="0" fontId="7" fillId="0" borderId="41" xfId="0" applyFont="1" applyBorder="1" applyAlignment="1">
      <alignment horizontal="right" wrapText="1"/>
    </xf>
    <xf numFmtId="164" fontId="0" fillId="0" borderId="20" xfId="1" applyNumberFormat="1" applyFont="1" applyBorder="1"/>
    <xf numFmtId="164" fontId="6" fillId="0" borderId="20" xfId="0" applyNumberFormat="1" applyFont="1" applyBorder="1"/>
    <xf numFmtId="164" fontId="46" fillId="0" borderId="14" xfId="0" applyNumberFormat="1" applyFont="1" applyBorder="1"/>
    <xf numFmtId="164" fontId="46" fillId="0" borderId="34" xfId="0" applyNumberFormat="1" applyFont="1" applyBorder="1"/>
    <xf numFmtId="9" fontId="7" fillId="0" borderId="0" xfId="2" applyFont="1" applyFill="1" applyBorder="1"/>
    <xf numFmtId="164" fontId="6" fillId="0" borderId="13" xfId="1" applyNumberFormat="1" applyFont="1" applyFill="1" applyBorder="1"/>
    <xf numFmtId="164" fontId="6" fillId="0" borderId="15" xfId="1" applyNumberFormat="1" applyFont="1" applyFill="1" applyBorder="1"/>
    <xf numFmtId="0" fontId="6" fillId="0" borderId="41" xfId="0" applyFont="1" applyBorder="1" applyAlignment="1">
      <alignment horizontal="right"/>
    </xf>
    <xf numFmtId="164" fontId="1" fillId="0" borderId="0" xfId="1" applyNumberFormat="1" applyFont="1" applyFill="1" applyBorder="1"/>
    <xf numFmtId="0" fontId="57" fillId="0" borderId="41" xfId="0" applyFont="1" applyBorder="1" applyAlignment="1">
      <alignment horizontal="right"/>
    </xf>
    <xf numFmtId="9" fontId="50" fillId="0" borderId="0" xfId="2" applyFont="1" applyFill="1" applyBorder="1"/>
    <xf numFmtId="0" fontId="50" fillId="0" borderId="0" xfId="0" applyFont="1" applyAlignment="1">
      <alignment horizontal="left" wrapText="1"/>
    </xf>
    <xf numFmtId="0" fontId="0" fillId="0" borderId="0" xfId="0" applyAlignment="1">
      <alignment horizontal="right" vertical="center" wrapText="1"/>
    </xf>
    <xf numFmtId="0" fontId="0" fillId="0" borderId="16" xfId="0" applyBorder="1" applyAlignment="1">
      <alignment horizontal="center" vertical="center" wrapText="1"/>
    </xf>
    <xf numFmtId="0" fontId="0" fillId="0" borderId="16" xfId="0" applyBorder="1" applyAlignment="1">
      <alignment horizontal="center"/>
    </xf>
    <xf numFmtId="164" fontId="46" fillId="28" borderId="13" xfId="0" applyNumberFormat="1" applyFont="1" applyFill="1" applyBorder="1"/>
    <xf numFmtId="0" fontId="7" fillId="0" borderId="41" xfId="0" applyFont="1" applyBorder="1" applyAlignment="1">
      <alignment horizontal="right"/>
    </xf>
    <xf numFmtId="164" fontId="0" fillId="28" borderId="23" xfId="1" applyNumberFormat="1" applyFont="1" applyFill="1" applyBorder="1"/>
    <xf numFmtId="164" fontId="6" fillId="28" borderId="13" xfId="0" applyNumberFormat="1" applyFont="1" applyFill="1" applyBorder="1"/>
    <xf numFmtId="164" fontId="6" fillId="0" borderId="42" xfId="0" applyNumberFormat="1" applyFont="1" applyBorder="1"/>
    <xf numFmtId="164" fontId="0" fillId="28" borderId="28" xfId="1" applyNumberFormat="1" applyFont="1" applyFill="1" applyBorder="1"/>
    <xf numFmtId="164" fontId="6" fillId="28" borderId="22" xfId="0" applyNumberFormat="1" applyFont="1" applyFill="1" applyBorder="1"/>
    <xf numFmtId="164" fontId="46" fillId="28" borderId="22" xfId="0" applyNumberFormat="1" applyFont="1" applyFill="1" applyBorder="1"/>
    <xf numFmtId="164" fontId="6" fillId="0" borderId="43" xfId="0" applyNumberFormat="1" applyFont="1" applyBorder="1"/>
    <xf numFmtId="0" fontId="55" fillId="27" borderId="0" xfId="0" applyFont="1" applyFill="1" applyAlignment="1">
      <alignment horizontal="center"/>
    </xf>
    <xf numFmtId="5" fontId="0" fillId="0" borderId="0" xfId="1" applyNumberFormat="1" applyFont="1" applyAlignment="1">
      <alignment horizontal="left" vertical="top" wrapText="1"/>
    </xf>
    <xf numFmtId="0" fontId="54" fillId="26" borderId="8" xfId="0" applyFont="1" applyFill="1" applyBorder="1" applyAlignment="1">
      <alignment horizontal="center" vertical="center" wrapText="1"/>
    </xf>
    <xf numFmtId="0" fontId="54" fillId="26" borderId="9" xfId="0" applyFont="1" applyFill="1" applyBorder="1" applyAlignment="1">
      <alignment horizontal="center" vertical="center" wrapText="1"/>
    </xf>
    <xf numFmtId="0" fontId="0" fillId="23" borderId="0" xfId="0" applyFill="1" applyAlignment="1">
      <alignment horizontal="center"/>
    </xf>
    <xf numFmtId="0" fontId="0" fillId="25" borderId="36" xfId="0" applyFill="1" applyBorder="1" applyAlignment="1">
      <alignment horizontal="center"/>
    </xf>
    <xf numFmtId="0" fontId="0" fillId="25" borderId="29" xfId="0" applyFill="1" applyBorder="1" applyAlignment="1">
      <alignment horizontal="center"/>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47" fillId="21" borderId="8" xfId="0" applyFont="1" applyFill="1" applyBorder="1" applyAlignment="1">
      <alignment horizontal="center"/>
    </xf>
    <xf numFmtId="0" fontId="47" fillId="21" borderId="10" xfId="0" applyFont="1" applyFill="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0" fillId="22" borderId="18" xfId="0" applyFill="1" applyBorder="1" applyAlignment="1">
      <alignment horizontal="center" wrapText="1"/>
    </xf>
    <xf numFmtId="0" fontId="0" fillId="22" borderId="3" xfId="0" applyFill="1" applyBorder="1" applyAlignment="1">
      <alignment horizontal="center" wrapText="1"/>
    </xf>
    <xf numFmtId="0" fontId="0" fillId="22" borderId="44" xfId="0" applyFill="1" applyBorder="1" applyAlignment="1">
      <alignment horizontal="center" wrapText="1"/>
    </xf>
    <xf numFmtId="0" fontId="0" fillId="25" borderId="8" xfId="0" applyFill="1" applyBorder="1" applyAlignment="1">
      <alignment horizontal="center"/>
    </xf>
    <xf numFmtId="0" fontId="0" fillId="25" borderId="10" xfId="0" applyFill="1"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50" fillId="0" borderId="36" xfId="0" applyFont="1" applyBorder="1" applyAlignment="1">
      <alignment horizontal="left" wrapText="1"/>
    </xf>
    <xf numFmtId="0" fontId="50" fillId="0" borderId="29" xfId="0" applyFont="1" applyBorder="1" applyAlignment="1">
      <alignment horizontal="left" wrapText="1"/>
    </xf>
    <xf numFmtId="0" fontId="11" fillId="0" borderId="0" xfId="0" applyFont="1" applyAlignment="1">
      <alignment horizontal="center"/>
    </xf>
    <xf numFmtId="0" fontId="11" fillId="0" borderId="0" xfId="0" applyFont="1" applyBorder="1" applyAlignment="1">
      <alignment horizontal="center"/>
    </xf>
    <xf numFmtId="167" fontId="11" fillId="0" borderId="0" xfId="0" applyNumberFormat="1" applyFont="1" applyAlignment="1">
      <alignment horizontal="center"/>
    </xf>
    <xf numFmtId="5" fontId="18" fillId="0" borderId="0" xfId="0" applyNumberFormat="1" applyFont="1" applyAlignment="1">
      <alignment horizontal="center"/>
    </xf>
  </cellXfs>
  <cellStyles count="711">
    <cellStyle name="20% - Accent1 10" xfId="92" xr:uid="{00000000-0005-0000-0000-000000000000}"/>
    <cellStyle name="20% - Accent1 11" xfId="93" xr:uid="{00000000-0005-0000-0000-000001000000}"/>
    <cellStyle name="20% - Accent1 12" xfId="94" xr:uid="{00000000-0005-0000-0000-000002000000}"/>
    <cellStyle name="20% - Accent1 13" xfId="95" xr:uid="{00000000-0005-0000-0000-000003000000}"/>
    <cellStyle name="20% - Accent1 14" xfId="96" xr:uid="{00000000-0005-0000-0000-000004000000}"/>
    <cellStyle name="20% - Accent1 15" xfId="97" xr:uid="{00000000-0005-0000-0000-000005000000}"/>
    <cellStyle name="20% - Accent1 2" xfId="98" xr:uid="{00000000-0005-0000-0000-000006000000}"/>
    <cellStyle name="20% - Accent1 3" xfId="99" xr:uid="{00000000-0005-0000-0000-000007000000}"/>
    <cellStyle name="20% - Accent1 4" xfId="100" xr:uid="{00000000-0005-0000-0000-000008000000}"/>
    <cellStyle name="20% - Accent1 5" xfId="101" xr:uid="{00000000-0005-0000-0000-000009000000}"/>
    <cellStyle name="20% - Accent1 6" xfId="102" xr:uid="{00000000-0005-0000-0000-00000A000000}"/>
    <cellStyle name="20% - Accent1 7" xfId="103" xr:uid="{00000000-0005-0000-0000-00000B000000}"/>
    <cellStyle name="20% - Accent1 8" xfId="104" xr:uid="{00000000-0005-0000-0000-00000C000000}"/>
    <cellStyle name="20% - Accent1 9" xfId="105" xr:uid="{00000000-0005-0000-0000-00000D000000}"/>
    <cellStyle name="20% - Accent2 10" xfId="106" xr:uid="{00000000-0005-0000-0000-00000E000000}"/>
    <cellStyle name="20% - Accent2 11" xfId="107" xr:uid="{00000000-0005-0000-0000-00000F000000}"/>
    <cellStyle name="20% - Accent2 12" xfId="108" xr:uid="{00000000-0005-0000-0000-000010000000}"/>
    <cellStyle name="20% - Accent2 13" xfId="109" xr:uid="{00000000-0005-0000-0000-000011000000}"/>
    <cellStyle name="20% - Accent2 14" xfId="110" xr:uid="{00000000-0005-0000-0000-000012000000}"/>
    <cellStyle name="20% - Accent2 15" xfId="111" xr:uid="{00000000-0005-0000-0000-000013000000}"/>
    <cellStyle name="20% - Accent2 2" xfId="112" xr:uid="{00000000-0005-0000-0000-000014000000}"/>
    <cellStyle name="20% - Accent2 3" xfId="113" xr:uid="{00000000-0005-0000-0000-000015000000}"/>
    <cellStyle name="20% - Accent2 4" xfId="114" xr:uid="{00000000-0005-0000-0000-000016000000}"/>
    <cellStyle name="20% - Accent2 5" xfId="115" xr:uid="{00000000-0005-0000-0000-000017000000}"/>
    <cellStyle name="20% - Accent2 6" xfId="116" xr:uid="{00000000-0005-0000-0000-000018000000}"/>
    <cellStyle name="20% - Accent2 7" xfId="117" xr:uid="{00000000-0005-0000-0000-000019000000}"/>
    <cellStyle name="20% - Accent2 8" xfId="118" xr:uid="{00000000-0005-0000-0000-00001A000000}"/>
    <cellStyle name="20% - Accent2 9" xfId="119" xr:uid="{00000000-0005-0000-0000-00001B000000}"/>
    <cellStyle name="20% - Accent3 10" xfId="120" xr:uid="{00000000-0005-0000-0000-00001C000000}"/>
    <cellStyle name="20% - Accent3 11" xfId="121" xr:uid="{00000000-0005-0000-0000-00001D000000}"/>
    <cellStyle name="20% - Accent3 12" xfId="122" xr:uid="{00000000-0005-0000-0000-00001E000000}"/>
    <cellStyle name="20% - Accent3 13" xfId="123" xr:uid="{00000000-0005-0000-0000-00001F000000}"/>
    <cellStyle name="20% - Accent3 14" xfId="124" xr:uid="{00000000-0005-0000-0000-000020000000}"/>
    <cellStyle name="20% - Accent3 15" xfId="125" xr:uid="{00000000-0005-0000-0000-000021000000}"/>
    <cellStyle name="20% - Accent3 2" xfId="126" xr:uid="{00000000-0005-0000-0000-000022000000}"/>
    <cellStyle name="20% - Accent3 3" xfId="127" xr:uid="{00000000-0005-0000-0000-000023000000}"/>
    <cellStyle name="20% - Accent3 4" xfId="128" xr:uid="{00000000-0005-0000-0000-000024000000}"/>
    <cellStyle name="20% - Accent3 5" xfId="129" xr:uid="{00000000-0005-0000-0000-000025000000}"/>
    <cellStyle name="20% - Accent3 6" xfId="130" xr:uid="{00000000-0005-0000-0000-000026000000}"/>
    <cellStyle name="20% - Accent3 7" xfId="131" xr:uid="{00000000-0005-0000-0000-000027000000}"/>
    <cellStyle name="20% - Accent3 8" xfId="132" xr:uid="{00000000-0005-0000-0000-000028000000}"/>
    <cellStyle name="20% - Accent3 9" xfId="133" xr:uid="{00000000-0005-0000-0000-000029000000}"/>
    <cellStyle name="20% - Accent4 10" xfId="134" xr:uid="{00000000-0005-0000-0000-00002A000000}"/>
    <cellStyle name="20% - Accent4 11" xfId="135" xr:uid="{00000000-0005-0000-0000-00002B000000}"/>
    <cellStyle name="20% - Accent4 12" xfId="136" xr:uid="{00000000-0005-0000-0000-00002C000000}"/>
    <cellStyle name="20% - Accent4 13" xfId="137" xr:uid="{00000000-0005-0000-0000-00002D000000}"/>
    <cellStyle name="20% - Accent4 14" xfId="138" xr:uid="{00000000-0005-0000-0000-00002E000000}"/>
    <cellStyle name="20% - Accent4 15" xfId="139" xr:uid="{00000000-0005-0000-0000-00002F000000}"/>
    <cellStyle name="20% - Accent4 2" xfId="140" xr:uid="{00000000-0005-0000-0000-000030000000}"/>
    <cellStyle name="20% - Accent4 3" xfId="141" xr:uid="{00000000-0005-0000-0000-000031000000}"/>
    <cellStyle name="20% - Accent4 4" xfId="142" xr:uid="{00000000-0005-0000-0000-000032000000}"/>
    <cellStyle name="20% - Accent4 5" xfId="143" xr:uid="{00000000-0005-0000-0000-000033000000}"/>
    <cellStyle name="20% - Accent4 6" xfId="144" xr:uid="{00000000-0005-0000-0000-000034000000}"/>
    <cellStyle name="20% - Accent4 7" xfId="145" xr:uid="{00000000-0005-0000-0000-000035000000}"/>
    <cellStyle name="20% - Accent4 8" xfId="146" xr:uid="{00000000-0005-0000-0000-000036000000}"/>
    <cellStyle name="20% - Accent4 9" xfId="147" xr:uid="{00000000-0005-0000-0000-000037000000}"/>
    <cellStyle name="20% - Accent5 10" xfId="148" xr:uid="{00000000-0005-0000-0000-000038000000}"/>
    <cellStyle name="20% - Accent5 11" xfId="149" xr:uid="{00000000-0005-0000-0000-000039000000}"/>
    <cellStyle name="20% - Accent5 12" xfId="150" xr:uid="{00000000-0005-0000-0000-00003A000000}"/>
    <cellStyle name="20% - Accent5 13" xfId="151" xr:uid="{00000000-0005-0000-0000-00003B000000}"/>
    <cellStyle name="20% - Accent5 14" xfId="152" xr:uid="{00000000-0005-0000-0000-00003C000000}"/>
    <cellStyle name="20% - Accent5 15" xfId="153" xr:uid="{00000000-0005-0000-0000-00003D000000}"/>
    <cellStyle name="20% - Accent5 2" xfId="154" xr:uid="{00000000-0005-0000-0000-00003E000000}"/>
    <cellStyle name="20% - Accent5 3" xfId="155" xr:uid="{00000000-0005-0000-0000-00003F000000}"/>
    <cellStyle name="20% - Accent5 4" xfId="156" xr:uid="{00000000-0005-0000-0000-000040000000}"/>
    <cellStyle name="20% - Accent5 5" xfId="157" xr:uid="{00000000-0005-0000-0000-000041000000}"/>
    <cellStyle name="20% - Accent5 6" xfId="158" xr:uid="{00000000-0005-0000-0000-000042000000}"/>
    <cellStyle name="20% - Accent5 7" xfId="159" xr:uid="{00000000-0005-0000-0000-000043000000}"/>
    <cellStyle name="20% - Accent5 8" xfId="160" xr:uid="{00000000-0005-0000-0000-000044000000}"/>
    <cellStyle name="20% - Accent5 9" xfId="161" xr:uid="{00000000-0005-0000-0000-000045000000}"/>
    <cellStyle name="20% - Accent6 10" xfId="162" xr:uid="{00000000-0005-0000-0000-000046000000}"/>
    <cellStyle name="20% - Accent6 11" xfId="163" xr:uid="{00000000-0005-0000-0000-000047000000}"/>
    <cellStyle name="20% - Accent6 12" xfId="164" xr:uid="{00000000-0005-0000-0000-000048000000}"/>
    <cellStyle name="20% - Accent6 13" xfId="165" xr:uid="{00000000-0005-0000-0000-000049000000}"/>
    <cellStyle name="20% - Accent6 14" xfId="166" xr:uid="{00000000-0005-0000-0000-00004A000000}"/>
    <cellStyle name="20% - Accent6 15" xfId="167" xr:uid="{00000000-0005-0000-0000-00004B000000}"/>
    <cellStyle name="20% - Accent6 2" xfId="168" xr:uid="{00000000-0005-0000-0000-00004C000000}"/>
    <cellStyle name="20% - Accent6 3" xfId="169" xr:uid="{00000000-0005-0000-0000-00004D000000}"/>
    <cellStyle name="20% - Accent6 4" xfId="170" xr:uid="{00000000-0005-0000-0000-00004E000000}"/>
    <cellStyle name="20% - Accent6 5" xfId="171" xr:uid="{00000000-0005-0000-0000-00004F000000}"/>
    <cellStyle name="20% - Accent6 6" xfId="172" xr:uid="{00000000-0005-0000-0000-000050000000}"/>
    <cellStyle name="20% - Accent6 7" xfId="173" xr:uid="{00000000-0005-0000-0000-000051000000}"/>
    <cellStyle name="20% - Accent6 8" xfId="174" xr:uid="{00000000-0005-0000-0000-000052000000}"/>
    <cellStyle name="20% - Accent6 9" xfId="175" xr:uid="{00000000-0005-0000-0000-000053000000}"/>
    <cellStyle name="40% - Accent1 10" xfId="176" xr:uid="{00000000-0005-0000-0000-000054000000}"/>
    <cellStyle name="40% - Accent1 11" xfId="177" xr:uid="{00000000-0005-0000-0000-000055000000}"/>
    <cellStyle name="40% - Accent1 12" xfId="178" xr:uid="{00000000-0005-0000-0000-000056000000}"/>
    <cellStyle name="40% - Accent1 13" xfId="179" xr:uid="{00000000-0005-0000-0000-000057000000}"/>
    <cellStyle name="40% - Accent1 14" xfId="180" xr:uid="{00000000-0005-0000-0000-000058000000}"/>
    <cellStyle name="40% - Accent1 15" xfId="181" xr:uid="{00000000-0005-0000-0000-000059000000}"/>
    <cellStyle name="40% - Accent1 2" xfId="182" xr:uid="{00000000-0005-0000-0000-00005A000000}"/>
    <cellStyle name="40% - Accent1 3" xfId="183" xr:uid="{00000000-0005-0000-0000-00005B000000}"/>
    <cellStyle name="40% - Accent1 4" xfId="184" xr:uid="{00000000-0005-0000-0000-00005C000000}"/>
    <cellStyle name="40% - Accent1 5" xfId="185" xr:uid="{00000000-0005-0000-0000-00005D000000}"/>
    <cellStyle name="40% - Accent1 6" xfId="186" xr:uid="{00000000-0005-0000-0000-00005E000000}"/>
    <cellStyle name="40% - Accent1 7" xfId="187" xr:uid="{00000000-0005-0000-0000-00005F000000}"/>
    <cellStyle name="40% - Accent1 8" xfId="188" xr:uid="{00000000-0005-0000-0000-000060000000}"/>
    <cellStyle name="40% - Accent1 9" xfId="189" xr:uid="{00000000-0005-0000-0000-000061000000}"/>
    <cellStyle name="40% - Accent2 10" xfId="190" xr:uid="{00000000-0005-0000-0000-000062000000}"/>
    <cellStyle name="40% - Accent2 11" xfId="191" xr:uid="{00000000-0005-0000-0000-000063000000}"/>
    <cellStyle name="40% - Accent2 12" xfId="192" xr:uid="{00000000-0005-0000-0000-000064000000}"/>
    <cellStyle name="40% - Accent2 13" xfId="193" xr:uid="{00000000-0005-0000-0000-000065000000}"/>
    <cellStyle name="40% - Accent2 14" xfId="194" xr:uid="{00000000-0005-0000-0000-000066000000}"/>
    <cellStyle name="40% - Accent2 15" xfId="195" xr:uid="{00000000-0005-0000-0000-000067000000}"/>
    <cellStyle name="40% - Accent2 2" xfId="196" xr:uid="{00000000-0005-0000-0000-000068000000}"/>
    <cellStyle name="40% - Accent2 3" xfId="197" xr:uid="{00000000-0005-0000-0000-000069000000}"/>
    <cellStyle name="40% - Accent2 4" xfId="198" xr:uid="{00000000-0005-0000-0000-00006A000000}"/>
    <cellStyle name="40% - Accent2 5" xfId="199" xr:uid="{00000000-0005-0000-0000-00006B000000}"/>
    <cellStyle name="40% - Accent2 6" xfId="200" xr:uid="{00000000-0005-0000-0000-00006C000000}"/>
    <cellStyle name="40% - Accent2 7" xfId="201" xr:uid="{00000000-0005-0000-0000-00006D000000}"/>
    <cellStyle name="40% - Accent2 8" xfId="202" xr:uid="{00000000-0005-0000-0000-00006E000000}"/>
    <cellStyle name="40% - Accent2 9" xfId="203" xr:uid="{00000000-0005-0000-0000-00006F000000}"/>
    <cellStyle name="40% - Accent3 10" xfId="204" xr:uid="{00000000-0005-0000-0000-000070000000}"/>
    <cellStyle name="40% - Accent3 11" xfId="205" xr:uid="{00000000-0005-0000-0000-000071000000}"/>
    <cellStyle name="40% - Accent3 12" xfId="206" xr:uid="{00000000-0005-0000-0000-000072000000}"/>
    <cellStyle name="40% - Accent3 13" xfId="207" xr:uid="{00000000-0005-0000-0000-000073000000}"/>
    <cellStyle name="40% - Accent3 14" xfId="208" xr:uid="{00000000-0005-0000-0000-000074000000}"/>
    <cellStyle name="40% - Accent3 15" xfId="209" xr:uid="{00000000-0005-0000-0000-000075000000}"/>
    <cellStyle name="40% - Accent3 2" xfId="210" xr:uid="{00000000-0005-0000-0000-000076000000}"/>
    <cellStyle name="40% - Accent3 3" xfId="211" xr:uid="{00000000-0005-0000-0000-000077000000}"/>
    <cellStyle name="40% - Accent3 4" xfId="212" xr:uid="{00000000-0005-0000-0000-000078000000}"/>
    <cellStyle name="40% - Accent3 5" xfId="213" xr:uid="{00000000-0005-0000-0000-000079000000}"/>
    <cellStyle name="40% - Accent3 6" xfId="214" xr:uid="{00000000-0005-0000-0000-00007A000000}"/>
    <cellStyle name="40% - Accent3 7" xfId="215" xr:uid="{00000000-0005-0000-0000-00007B000000}"/>
    <cellStyle name="40% - Accent3 8" xfId="216" xr:uid="{00000000-0005-0000-0000-00007C000000}"/>
    <cellStyle name="40% - Accent3 9" xfId="217" xr:uid="{00000000-0005-0000-0000-00007D000000}"/>
    <cellStyle name="40% - Accent4 10" xfId="218" xr:uid="{00000000-0005-0000-0000-00007E000000}"/>
    <cellStyle name="40% - Accent4 11" xfId="219" xr:uid="{00000000-0005-0000-0000-00007F000000}"/>
    <cellStyle name="40% - Accent4 12" xfId="220" xr:uid="{00000000-0005-0000-0000-000080000000}"/>
    <cellStyle name="40% - Accent4 13" xfId="221" xr:uid="{00000000-0005-0000-0000-000081000000}"/>
    <cellStyle name="40% - Accent4 14" xfId="222" xr:uid="{00000000-0005-0000-0000-000082000000}"/>
    <cellStyle name="40% - Accent4 15" xfId="223" xr:uid="{00000000-0005-0000-0000-000083000000}"/>
    <cellStyle name="40% - Accent4 2" xfId="224" xr:uid="{00000000-0005-0000-0000-000084000000}"/>
    <cellStyle name="40% - Accent4 3" xfId="225" xr:uid="{00000000-0005-0000-0000-000085000000}"/>
    <cellStyle name="40% - Accent4 4" xfId="226" xr:uid="{00000000-0005-0000-0000-000086000000}"/>
    <cellStyle name="40% - Accent4 5" xfId="227" xr:uid="{00000000-0005-0000-0000-000087000000}"/>
    <cellStyle name="40% - Accent4 6" xfId="228" xr:uid="{00000000-0005-0000-0000-000088000000}"/>
    <cellStyle name="40% - Accent4 7" xfId="229" xr:uid="{00000000-0005-0000-0000-000089000000}"/>
    <cellStyle name="40% - Accent4 8" xfId="230" xr:uid="{00000000-0005-0000-0000-00008A000000}"/>
    <cellStyle name="40% - Accent4 9" xfId="231" xr:uid="{00000000-0005-0000-0000-00008B000000}"/>
    <cellStyle name="40% - Accent5 10" xfId="232" xr:uid="{00000000-0005-0000-0000-00008C000000}"/>
    <cellStyle name="40% - Accent5 11" xfId="233" xr:uid="{00000000-0005-0000-0000-00008D000000}"/>
    <cellStyle name="40% - Accent5 12" xfId="234" xr:uid="{00000000-0005-0000-0000-00008E000000}"/>
    <cellStyle name="40% - Accent5 13" xfId="235" xr:uid="{00000000-0005-0000-0000-00008F000000}"/>
    <cellStyle name="40% - Accent5 14" xfId="236" xr:uid="{00000000-0005-0000-0000-000090000000}"/>
    <cellStyle name="40% - Accent5 15" xfId="237" xr:uid="{00000000-0005-0000-0000-000091000000}"/>
    <cellStyle name="40% - Accent5 2" xfId="238" xr:uid="{00000000-0005-0000-0000-000092000000}"/>
    <cellStyle name="40% - Accent5 3" xfId="239" xr:uid="{00000000-0005-0000-0000-000093000000}"/>
    <cellStyle name="40% - Accent5 4" xfId="240" xr:uid="{00000000-0005-0000-0000-000094000000}"/>
    <cellStyle name="40% - Accent5 5" xfId="241" xr:uid="{00000000-0005-0000-0000-000095000000}"/>
    <cellStyle name="40% - Accent5 6" xfId="242" xr:uid="{00000000-0005-0000-0000-000096000000}"/>
    <cellStyle name="40% - Accent5 7" xfId="243" xr:uid="{00000000-0005-0000-0000-000097000000}"/>
    <cellStyle name="40% - Accent5 8" xfId="244" xr:uid="{00000000-0005-0000-0000-000098000000}"/>
    <cellStyle name="40% - Accent5 9" xfId="245" xr:uid="{00000000-0005-0000-0000-000099000000}"/>
    <cellStyle name="40% - Accent6 10" xfId="246" xr:uid="{00000000-0005-0000-0000-00009A000000}"/>
    <cellStyle name="40% - Accent6 11" xfId="247" xr:uid="{00000000-0005-0000-0000-00009B000000}"/>
    <cellStyle name="40% - Accent6 12" xfId="248" xr:uid="{00000000-0005-0000-0000-00009C000000}"/>
    <cellStyle name="40% - Accent6 13" xfId="249" xr:uid="{00000000-0005-0000-0000-00009D000000}"/>
    <cellStyle name="40% - Accent6 14" xfId="250" xr:uid="{00000000-0005-0000-0000-00009E000000}"/>
    <cellStyle name="40% - Accent6 15" xfId="251" xr:uid="{00000000-0005-0000-0000-00009F000000}"/>
    <cellStyle name="40% - Accent6 2" xfId="252" xr:uid="{00000000-0005-0000-0000-0000A0000000}"/>
    <cellStyle name="40% - Accent6 3" xfId="253" xr:uid="{00000000-0005-0000-0000-0000A1000000}"/>
    <cellStyle name="40% - Accent6 4" xfId="254" xr:uid="{00000000-0005-0000-0000-0000A2000000}"/>
    <cellStyle name="40% - Accent6 5" xfId="255" xr:uid="{00000000-0005-0000-0000-0000A3000000}"/>
    <cellStyle name="40% - Accent6 6" xfId="256" xr:uid="{00000000-0005-0000-0000-0000A4000000}"/>
    <cellStyle name="40% - Accent6 7" xfId="257" xr:uid="{00000000-0005-0000-0000-0000A5000000}"/>
    <cellStyle name="40% - Accent6 8" xfId="258" xr:uid="{00000000-0005-0000-0000-0000A6000000}"/>
    <cellStyle name="40% - Accent6 9" xfId="259" xr:uid="{00000000-0005-0000-0000-0000A7000000}"/>
    <cellStyle name="Comma" xfId="12" builtinId="3"/>
    <cellStyle name="Comma [0] 2" xfId="7" xr:uid="{00000000-0005-0000-0000-0000A9000000}"/>
    <cellStyle name="Comma [0] 2 2" xfId="24" xr:uid="{00000000-0005-0000-0000-0000AA000000}"/>
    <cellStyle name="Comma 10" xfId="86" xr:uid="{00000000-0005-0000-0000-0000AB000000}"/>
    <cellStyle name="Comma 11" xfId="260" xr:uid="{00000000-0005-0000-0000-0000AC000000}"/>
    <cellStyle name="Comma 12" xfId="261" xr:uid="{00000000-0005-0000-0000-0000AD000000}"/>
    <cellStyle name="Comma 13" xfId="262" xr:uid="{00000000-0005-0000-0000-0000AE000000}"/>
    <cellStyle name="Comma 14" xfId="263" xr:uid="{00000000-0005-0000-0000-0000AF000000}"/>
    <cellStyle name="Comma 15" xfId="264" xr:uid="{00000000-0005-0000-0000-0000B0000000}"/>
    <cellStyle name="Comma 16" xfId="265" xr:uid="{00000000-0005-0000-0000-0000B1000000}"/>
    <cellStyle name="Comma 17" xfId="266" xr:uid="{00000000-0005-0000-0000-0000B2000000}"/>
    <cellStyle name="Comma 18" xfId="267" xr:uid="{00000000-0005-0000-0000-0000B3000000}"/>
    <cellStyle name="Comma 19" xfId="268" xr:uid="{00000000-0005-0000-0000-0000B4000000}"/>
    <cellStyle name="Comma 2" xfId="4" xr:uid="{00000000-0005-0000-0000-0000B5000000}"/>
    <cellStyle name="Comma 2 10" xfId="269" xr:uid="{00000000-0005-0000-0000-0000B6000000}"/>
    <cellStyle name="Comma 2 11" xfId="270" xr:uid="{00000000-0005-0000-0000-0000B7000000}"/>
    <cellStyle name="Comma 2 12" xfId="271" xr:uid="{00000000-0005-0000-0000-0000B8000000}"/>
    <cellStyle name="Comma 2 13" xfId="272" xr:uid="{00000000-0005-0000-0000-0000B9000000}"/>
    <cellStyle name="Comma 2 14" xfId="273" xr:uid="{00000000-0005-0000-0000-0000BA000000}"/>
    <cellStyle name="Comma 2 15" xfId="274" xr:uid="{00000000-0005-0000-0000-0000BB000000}"/>
    <cellStyle name="Comma 2 16" xfId="275" xr:uid="{00000000-0005-0000-0000-0000BC000000}"/>
    <cellStyle name="Comma 2 17" xfId="276" xr:uid="{00000000-0005-0000-0000-0000BD000000}"/>
    <cellStyle name="Comma 2 18" xfId="277" xr:uid="{00000000-0005-0000-0000-0000BE000000}"/>
    <cellStyle name="Comma 2 19" xfId="278" xr:uid="{00000000-0005-0000-0000-0000BF000000}"/>
    <cellStyle name="Comma 2 2" xfId="13" xr:uid="{00000000-0005-0000-0000-0000C0000000}"/>
    <cellStyle name="Comma 2 20" xfId="279" xr:uid="{00000000-0005-0000-0000-0000C1000000}"/>
    <cellStyle name="Comma 2 21" xfId="280" xr:uid="{00000000-0005-0000-0000-0000C2000000}"/>
    <cellStyle name="Comma 2 22" xfId="281" xr:uid="{00000000-0005-0000-0000-0000C3000000}"/>
    <cellStyle name="Comma 2 23" xfId="282" xr:uid="{00000000-0005-0000-0000-0000C4000000}"/>
    <cellStyle name="Comma 2 24" xfId="283" xr:uid="{00000000-0005-0000-0000-0000C5000000}"/>
    <cellStyle name="Comma 2 25" xfId="284" xr:uid="{00000000-0005-0000-0000-0000C6000000}"/>
    <cellStyle name="Comma 2 26" xfId="285" xr:uid="{00000000-0005-0000-0000-0000C7000000}"/>
    <cellStyle name="Comma 2 27" xfId="286" xr:uid="{00000000-0005-0000-0000-0000C8000000}"/>
    <cellStyle name="Comma 2 28" xfId="287" xr:uid="{00000000-0005-0000-0000-0000C9000000}"/>
    <cellStyle name="Comma 2 29" xfId="288" xr:uid="{00000000-0005-0000-0000-0000CA000000}"/>
    <cellStyle name="Comma 2 3" xfId="21" xr:uid="{00000000-0005-0000-0000-0000CB000000}"/>
    <cellStyle name="Comma 2 30" xfId="289" xr:uid="{00000000-0005-0000-0000-0000CC000000}"/>
    <cellStyle name="Comma 2 4" xfId="290" xr:uid="{00000000-0005-0000-0000-0000CD000000}"/>
    <cellStyle name="Comma 2 5" xfId="291" xr:uid="{00000000-0005-0000-0000-0000CE000000}"/>
    <cellStyle name="Comma 2 6" xfId="292" xr:uid="{00000000-0005-0000-0000-0000CF000000}"/>
    <cellStyle name="Comma 2 7" xfId="293" xr:uid="{00000000-0005-0000-0000-0000D0000000}"/>
    <cellStyle name="Comma 2 8" xfId="294" xr:uid="{00000000-0005-0000-0000-0000D1000000}"/>
    <cellStyle name="Comma 2 9" xfId="295" xr:uid="{00000000-0005-0000-0000-0000D2000000}"/>
    <cellStyle name="Comma 20" xfId="296" xr:uid="{00000000-0005-0000-0000-0000D3000000}"/>
    <cellStyle name="Comma 21" xfId="297" xr:uid="{00000000-0005-0000-0000-0000D4000000}"/>
    <cellStyle name="Comma 22" xfId="298" xr:uid="{00000000-0005-0000-0000-0000D5000000}"/>
    <cellStyle name="Comma 23" xfId="299" xr:uid="{00000000-0005-0000-0000-0000D6000000}"/>
    <cellStyle name="Comma 24" xfId="710" xr:uid="{73F46440-49E7-4243-A1D3-94F3D2942410}"/>
    <cellStyle name="Comma 3" xfId="8" xr:uid="{00000000-0005-0000-0000-0000D7000000}"/>
    <cellStyle name="Comma 3 10" xfId="300" xr:uid="{00000000-0005-0000-0000-0000D8000000}"/>
    <cellStyle name="Comma 3 11" xfId="301" xr:uid="{00000000-0005-0000-0000-0000D9000000}"/>
    <cellStyle name="Comma 3 12" xfId="302" xr:uid="{00000000-0005-0000-0000-0000DA000000}"/>
    <cellStyle name="Comma 3 13" xfId="303" xr:uid="{00000000-0005-0000-0000-0000DB000000}"/>
    <cellStyle name="Comma 3 14" xfId="304" xr:uid="{00000000-0005-0000-0000-0000DC000000}"/>
    <cellStyle name="Comma 3 15" xfId="305" xr:uid="{00000000-0005-0000-0000-0000DD000000}"/>
    <cellStyle name="Comma 3 16" xfId="306" xr:uid="{00000000-0005-0000-0000-0000DE000000}"/>
    <cellStyle name="Comma 3 17" xfId="307" xr:uid="{00000000-0005-0000-0000-0000DF000000}"/>
    <cellStyle name="Comma 3 18" xfId="308" xr:uid="{00000000-0005-0000-0000-0000E0000000}"/>
    <cellStyle name="Comma 3 19" xfId="309" xr:uid="{00000000-0005-0000-0000-0000E1000000}"/>
    <cellStyle name="Comma 3 2" xfId="29" xr:uid="{00000000-0005-0000-0000-0000E2000000}"/>
    <cellStyle name="Comma 3 2 2" xfId="310" xr:uid="{00000000-0005-0000-0000-0000E3000000}"/>
    <cellStyle name="Comma 3 20" xfId="311" xr:uid="{00000000-0005-0000-0000-0000E4000000}"/>
    <cellStyle name="Comma 3 21" xfId="312" xr:uid="{00000000-0005-0000-0000-0000E5000000}"/>
    <cellStyle name="Comma 3 22" xfId="313" xr:uid="{00000000-0005-0000-0000-0000E6000000}"/>
    <cellStyle name="Comma 3 23" xfId="314" xr:uid="{00000000-0005-0000-0000-0000E7000000}"/>
    <cellStyle name="Comma 3 24" xfId="315" xr:uid="{00000000-0005-0000-0000-0000E8000000}"/>
    <cellStyle name="Comma 3 25" xfId="316" xr:uid="{00000000-0005-0000-0000-0000E9000000}"/>
    <cellStyle name="Comma 3 26" xfId="317" xr:uid="{00000000-0005-0000-0000-0000EA000000}"/>
    <cellStyle name="Comma 3 27" xfId="318" xr:uid="{00000000-0005-0000-0000-0000EB000000}"/>
    <cellStyle name="Comma 3 28" xfId="319" xr:uid="{00000000-0005-0000-0000-0000EC000000}"/>
    <cellStyle name="Comma 3 29" xfId="320" xr:uid="{00000000-0005-0000-0000-0000ED000000}"/>
    <cellStyle name="Comma 3 3" xfId="65" xr:uid="{00000000-0005-0000-0000-0000EE000000}"/>
    <cellStyle name="Comma 3 3 2" xfId="321" xr:uid="{00000000-0005-0000-0000-0000EF000000}"/>
    <cellStyle name="Comma 3 4" xfId="322" xr:uid="{00000000-0005-0000-0000-0000F0000000}"/>
    <cellStyle name="Comma 3 5" xfId="323" xr:uid="{00000000-0005-0000-0000-0000F1000000}"/>
    <cellStyle name="Comma 3 6" xfId="324" xr:uid="{00000000-0005-0000-0000-0000F2000000}"/>
    <cellStyle name="Comma 3 7" xfId="325" xr:uid="{00000000-0005-0000-0000-0000F3000000}"/>
    <cellStyle name="Comma 3 8" xfId="326" xr:uid="{00000000-0005-0000-0000-0000F4000000}"/>
    <cellStyle name="Comma 3 9" xfId="327" xr:uid="{00000000-0005-0000-0000-0000F5000000}"/>
    <cellStyle name="Comma 4" xfId="9" xr:uid="{00000000-0005-0000-0000-0000F6000000}"/>
    <cellStyle name="Comma 4 10" xfId="328" xr:uid="{00000000-0005-0000-0000-0000F7000000}"/>
    <cellStyle name="Comma 4 11" xfId="329" xr:uid="{00000000-0005-0000-0000-0000F8000000}"/>
    <cellStyle name="Comma 4 12" xfId="330" xr:uid="{00000000-0005-0000-0000-0000F9000000}"/>
    <cellStyle name="Comma 4 13" xfId="331" xr:uid="{00000000-0005-0000-0000-0000FA000000}"/>
    <cellStyle name="Comma 4 14" xfId="332" xr:uid="{00000000-0005-0000-0000-0000FB000000}"/>
    <cellStyle name="Comma 4 15" xfId="333" xr:uid="{00000000-0005-0000-0000-0000FC000000}"/>
    <cellStyle name="Comma 4 16" xfId="334" xr:uid="{00000000-0005-0000-0000-0000FD000000}"/>
    <cellStyle name="Comma 4 17" xfId="335" xr:uid="{00000000-0005-0000-0000-0000FE000000}"/>
    <cellStyle name="Comma 4 18" xfId="336" xr:uid="{00000000-0005-0000-0000-0000FF000000}"/>
    <cellStyle name="Comma 4 19" xfId="337" xr:uid="{00000000-0005-0000-0000-000000010000}"/>
    <cellStyle name="Comma 4 2" xfId="87" xr:uid="{00000000-0005-0000-0000-000001010000}"/>
    <cellStyle name="Comma 4 20" xfId="338" xr:uid="{00000000-0005-0000-0000-000002010000}"/>
    <cellStyle name="Comma 4 21" xfId="339" xr:uid="{00000000-0005-0000-0000-000003010000}"/>
    <cellStyle name="Comma 4 22" xfId="340" xr:uid="{00000000-0005-0000-0000-000004010000}"/>
    <cellStyle name="Comma 4 23" xfId="341" xr:uid="{00000000-0005-0000-0000-000005010000}"/>
    <cellStyle name="Comma 4 24" xfId="342" xr:uid="{00000000-0005-0000-0000-000006010000}"/>
    <cellStyle name="Comma 4 25" xfId="343" xr:uid="{00000000-0005-0000-0000-000007010000}"/>
    <cellStyle name="Comma 4 26" xfId="344" xr:uid="{00000000-0005-0000-0000-000008010000}"/>
    <cellStyle name="Comma 4 27" xfId="345" xr:uid="{00000000-0005-0000-0000-000009010000}"/>
    <cellStyle name="Comma 4 28" xfId="346" xr:uid="{00000000-0005-0000-0000-00000A010000}"/>
    <cellStyle name="Comma 4 3" xfId="347" xr:uid="{00000000-0005-0000-0000-00000B010000}"/>
    <cellStyle name="Comma 4 4" xfId="348" xr:uid="{00000000-0005-0000-0000-00000C010000}"/>
    <cellStyle name="Comma 4 5" xfId="349" xr:uid="{00000000-0005-0000-0000-00000D010000}"/>
    <cellStyle name="Comma 4 6" xfId="350" xr:uid="{00000000-0005-0000-0000-00000E010000}"/>
    <cellStyle name="Comma 4 7" xfId="351" xr:uid="{00000000-0005-0000-0000-00000F010000}"/>
    <cellStyle name="Comma 4 8" xfId="352" xr:uid="{00000000-0005-0000-0000-000010010000}"/>
    <cellStyle name="Comma 4 9" xfId="353" xr:uid="{00000000-0005-0000-0000-000011010000}"/>
    <cellStyle name="Comma 5" xfId="15" xr:uid="{00000000-0005-0000-0000-000012010000}"/>
    <cellStyle name="Comma 5 10" xfId="354" xr:uid="{00000000-0005-0000-0000-000013010000}"/>
    <cellStyle name="Comma 5 11" xfId="355" xr:uid="{00000000-0005-0000-0000-000014010000}"/>
    <cellStyle name="Comma 5 12" xfId="356" xr:uid="{00000000-0005-0000-0000-000015010000}"/>
    <cellStyle name="Comma 5 13" xfId="357" xr:uid="{00000000-0005-0000-0000-000016010000}"/>
    <cellStyle name="Comma 5 14" xfId="358" xr:uid="{00000000-0005-0000-0000-000017010000}"/>
    <cellStyle name="Comma 5 15" xfId="359" xr:uid="{00000000-0005-0000-0000-000018010000}"/>
    <cellStyle name="Comma 5 16" xfId="360" xr:uid="{00000000-0005-0000-0000-000019010000}"/>
    <cellStyle name="Comma 5 17" xfId="361" xr:uid="{00000000-0005-0000-0000-00001A010000}"/>
    <cellStyle name="Comma 5 18" xfId="362" xr:uid="{00000000-0005-0000-0000-00001B010000}"/>
    <cellStyle name="Comma 5 19" xfId="363" xr:uid="{00000000-0005-0000-0000-00001C010000}"/>
    <cellStyle name="Comma 5 2" xfId="364" xr:uid="{00000000-0005-0000-0000-00001D010000}"/>
    <cellStyle name="Comma 5 20" xfId="365" xr:uid="{00000000-0005-0000-0000-00001E010000}"/>
    <cellStyle name="Comma 5 21" xfId="366" xr:uid="{00000000-0005-0000-0000-00001F010000}"/>
    <cellStyle name="Comma 5 22" xfId="367" xr:uid="{00000000-0005-0000-0000-000020010000}"/>
    <cellStyle name="Comma 5 23" xfId="368" xr:uid="{00000000-0005-0000-0000-000021010000}"/>
    <cellStyle name="Comma 5 24" xfId="369" xr:uid="{00000000-0005-0000-0000-000022010000}"/>
    <cellStyle name="Comma 5 25" xfId="370" xr:uid="{00000000-0005-0000-0000-000023010000}"/>
    <cellStyle name="Comma 5 26" xfId="371" xr:uid="{00000000-0005-0000-0000-000024010000}"/>
    <cellStyle name="Comma 5 27" xfId="372" xr:uid="{00000000-0005-0000-0000-000025010000}"/>
    <cellStyle name="Comma 5 28" xfId="373" xr:uid="{00000000-0005-0000-0000-000026010000}"/>
    <cellStyle name="Comma 5 3" xfId="374" xr:uid="{00000000-0005-0000-0000-000027010000}"/>
    <cellStyle name="Comma 5 4" xfId="375" xr:uid="{00000000-0005-0000-0000-000028010000}"/>
    <cellStyle name="Comma 5 5" xfId="376" xr:uid="{00000000-0005-0000-0000-000029010000}"/>
    <cellStyle name="Comma 5 6" xfId="377" xr:uid="{00000000-0005-0000-0000-00002A010000}"/>
    <cellStyle name="Comma 5 7" xfId="378" xr:uid="{00000000-0005-0000-0000-00002B010000}"/>
    <cellStyle name="Comma 5 8" xfId="379" xr:uid="{00000000-0005-0000-0000-00002C010000}"/>
    <cellStyle name="Comma 5 9" xfId="380" xr:uid="{00000000-0005-0000-0000-00002D010000}"/>
    <cellStyle name="Comma 6" xfId="18" xr:uid="{00000000-0005-0000-0000-00002E010000}"/>
    <cellStyle name="Comma 7" xfId="58" xr:uid="{00000000-0005-0000-0000-00002F010000}"/>
    <cellStyle name="Comma 8" xfId="57" xr:uid="{00000000-0005-0000-0000-000030010000}"/>
    <cellStyle name="Comma 9" xfId="84" xr:uid="{00000000-0005-0000-0000-000031010000}"/>
    <cellStyle name="Comma0" xfId="381" xr:uid="{00000000-0005-0000-0000-000032010000}"/>
    <cellStyle name="Currency" xfId="1" builtinId="4"/>
    <cellStyle name="Currency 2" xfId="5" xr:uid="{00000000-0005-0000-0000-000034010000}"/>
    <cellStyle name="Currency 2 10" xfId="382" xr:uid="{00000000-0005-0000-0000-000035010000}"/>
    <cellStyle name="Currency 2 11" xfId="383" xr:uid="{00000000-0005-0000-0000-000036010000}"/>
    <cellStyle name="Currency 2 12" xfId="384" xr:uid="{00000000-0005-0000-0000-000037010000}"/>
    <cellStyle name="Currency 2 13" xfId="385" xr:uid="{00000000-0005-0000-0000-000038010000}"/>
    <cellStyle name="Currency 2 14" xfId="386" xr:uid="{00000000-0005-0000-0000-000039010000}"/>
    <cellStyle name="Currency 2 15" xfId="387" xr:uid="{00000000-0005-0000-0000-00003A010000}"/>
    <cellStyle name="Currency 2 16" xfId="388" xr:uid="{00000000-0005-0000-0000-00003B010000}"/>
    <cellStyle name="Currency 2 17" xfId="389" xr:uid="{00000000-0005-0000-0000-00003C010000}"/>
    <cellStyle name="Currency 2 18" xfId="390" xr:uid="{00000000-0005-0000-0000-00003D010000}"/>
    <cellStyle name="Currency 2 19" xfId="391" xr:uid="{00000000-0005-0000-0000-00003E010000}"/>
    <cellStyle name="Currency 2 2" xfId="27" xr:uid="{00000000-0005-0000-0000-00003F010000}"/>
    <cellStyle name="Currency 2 20" xfId="392" xr:uid="{00000000-0005-0000-0000-000040010000}"/>
    <cellStyle name="Currency 2 21" xfId="393" xr:uid="{00000000-0005-0000-0000-000041010000}"/>
    <cellStyle name="Currency 2 22" xfId="394" xr:uid="{00000000-0005-0000-0000-000042010000}"/>
    <cellStyle name="Currency 2 23" xfId="395" xr:uid="{00000000-0005-0000-0000-000043010000}"/>
    <cellStyle name="Currency 2 24" xfId="396" xr:uid="{00000000-0005-0000-0000-000044010000}"/>
    <cellStyle name="Currency 2 25" xfId="397" xr:uid="{00000000-0005-0000-0000-000045010000}"/>
    <cellStyle name="Currency 2 26" xfId="398" xr:uid="{00000000-0005-0000-0000-000046010000}"/>
    <cellStyle name="Currency 2 27" xfId="399" xr:uid="{00000000-0005-0000-0000-000047010000}"/>
    <cellStyle name="Currency 2 28" xfId="400" xr:uid="{00000000-0005-0000-0000-000048010000}"/>
    <cellStyle name="Currency 2 29" xfId="401" xr:uid="{00000000-0005-0000-0000-000049010000}"/>
    <cellStyle name="Currency 2 3" xfId="30" xr:uid="{00000000-0005-0000-0000-00004A010000}"/>
    <cellStyle name="Currency 2 30" xfId="402" xr:uid="{00000000-0005-0000-0000-00004B010000}"/>
    <cellStyle name="Currency 2 4" xfId="22" xr:uid="{00000000-0005-0000-0000-00004C010000}"/>
    <cellStyle name="Currency 2 5" xfId="403" xr:uid="{00000000-0005-0000-0000-00004D010000}"/>
    <cellStyle name="Currency 2 6" xfId="404" xr:uid="{00000000-0005-0000-0000-00004E010000}"/>
    <cellStyle name="Currency 2 7" xfId="405" xr:uid="{00000000-0005-0000-0000-00004F010000}"/>
    <cellStyle name="Currency 2 8" xfId="406" xr:uid="{00000000-0005-0000-0000-000050010000}"/>
    <cellStyle name="Currency 2 9" xfId="407" xr:uid="{00000000-0005-0000-0000-000051010000}"/>
    <cellStyle name="Currency 3" xfId="31" xr:uid="{00000000-0005-0000-0000-000052010000}"/>
    <cellStyle name="Currency 3 10" xfId="408" xr:uid="{00000000-0005-0000-0000-000053010000}"/>
    <cellStyle name="Currency 3 11" xfId="409" xr:uid="{00000000-0005-0000-0000-000054010000}"/>
    <cellStyle name="Currency 3 12" xfId="410" xr:uid="{00000000-0005-0000-0000-000055010000}"/>
    <cellStyle name="Currency 3 13" xfId="411" xr:uid="{00000000-0005-0000-0000-000056010000}"/>
    <cellStyle name="Currency 3 14" xfId="412" xr:uid="{00000000-0005-0000-0000-000057010000}"/>
    <cellStyle name="Currency 3 15" xfId="413" xr:uid="{00000000-0005-0000-0000-000058010000}"/>
    <cellStyle name="Currency 3 16" xfId="414" xr:uid="{00000000-0005-0000-0000-000059010000}"/>
    <cellStyle name="Currency 3 17" xfId="415" xr:uid="{00000000-0005-0000-0000-00005A010000}"/>
    <cellStyle name="Currency 3 18" xfId="416" xr:uid="{00000000-0005-0000-0000-00005B010000}"/>
    <cellStyle name="Currency 3 19" xfId="417" xr:uid="{00000000-0005-0000-0000-00005C010000}"/>
    <cellStyle name="Currency 3 2" xfId="418" xr:uid="{00000000-0005-0000-0000-00005D010000}"/>
    <cellStyle name="Currency 3 2 2" xfId="419" xr:uid="{00000000-0005-0000-0000-00005E010000}"/>
    <cellStyle name="Currency 3 20" xfId="420" xr:uid="{00000000-0005-0000-0000-00005F010000}"/>
    <cellStyle name="Currency 3 21" xfId="421" xr:uid="{00000000-0005-0000-0000-000060010000}"/>
    <cellStyle name="Currency 3 22" xfId="422" xr:uid="{00000000-0005-0000-0000-000061010000}"/>
    <cellStyle name="Currency 3 23" xfId="423" xr:uid="{00000000-0005-0000-0000-000062010000}"/>
    <cellStyle name="Currency 3 24" xfId="424" xr:uid="{00000000-0005-0000-0000-000063010000}"/>
    <cellStyle name="Currency 3 25" xfId="425" xr:uid="{00000000-0005-0000-0000-000064010000}"/>
    <cellStyle name="Currency 3 26" xfId="426" xr:uid="{00000000-0005-0000-0000-000065010000}"/>
    <cellStyle name="Currency 3 27" xfId="427" xr:uid="{00000000-0005-0000-0000-000066010000}"/>
    <cellStyle name="Currency 3 28" xfId="428" xr:uid="{00000000-0005-0000-0000-000067010000}"/>
    <cellStyle name="Currency 3 29" xfId="429" xr:uid="{00000000-0005-0000-0000-000068010000}"/>
    <cellStyle name="Currency 3 3" xfId="430" xr:uid="{00000000-0005-0000-0000-000069010000}"/>
    <cellStyle name="Currency 3 3 2" xfId="431" xr:uid="{00000000-0005-0000-0000-00006A010000}"/>
    <cellStyle name="Currency 3 4" xfId="432" xr:uid="{00000000-0005-0000-0000-00006B010000}"/>
    <cellStyle name="Currency 3 5" xfId="433" xr:uid="{00000000-0005-0000-0000-00006C010000}"/>
    <cellStyle name="Currency 3 6" xfId="434" xr:uid="{00000000-0005-0000-0000-00006D010000}"/>
    <cellStyle name="Currency 3 7" xfId="435" xr:uid="{00000000-0005-0000-0000-00006E010000}"/>
    <cellStyle name="Currency 3 8" xfId="436" xr:uid="{00000000-0005-0000-0000-00006F010000}"/>
    <cellStyle name="Currency 3 9" xfId="437" xr:uid="{00000000-0005-0000-0000-000070010000}"/>
    <cellStyle name="Currency 4" xfId="32" xr:uid="{00000000-0005-0000-0000-000071010000}"/>
    <cellStyle name="Currency 5" xfId="33" xr:uid="{00000000-0005-0000-0000-000072010000}"/>
    <cellStyle name="Currency 6" xfId="16" xr:uid="{00000000-0005-0000-0000-000073010000}"/>
    <cellStyle name="Currency0" xfId="438" xr:uid="{00000000-0005-0000-0000-000074010000}"/>
    <cellStyle name="Date" xfId="439" xr:uid="{00000000-0005-0000-0000-000075010000}"/>
    <cellStyle name="Fixed" xfId="440" xr:uid="{00000000-0005-0000-0000-000076010000}"/>
    <cellStyle name="Followed Hyperlink" xfId="26" builtinId="9" customBuiltin="1"/>
    <cellStyle name="Followed Hyperlink 2" xfId="60" xr:uid="{00000000-0005-0000-0000-000078010000}"/>
    <cellStyle name="Hyperlink" xfId="63" builtinId="8" customBuiltin="1"/>
    <cellStyle name="Hyperlink 2" xfId="59" xr:uid="{00000000-0005-0000-0000-00007A010000}"/>
    <cellStyle name="Hyperlink 3" xfId="85" xr:uid="{00000000-0005-0000-0000-00007B010000}"/>
    <cellStyle name="Input Cells_EXTERNAL" xfId="441" xr:uid="{00000000-0005-0000-0000-00007C010000}"/>
    <cellStyle name="Manual-Input" xfId="17" xr:uid="{00000000-0005-0000-0000-00007D010000}"/>
    <cellStyle name="Normal" xfId="0" builtinId="0"/>
    <cellStyle name="Normal 10" xfId="83" xr:uid="{00000000-0005-0000-0000-00007F010000}"/>
    <cellStyle name="Normal 10 2" xfId="90" xr:uid="{00000000-0005-0000-0000-000080010000}"/>
    <cellStyle name="Normal 11" xfId="67" xr:uid="{00000000-0005-0000-0000-000081010000}"/>
    <cellStyle name="Normal 11 2" xfId="88" xr:uid="{00000000-0005-0000-0000-000082010000}"/>
    <cellStyle name="Normal 12" xfId="72" xr:uid="{00000000-0005-0000-0000-000083010000}"/>
    <cellStyle name="Normal 12 2" xfId="89" xr:uid="{00000000-0005-0000-0000-000084010000}"/>
    <cellStyle name="Normal 13" xfId="91" xr:uid="{00000000-0005-0000-0000-000085010000}"/>
    <cellStyle name="Normal 14" xfId="442" xr:uid="{00000000-0005-0000-0000-000086010000}"/>
    <cellStyle name="Normal 15" xfId="443" xr:uid="{00000000-0005-0000-0000-000087010000}"/>
    <cellStyle name="Normal 16" xfId="709" xr:uid="{064AF0E0-2FF6-4C5E-A36C-F9B5BE80DF18}"/>
    <cellStyle name="Normal 17" xfId="444" xr:uid="{00000000-0005-0000-0000-000088010000}"/>
    <cellStyle name="Normal 18" xfId="445" xr:uid="{00000000-0005-0000-0000-000089010000}"/>
    <cellStyle name="Normal 19" xfId="446" xr:uid="{00000000-0005-0000-0000-00008A010000}"/>
    <cellStyle name="Normal 2" xfId="3" xr:uid="{00000000-0005-0000-0000-00008B010000}"/>
    <cellStyle name="Normal 2 2" xfId="10" xr:uid="{00000000-0005-0000-0000-00008C010000}"/>
    <cellStyle name="Normal 2 2 10" xfId="447" xr:uid="{00000000-0005-0000-0000-00008D010000}"/>
    <cellStyle name="Normal 2 2 11" xfId="448" xr:uid="{00000000-0005-0000-0000-00008E010000}"/>
    <cellStyle name="Normal 2 2 12" xfId="449" xr:uid="{00000000-0005-0000-0000-00008F010000}"/>
    <cellStyle name="Normal 2 2 13" xfId="450" xr:uid="{00000000-0005-0000-0000-000090010000}"/>
    <cellStyle name="Normal 2 2 14" xfId="451" xr:uid="{00000000-0005-0000-0000-000091010000}"/>
    <cellStyle name="Normal 2 2 15" xfId="452" xr:uid="{00000000-0005-0000-0000-000092010000}"/>
    <cellStyle name="Normal 2 2 16" xfId="453" xr:uid="{00000000-0005-0000-0000-000093010000}"/>
    <cellStyle name="Normal 2 2 17" xfId="454" xr:uid="{00000000-0005-0000-0000-000094010000}"/>
    <cellStyle name="Normal 2 2 18" xfId="455" xr:uid="{00000000-0005-0000-0000-000095010000}"/>
    <cellStyle name="Normal 2 2 19" xfId="456" xr:uid="{00000000-0005-0000-0000-000096010000}"/>
    <cellStyle name="Normal 2 2 2" xfId="34" xr:uid="{00000000-0005-0000-0000-000097010000}"/>
    <cellStyle name="Normal 2 2 2 2" xfId="457" xr:uid="{00000000-0005-0000-0000-000098010000}"/>
    <cellStyle name="Normal 2 2 20" xfId="458" xr:uid="{00000000-0005-0000-0000-000099010000}"/>
    <cellStyle name="Normal 2 2 21" xfId="459" xr:uid="{00000000-0005-0000-0000-00009A010000}"/>
    <cellStyle name="Normal 2 2 22" xfId="460" xr:uid="{00000000-0005-0000-0000-00009B010000}"/>
    <cellStyle name="Normal 2 2 23" xfId="461" xr:uid="{00000000-0005-0000-0000-00009C010000}"/>
    <cellStyle name="Normal 2 2 24" xfId="462" xr:uid="{00000000-0005-0000-0000-00009D010000}"/>
    <cellStyle name="Normal 2 2 25" xfId="463" xr:uid="{00000000-0005-0000-0000-00009E010000}"/>
    <cellStyle name="Normal 2 2 26" xfId="464" xr:uid="{00000000-0005-0000-0000-00009F010000}"/>
    <cellStyle name="Normal 2 2 27" xfId="465" xr:uid="{00000000-0005-0000-0000-0000A0010000}"/>
    <cellStyle name="Normal 2 2 28" xfId="466" xr:uid="{00000000-0005-0000-0000-0000A1010000}"/>
    <cellStyle name="Normal 2 2 29" xfId="467" xr:uid="{00000000-0005-0000-0000-0000A2010000}"/>
    <cellStyle name="Normal 2 2 3" xfId="62" xr:uid="{00000000-0005-0000-0000-0000A3010000}"/>
    <cellStyle name="Normal 2 2 4" xfId="71" xr:uid="{00000000-0005-0000-0000-0000A4010000}"/>
    <cellStyle name="Normal 2 2 5" xfId="76" xr:uid="{00000000-0005-0000-0000-0000A5010000}"/>
    <cellStyle name="Normal 2 2 6" xfId="80" xr:uid="{00000000-0005-0000-0000-0000A6010000}"/>
    <cellStyle name="Normal 2 2 7" xfId="468" xr:uid="{00000000-0005-0000-0000-0000A7010000}"/>
    <cellStyle name="Normal 2 2 8" xfId="469" xr:uid="{00000000-0005-0000-0000-0000A8010000}"/>
    <cellStyle name="Normal 2 2 9" xfId="470" xr:uid="{00000000-0005-0000-0000-0000A9010000}"/>
    <cellStyle name="Normal 2 3" xfId="61" xr:uid="{00000000-0005-0000-0000-0000AA010000}"/>
    <cellStyle name="Normal 2 4" xfId="56" xr:uid="{00000000-0005-0000-0000-0000AB010000}"/>
    <cellStyle name="Normal 2 5" xfId="68" xr:uid="{00000000-0005-0000-0000-0000AC010000}"/>
    <cellStyle name="Normal 2 6" xfId="73" xr:uid="{00000000-0005-0000-0000-0000AD010000}"/>
    <cellStyle name="Normal 2 7" xfId="77" xr:uid="{00000000-0005-0000-0000-0000AE010000}"/>
    <cellStyle name="Normal 2 8" xfId="81" xr:uid="{00000000-0005-0000-0000-0000AF010000}"/>
    <cellStyle name="Normal 20" xfId="471" xr:uid="{00000000-0005-0000-0000-0000B0010000}"/>
    <cellStyle name="Normal 21" xfId="472" xr:uid="{00000000-0005-0000-0000-0000B1010000}"/>
    <cellStyle name="Normal 22" xfId="473" xr:uid="{00000000-0005-0000-0000-0000B2010000}"/>
    <cellStyle name="Normal 23" xfId="474" xr:uid="{00000000-0005-0000-0000-0000B3010000}"/>
    <cellStyle name="Normal 25" xfId="475" xr:uid="{00000000-0005-0000-0000-0000B4010000}"/>
    <cellStyle name="Normal 26" xfId="476" xr:uid="{00000000-0005-0000-0000-0000B5010000}"/>
    <cellStyle name="Normal 29" xfId="477" xr:uid="{00000000-0005-0000-0000-0000B6010000}"/>
    <cellStyle name="Normal 3" xfId="11" xr:uid="{00000000-0005-0000-0000-0000B7010000}"/>
    <cellStyle name="Normal 3 10" xfId="478" xr:uid="{00000000-0005-0000-0000-0000B8010000}"/>
    <cellStyle name="Normal 3 11" xfId="479" xr:uid="{00000000-0005-0000-0000-0000B9010000}"/>
    <cellStyle name="Normal 3 12" xfId="480" xr:uid="{00000000-0005-0000-0000-0000BA010000}"/>
    <cellStyle name="Normal 3 13" xfId="481" xr:uid="{00000000-0005-0000-0000-0000BB010000}"/>
    <cellStyle name="Normal 3 14" xfId="482" xr:uid="{00000000-0005-0000-0000-0000BC010000}"/>
    <cellStyle name="Normal 3 15" xfId="483" xr:uid="{00000000-0005-0000-0000-0000BD010000}"/>
    <cellStyle name="Normal 3 16" xfId="484" xr:uid="{00000000-0005-0000-0000-0000BE010000}"/>
    <cellStyle name="Normal 3 17" xfId="485" xr:uid="{00000000-0005-0000-0000-0000BF010000}"/>
    <cellStyle name="Normal 3 18" xfId="486" xr:uid="{00000000-0005-0000-0000-0000C0010000}"/>
    <cellStyle name="Normal 3 19" xfId="487" xr:uid="{00000000-0005-0000-0000-0000C1010000}"/>
    <cellStyle name="Normal 3 2" xfId="25" xr:uid="{00000000-0005-0000-0000-0000C2010000}"/>
    <cellStyle name="Normal 3 20" xfId="488" xr:uid="{00000000-0005-0000-0000-0000C3010000}"/>
    <cellStyle name="Normal 3 21" xfId="489" xr:uid="{00000000-0005-0000-0000-0000C4010000}"/>
    <cellStyle name="Normal 3 22" xfId="490" xr:uid="{00000000-0005-0000-0000-0000C5010000}"/>
    <cellStyle name="Normal 3 23" xfId="491" xr:uid="{00000000-0005-0000-0000-0000C6010000}"/>
    <cellStyle name="Normal 3 24" xfId="492" xr:uid="{00000000-0005-0000-0000-0000C7010000}"/>
    <cellStyle name="Normal 3 25" xfId="493" xr:uid="{00000000-0005-0000-0000-0000C8010000}"/>
    <cellStyle name="Normal 3 26" xfId="494" xr:uid="{00000000-0005-0000-0000-0000C9010000}"/>
    <cellStyle name="Normal 3 27" xfId="495" xr:uid="{00000000-0005-0000-0000-0000CA010000}"/>
    <cellStyle name="Normal 3 28" xfId="496" xr:uid="{00000000-0005-0000-0000-0000CB010000}"/>
    <cellStyle name="Normal 3 29" xfId="497" xr:uid="{00000000-0005-0000-0000-0000CC010000}"/>
    <cellStyle name="Normal 3 3" xfId="19" xr:uid="{00000000-0005-0000-0000-0000CD010000}"/>
    <cellStyle name="Normal 3 30" xfId="498" xr:uid="{00000000-0005-0000-0000-0000CE010000}"/>
    <cellStyle name="Normal 3 31" xfId="499" xr:uid="{00000000-0005-0000-0000-0000CF010000}"/>
    <cellStyle name="Normal 3 4" xfId="66" xr:uid="{00000000-0005-0000-0000-0000D0010000}"/>
    <cellStyle name="Normal 3 5" xfId="69" xr:uid="{00000000-0005-0000-0000-0000D1010000}"/>
    <cellStyle name="Normal 3 6" xfId="74" xr:uid="{00000000-0005-0000-0000-0000D2010000}"/>
    <cellStyle name="Normal 3 7" xfId="78" xr:uid="{00000000-0005-0000-0000-0000D3010000}"/>
    <cellStyle name="Normal 3 8" xfId="82" xr:uid="{00000000-0005-0000-0000-0000D4010000}"/>
    <cellStyle name="Normal 3 9" xfId="500" xr:uid="{00000000-0005-0000-0000-0000D5010000}"/>
    <cellStyle name="Normal 3_GRCW" xfId="35" xr:uid="{00000000-0005-0000-0000-0000D6010000}"/>
    <cellStyle name="Normal 30" xfId="501" xr:uid="{00000000-0005-0000-0000-0000D7010000}"/>
    <cellStyle name="Normal 4" xfId="20" xr:uid="{00000000-0005-0000-0000-0000D8010000}"/>
    <cellStyle name="Normal 4 10" xfId="502" xr:uid="{00000000-0005-0000-0000-0000D9010000}"/>
    <cellStyle name="Normal 4 11" xfId="503" xr:uid="{00000000-0005-0000-0000-0000DA010000}"/>
    <cellStyle name="Normal 4 12" xfId="504" xr:uid="{00000000-0005-0000-0000-0000DB010000}"/>
    <cellStyle name="Normal 4 13" xfId="505" xr:uid="{00000000-0005-0000-0000-0000DC010000}"/>
    <cellStyle name="Normal 4 14" xfId="506" xr:uid="{00000000-0005-0000-0000-0000DD010000}"/>
    <cellStyle name="Normal 4 15" xfId="507" xr:uid="{00000000-0005-0000-0000-0000DE010000}"/>
    <cellStyle name="Normal 4 16" xfId="508" xr:uid="{00000000-0005-0000-0000-0000DF010000}"/>
    <cellStyle name="Normal 4 17" xfId="509" xr:uid="{00000000-0005-0000-0000-0000E0010000}"/>
    <cellStyle name="Normal 4 18" xfId="510" xr:uid="{00000000-0005-0000-0000-0000E1010000}"/>
    <cellStyle name="Normal 4 19" xfId="511" xr:uid="{00000000-0005-0000-0000-0000E2010000}"/>
    <cellStyle name="Normal 4 2" xfId="512" xr:uid="{00000000-0005-0000-0000-0000E3010000}"/>
    <cellStyle name="Normal 4 20" xfId="513" xr:uid="{00000000-0005-0000-0000-0000E4010000}"/>
    <cellStyle name="Normal 4 21" xfId="514" xr:uid="{00000000-0005-0000-0000-0000E5010000}"/>
    <cellStyle name="Normal 4 22" xfId="515" xr:uid="{00000000-0005-0000-0000-0000E6010000}"/>
    <cellStyle name="Normal 4 23" xfId="516" xr:uid="{00000000-0005-0000-0000-0000E7010000}"/>
    <cellStyle name="Normal 4 24" xfId="517" xr:uid="{00000000-0005-0000-0000-0000E8010000}"/>
    <cellStyle name="Normal 4 25" xfId="518" xr:uid="{00000000-0005-0000-0000-0000E9010000}"/>
    <cellStyle name="Normal 4 26" xfId="519" xr:uid="{00000000-0005-0000-0000-0000EA010000}"/>
    <cellStyle name="Normal 4 27" xfId="520" xr:uid="{00000000-0005-0000-0000-0000EB010000}"/>
    <cellStyle name="Normal 4 28" xfId="521" xr:uid="{00000000-0005-0000-0000-0000EC010000}"/>
    <cellStyle name="Normal 4 29" xfId="522" xr:uid="{00000000-0005-0000-0000-0000ED010000}"/>
    <cellStyle name="Normal 4 3" xfId="523" xr:uid="{00000000-0005-0000-0000-0000EE010000}"/>
    <cellStyle name="Normal 4 4" xfId="524" xr:uid="{00000000-0005-0000-0000-0000EF010000}"/>
    <cellStyle name="Normal 4 5" xfId="525" xr:uid="{00000000-0005-0000-0000-0000F0010000}"/>
    <cellStyle name="Normal 4 6" xfId="526" xr:uid="{00000000-0005-0000-0000-0000F1010000}"/>
    <cellStyle name="Normal 4 7" xfId="527" xr:uid="{00000000-0005-0000-0000-0000F2010000}"/>
    <cellStyle name="Normal 4 8" xfId="528" xr:uid="{00000000-0005-0000-0000-0000F3010000}"/>
    <cellStyle name="Normal 4 9" xfId="529" xr:uid="{00000000-0005-0000-0000-0000F4010000}"/>
    <cellStyle name="Normal 5" xfId="36" xr:uid="{00000000-0005-0000-0000-0000F5010000}"/>
    <cellStyle name="Normal 5 10" xfId="530" xr:uid="{00000000-0005-0000-0000-0000F6010000}"/>
    <cellStyle name="Normal 5 11" xfId="531" xr:uid="{00000000-0005-0000-0000-0000F7010000}"/>
    <cellStyle name="Normal 5 12" xfId="532" xr:uid="{00000000-0005-0000-0000-0000F8010000}"/>
    <cellStyle name="Normal 5 13" xfId="533" xr:uid="{00000000-0005-0000-0000-0000F9010000}"/>
    <cellStyle name="Normal 5 14" xfId="534" xr:uid="{00000000-0005-0000-0000-0000FA010000}"/>
    <cellStyle name="Normal 5 15" xfId="535" xr:uid="{00000000-0005-0000-0000-0000FB010000}"/>
    <cellStyle name="Normal 5 16" xfId="536" xr:uid="{00000000-0005-0000-0000-0000FC010000}"/>
    <cellStyle name="Normal 5 17" xfId="537" xr:uid="{00000000-0005-0000-0000-0000FD010000}"/>
    <cellStyle name="Normal 5 18" xfId="538" xr:uid="{00000000-0005-0000-0000-0000FE010000}"/>
    <cellStyle name="Normal 5 19" xfId="539" xr:uid="{00000000-0005-0000-0000-0000FF010000}"/>
    <cellStyle name="Normal 5 2" xfId="37" xr:uid="{00000000-0005-0000-0000-000000020000}"/>
    <cellStyle name="Normal 5 20" xfId="540" xr:uid="{00000000-0005-0000-0000-000001020000}"/>
    <cellStyle name="Normal 5 21" xfId="541" xr:uid="{00000000-0005-0000-0000-000002020000}"/>
    <cellStyle name="Normal 5 22" xfId="542" xr:uid="{00000000-0005-0000-0000-000003020000}"/>
    <cellStyle name="Normal 5 23" xfId="543" xr:uid="{00000000-0005-0000-0000-000004020000}"/>
    <cellStyle name="Normal 5 24" xfId="544" xr:uid="{00000000-0005-0000-0000-000005020000}"/>
    <cellStyle name="Normal 5 25" xfId="545" xr:uid="{00000000-0005-0000-0000-000006020000}"/>
    <cellStyle name="Normal 5 26" xfId="546" xr:uid="{00000000-0005-0000-0000-000007020000}"/>
    <cellStyle name="Normal 5 27" xfId="547" xr:uid="{00000000-0005-0000-0000-000008020000}"/>
    <cellStyle name="Normal 5 28" xfId="548" xr:uid="{00000000-0005-0000-0000-000009020000}"/>
    <cellStyle name="Normal 5 29" xfId="549" xr:uid="{00000000-0005-0000-0000-00000A020000}"/>
    <cellStyle name="Normal 5 3" xfId="550" xr:uid="{00000000-0005-0000-0000-00000B020000}"/>
    <cellStyle name="Normal 5 4" xfId="551" xr:uid="{00000000-0005-0000-0000-00000C020000}"/>
    <cellStyle name="Normal 5 5" xfId="552" xr:uid="{00000000-0005-0000-0000-00000D020000}"/>
    <cellStyle name="Normal 5 6" xfId="553" xr:uid="{00000000-0005-0000-0000-00000E020000}"/>
    <cellStyle name="Normal 5 7" xfId="554" xr:uid="{00000000-0005-0000-0000-00000F020000}"/>
    <cellStyle name="Normal 5 8" xfId="555" xr:uid="{00000000-0005-0000-0000-000010020000}"/>
    <cellStyle name="Normal 5 9" xfId="556" xr:uid="{00000000-0005-0000-0000-000011020000}"/>
    <cellStyle name="Normal 5_GRCW" xfId="38" xr:uid="{00000000-0005-0000-0000-000012020000}"/>
    <cellStyle name="Normal 6" xfId="39" xr:uid="{00000000-0005-0000-0000-000013020000}"/>
    <cellStyle name="Normal 6 2" xfId="70" xr:uid="{00000000-0005-0000-0000-000014020000}"/>
    <cellStyle name="Normal 6 3" xfId="75" xr:uid="{00000000-0005-0000-0000-000015020000}"/>
    <cellStyle name="Normal 6 4" xfId="79" xr:uid="{00000000-0005-0000-0000-000016020000}"/>
    <cellStyle name="Normal 7" xfId="40" xr:uid="{00000000-0005-0000-0000-000017020000}"/>
    <cellStyle name="Normal 8" xfId="41" xr:uid="{00000000-0005-0000-0000-000018020000}"/>
    <cellStyle name="Normal 9" xfId="42" xr:uid="{00000000-0005-0000-0000-000019020000}"/>
    <cellStyle name="Note 2" xfId="557" xr:uid="{00000000-0005-0000-0000-00001A020000}"/>
    <cellStyle name="Note 2 10" xfId="558" xr:uid="{00000000-0005-0000-0000-00001B020000}"/>
    <cellStyle name="Note 2 11" xfId="559" xr:uid="{00000000-0005-0000-0000-00001C020000}"/>
    <cellStyle name="Note 2 12" xfId="560" xr:uid="{00000000-0005-0000-0000-00001D020000}"/>
    <cellStyle name="Note 2 13" xfId="561" xr:uid="{00000000-0005-0000-0000-00001E020000}"/>
    <cellStyle name="Note 2 14" xfId="562" xr:uid="{00000000-0005-0000-0000-00001F020000}"/>
    <cellStyle name="Note 2 15" xfId="563" xr:uid="{00000000-0005-0000-0000-000020020000}"/>
    <cellStyle name="Note 2 2" xfId="564" xr:uid="{00000000-0005-0000-0000-000021020000}"/>
    <cellStyle name="Note 2 3" xfId="565" xr:uid="{00000000-0005-0000-0000-000022020000}"/>
    <cellStyle name="Note 2 4" xfId="566" xr:uid="{00000000-0005-0000-0000-000023020000}"/>
    <cellStyle name="Note 2 5" xfId="567" xr:uid="{00000000-0005-0000-0000-000024020000}"/>
    <cellStyle name="Note 2 6" xfId="568" xr:uid="{00000000-0005-0000-0000-000025020000}"/>
    <cellStyle name="Note 2 7" xfId="569" xr:uid="{00000000-0005-0000-0000-000026020000}"/>
    <cellStyle name="Note 2 8" xfId="570" xr:uid="{00000000-0005-0000-0000-000027020000}"/>
    <cellStyle name="Note 2 9" xfId="571" xr:uid="{00000000-0005-0000-0000-000028020000}"/>
    <cellStyle name="Percent" xfId="2" builtinId="5"/>
    <cellStyle name="Percent 2" xfId="6" xr:uid="{00000000-0005-0000-0000-00002A020000}"/>
    <cellStyle name="Percent 2 10" xfId="572" xr:uid="{00000000-0005-0000-0000-00002B020000}"/>
    <cellStyle name="Percent 2 11" xfId="573" xr:uid="{00000000-0005-0000-0000-00002C020000}"/>
    <cellStyle name="Percent 2 12" xfId="574" xr:uid="{00000000-0005-0000-0000-00002D020000}"/>
    <cellStyle name="Percent 2 13" xfId="575" xr:uid="{00000000-0005-0000-0000-00002E020000}"/>
    <cellStyle name="Percent 2 14" xfId="576" xr:uid="{00000000-0005-0000-0000-00002F020000}"/>
    <cellStyle name="Percent 2 15" xfId="577" xr:uid="{00000000-0005-0000-0000-000030020000}"/>
    <cellStyle name="Percent 2 16" xfId="578" xr:uid="{00000000-0005-0000-0000-000031020000}"/>
    <cellStyle name="Percent 2 17" xfId="579" xr:uid="{00000000-0005-0000-0000-000032020000}"/>
    <cellStyle name="Percent 2 18" xfId="580" xr:uid="{00000000-0005-0000-0000-000033020000}"/>
    <cellStyle name="Percent 2 19" xfId="581" xr:uid="{00000000-0005-0000-0000-000034020000}"/>
    <cellStyle name="Percent 2 2" xfId="14" xr:uid="{00000000-0005-0000-0000-000035020000}"/>
    <cellStyle name="Percent 2 2 10" xfId="582" xr:uid="{00000000-0005-0000-0000-000036020000}"/>
    <cellStyle name="Percent 2 2 11" xfId="583" xr:uid="{00000000-0005-0000-0000-000037020000}"/>
    <cellStyle name="Percent 2 2 12" xfId="584" xr:uid="{00000000-0005-0000-0000-000038020000}"/>
    <cellStyle name="Percent 2 2 13" xfId="585" xr:uid="{00000000-0005-0000-0000-000039020000}"/>
    <cellStyle name="Percent 2 2 14" xfId="586" xr:uid="{00000000-0005-0000-0000-00003A020000}"/>
    <cellStyle name="Percent 2 2 15" xfId="587" xr:uid="{00000000-0005-0000-0000-00003B020000}"/>
    <cellStyle name="Percent 2 2 16" xfId="588" xr:uid="{00000000-0005-0000-0000-00003C020000}"/>
    <cellStyle name="Percent 2 2 17" xfId="589" xr:uid="{00000000-0005-0000-0000-00003D020000}"/>
    <cellStyle name="Percent 2 2 18" xfId="590" xr:uid="{00000000-0005-0000-0000-00003E020000}"/>
    <cellStyle name="Percent 2 2 19" xfId="591" xr:uid="{00000000-0005-0000-0000-00003F020000}"/>
    <cellStyle name="Percent 2 2 2" xfId="28" xr:uid="{00000000-0005-0000-0000-000040020000}"/>
    <cellStyle name="Percent 2 2 20" xfId="592" xr:uid="{00000000-0005-0000-0000-000041020000}"/>
    <cellStyle name="Percent 2 2 21" xfId="593" xr:uid="{00000000-0005-0000-0000-000042020000}"/>
    <cellStyle name="Percent 2 2 22" xfId="594" xr:uid="{00000000-0005-0000-0000-000043020000}"/>
    <cellStyle name="Percent 2 2 23" xfId="595" xr:uid="{00000000-0005-0000-0000-000044020000}"/>
    <cellStyle name="Percent 2 2 24" xfId="596" xr:uid="{00000000-0005-0000-0000-000045020000}"/>
    <cellStyle name="Percent 2 2 25" xfId="597" xr:uid="{00000000-0005-0000-0000-000046020000}"/>
    <cellStyle name="Percent 2 2 26" xfId="598" xr:uid="{00000000-0005-0000-0000-000047020000}"/>
    <cellStyle name="Percent 2 2 27" xfId="599" xr:uid="{00000000-0005-0000-0000-000048020000}"/>
    <cellStyle name="Percent 2 2 28" xfId="600" xr:uid="{00000000-0005-0000-0000-000049020000}"/>
    <cellStyle name="Percent 2 2 3" xfId="601" xr:uid="{00000000-0005-0000-0000-00004A020000}"/>
    <cellStyle name="Percent 2 2 4" xfId="602" xr:uid="{00000000-0005-0000-0000-00004B020000}"/>
    <cellStyle name="Percent 2 2 5" xfId="603" xr:uid="{00000000-0005-0000-0000-00004C020000}"/>
    <cellStyle name="Percent 2 2 6" xfId="604" xr:uid="{00000000-0005-0000-0000-00004D020000}"/>
    <cellStyle name="Percent 2 2 7" xfId="605" xr:uid="{00000000-0005-0000-0000-00004E020000}"/>
    <cellStyle name="Percent 2 2 8" xfId="606" xr:uid="{00000000-0005-0000-0000-00004F020000}"/>
    <cellStyle name="Percent 2 2 9" xfId="607" xr:uid="{00000000-0005-0000-0000-000050020000}"/>
    <cellStyle name="Percent 2 20" xfId="608" xr:uid="{00000000-0005-0000-0000-000051020000}"/>
    <cellStyle name="Percent 2 21" xfId="609" xr:uid="{00000000-0005-0000-0000-000052020000}"/>
    <cellStyle name="Percent 2 22" xfId="610" xr:uid="{00000000-0005-0000-0000-000053020000}"/>
    <cellStyle name="Percent 2 23" xfId="611" xr:uid="{00000000-0005-0000-0000-000054020000}"/>
    <cellStyle name="Percent 2 24" xfId="612" xr:uid="{00000000-0005-0000-0000-000055020000}"/>
    <cellStyle name="Percent 2 25" xfId="613" xr:uid="{00000000-0005-0000-0000-000056020000}"/>
    <cellStyle name="Percent 2 26" xfId="614" xr:uid="{00000000-0005-0000-0000-000057020000}"/>
    <cellStyle name="Percent 2 27" xfId="615" xr:uid="{00000000-0005-0000-0000-000058020000}"/>
    <cellStyle name="Percent 2 28" xfId="616" xr:uid="{00000000-0005-0000-0000-000059020000}"/>
    <cellStyle name="Percent 2 29" xfId="617" xr:uid="{00000000-0005-0000-0000-00005A020000}"/>
    <cellStyle name="Percent 2 3" xfId="23" xr:uid="{00000000-0005-0000-0000-00005B020000}"/>
    <cellStyle name="Percent 2 30" xfId="618" xr:uid="{00000000-0005-0000-0000-00005C020000}"/>
    <cellStyle name="Percent 2 31" xfId="619" xr:uid="{00000000-0005-0000-0000-00005D020000}"/>
    <cellStyle name="Percent 2 4" xfId="620" xr:uid="{00000000-0005-0000-0000-00005E020000}"/>
    <cellStyle name="Percent 2 5" xfId="621" xr:uid="{00000000-0005-0000-0000-00005F020000}"/>
    <cellStyle name="Percent 2 6" xfId="622" xr:uid="{00000000-0005-0000-0000-000060020000}"/>
    <cellStyle name="Percent 2 7" xfId="623" xr:uid="{00000000-0005-0000-0000-000061020000}"/>
    <cellStyle name="Percent 2 8" xfId="624" xr:uid="{00000000-0005-0000-0000-000062020000}"/>
    <cellStyle name="Percent 2 9" xfId="625" xr:uid="{00000000-0005-0000-0000-000063020000}"/>
    <cellStyle name="Percent 3" xfId="43" xr:uid="{00000000-0005-0000-0000-000064020000}"/>
    <cellStyle name="Percent 3 10" xfId="626" xr:uid="{00000000-0005-0000-0000-000065020000}"/>
    <cellStyle name="Percent 3 11" xfId="627" xr:uid="{00000000-0005-0000-0000-000066020000}"/>
    <cellStyle name="Percent 3 12" xfId="628" xr:uid="{00000000-0005-0000-0000-000067020000}"/>
    <cellStyle name="Percent 3 13" xfId="629" xr:uid="{00000000-0005-0000-0000-000068020000}"/>
    <cellStyle name="Percent 3 14" xfId="630" xr:uid="{00000000-0005-0000-0000-000069020000}"/>
    <cellStyle name="Percent 3 15" xfId="631" xr:uid="{00000000-0005-0000-0000-00006A020000}"/>
    <cellStyle name="Percent 3 16" xfId="632" xr:uid="{00000000-0005-0000-0000-00006B020000}"/>
    <cellStyle name="Percent 3 17" xfId="633" xr:uid="{00000000-0005-0000-0000-00006C020000}"/>
    <cellStyle name="Percent 3 18" xfId="634" xr:uid="{00000000-0005-0000-0000-00006D020000}"/>
    <cellStyle name="Percent 3 19" xfId="635" xr:uid="{00000000-0005-0000-0000-00006E020000}"/>
    <cellStyle name="Percent 3 2" xfId="44" xr:uid="{00000000-0005-0000-0000-00006F020000}"/>
    <cellStyle name="Percent 3 20" xfId="636" xr:uid="{00000000-0005-0000-0000-000070020000}"/>
    <cellStyle name="Percent 3 21" xfId="637" xr:uid="{00000000-0005-0000-0000-000071020000}"/>
    <cellStyle name="Percent 3 22" xfId="638" xr:uid="{00000000-0005-0000-0000-000072020000}"/>
    <cellStyle name="Percent 3 23" xfId="639" xr:uid="{00000000-0005-0000-0000-000073020000}"/>
    <cellStyle name="Percent 3 24" xfId="640" xr:uid="{00000000-0005-0000-0000-000074020000}"/>
    <cellStyle name="Percent 3 25" xfId="641" xr:uid="{00000000-0005-0000-0000-000075020000}"/>
    <cellStyle name="Percent 3 26" xfId="642" xr:uid="{00000000-0005-0000-0000-000076020000}"/>
    <cellStyle name="Percent 3 27" xfId="643" xr:uid="{00000000-0005-0000-0000-000077020000}"/>
    <cellStyle name="Percent 3 28" xfId="644" xr:uid="{00000000-0005-0000-0000-000078020000}"/>
    <cellStyle name="Percent 3 29" xfId="645" xr:uid="{00000000-0005-0000-0000-000079020000}"/>
    <cellStyle name="Percent 3 3" xfId="64" xr:uid="{00000000-0005-0000-0000-00007A020000}"/>
    <cellStyle name="Percent 3 3 2" xfId="646" xr:uid="{00000000-0005-0000-0000-00007B020000}"/>
    <cellStyle name="Percent 3 30" xfId="647" xr:uid="{00000000-0005-0000-0000-00007C020000}"/>
    <cellStyle name="Percent 3 4" xfId="648" xr:uid="{00000000-0005-0000-0000-00007D020000}"/>
    <cellStyle name="Percent 3 4 2" xfId="649" xr:uid="{00000000-0005-0000-0000-00007E020000}"/>
    <cellStyle name="Percent 3 5" xfId="650" xr:uid="{00000000-0005-0000-0000-00007F020000}"/>
    <cellStyle name="Percent 3 6" xfId="651" xr:uid="{00000000-0005-0000-0000-000080020000}"/>
    <cellStyle name="Percent 3 7" xfId="652" xr:uid="{00000000-0005-0000-0000-000081020000}"/>
    <cellStyle name="Percent 3 8" xfId="653" xr:uid="{00000000-0005-0000-0000-000082020000}"/>
    <cellStyle name="Percent 3 9" xfId="654" xr:uid="{00000000-0005-0000-0000-000083020000}"/>
    <cellStyle name="Percent 4" xfId="45" xr:uid="{00000000-0005-0000-0000-000084020000}"/>
    <cellStyle name="Percent 4 10" xfId="655" xr:uid="{00000000-0005-0000-0000-000085020000}"/>
    <cellStyle name="Percent 4 11" xfId="656" xr:uid="{00000000-0005-0000-0000-000086020000}"/>
    <cellStyle name="Percent 4 12" xfId="657" xr:uid="{00000000-0005-0000-0000-000087020000}"/>
    <cellStyle name="Percent 4 13" xfId="658" xr:uid="{00000000-0005-0000-0000-000088020000}"/>
    <cellStyle name="Percent 4 14" xfId="659" xr:uid="{00000000-0005-0000-0000-000089020000}"/>
    <cellStyle name="Percent 4 15" xfId="660" xr:uid="{00000000-0005-0000-0000-00008A020000}"/>
    <cellStyle name="Percent 4 16" xfId="661" xr:uid="{00000000-0005-0000-0000-00008B020000}"/>
    <cellStyle name="Percent 4 17" xfId="662" xr:uid="{00000000-0005-0000-0000-00008C020000}"/>
    <cellStyle name="Percent 4 18" xfId="663" xr:uid="{00000000-0005-0000-0000-00008D020000}"/>
    <cellStyle name="Percent 4 19" xfId="664" xr:uid="{00000000-0005-0000-0000-00008E020000}"/>
    <cellStyle name="Percent 4 2" xfId="665" xr:uid="{00000000-0005-0000-0000-00008F020000}"/>
    <cellStyle name="Percent 4 20" xfId="666" xr:uid="{00000000-0005-0000-0000-000090020000}"/>
    <cellStyle name="Percent 4 21" xfId="667" xr:uid="{00000000-0005-0000-0000-000091020000}"/>
    <cellStyle name="Percent 4 22" xfId="668" xr:uid="{00000000-0005-0000-0000-000092020000}"/>
    <cellStyle name="Percent 4 23" xfId="669" xr:uid="{00000000-0005-0000-0000-000093020000}"/>
    <cellStyle name="Percent 4 24" xfId="670" xr:uid="{00000000-0005-0000-0000-000094020000}"/>
    <cellStyle name="Percent 4 25" xfId="671" xr:uid="{00000000-0005-0000-0000-000095020000}"/>
    <cellStyle name="Percent 4 26" xfId="672" xr:uid="{00000000-0005-0000-0000-000096020000}"/>
    <cellStyle name="Percent 4 27" xfId="673" xr:uid="{00000000-0005-0000-0000-000097020000}"/>
    <cellStyle name="Percent 4 28" xfId="674" xr:uid="{00000000-0005-0000-0000-000098020000}"/>
    <cellStyle name="Percent 4 3" xfId="675" xr:uid="{00000000-0005-0000-0000-000099020000}"/>
    <cellStyle name="Percent 4 4" xfId="676" xr:uid="{00000000-0005-0000-0000-00009A020000}"/>
    <cellStyle name="Percent 4 5" xfId="677" xr:uid="{00000000-0005-0000-0000-00009B020000}"/>
    <cellStyle name="Percent 4 6" xfId="678" xr:uid="{00000000-0005-0000-0000-00009C020000}"/>
    <cellStyle name="Percent 4 7" xfId="679" xr:uid="{00000000-0005-0000-0000-00009D020000}"/>
    <cellStyle name="Percent 4 8" xfId="680" xr:uid="{00000000-0005-0000-0000-00009E020000}"/>
    <cellStyle name="Percent 4 9" xfId="681" xr:uid="{00000000-0005-0000-0000-00009F020000}"/>
    <cellStyle name="Percent 5" xfId="46" xr:uid="{00000000-0005-0000-0000-0000A0020000}"/>
    <cellStyle name="Percent 5 10" xfId="682" xr:uid="{00000000-0005-0000-0000-0000A1020000}"/>
    <cellStyle name="Percent 5 11" xfId="683" xr:uid="{00000000-0005-0000-0000-0000A2020000}"/>
    <cellStyle name="Percent 5 12" xfId="684" xr:uid="{00000000-0005-0000-0000-0000A3020000}"/>
    <cellStyle name="Percent 5 13" xfId="685" xr:uid="{00000000-0005-0000-0000-0000A4020000}"/>
    <cellStyle name="Percent 5 14" xfId="686" xr:uid="{00000000-0005-0000-0000-0000A5020000}"/>
    <cellStyle name="Percent 5 15" xfId="687" xr:uid="{00000000-0005-0000-0000-0000A6020000}"/>
    <cellStyle name="Percent 5 16" xfId="688" xr:uid="{00000000-0005-0000-0000-0000A7020000}"/>
    <cellStyle name="Percent 5 17" xfId="689" xr:uid="{00000000-0005-0000-0000-0000A8020000}"/>
    <cellStyle name="Percent 5 18" xfId="690" xr:uid="{00000000-0005-0000-0000-0000A9020000}"/>
    <cellStyle name="Percent 5 19" xfId="691" xr:uid="{00000000-0005-0000-0000-0000AA020000}"/>
    <cellStyle name="Percent 5 2" xfId="692" xr:uid="{00000000-0005-0000-0000-0000AB020000}"/>
    <cellStyle name="Percent 5 20" xfId="693" xr:uid="{00000000-0005-0000-0000-0000AC020000}"/>
    <cellStyle name="Percent 5 21" xfId="694" xr:uid="{00000000-0005-0000-0000-0000AD020000}"/>
    <cellStyle name="Percent 5 22" xfId="695" xr:uid="{00000000-0005-0000-0000-0000AE020000}"/>
    <cellStyle name="Percent 5 23" xfId="696" xr:uid="{00000000-0005-0000-0000-0000AF020000}"/>
    <cellStyle name="Percent 5 24" xfId="697" xr:uid="{00000000-0005-0000-0000-0000B0020000}"/>
    <cellStyle name="Percent 5 25" xfId="698" xr:uid="{00000000-0005-0000-0000-0000B1020000}"/>
    <cellStyle name="Percent 5 26" xfId="699" xr:uid="{00000000-0005-0000-0000-0000B2020000}"/>
    <cellStyle name="Percent 5 27" xfId="700" xr:uid="{00000000-0005-0000-0000-0000B3020000}"/>
    <cellStyle name="Percent 5 28" xfId="701" xr:uid="{00000000-0005-0000-0000-0000B4020000}"/>
    <cellStyle name="Percent 5 3" xfId="702" xr:uid="{00000000-0005-0000-0000-0000B5020000}"/>
    <cellStyle name="Percent 5 4" xfId="703" xr:uid="{00000000-0005-0000-0000-0000B6020000}"/>
    <cellStyle name="Percent 5 5" xfId="704" xr:uid="{00000000-0005-0000-0000-0000B7020000}"/>
    <cellStyle name="Percent 5 6" xfId="705" xr:uid="{00000000-0005-0000-0000-0000B8020000}"/>
    <cellStyle name="Percent 5 7" xfId="706" xr:uid="{00000000-0005-0000-0000-0000B9020000}"/>
    <cellStyle name="Percent 5 8" xfId="707" xr:uid="{00000000-0005-0000-0000-0000BA020000}"/>
    <cellStyle name="Percent 5 9" xfId="708" xr:uid="{00000000-0005-0000-0000-0000BB020000}"/>
    <cellStyle name="PS_Comma" xfId="47" xr:uid="{00000000-0005-0000-0000-0000BC020000}"/>
    <cellStyle name="PSChar" xfId="48" xr:uid="{00000000-0005-0000-0000-0000BD020000}"/>
    <cellStyle name="PSDate" xfId="49" xr:uid="{00000000-0005-0000-0000-0000BE020000}"/>
    <cellStyle name="PSDec" xfId="50" xr:uid="{00000000-0005-0000-0000-0000BF020000}"/>
    <cellStyle name="PSHeading" xfId="51" xr:uid="{00000000-0005-0000-0000-0000C0020000}"/>
    <cellStyle name="PSInt" xfId="52" xr:uid="{00000000-0005-0000-0000-0000C1020000}"/>
    <cellStyle name="PSSpacer" xfId="53" xr:uid="{00000000-0005-0000-0000-0000C2020000}"/>
    <cellStyle name="WM_STANDARD" xfId="54" xr:uid="{00000000-0005-0000-0000-0000C3020000}"/>
    <cellStyle name="WMI_Standard" xfId="55" xr:uid="{00000000-0005-0000-0000-0000C4020000}"/>
  </cellStyles>
  <dxfs count="3">
    <dxf>
      <fill>
        <patternFill>
          <bgColor indexed="29"/>
        </patternFill>
      </fill>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2"/>
      <tableStyleElement type="headerRow" dxfId="1"/>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4\2014%20WA_ELEC_&amp;_GAS_GRC\Compliance%20Filing%20-%20Final%20Order\Electronic%20WP's\UE-140188%20Compliance%20Attachmen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2\2012%20WA%20GRC\Direct%20Testimony%20&amp;%20Exhibits-FILING\I.%20UE__Avista%20Direct%20Evidence-(Apr2012)\3.%20UE__AVA%20WP's%20(Apr2012)\P.%20UE__Ehrbar%20Workpapers%20(AVA-Apr2012)\Ehrbar%20Electric%20Workpape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mon/Finesilver,%20Ryan/LIRAP%20Acctg/LIRAP%20Budget/Year%2018%20Workpapers/GSFM%20v1%2011%2001%20March%20Mid-month%20(3%2015%2017%20pricing)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2"/>
      <sheetName val="Exh 3"/>
      <sheetName val="LIRAP"/>
      <sheetName val="ERM Offset"/>
      <sheetName val="Sch 98 REC Revenue"/>
      <sheetName val="ROR"/>
      <sheetName val="Bill Determ"/>
      <sheetName val="Bill Impact"/>
      <sheetName val="WA Sch 25"/>
      <sheetName val="Lighting summary"/>
      <sheetName val="St Lts"/>
      <sheetName val="Area Lts"/>
      <sheetName val="Capital Recovery Factor Calc"/>
      <sheetName val="Block Data"/>
      <sheetName val="Rev Runs 12MEJUNE2013"/>
      <sheetName val="LED Rates"/>
    </sheetNames>
    <sheetDataSet>
      <sheetData sheetId="0" refreshError="1">
        <row r="8">
          <cell r="N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1"/>
      <sheetName val="Exh2"/>
      <sheetName val="Exh3"/>
      <sheetName val="LIRAP"/>
      <sheetName val="Rate Spread"/>
      <sheetName val="ROR"/>
      <sheetName val="BFG"/>
      <sheetName val="Bill Impact"/>
      <sheetName val="Bill Determ"/>
      <sheetName val="Block Usage"/>
      <sheetName val="Big Schedules"/>
      <sheetName val="Rev Runs CY"/>
    </sheetNames>
    <sheetDataSet>
      <sheetData sheetId="0">
        <row r="8">
          <cell r="O8">
            <v>1</v>
          </cell>
        </row>
      </sheetData>
      <sheetData sheetId="1" refreshError="1"/>
      <sheetData sheetId="2" refreshError="1"/>
      <sheetData sheetId="3" refreshError="1"/>
      <sheetData sheetId="4">
        <row r="15">
          <cell r="E15">
            <v>0.38907000000000003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0">
          <cell r="O40">
            <v>665507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ERM"/>
      <sheetName val="ROR"/>
      <sheetName val="Bill Determ"/>
      <sheetName val="WA Sch 25"/>
      <sheetName val="Lighting summary"/>
      <sheetName val="St Lts"/>
      <sheetName val="Area Lts"/>
      <sheetName val="Rev Runs CY"/>
      <sheetName val="Rev Runs LY"/>
    </sheetNames>
    <sheetDataSet>
      <sheetData sheetId="0">
        <row r="8">
          <cell r="N8">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Rev Inputs"/>
      <sheetName val="Rate Tables"/>
      <sheetName val="Rate Entry"/>
      <sheetName val="Bill Determ"/>
      <sheetName val="GRC"/>
      <sheetName val="Rev"/>
      <sheetName val="Rev Decoupling"/>
      <sheetName val="Rev V2V"/>
      <sheetName val="GLW"/>
      <sheetName val="Inputs"/>
      <sheetName val="Alt Prices"/>
      <sheetName val="Alt Deals"/>
      <sheetName val="Deals"/>
      <sheetName val="Plan"/>
      <sheetName val="Prices"/>
      <sheetName val="GPR"/>
      <sheetName val="Wash"/>
      <sheetName val="Idaho"/>
      <sheetName val="Oregon"/>
      <sheetName val="Periods"/>
      <sheetName val="V2V"/>
      <sheetName val="Bill"/>
      <sheetName val="Bill 5"/>
      <sheetName val="Analysis"/>
      <sheetName val="4cast"/>
      <sheetName val="Discov"/>
      <sheetName val="Data"/>
      <sheetName val="F&amp;O"/>
      <sheetName val="Var"/>
      <sheetName val="Var Act v Bud"/>
      <sheetName val="checks"/>
      <sheetName val="Mid-Month"/>
      <sheetName val="Decoupling Chart Data"/>
      <sheetName val="ID Decoupling Chart"/>
      <sheetName val="OR Decoupling Chart"/>
      <sheetName val="WA Decoupling Chart"/>
      <sheetName val="Collateral Analysis"/>
    </sheetNames>
    <sheetDataSet>
      <sheetData sheetId="0" refreshError="1"/>
      <sheetData sheetId="1" refreshError="1"/>
      <sheetData sheetId="2" refreshError="1"/>
      <sheetData sheetId="3" refreshError="1"/>
      <sheetData sheetId="4">
        <row r="219">
          <cell r="A219" t="str">
            <v>WA101</v>
          </cell>
          <cell r="B219" t="str">
            <v>WA*101</v>
          </cell>
          <cell r="C219" t="str">
            <v>WA101_dca</v>
          </cell>
          <cell r="D219">
            <v>10490143.531197427</v>
          </cell>
          <cell r="E219">
            <v>24577850.487528995</v>
          </cell>
          <cell r="F219">
            <v>21475843.154275555</v>
          </cell>
          <cell r="G219">
            <v>19011665.018457934</v>
          </cell>
          <cell r="H219">
            <v>14480331.975135656</v>
          </cell>
          <cell r="I219">
            <v>8860313.7551366519</v>
          </cell>
          <cell r="J219">
            <v>4915533.920376447</v>
          </cell>
          <cell r="K219">
            <v>2831758.8892396693</v>
          </cell>
          <cell r="L219">
            <v>2207593.5981935249</v>
          </cell>
          <cell r="M219">
            <v>1991493.1339386718</v>
          </cell>
          <cell r="N219">
            <v>2513893.3483327874</v>
          </cell>
          <cell r="O219">
            <v>7027402.4166716486</v>
          </cell>
          <cell r="P219">
            <v>15431299.998546418</v>
          </cell>
          <cell r="Q219">
            <v>21690821.068998039</v>
          </cell>
          <cell r="R219">
            <v>21680191.062805481</v>
          </cell>
          <cell r="S219">
            <v>17695700.77041873</v>
          </cell>
          <cell r="T219">
            <v>15037592.420105681</v>
          </cell>
          <cell r="U219">
            <v>9038877.7227286808</v>
          </cell>
          <cell r="V219">
            <v>5038655.7857247787</v>
          </cell>
          <cell r="W219">
            <v>2911601.6893022712</v>
          </cell>
          <cell r="X219">
            <v>2298940.0462242397</v>
          </cell>
          <cell r="Y219">
            <v>2091018.4109351423</v>
          </cell>
          <cell r="Z219">
            <v>2564571.6446178989</v>
          </cell>
          <cell r="AA219">
            <v>7063010.9983676886</v>
          </cell>
          <cell r="AB219">
            <v>15554562.931657003</v>
          </cell>
          <cell r="AC219">
            <v>21908105.294535559</v>
          </cell>
          <cell r="AD219">
            <v>21796197.25437424</v>
          </cell>
          <cell r="AE219">
            <v>17829401.068467811</v>
          </cell>
          <cell r="AF219">
            <v>15187398.040427679</v>
          </cell>
          <cell r="AG219">
            <v>9149044.8181861825</v>
          </cell>
          <cell r="AH219">
            <v>5117456.8493705783</v>
          </cell>
          <cell r="AI219">
            <v>2974515.7142889695</v>
          </cell>
          <cell r="AJ219">
            <v>2377004.2715832931</v>
          </cell>
          <cell r="AK219">
            <v>2171793.7663977151</v>
          </cell>
          <cell r="AL219">
            <v>2606190.2397127459</v>
          </cell>
          <cell r="AM219">
            <v>7163881.6368968664</v>
          </cell>
          <cell r="AN219">
            <v>15707458.361740479</v>
          </cell>
          <cell r="AO219">
            <v>22069992.604826238</v>
          </cell>
          <cell r="AP219">
            <v>21865729.803252812</v>
          </cell>
          <cell r="AQ219">
            <v>18490969.325991668</v>
          </cell>
          <cell r="AR219">
            <v>15248574.290755248</v>
          </cell>
          <cell r="AS219">
            <v>9205221.1026312951</v>
          </cell>
          <cell r="AT219">
            <v>5162096.7048791628</v>
          </cell>
          <cell r="AU219">
            <v>3028083.2346802573</v>
          </cell>
          <cell r="AV219">
            <v>2446966.4303373885</v>
          </cell>
          <cell r="AW219">
            <v>2227935.080221415</v>
          </cell>
          <cell r="AX219">
            <v>2671066.020532392</v>
          </cell>
          <cell r="AY219">
            <v>7262443.4816542882</v>
          </cell>
          <cell r="AZ219">
            <v>15782948.574093617</v>
          </cell>
          <cell r="BA219">
            <v>22173439.717426609</v>
          </cell>
          <cell r="BB219">
            <v>22203547.468363356</v>
          </cell>
          <cell r="BC219">
            <v>18159043.67942144</v>
          </cell>
          <cell r="BD219">
            <v>15470719.131092114</v>
          </cell>
          <cell r="BE219">
            <v>9329946.5507643465</v>
          </cell>
          <cell r="BF219">
            <v>5230575.6423945604</v>
          </cell>
          <cell r="BG219">
            <v>3077999.6473916438</v>
          </cell>
          <cell r="BH219">
            <v>2493264.5448521911</v>
          </cell>
          <cell r="BI219">
            <v>2291926.8237121999</v>
          </cell>
          <cell r="BJ219">
            <v>2750422.1195686837</v>
          </cell>
          <cell r="BK219">
            <v>7409028.2959363777</v>
          </cell>
          <cell r="BL219">
            <v>16063756.763414999</v>
          </cell>
          <cell r="BM219">
            <v>22548721.605532456</v>
          </cell>
          <cell r="BN219">
            <v>22203547.468363356</v>
          </cell>
          <cell r="BO219">
            <v>18159043.67942144</v>
          </cell>
          <cell r="BP219">
            <v>15470719.131092114</v>
          </cell>
          <cell r="BQ219">
            <v>9329946.5507643465</v>
          </cell>
          <cell r="BR219">
            <v>5230575.6423945604</v>
          </cell>
          <cell r="BS219">
            <v>3077999.6473916438</v>
          </cell>
          <cell r="BT219">
            <v>2493264.5448521911</v>
          </cell>
          <cell r="BU219">
            <v>2291926.8237121999</v>
          </cell>
          <cell r="BV219">
            <v>2750422.1195686837</v>
          </cell>
          <cell r="BW219">
            <v>7409028.2959363777</v>
          </cell>
          <cell r="BX219">
            <v>16063756.763414999</v>
          </cell>
          <cell r="BY219">
            <v>22548721.605532456</v>
          </cell>
        </row>
        <row r="220">
          <cell r="A220" t="str">
            <v>WA111</v>
          </cell>
          <cell r="B220" t="str">
            <v>WA*111</v>
          </cell>
          <cell r="C220" t="str">
            <v>WA111_dca</v>
          </cell>
          <cell r="D220">
            <v>4328957.4067832176</v>
          </cell>
          <cell r="E220">
            <v>8773687.4692509528</v>
          </cell>
          <cell r="F220">
            <v>7403087.3347587455</v>
          </cell>
          <cell r="G220">
            <v>6683308.7801376805</v>
          </cell>
          <cell r="H220">
            <v>5138628.6001651241</v>
          </cell>
          <cell r="I220">
            <v>3402439.5649932311</v>
          </cell>
          <cell r="J220">
            <v>2130042.7518419796</v>
          </cell>
          <cell r="K220">
            <v>1534043.3578015896</v>
          </cell>
          <cell r="L220">
            <v>1477007.4247348027</v>
          </cell>
          <cell r="M220">
            <v>1527047.8244375954</v>
          </cell>
          <cell r="N220">
            <v>1899600.9562980023</v>
          </cell>
          <cell r="O220">
            <v>4051517.6299471501</v>
          </cell>
          <cell r="P220">
            <v>6620837.3566393126</v>
          </cell>
          <cell r="Q220">
            <v>7932227.0595340366</v>
          </cell>
          <cell r="R220">
            <v>7657144.7326764772</v>
          </cell>
          <cell r="S220">
            <v>6279174.2218281161</v>
          </cell>
          <cell r="T220">
            <v>5348954.9188278364</v>
          </cell>
          <cell r="U220">
            <v>3388869.4344963362</v>
          </cell>
          <cell r="V220">
            <v>2082345.1372222484</v>
          </cell>
          <cell r="W220">
            <v>1471633.9315597231</v>
          </cell>
          <cell r="X220">
            <v>1377623.0547820204</v>
          </cell>
          <cell r="Y220">
            <v>1487107.8357117597</v>
          </cell>
          <cell r="Z220">
            <v>1909999.0162468327</v>
          </cell>
          <cell r="AA220">
            <v>4134133.611057634</v>
          </cell>
          <cell r="AB220">
            <v>6838920.9684992228</v>
          </cell>
          <cell r="AC220">
            <v>8167779.812147852</v>
          </cell>
          <cell r="AD220">
            <v>7848144.5550575573</v>
          </cell>
          <cell r="AE220">
            <v>6423374.8412690917</v>
          </cell>
          <cell r="AF220">
            <v>5455538.4098993437</v>
          </cell>
          <cell r="AG220">
            <v>3437944.0706161531</v>
          </cell>
          <cell r="AH220">
            <v>2080782.2178893208</v>
          </cell>
          <cell r="AI220">
            <v>1444110.0475360567</v>
          </cell>
          <cell r="AJ220">
            <v>1326775.540511793</v>
          </cell>
          <cell r="AK220">
            <v>1434559.7727128658</v>
          </cell>
          <cell r="AL220">
            <v>1883426.2039958101</v>
          </cell>
          <cell r="AM220">
            <v>4158638.7965911813</v>
          </cell>
          <cell r="AN220">
            <v>6976696.5946150571</v>
          </cell>
          <cell r="AO220">
            <v>8334614.5129958969</v>
          </cell>
          <cell r="AP220">
            <v>7976299.2436283845</v>
          </cell>
          <cell r="AQ220">
            <v>6754785.202961389</v>
          </cell>
          <cell r="AR220">
            <v>5547857.6824569451</v>
          </cell>
          <cell r="AS220">
            <v>3482414.4645007877</v>
          </cell>
          <cell r="AT220">
            <v>2094927.5299352524</v>
          </cell>
          <cell r="AU220">
            <v>1430474.4005923127</v>
          </cell>
          <cell r="AV220">
            <v>1291491.977531052</v>
          </cell>
          <cell r="AW220">
            <v>1385426.5288441691</v>
          </cell>
          <cell r="AX220">
            <v>1848008.7337099703</v>
          </cell>
          <cell r="AY220">
            <v>4161328.5463444889</v>
          </cell>
          <cell r="AZ220">
            <v>7027634.033869924</v>
          </cell>
          <cell r="BA220">
            <v>8431614.3758728132</v>
          </cell>
          <cell r="BB220">
            <v>8185302.7255748091</v>
          </cell>
          <cell r="BC220">
            <v>6718544.3243065402</v>
          </cell>
          <cell r="BD220">
            <v>5703917.4393960973</v>
          </cell>
          <cell r="BE220">
            <v>3573199.3103307746</v>
          </cell>
          <cell r="BF220">
            <v>2135847.9636205733</v>
          </cell>
          <cell r="BG220">
            <v>1437456.6273768214</v>
          </cell>
          <cell r="BH220">
            <v>1266739.7028639163</v>
          </cell>
          <cell r="BI220">
            <v>1341756.0987340633</v>
          </cell>
          <cell r="BJ220">
            <v>1819669.5612006381</v>
          </cell>
          <cell r="BK220">
            <v>4158674.8246861012</v>
          </cell>
          <cell r="BL220">
            <v>7117984.9448752264</v>
          </cell>
          <cell r="BM220">
            <v>8599154.9303188752</v>
          </cell>
          <cell r="BN220">
            <v>8185302.7255748091</v>
          </cell>
          <cell r="BO220">
            <v>6718544.3243065402</v>
          </cell>
          <cell r="BP220">
            <v>5703917.4393960973</v>
          </cell>
          <cell r="BQ220">
            <v>3573199.3103307746</v>
          </cell>
          <cell r="BR220">
            <v>2135847.9636205733</v>
          </cell>
          <cell r="BS220">
            <v>1437456.6273768214</v>
          </cell>
          <cell r="BT220">
            <v>1266739.7028639163</v>
          </cell>
          <cell r="BU220">
            <v>1341756.0987340633</v>
          </cell>
          <cell r="BV220">
            <v>1819669.5612006381</v>
          </cell>
          <cell r="BW220">
            <v>4158674.8246861012</v>
          </cell>
          <cell r="BX220">
            <v>7117984.9448752264</v>
          </cell>
          <cell r="BY220">
            <v>8599154.9303188752</v>
          </cell>
        </row>
        <row r="221">
          <cell r="A221" t="str">
            <v>WA121</v>
          </cell>
          <cell r="B221" t="str">
            <v>WA*121</v>
          </cell>
          <cell r="C221" t="str">
            <v>WA121_dca</v>
          </cell>
          <cell r="D221">
            <v>429970.64724719583</v>
          </cell>
          <cell r="E221">
            <v>671811.12501016306</v>
          </cell>
          <cell r="F221">
            <v>586734.35362473433</v>
          </cell>
          <cell r="G221">
            <v>607635.26240489096</v>
          </cell>
          <cell r="H221">
            <v>452587.65173758421</v>
          </cell>
          <cell r="I221">
            <v>344208.88542771619</v>
          </cell>
          <cell r="J221">
            <v>268006.98975540011</v>
          </cell>
          <cell r="K221">
            <v>244042.12226780527</v>
          </cell>
          <cell r="L221">
            <v>258397.09758322348</v>
          </cell>
          <cell r="M221">
            <v>289113.29729530343</v>
          </cell>
          <cell r="N221">
            <v>318842.05410049297</v>
          </cell>
          <cell r="O221">
            <v>545097.61446536635</v>
          </cell>
          <cell r="P221">
            <v>663139.2287776618</v>
          </cell>
          <cell r="Q221">
            <v>603372.8575124332</v>
          </cell>
          <cell r="R221">
            <v>600720.45586453984</v>
          </cell>
          <cell r="S221">
            <v>564048.076284635</v>
          </cell>
          <cell r="T221">
            <v>467919.68005706079</v>
          </cell>
          <cell r="U221">
            <v>348776.92445060296</v>
          </cell>
          <cell r="V221">
            <v>269750.30164950219</v>
          </cell>
          <cell r="W221">
            <v>244346.3949824656</v>
          </cell>
          <cell r="X221">
            <v>260662.8501971318</v>
          </cell>
          <cell r="Y221">
            <v>293985.20717975503</v>
          </cell>
          <cell r="Z221">
            <v>323112.76917750249</v>
          </cell>
          <cell r="AA221">
            <v>548680.96121544391</v>
          </cell>
          <cell r="AB221">
            <v>668726.51826851571</v>
          </cell>
          <cell r="AC221">
            <v>606814.28203806444</v>
          </cell>
          <cell r="AD221">
            <v>601572.76829329226</v>
          </cell>
          <cell r="AE221">
            <v>563651.39788568392</v>
          </cell>
          <cell r="AF221">
            <v>470407.25159617845</v>
          </cell>
          <cell r="AG221">
            <v>350337.79153833538</v>
          </cell>
          <cell r="AH221">
            <v>271779.85075474816</v>
          </cell>
          <cell r="AI221">
            <v>248118.51414532762</v>
          </cell>
          <cell r="AJ221">
            <v>265552.93276768434</v>
          </cell>
          <cell r="AK221">
            <v>300332.44145737123</v>
          </cell>
          <cell r="AL221">
            <v>325363.5498737361</v>
          </cell>
          <cell r="AM221">
            <v>549756.99836781214</v>
          </cell>
          <cell r="AN221">
            <v>669121.60696784558</v>
          </cell>
          <cell r="AO221">
            <v>605660.38312104135</v>
          </cell>
          <cell r="AP221">
            <v>597231.82567983854</v>
          </cell>
          <cell r="AQ221">
            <v>578831.69137490576</v>
          </cell>
          <cell r="AR221">
            <v>467778.48841676698</v>
          </cell>
          <cell r="AS221">
            <v>348708.62167566799</v>
          </cell>
          <cell r="AT221">
            <v>272013.03045960731</v>
          </cell>
          <cell r="AU221">
            <v>249930.87073849709</v>
          </cell>
          <cell r="AV221">
            <v>270984.2665614349</v>
          </cell>
          <cell r="AW221">
            <v>306834.31639937533</v>
          </cell>
          <cell r="AX221">
            <v>330320.97764160932</v>
          </cell>
          <cell r="AY221">
            <v>553100.13626897568</v>
          </cell>
          <cell r="AZ221">
            <v>666327.48085248529</v>
          </cell>
          <cell r="BA221">
            <v>602307.73433952825</v>
          </cell>
          <cell r="BB221">
            <v>600259.57317354763</v>
          </cell>
          <cell r="BC221">
            <v>562549.23424095195</v>
          </cell>
          <cell r="BD221">
            <v>469444.77687439509</v>
          </cell>
          <cell r="BE221">
            <v>349896.46203405736</v>
          </cell>
          <cell r="BF221">
            <v>272634.52617188916</v>
          </cell>
          <cell r="BG221">
            <v>251077.17392186011</v>
          </cell>
          <cell r="BH221">
            <v>273734.88906915009</v>
          </cell>
          <cell r="BI221">
            <v>312000.34907442861</v>
          </cell>
          <cell r="BJ221">
            <v>337334.10845537233</v>
          </cell>
          <cell r="BK221">
            <v>559730.94603819528</v>
          </cell>
          <cell r="BL221">
            <v>671659.58594408887</v>
          </cell>
          <cell r="BM221">
            <v>606398.33393812866</v>
          </cell>
          <cell r="BN221">
            <v>600259.57317354763</v>
          </cell>
          <cell r="BO221">
            <v>562549.23424095195</v>
          </cell>
          <cell r="BP221">
            <v>469444.77687439509</v>
          </cell>
          <cell r="BQ221">
            <v>349896.46203405736</v>
          </cell>
          <cell r="BR221">
            <v>272634.52617188916</v>
          </cell>
          <cell r="BS221">
            <v>251077.17392186011</v>
          </cell>
          <cell r="BT221">
            <v>273734.88906915009</v>
          </cell>
          <cell r="BU221">
            <v>312000.34907442861</v>
          </cell>
          <cell r="BV221">
            <v>337334.10845537233</v>
          </cell>
          <cell r="BW221">
            <v>559730.94603819528</v>
          </cell>
          <cell r="BX221">
            <v>671659.58594408887</v>
          </cell>
          <cell r="BY221">
            <v>606398.33393812866</v>
          </cell>
        </row>
        <row r="222">
          <cell r="A222" t="str">
            <v>WA132</v>
          </cell>
          <cell r="B222" t="str">
            <v>WA*132</v>
          </cell>
          <cell r="C222" t="str">
            <v>WA132_dc</v>
          </cell>
          <cell r="D222">
            <v>75442.539217919402</v>
          </cell>
          <cell r="E222">
            <v>149358.4223838484</v>
          </cell>
          <cell r="F222">
            <v>130283.50977571141</v>
          </cell>
          <cell r="G222">
            <v>131496.15765028345</v>
          </cell>
          <cell r="H222">
            <v>105127.67873598421</v>
          </cell>
          <cell r="I222">
            <v>76092.550351075144</v>
          </cell>
          <cell r="J222">
            <v>57230.957565543264</v>
          </cell>
          <cell r="K222">
            <v>43641.170321857462</v>
          </cell>
          <cell r="L222">
            <v>38907.84213713029</v>
          </cell>
          <cell r="M222">
            <v>26526.735728838808</v>
          </cell>
          <cell r="N222">
            <v>29987.4747242999</v>
          </cell>
          <cell r="O222">
            <v>65693.520977153647</v>
          </cell>
          <cell r="P222">
            <v>112236.36676008614</v>
          </cell>
          <cell r="Q222">
            <v>131576.21905672512</v>
          </cell>
          <cell r="R222">
            <v>130862.77278274758</v>
          </cell>
          <cell r="S222">
            <v>120711.77140062304</v>
          </cell>
          <cell r="T222">
            <v>107541.41919221036</v>
          </cell>
          <cell r="U222">
            <v>76041.448772964941</v>
          </cell>
          <cell r="V222">
            <v>57088.16890382344</v>
          </cell>
          <cell r="W222">
            <v>42961.748269258722</v>
          </cell>
          <cell r="X222">
            <v>38796.932386099958</v>
          </cell>
          <cell r="Y222">
            <v>26552.089303424869</v>
          </cell>
          <cell r="Z222">
            <v>30029.287604575096</v>
          </cell>
          <cell r="AA222">
            <v>65561.625791577448</v>
          </cell>
          <cell r="AB222">
            <v>112256.15622413193</v>
          </cell>
          <cell r="AC222">
            <v>131857.94912667558</v>
          </cell>
          <cell r="AD222">
            <v>130434.96810307654</v>
          </cell>
          <cell r="AE222">
            <v>120416.84389511558</v>
          </cell>
          <cell r="AF222">
            <v>107669.6323145005</v>
          </cell>
          <cell r="AG222">
            <v>76167.968265819974</v>
          </cell>
          <cell r="AH222">
            <v>57298.16514070527</v>
          </cell>
          <cell r="AI222">
            <v>43424.976926538191</v>
          </cell>
          <cell r="AJ222">
            <v>39370.401301217848</v>
          </cell>
          <cell r="AK222">
            <v>26967.795031840011</v>
          </cell>
          <cell r="AL222">
            <v>30148.976312582141</v>
          </cell>
          <cell r="AM222">
            <v>65404.749489715636</v>
          </cell>
          <cell r="AN222">
            <v>112112.42924937348</v>
          </cell>
          <cell r="AO222">
            <v>131334.32018695082</v>
          </cell>
          <cell r="AP222">
            <v>129309.94687995223</v>
          </cell>
          <cell r="AQ222">
            <v>123500.16680228322</v>
          </cell>
          <cell r="AR222">
            <v>106866.01024665323</v>
          </cell>
          <cell r="AS222">
            <v>75699.09294533098</v>
          </cell>
          <cell r="AT222">
            <v>57201.874178466096</v>
          </cell>
          <cell r="AU222">
            <v>43658.563586267766</v>
          </cell>
          <cell r="AV222">
            <v>40042.271125452928</v>
          </cell>
          <cell r="AW222">
            <v>27479.917648955743</v>
          </cell>
          <cell r="AX222">
            <v>30520.678422580091</v>
          </cell>
          <cell r="AY222">
            <v>65648.200759716739</v>
          </cell>
          <cell r="AZ222">
            <v>111457.83576409603</v>
          </cell>
          <cell r="BA222">
            <v>130406.41207312015</v>
          </cell>
          <cell r="BB222">
            <v>129829.16896306074</v>
          </cell>
          <cell r="BC222">
            <v>119873.96709719847</v>
          </cell>
          <cell r="BD222">
            <v>107110.63700805046</v>
          </cell>
          <cell r="BE222">
            <v>75825.083899283243</v>
          </cell>
          <cell r="BF222">
            <v>57233.020655469001</v>
          </cell>
          <cell r="BG222">
            <v>43764.089615115459</v>
          </cell>
          <cell r="BH222">
            <v>40338.39216860399</v>
          </cell>
          <cell r="BI222">
            <v>27870.698627819234</v>
          </cell>
          <cell r="BJ222">
            <v>31081.477735488752</v>
          </cell>
          <cell r="BK222">
            <v>66293.971129947342</v>
          </cell>
          <cell r="BL222">
            <v>112137.14322160934</v>
          </cell>
          <cell r="BM222">
            <v>131123.71705355012</v>
          </cell>
          <cell r="BN222">
            <v>129829.16896306074</v>
          </cell>
          <cell r="BO222">
            <v>119873.96709719847</v>
          </cell>
          <cell r="BP222">
            <v>107110.63700805046</v>
          </cell>
          <cell r="BQ222">
            <v>75825.083899283243</v>
          </cell>
          <cell r="BR222">
            <v>57233.020655469001</v>
          </cell>
          <cell r="BS222">
            <v>43764.089615115459</v>
          </cell>
          <cell r="BT222">
            <v>40338.39216860399</v>
          </cell>
          <cell r="BU222">
            <v>27870.698627819234</v>
          </cell>
          <cell r="BV222">
            <v>31081.477735488752</v>
          </cell>
          <cell r="BW222">
            <v>66293.971129947342</v>
          </cell>
          <cell r="BX222">
            <v>112137.14322160934</v>
          </cell>
          <cell r="BY222">
            <v>131123.71705355012</v>
          </cell>
        </row>
        <row r="223">
          <cell r="A223" t="str">
            <v>WA146</v>
          </cell>
          <cell r="B223" t="str">
            <v>WA*146</v>
          </cell>
          <cell r="C223" t="str">
            <v>WA146_d</v>
          </cell>
          <cell r="D223">
            <v>2651527.3680128232</v>
          </cell>
          <cell r="E223">
            <v>2908833.3951791967</v>
          </cell>
          <cell r="F223">
            <v>3347001.2581088888</v>
          </cell>
          <cell r="G223">
            <v>3602837.8366440535</v>
          </cell>
          <cell r="H223">
            <v>2992750.1369872298</v>
          </cell>
          <cell r="I223">
            <v>3031276.8488704013</v>
          </cell>
          <cell r="J223">
            <v>2524553.8530719294</v>
          </cell>
          <cell r="K223">
            <v>2116735.569289274</v>
          </cell>
          <cell r="L223">
            <v>1876169.5796795823</v>
          </cell>
          <cell r="M223">
            <v>1701151.7703815494</v>
          </cell>
          <cell r="N223">
            <v>1781971.7949997988</v>
          </cell>
          <cell r="O223">
            <v>1918718.8523268555</v>
          </cell>
          <cell r="P223">
            <v>2601175.5991028138</v>
          </cell>
          <cell r="Q223">
            <v>2872682.9367259471</v>
          </cell>
          <cell r="R223">
            <v>3301058.0612509055</v>
          </cell>
          <cell r="S223">
            <v>3616191.0203323015</v>
          </cell>
          <cell r="T223">
            <v>2958645.3185228324</v>
          </cell>
          <cell r="U223">
            <v>3008311.5748403794</v>
          </cell>
          <cell r="V223">
            <v>2502110.3864732534</v>
          </cell>
          <cell r="W223">
            <v>2120473.2983476343</v>
          </cell>
          <cell r="X223">
            <v>1880062.9981534723</v>
          </cell>
          <cell r="Y223">
            <v>1736438.7981819026</v>
          </cell>
          <cell r="Z223">
            <v>1770008.7788809757</v>
          </cell>
          <cell r="AA223">
            <v>1942878.0492958704</v>
          </cell>
          <cell r="AB223">
            <v>2607442.5015043798</v>
          </cell>
          <cell r="AC223">
            <v>2919465.3139597178</v>
          </cell>
          <cell r="AD223">
            <v>3346047.935105958</v>
          </cell>
          <cell r="AE223">
            <v>3657661.5948445811</v>
          </cell>
          <cell r="AF223">
            <v>3030588.516086637</v>
          </cell>
          <cell r="AG223">
            <v>3054485.5272061024</v>
          </cell>
          <cell r="AH223">
            <v>2565180.5345043964</v>
          </cell>
          <cell r="AI223">
            <v>2195579.5390583114</v>
          </cell>
          <cell r="AJ223">
            <v>1932567.1561958343</v>
          </cell>
          <cell r="AK223">
            <v>1783308.2371940077</v>
          </cell>
          <cell r="AL223">
            <v>1819185.9350338988</v>
          </cell>
          <cell r="AM223">
            <v>1976261.6500826022</v>
          </cell>
          <cell r="AN223">
            <v>2641225.4784202138</v>
          </cell>
          <cell r="AO223">
            <v>2971911.0389667191</v>
          </cell>
          <cell r="AP223">
            <v>3407779.8907461856</v>
          </cell>
          <cell r="AQ223">
            <v>3702780.6186321196</v>
          </cell>
          <cell r="AR223">
            <v>3103986.9236165732</v>
          </cell>
          <cell r="AS223">
            <v>3111637.4215909806</v>
          </cell>
          <cell r="AT223">
            <v>2615643.2529229093</v>
          </cell>
          <cell r="AU223">
            <v>2239513.4538230542</v>
          </cell>
          <cell r="AV223">
            <v>1976563.5336075388</v>
          </cell>
          <cell r="AW223">
            <v>1811372.9043646499</v>
          </cell>
          <cell r="AX223">
            <v>1857141.6744601312</v>
          </cell>
          <cell r="AY223">
            <v>2002842.4569327459</v>
          </cell>
          <cell r="AZ223">
            <v>2677574.9044459425</v>
          </cell>
          <cell r="BA223">
            <v>3003893.8339817086</v>
          </cell>
          <cell r="BB223">
            <v>3446056.7192486804</v>
          </cell>
          <cell r="BC223">
            <v>3736330.7671115072</v>
          </cell>
          <cell r="BD223">
            <v>3132532.5937104602</v>
          </cell>
          <cell r="BE223">
            <v>3143326.7885702904</v>
          </cell>
          <cell r="BF223">
            <v>2640957.3003596198</v>
          </cell>
          <cell r="BG223">
            <v>2256387.2597362888</v>
          </cell>
          <cell r="BH223">
            <v>1996924.9953691768</v>
          </cell>
          <cell r="BI223">
            <v>1829281.8892257828</v>
          </cell>
          <cell r="BJ223">
            <v>1878260.8480738134</v>
          </cell>
          <cell r="BK223">
            <v>2027511.3118312475</v>
          </cell>
          <cell r="BL223">
            <v>2706588.2932281587</v>
          </cell>
          <cell r="BM223">
            <v>3026222.4353024946</v>
          </cell>
          <cell r="BN223">
            <v>3446056.7192486804</v>
          </cell>
          <cell r="BO223">
            <v>3736330.7671115072</v>
          </cell>
          <cell r="BP223">
            <v>3132532.5937104602</v>
          </cell>
          <cell r="BQ223">
            <v>3143326.7885702904</v>
          </cell>
          <cell r="BR223">
            <v>2640957.3003596198</v>
          </cell>
          <cell r="BS223">
            <v>2256387.2597362888</v>
          </cell>
          <cell r="BT223">
            <v>1996924.9953691768</v>
          </cell>
          <cell r="BU223">
            <v>1829281.8892257828</v>
          </cell>
          <cell r="BV223">
            <v>1878260.8480738134</v>
          </cell>
          <cell r="BW223">
            <v>2027511.3118312475</v>
          </cell>
          <cell r="BX223">
            <v>2706588.2932281587</v>
          </cell>
          <cell r="BY223">
            <v>3026222.4353024946</v>
          </cell>
        </row>
        <row r="224">
          <cell r="A224" t="str">
            <v>WA148</v>
          </cell>
          <cell r="B224" t="str">
            <v>WA*148</v>
          </cell>
          <cell r="D224">
            <v>3946421</v>
          </cell>
          <cell r="E224">
            <v>4318655</v>
          </cell>
          <cell r="F224">
            <v>4669265</v>
          </cell>
          <cell r="G224">
            <v>4789912</v>
          </cell>
          <cell r="H224">
            <v>4285450</v>
          </cell>
          <cell r="I224">
            <v>4314390</v>
          </cell>
          <cell r="J224">
            <v>3898228</v>
          </cell>
          <cell r="K224">
            <v>3570720</v>
          </cell>
          <cell r="L224">
            <v>3444765</v>
          </cell>
          <cell r="M224">
            <v>3251113</v>
          </cell>
          <cell r="N224">
            <v>3391247</v>
          </cell>
          <cell r="O224">
            <v>3473659</v>
          </cell>
          <cell r="P224">
            <v>3994644</v>
          </cell>
          <cell r="Q224">
            <v>4366636</v>
          </cell>
          <cell r="R224">
            <v>4717516</v>
          </cell>
          <cell r="S224">
            <v>4837947</v>
          </cell>
          <cell r="T224">
            <v>4333532</v>
          </cell>
          <cell r="U224">
            <v>4362371</v>
          </cell>
          <cell r="V224">
            <v>3946191</v>
          </cell>
          <cell r="W224">
            <v>3618621</v>
          </cell>
          <cell r="X224">
            <v>3492630</v>
          </cell>
          <cell r="Y224">
            <v>3298927</v>
          </cell>
          <cell r="Z224">
            <v>3439019</v>
          </cell>
          <cell r="AA224">
            <v>3521387</v>
          </cell>
          <cell r="AB224">
            <v>4042329</v>
          </cell>
          <cell r="AC224">
            <v>4414279</v>
          </cell>
          <cell r="AD224">
            <v>4764720</v>
          </cell>
          <cell r="AE224">
            <v>4884709</v>
          </cell>
          <cell r="AF224">
            <v>4379854</v>
          </cell>
          <cell r="AG224">
            <v>4408253</v>
          </cell>
          <cell r="AH224">
            <v>3991632</v>
          </cell>
          <cell r="AI224">
            <v>3663619</v>
          </cell>
          <cell r="AJ224">
            <v>3537185</v>
          </cell>
          <cell r="AK224">
            <v>3343041</v>
          </cell>
          <cell r="AL224">
            <v>3482690</v>
          </cell>
          <cell r="AM224">
            <v>3564613</v>
          </cell>
          <cell r="AN224">
            <v>4085112</v>
          </cell>
          <cell r="AO224">
            <v>4456618</v>
          </cell>
          <cell r="AP224">
            <v>4806907</v>
          </cell>
          <cell r="AQ224">
            <v>4926746</v>
          </cell>
          <cell r="AR224">
            <v>4421741</v>
          </cell>
          <cell r="AS224">
            <v>4449988</v>
          </cell>
          <cell r="AT224">
            <v>4033218</v>
          </cell>
          <cell r="AU224">
            <v>3705056</v>
          </cell>
          <cell r="AV224">
            <v>3578473</v>
          </cell>
          <cell r="AW224">
            <v>3384180</v>
          </cell>
          <cell r="AX224">
            <v>3523680</v>
          </cell>
          <cell r="AY224">
            <v>3605456</v>
          </cell>
          <cell r="AZ224">
            <v>4125807</v>
          </cell>
          <cell r="BA224">
            <v>4497165</v>
          </cell>
          <cell r="BB224">
            <v>4847421</v>
          </cell>
          <cell r="BC224">
            <v>4967227</v>
          </cell>
          <cell r="BD224">
            <v>4462189</v>
          </cell>
          <cell r="BE224">
            <v>4490406</v>
          </cell>
          <cell r="BF224">
            <v>4073603</v>
          </cell>
          <cell r="BG224">
            <v>3745411</v>
          </cell>
          <cell r="BH224">
            <v>3618798</v>
          </cell>
          <cell r="BI224">
            <v>3424475</v>
          </cell>
          <cell r="BJ224">
            <v>3563947</v>
          </cell>
          <cell r="BK224">
            <v>3645693</v>
          </cell>
          <cell r="BL224">
            <v>4166016</v>
          </cell>
          <cell r="BM224">
            <v>4537347</v>
          </cell>
          <cell r="BN224">
            <v>4847421</v>
          </cell>
          <cell r="BO224">
            <v>4967227</v>
          </cell>
          <cell r="BP224">
            <v>4462189</v>
          </cell>
          <cell r="BQ224">
            <v>4490406</v>
          </cell>
          <cell r="BR224">
            <v>4073603</v>
          </cell>
          <cell r="BS224">
            <v>3745411</v>
          </cell>
          <cell r="BT224">
            <v>3618798</v>
          </cell>
          <cell r="BU224">
            <v>3424475</v>
          </cell>
          <cell r="BV224">
            <v>3563947</v>
          </cell>
          <cell r="BW224">
            <v>3645693</v>
          </cell>
          <cell r="BX224">
            <v>4166016</v>
          </cell>
          <cell r="BY224">
            <v>4537347</v>
          </cell>
        </row>
        <row r="225">
          <cell r="A225" t="str">
            <v>ID101</v>
          </cell>
          <cell r="B225" t="str">
            <v>ID*101</v>
          </cell>
          <cell r="C225" t="str">
            <v>ID101_dca</v>
          </cell>
          <cell r="D225">
            <v>5059784.8624174194</v>
          </cell>
          <cell r="E225">
            <v>11622299.976031316</v>
          </cell>
          <cell r="F225">
            <v>9674232.3681312539</v>
          </cell>
          <cell r="G225">
            <v>8328367.3227313105</v>
          </cell>
          <cell r="H225">
            <v>6643310.1675595548</v>
          </cell>
          <cell r="I225">
            <v>4196766.0456694495</v>
          </cell>
          <cell r="J225">
            <v>2379681.9709799043</v>
          </cell>
          <cell r="K225">
            <v>1405293.0565372712</v>
          </cell>
          <cell r="L225">
            <v>1112174.0391464466</v>
          </cell>
          <cell r="M225">
            <v>1038979.2104052568</v>
          </cell>
          <cell r="N225">
            <v>1377687.4904488639</v>
          </cell>
          <cell r="O225">
            <v>3662732.9496855023</v>
          </cell>
          <cell r="P225">
            <v>7699906.5846533021</v>
          </cell>
          <cell r="Q225">
            <v>10267380.135467676</v>
          </cell>
          <cell r="R225">
            <v>9750118.753242122</v>
          </cell>
          <cell r="S225">
            <v>7762177.3529289477</v>
          </cell>
          <cell r="T225">
            <v>6896826.5023758905</v>
          </cell>
          <cell r="U225">
            <v>4299384.0210929671</v>
          </cell>
          <cell r="V225">
            <v>2456510.4100787421</v>
          </cell>
          <cell r="W225">
            <v>1468376.2918894188</v>
          </cell>
          <cell r="X225">
            <v>1191270.5007232064</v>
          </cell>
          <cell r="Y225">
            <v>1067643.3147697682</v>
          </cell>
          <cell r="Z225">
            <v>1376386.411529131</v>
          </cell>
          <cell r="AA225">
            <v>3751050.9240243533</v>
          </cell>
          <cell r="AB225">
            <v>7788775.0412284415</v>
          </cell>
          <cell r="AC225">
            <v>10383126.47913814</v>
          </cell>
          <cell r="AD225">
            <v>9868334.9157791417</v>
          </cell>
          <cell r="AE225">
            <v>7837906.9549079277</v>
          </cell>
          <cell r="AF225">
            <v>6965340.442502657</v>
          </cell>
          <cell r="AG225">
            <v>4345490.838267914</v>
          </cell>
          <cell r="AH225">
            <v>2485640.8258887609</v>
          </cell>
          <cell r="AI225">
            <v>1498331.2420831453</v>
          </cell>
          <cell r="AJ225">
            <v>1221681.0446115457</v>
          </cell>
          <cell r="AK225">
            <v>1087831.345158837</v>
          </cell>
          <cell r="AL225">
            <v>1431414.4137861745</v>
          </cell>
          <cell r="AM225">
            <v>3803838.8560091024</v>
          </cell>
          <cell r="AN225">
            <v>7835795.2384524737</v>
          </cell>
          <cell r="AO225">
            <v>10505885.817244148</v>
          </cell>
          <cell r="AP225">
            <v>9921015.639395602</v>
          </cell>
          <cell r="AQ225">
            <v>8142110.0181164574</v>
          </cell>
          <cell r="AR225">
            <v>7022178.5082459887</v>
          </cell>
          <cell r="AS225">
            <v>4384352.4390407223</v>
          </cell>
          <cell r="AT225">
            <v>2518487.7199555002</v>
          </cell>
          <cell r="AU225">
            <v>1523797.6272405048</v>
          </cell>
          <cell r="AV225">
            <v>1239713.5068387608</v>
          </cell>
          <cell r="AW225">
            <v>1126842.6221563071</v>
          </cell>
          <cell r="AX225">
            <v>1460567.0302065872</v>
          </cell>
          <cell r="AY225">
            <v>3817066.405401594</v>
          </cell>
          <cell r="AZ225">
            <v>7915607.4992671944</v>
          </cell>
          <cell r="BA225">
            <v>10575548.858751779</v>
          </cell>
          <cell r="BB225">
            <v>10080174.280689491</v>
          </cell>
          <cell r="BC225">
            <v>8017120.4455376742</v>
          </cell>
          <cell r="BD225">
            <v>7139920.3767324258</v>
          </cell>
          <cell r="BE225">
            <v>4458086.8113974184</v>
          </cell>
          <cell r="BF225">
            <v>2559795.8936469094</v>
          </cell>
          <cell r="BG225">
            <v>1547338.2935955354</v>
          </cell>
          <cell r="BH225">
            <v>1279135.4621066512</v>
          </cell>
          <cell r="BI225">
            <v>1162379.4709049407</v>
          </cell>
          <cell r="BJ225">
            <v>1483120.7022828308</v>
          </cell>
          <cell r="BK225">
            <v>3919752.9370805682</v>
          </cell>
          <cell r="BL225">
            <v>8076075.9233430047</v>
          </cell>
          <cell r="BM225">
            <v>10758798.906816199</v>
          </cell>
          <cell r="BN225">
            <v>10080174.280689491</v>
          </cell>
          <cell r="BO225">
            <v>8017120.4455376742</v>
          </cell>
          <cell r="BP225">
            <v>7139920.3767324258</v>
          </cell>
          <cell r="BQ225">
            <v>4458086.8113974184</v>
          </cell>
          <cell r="BR225">
            <v>2559795.8936469094</v>
          </cell>
          <cell r="BS225">
            <v>1547338.2935955354</v>
          </cell>
          <cell r="BT225">
            <v>1279135.4621066512</v>
          </cell>
          <cell r="BU225">
            <v>1162379.4709049407</v>
          </cell>
          <cell r="BV225">
            <v>1483120.7022828308</v>
          </cell>
          <cell r="BW225">
            <v>3919752.9370805682</v>
          </cell>
          <cell r="BX225">
            <v>8076075.9233430047</v>
          </cell>
          <cell r="BY225">
            <v>10758798.906816199</v>
          </cell>
        </row>
        <row r="226">
          <cell r="A226" t="str">
            <v>ID111</v>
          </cell>
          <cell r="B226" t="str">
            <v>ID*111</v>
          </cell>
          <cell r="C226" t="str">
            <v>ID111_dca</v>
          </cell>
          <cell r="D226">
            <v>2060371.0131368176</v>
          </cell>
          <cell r="E226">
            <v>3896632.5197947146</v>
          </cell>
          <cell r="F226">
            <v>3301345.7583267833</v>
          </cell>
          <cell r="G226">
            <v>2846737.458617914</v>
          </cell>
          <cell r="H226">
            <v>2265393.9266660959</v>
          </cell>
          <cell r="I226">
            <v>1429718.6811973494</v>
          </cell>
          <cell r="J226">
            <v>921757.95542267209</v>
          </cell>
          <cell r="K226">
            <v>818004.10239943734</v>
          </cell>
          <cell r="L226">
            <v>1022684.8439337445</v>
          </cell>
          <cell r="M226">
            <v>1233276.775192186</v>
          </cell>
          <cell r="N226">
            <v>1247584.1488722062</v>
          </cell>
          <cell r="O226">
            <v>2210398.6372966105</v>
          </cell>
          <cell r="P226">
            <v>3169540.1783218565</v>
          </cell>
          <cell r="Q226">
            <v>3508496.4232753473</v>
          </cell>
          <cell r="R226">
            <v>3416510.886578836</v>
          </cell>
          <cell r="S226">
            <v>2677203.8154940996</v>
          </cell>
          <cell r="T226">
            <v>2338037.3869294855</v>
          </cell>
          <cell r="U226">
            <v>1415418.4574327606</v>
          </cell>
          <cell r="V226">
            <v>902587.21277392074</v>
          </cell>
          <cell r="W226">
            <v>813492.46770949895</v>
          </cell>
          <cell r="X226">
            <v>1011441.709042476</v>
          </cell>
          <cell r="Y226">
            <v>1201170.5011107372</v>
          </cell>
          <cell r="Z226">
            <v>1264775.8575856306</v>
          </cell>
          <cell r="AA226">
            <v>2241324.0973200933</v>
          </cell>
          <cell r="AB226">
            <v>3240055.8637235472</v>
          </cell>
          <cell r="AC226">
            <v>3610526.8015244342</v>
          </cell>
          <cell r="AD226">
            <v>3497406.0445651216</v>
          </cell>
          <cell r="AE226">
            <v>2732808.6212807666</v>
          </cell>
          <cell r="AF226">
            <v>2357545.392239294</v>
          </cell>
          <cell r="AG226">
            <v>1418925.2881047369</v>
          </cell>
          <cell r="AH226">
            <v>911912.1572559179</v>
          </cell>
          <cell r="AI226">
            <v>815797.09670215647</v>
          </cell>
          <cell r="AJ226">
            <v>1010788.098208531</v>
          </cell>
          <cell r="AK226">
            <v>1208505.3923264993</v>
          </cell>
          <cell r="AL226">
            <v>1268407.0370202167</v>
          </cell>
          <cell r="AM226">
            <v>2256666.9234953234</v>
          </cell>
          <cell r="AN226">
            <v>3300921.0498819239</v>
          </cell>
          <cell r="AO226">
            <v>3689417.3320480287</v>
          </cell>
          <cell r="AP226">
            <v>3554199.9176458875</v>
          </cell>
          <cell r="AQ226">
            <v>2854743.3523168578</v>
          </cell>
          <cell r="AR226">
            <v>2371351.2470941278</v>
          </cell>
          <cell r="AS226">
            <v>1425743.0186163955</v>
          </cell>
          <cell r="AT226">
            <v>914565.37756088597</v>
          </cell>
          <cell r="AU226">
            <v>815940.675051759</v>
          </cell>
          <cell r="AV226">
            <v>1016963.3348476039</v>
          </cell>
          <cell r="AW226">
            <v>1220916.3197519185</v>
          </cell>
          <cell r="AX226">
            <v>1276457.8769495445</v>
          </cell>
          <cell r="AY226">
            <v>2276007.2539477851</v>
          </cell>
          <cell r="AZ226">
            <v>3348614.1708756792</v>
          </cell>
          <cell r="BA226">
            <v>3746871.1792127462</v>
          </cell>
          <cell r="BB226">
            <v>3644358.479082332</v>
          </cell>
          <cell r="BC226">
            <v>2821643.0361279966</v>
          </cell>
          <cell r="BD226">
            <v>2416208.7471154826</v>
          </cell>
          <cell r="BE226">
            <v>1449567.8332989998</v>
          </cell>
          <cell r="BF226">
            <v>922276.61120863387</v>
          </cell>
          <cell r="BG226">
            <v>817378.66284189583</v>
          </cell>
          <cell r="BH226">
            <v>1019815.4729885883</v>
          </cell>
          <cell r="BI226">
            <v>1226116.792264756</v>
          </cell>
          <cell r="BJ226">
            <v>1287415.7029846034</v>
          </cell>
          <cell r="BK226">
            <v>2312145.7690284019</v>
          </cell>
          <cell r="BL226">
            <v>3430248.7117168391</v>
          </cell>
          <cell r="BM226">
            <v>3842549.2390971989</v>
          </cell>
          <cell r="BN226">
            <v>3644358.479082332</v>
          </cell>
          <cell r="BO226">
            <v>2821643.0361279966</v>
          </cell>
          <cell r="BP226">
            <v>2416208.7471154826</v>
          </cell>
          <cell r="BQ226">
            <v>1449567.8332989998</v>
          </cell>
          <cell r="BR226">
            <v>922276.61120863387</v>
          </cell>
          <cell r="BS226">
            <v>817378.66284189583</v>
          </cell>
          <cell r="BT226">
            <v>1019815.4729885883</v>
          </cell>
          <cell r="BU226">
            <v>1226116.792264756</v>
          </cell>
          <cell r="BV226">
            <v>1287415.7029846034</v>
          </cell>
          <cell r="BW226">
            <v>2312145.7690284019</v>
          </cell>
          <cell r="BX226">
            <v>3430248.7117168391</v>
          </cell>
          <cell r="BY226">
            <v>3842549.2390971989</v>
          </cell>
        </row>
        <row r="227">
          <cell r="A227" t="str">
            <v>ID132</v>
          </cell>
          <cell r="B227" t="str">
            <v>ID*132</v>
          </cell>
          <cell r="C227" t="str">
            <v>ID132_c</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0</v>
          </cell>
          <cell r="BY227">
            <v>0</v>
          </cell>
        </row>
        <row r="228">
          <cell r="A228" t="str">
            <v>ID146</v>
          </cell>
          <cell r="B228" t="str">
            <v>ID*146</v>
          </cell>
          <cell r="D228">
            <v>271542.7478963965</v>
          </cell>
          <cell r="E228">
            <v>225558.48206176644</v>
          </cell>
          <cell r="F228">
            <v>260376.99420808392</v>
          </cell>
          <cell r="G228">
            <v>246683.30158308541</v>
          </cell>
          <cell r="H228">
            <v>212115.3038679965</v>
          </cell>
          <cell r="I228">
            <v>219057.19519406237</v>
          </cell>
          <cell r="J228">
            <v>277250.65987144713</v>
          </cell>
          <cell r="K228">
            <v>298037.17727345997</v>
          </cell>
          <cell r="L228">
            <v>274889.9557662002</v>
          </cell>
          <cell r="M228">
            <v>224834.18832160271</v>
          </cell>
          <cell r="N228">
            <v>208907.85101914845</v>
          </cell>
          <cell r="O228">
            <v>224941.0516643225</v>
          </cell>
          <cell r="P228">
            <v>293739.24331878044</v>
          </cell>
          <cell r="Q228">
            <v>221797.84198828944</v>
          </cell>
          <cell r="R228">
            <v>259922.53199603086</v>
          </cell>
          <cell r="S228">
            <v>241509.94510883169</v>
          </cell>
          <cell r="T228">
            <v>218833.85051907098</v>
          </cell>
          <cell r="U228">
            <v>247082.09251320144</v>
          </cell>
          <cell r="V228">
            <v>283644.67307164945</v>
          </cell>
          <cell r="W228">
            <v>311664.57429757883</v>
          </cell>
          <cell r="X228">
            <v>272649.65890230337</v>
          </cell>
          <cell r="Y228">
            <v>233948.86230433226</v>
          </cell>
          <cell r="Z228">
            <v>212143.11661081266</v>
          </cell>
          <cell r="AA228">
            <v>223805.97370000309</v>
          </cell>
          <cell r="AB228">
            <v>274014.8873710772</v>
          </cell>
          <cell r="AC228">
            <v>239712.62145864623</v>
          </cell>
          <cell r="AD228">
            <v>293651.61674906366</v>
          </cell>
          <cell r="AE228">
            <v>280564.67297664762</v>
          </cell>
          <cell r="AF228">
            <v>230205.21981093998</v>
          </cell>
          <cell r="AG228">
            <v>256157.556094923</v>
          </cell>
          <cell r="AH228">
            <v>283152.84290088806</v>
          </cell>
          <cell r="AI228">
            <v>303609.66594222712</v>
          </cell>
          <cell r="AJ228">
            <v>276901.22178599739</v>
          </cell>
          <cell r="AK228">
            <v>242881.07765319635</v>
          </cell>
          <cell r="AL228">
            <v>221469.3866183408</v>
          </cell>
          <cell r="AM228">
            <v>220139.3274243442</v>
          </cell>
          <cell r="AN228">
            <v>269283.35447043169</v>
          </cell>
          <cell r="AO228">
            <v>238215.47459228375</v>
          </cell>
          <cell r="AP228">
            <v>294169.98968688026</v>
          </cell>
          <cell r="AQ228">
            <v>284606.15212506824</v>
          </cell>
          <cell r="AR228">
            <v>228490.54687195641</v>
          </cell>
          <cell r="AS228">
            <v>248469.07694404526</v>
          </cell>
          <cell r="AT228">
            <v>284786.75156511168</v>
          </cell>
          <cell r="AU228">
            <v>302565.41115971655</v>
          </cell>
          <cell r="AV228">
            <v>280739.68045934127</v>
          </cell>
          <cell r="AW228">
            <v>242703.26822994053</v>
          </cell>
          <cell r="AX228">
            <v>222543.69674143411</v>
          </cell>
          <cell r="AY228">
            <v>223489.65221544384</v>
          </cell>
          <cell r="AZ228">
            <v>279490.15348383528</v>
          </cell>
          <cell r="BA228">
            <v>234450.11441662157</v>
          </cell>
          <cell r="BB228">
            <v>284614.13364418608</v>
          </cell>
          <cell r="BC228">
            <v>273792.50263995759</v>
          </cell>
          <cell r="BD228">
            <v>227182.89799359418</v>
          </cell>
          <cell r="BE228">
            <v>248093.38551983191</v>
          </cell>
          <cell r="BF228">
            <v>287573.65478708246</v>
          </cell>
          <cell r="BG228">
            <v>308139.30281272531</v>
          </cell>
          <cell r="BH228">
            <v>281816.71935586864</v>
          </cell>
          <cell r="BI228">
            <v>242592.53879738972</v>
          </cell>
          <cell r="BJ228">
            <v>222117.20616598678</v>
          </cell>
          <cell r="BK228">
            <v>227151.5690173668</v>
          </cell>
          <cell r="BL228">
            <v>283276.86274502793</v>
          </cell>
          <cell r="BM228">
            <v>237847.18853623088</v>
          </cell>
          <cell r="BN228">
            <v>284614.13364418608</v>
          </cell>
          <cell r="BO228">
            <v>273792.50263995759</v>
          </cell>
          <cell r="BP228">
            <v>227182.89799359418</v>
          </cell>
          <cell r="BQ228">
            <v>248093.38551983191</v>
          </cell>
          <cell r="BR228">
            <v>287573.65478708246</v>
          </cell>
          <cell r="BS228">
            <v>308139.30281272531</v>
          </cell>
          <cell r="BT228">
            <v>281816.71935586864</v>
          </cell>
          <cell r="BU228">
            <v>242592.53879738972</v>
          </cell>
          <cell r="BV228">
            <v>222117.20616598678</v>
          </cell>
          <cell r="BW228">
            <v>227151.5690173668</v>
          </cell>
          <cell r="BX228">
            <v>283276.86274502793</v>
          </cell>
          <cell r="BY228">
            <v>237847.18853623088</v>
          </cell>
        </row>
        <row r="229">
          <cell r="A229" t="str">
            <v>ID147</v>
          </cell>
          <cell r="B229" t="str">
            <v>ID*147</v>
          </cell>
          <cell r="D229">
            <v>116932</v>
          </cell>
          <cell r="E229">
            <v>120103</v>
          </cell>
          <cell r="F229">
            <v>125122.99999999999</v>
          </cell>
          <cell r="G229">
            <v>120108</v>
          </cell>
          <cell r="H229">
            <v>108241</v>
          </cell>
          <cell r="I229">
            <v>120988</v>
          </cell>
          <cell r="J229">
            <v>111044</v>
          </cell>
          <cell r="K229">
            <v>108435.99999999999</v>
          </cell>
          <cell r="L229">
            <v>104229</v>
          </cell>
          <cell r="M229">
            <v>101961</v>
          </cell>
          <cell r="N229">
            <v>114450</v>
          </cell>
          <cell r="O229">
            <v>112164.99999999999</v>
          </cell>
          <cell r="P229">
            <v>134672</v>
          </cell>
          <cell r="Q229">
            <v>122140</v>
          </cell>
          <cell r="R229">
            <v>127264</v>
          </cell>
          <cell r="S229">
            <v>126488</v>
          </cell>
          <cell r="T229">
            <v>118747</v>
          </cell>
          <cell r="U229">
            <v>131223</v>
          </cell>
          <cell r="V229">
            <v>119516.00000000001</v>
          </cell>
          <cell r="W229">
            <v>114538</v>
          </cell>
          <cell r="X229">
            <v>110726</v>
          </cell>
          <cell r="Y229">
            <v>107487.00000000001</v>
          </cell>
          <cell r="Z229">
            <v>120202</v>
          </cell>
          <cell r="AA229">
            <v>113325</v>
          </cell>
          <cell r="AB229">
            <v>135939</v>
          </cell>
          <cell r="AC229">
            <v>128824</v>
          </cell>
          <cell r="AD229">
            <v>133847</v>
          </cell>
          <cell r="AE229">
            <v>131552</v>
          </cell>
          <cell r="AF229">
            <v>122330</v>
          </cell>
          <cell r="AG229">
            <v>134835</v>
          </cell>
          <cell r="AH229">
            <v>123669.00000000001</v>
          </cell>
          <cell r="AI229">
            <v>119440</v>
          </cell>
          <cell r="AJ229">
            <v>115429</v>
          </cell>
          <cell r="AK229">
            <v>112458.00000000001</v>
          </cell>
          <cell r="AL229">
            <v>125031</v>
          </cell>
          <cell r="AM229">
            <v>119664.99999999999</v>
          </cell>
          <cell r="AN229">
            <v>142178</v>
          </cell>
          <cell r="AO229">
            <v>133139</v>
          </cell>
          <cell r="AP229">
            <v>138159</v>
          </cell>
          <cell r="AQ229">
            <v>136348</v>
          </cell>
          <cell r="AR229">
            <v>127597</v>
          </cell>
          <cell r="AS229">
            <v>140055</v>
          </cell>
          <cell r="AT229">
            <v>128664.99999999999</v>
          </cell>
          <cell r="AU229">
            <v>124143.00000000001</v>
          </cell>
          <cell r="AV229">
            <v>120161.99999999999</v>
          </cell>
          <cell r="AW229">
            <v>117061</v>
          </cell>
          <cell r="AX229">
            <v>129644</v>
          </cell>
          <cell r="AY229">
            <v>123722</v>
          </cell>
          <cell r="AZ229">
            <v>146231</v>
          </cell>
          <cell r="BA229">
            <v>137815</v>
          </cell>
          <cell r="BB229">
            <v>142836</v>
          </cell>
          <cell r="BC229">
            <v>140859</v>
          </cell>
          <cell r="BD229">
            <v>131948</v>
          </cell>
          <cell r="BE229">
            <v>144422</v>
          </cell>
          <cell r="BF229">
            <v>133109</v>
          </cell>
          <cell r="BG229">
            <v>128688</v>
          </cell>
          <cell r="BH229">
            <v>124697</v>
          </cell>
          <cell r="BI229">
            <v>121641</v>
          </cell>
          <cell r="BJ229">
            <v>134221</v>
          </cell>
          <cell r="BK229">
            <v>128490.00000000001</v>
          </cell>
          <cell r="BL229">
            <v>151001</v>
          </cell>
          <cell r="BM229">
            <v>142371</v>
          </cell>
          <cell r="BN229">
            <v>142836</v>
          </cell>
          <cell r="BO229">
            <v>140859</v>
          </cell>
          <cell r="BP229">
            <v>131948</v>
          </cell>
          <cell r="BQ229">
            <v>144422</v>
          </cell>
          <cell r="BR229">
            <v>133109</v>
          </cell>
          <cell r="BS229">
            <v>128688</v>
          </cell>
          <cell r="BT229">
            <v>124697</v>
          </cell>
          <cell r="BU229">
            <v>121641</v>
          </cell>
          <cell r="BV229">
            <v>134221</v>
          </cell>
          <cell r="BW229">
            <v>128490.00000000001</v>
          </cell>
          <cell r="BX229">
            <v>151001</v>
          </cell>
          <cell r="BY229">
            <v>142371</v>
          </cell>
        </row>
        <row r="230">
          <cell r="A230" t="str">
            <v>ID159</v>
          </cell>
          <cell r="B230" t="str">
            <v>ID*159</v>
          </cell>
          <cell r="D230">
            <v>3115836</v>
          </cell>
          <cell r="E230">
            <v>4054467</v>
          </cell>
          <cell r="F230">
            <v>4438844</v>
          </cell>
          <cell r="G230">
            <v>3960005</v>
          </cell>
          <cell r="H230">
            <v>4131961</v>
          </cell>
          <cell r="I230">
            <v>3647558</v>
          </cell>
          <cell r="J230">
            <v>3145688</v>
          </cell>
          <cell r="K230">
            <v>2969398</v>
          </cell>
          <cell r="L230">
            <v>2498247</v>
          </cell>
          <cell r="M230">
            <v>2742723</v>
          </cell>
          <cell r="N230">
            <v>2728099</v>
          </cell>
          <cell r="O230">
            <v>2896125</v>
          </cell>
          <cell r="P230">
            <v>2832688</v>
          </cell>
          <cell r="Q230">
            <v>3945237</v>
          </cell>
          <cell r="R230">
            <v>4241065</v>
          </cell>
          <cell r="S230">
            <v>3703094</v>
          </cell>
          <cell r="T230">
            <v>3988160</v>
          </cell>
          <cell r="U230">
            <v>3390067</v>
          </cell>
          <cell r="V230">
            <v>2945722</v>
          </cell>
          <cell r="W230">
            <v>2978176</v>
          </cell>
          <cell r="X230">
            <v>2687425</v>
          </cell>
          <cell r="Y230">
            <v>2913372</v>
          </cell>
          <cell r="Z230">
            <v>3034017</v>
          </cell>
          <cell r="AA230">
            <v>3219739</v>
          </cell>
          <cell r="AB230">
            <v>3060787</v>
          </cell>
          <cell r="AC230">
            <v>4065704</v>
          </cell>
          <cell r="AD230">
            <v>4331600</v>
          </cell>
          <cell r="AE230">
            <v>3698669</v>
          </cell>
          <cell r="AF230">
            <v>3925726</v>
          </cell>
          <cell r="AG230">
            <v>3322738</v>
          </cell>
          <cell r="AH230">
            <v>2843407</v>
          </cell>
          <cell r="AI230">
            <v>2820774</v>
          </cell>
          <cell r="AJ230">
            <v>2534804</v>
          </cell>
          <cell r="AK230">
            <v>2799857</v>
          </cell>
          <cell r="AL230">
            <v>2942501</v>
          </cell>
          <cell r="AM230">
            <v>3190101</v>
          </cell>
          <cell r="AN230">
            <v>3109404</v>
          </cell>
          <cell r="AO230">
            <v>4166724</v>
          </cell>
          <cell r="AP230">
            <v>4457081</v>
          </cell>
          <cell r="AQ230">
            <v>3848170</v>
          </cell>
          <cell r="AR230">
            <v>4063060</v>
          </cell>
          <cell r="AS230">
            <v>3428518</v>
          </cell>
          <cell r="AT230">
            <v>2922531</v>
          </cell>
          <cell r="AU230">
            <v>2873315</v>
          </cell>
          <cell r="AV230">
            <v>2545868</v>
          </cell>
          <cell r="AW230">
            <v>2776901</v>
          </cell>
          <cell r="AX230">
            <v>2896118</v>
          </cell>
          <cell r="AY230">
            <v>3121676</v>
          </cell>
          <cell r="AZ230">
            <v>3030249</v>
          </cell>
          <cell r="BA230">
            <v>4096854</v>
          </cell>
          <cell r="BB230">
            <v>4406805</v>
          </cell>
          <cell r="BC230">
            <v>3822583</v>
          </cell>
          <cell r="BD230">
            <v>4070802</v>
          </cell>
          <cell r="BE230">
            <v>3467053</v>
          </cell>
          <cell r="BF230">
            <v>2981573</v>
          </cell>
          <cell r="BG230">
            <v>2945259</v>
          </cell>
          <cell r="BH230">
            <v>2624431</v>
          </cell>
          <cell r="BI230">
            <v>2850911</v>
          </cell>
          <cell r="BJ230">
            <v>2958473</v>
          </cell>
          <cell r="BK230">
            <v>3169026</v>
          </cell>
          <cell r="BL230">
            <v>3058551</v>
          </cell>
          <cell r="BM230">
            <v>4103788</v>
          </cell>
          <cell r="BN230">
            <v>4406805</v>
          </cell>
          <cell r="BO230">
            <v>3822583</v>
          </cell>
          <cell r="BP230">
            <v>4070802</v>
          </cell>
          <cell r="BQ230">
            <v>3467053</v>
          </cell>
          <cell r="BR230">
            <v>2981573</v>
          </cell>
          <cell r="BS230">
            <v>2945259</v>
          </cell>
          <cell r="BT230">
            <v>2624431</v>
          </cell>
          <cell r="BU230">
            <v>2850911</v>
          </cell>
          <cell r="BV230">
            <v>2958473</v>
          </cell>
          <cell r="BW230">
            <v>3169026</v>
          </cell>
          <cell r="BX230">
            <v>3058551</v>
          </cell>
          <cell r="BY230">
            <v>4103788</v>
          </cell>
        </row>
        <row r="231">
          <cell r="A231" t="str">
            <v>OR410</v>
          </cell>
          <cell r="B231" t="str">
            <v>OR*410</v>
          </cell>
          <cell r="C231" t="str">
            <v>OR410_dca</v>
          </cell>
          <cell r="D231">
            <v>4313211.5468475679</v>
          </cell>
          <cell r="E231">
            <v>8601525.9706882592</v>
          </cell>
          <cell r="F231">
            <v>8405221.0204841942</v>
          </cell>
          <cell r="G231">
            <v>6299261.3509836663</v>
          </cell>
          <cell r="H231">
            <v>5387100.4019220797</v>
          </cell>
          <cell r="I231">
            <v>4011187.2953740852</v>
          </cell>
          <cell r="J231">
            <v>2452125.7252645311</v>
          </cell>
          <cell r="K231">
            <v>1516818.3417256277</v>
          </cell>
          <cell r="L231">
            <v>1314896.9631091899</v>
          </cell>
          <cell r="M231">
            <v>1213456.0269929846</v>
          </cell>
          <cell r="N231">
            <v>1262052.0610799284</v>
          </cell>
          <cell r="O231">
            <v>2897649.0418708371</v>
          </cell>
          <cell r="P231">
            <v>5933913.1550268987</v>
          </cell>
          <cell r="Q231">
            <v>8400689.0674129054</v>
          </cell>
          <cell r="R231">
            <v>8569540.7228416428</v>
          </cell>
          <cell r="S231">
            <v>6421469.690462226</v>
          </cell>
          <cell r="T231">
            <v>5800399.043621554</v>
          </cell>
          <cell r="U231">
            <v>4079654.2263987707</v>
          </cell>
          <cell r="V231">
            <v>2498459.3668687805</v>
          </cell>
          <cell r="W231">
            <v>1537420.6205012426</v>
          </cell>
          <cell r="X231">
            <v>1333975.404878353</v>
          </cell>
          <cell r="Y231">
            <v>1240178.5801140547</v>
          </cell>
          <cell r="Z231">
            <v>1297818.7404801745</v>
          </cell>
          <cell r="AA231">
            <v>2983838.7652525529</v>
          </cell>
          <cell r="AB231">
            <v>6119497.4726482425</v>
          </cell>
          <cell r="AC231">
            <v>8595738.1840650383</v>
          </cell>
          <cell r="AD231">
            <v>8665177.6205401756</v>
          </cell>
          <cell r="AE231">
            <v>6511701.5743425246</v>
          </cell>
          <cell r="AF231">
            <v>5858491.54853136</v>
          </cell>
          <cell r="AG231">
            <v>4117377.6579242912</v>
          </cell>
          <cell r="AH231">
            <v>2529906.4330620682</v>
          </cell>
          <cell r="AI231">
            <v>1541477.4577323925</v>
          </cell>
          <cell r="AJ231">
            <v>1338180.6086023801</v>
          </cell>
          <cell r="AK231">
            <v>1266736.7064028571</v>
          </cell>
          <cell r="AL231">
            <v>1306753.5265881934</v>
          </cell>
          <cell r="AM231">
            <v>3014861.5676425588</v>
          </cell>
          <cell r="AN231">
            <v>6167948.8042602343</v>
          </cell>
          <cell r="AO231">
            <v>8694654.6693178751</v>
          </cell>
          <cell r="AP231">
            <v>8717097.8279417064</v>
          </cell>
          <cell r="AQ231">
            <v>6778938.2621631455</v>
          </cell>
          <cell r="AR231">
            <v>5905701.1917733168</v>
          </cell>
          <cell r="AS231">
            <v>4153702.7889369018</v>
          </cell>
          <cell r="AT231">
            <v>2552172.2798566055</v>
          </cell>
          <cell r="AU231">
            <v>1559755.2555063879</v>
          </cell>
          <cell r="AV231">
            <v>1357055.8898083658</v>
          </cell>
          <cell r="AW231">
            <v>1271286.4880258034</v>
          </cell>
          <cell r="AX231">
            <v>1311461.6052962879</v>
          </cell>
          <cell r="AY231">
            <v>3026506.7832104503</v>
          </cell>
          <cell r="AZ231">
            <v>6208102.0822290191</v>
          </cell>
          <cell r="BA231">
            <v>8750484.8415008746</v>
          </cell>
          <cell r="BB231">
            <v>8884121.7411637791</v>
          </cell>
          <cell r="BC231">
            <v>6680171.9085487649</v>
          </cell>
          <cell r="BD231">
            <v>6015924.448540519</v>
          </cell>
          <cell r="BE231">
            <v>4225496.3796112686</v>
          </cell>
          <cell r="BF231">
            <v>2587021.5334913931</v>
          </cell>
          <cell r="BG231">
            <v>1580702.410915989</v>
          </cell>
          <cell r="BH231">
            <v>1371586.1075590975</v>
          </cell>
          <cell r="BI231">
            <v>1282971.3331933378</v>
          </cell>
          <cell r="BJ231">
            <v>1328842.4554987091</v>
          </cell>
          <cell r="BK231">
            <v>3072550.4674409614</v>
          </cell>
          <cell r="BL231">
            <v>6331033.2512621451</v>
          </cell>
          <cell r="BM231">
            <v>8922197.4318436421</v>
          </cell>
          <cell r="BN231">
            <v>8884121.7411637791</v>
          </cell>
          <cell r="BO231">
            <v>6680171.9085487649</v>
          </cell>
          <cell r="BP231">
            <v>6015924.448540519</v>
          </cell>
          <cell r="BQ231">
            <v>4225496.3796112686</v>
          </cell>
          <cell r="BR231">
            <v>2587021.5334913931</v>
          </cell>
          <cell r="BS231">
            <v>1580702.410915989</v>
          </cell>
          <cell r="BT231">
            <v>1371586.1075590975</v>
          </cell>
          <cell r="BU231">
            <v>1282971.3331933378</v>
          </cell>
          <cell r="BV231">
            <v>1328842.4554987091</v>
          </cell>
          <cell r="BW231">
            <v>3072550.4674409614</v>
          </cell>
          <cell r="BX231">
            <v>6331033.2512621451</v>
          </cell>
          <cell r="BY231">
            <v>8922197.4318436421</v>
          </cell>
        </row>
        <row r="232">
          <cell r="A232" t="str">
            <v>OR420</v>
          </cell>
          <cell r="B232" t="str">
            <v>OR*420</v>
          </cell>
          <cell r="C232" t="str">
            <v>OR420_dca</v>
          </cell>
          <cell r="D232">
            <v>2378256.8872174216</v>
          </cell>
          <cell r="E232">
            <v>4518985.1000360996</v>
          </cell>
          <cell r="F232">
            <v>4305173.7060623784</v>
          </cell>
          <cell r="G232">
            <v>3274221.5279183341</v>
          </cell>
          <cell r="H232">
            <v>2791063.2610220821</v>
          </cell>
          <cell r="I232">
            <v>2019793.8987660694</v>
          </cell>
          <cell r="J232">
            <v>1298310.6020491675</v>
          </cell>
          <cell r="K232">
            <v>872372.39999919292</v>
          </cell>
          <cell r="L232">
            <v>877492.96641414252</v>
          </cell>
          <cell r="M232">
            <v>905674.88598412543</v>
          </cell>
          <cell r="N232">
            <v>945270.3676143362</v>
          </cell>
          <cell r="O232">
            <v>1804723.8676048429</v>
          </cell>
          <cell r="P232">
            <v>3142756.2066413946</v>
          </cell>
          <cell r="Q232">
            <v>4326179.2498990521</v>
          </cell>
          <cell r="R232">
            <v>4414822.6599081885</v>
          </cell>
          <cell r="S232">
            <v>3351158.846741539</v>
          </cell>
          <cell r="T232">
            <v>2963564.139663232</v>
          </cell>
          <cell r="U232">
            <v>2057776.6657612342</v>
          </cell>
          <cell r="V232">
            <v>1316099.0971056882</v>
          </cell>
          <cell r="W232">
            <v>875744.65812558297</v>
          </cell>
          <cell r="X232">
            <v>881419.89714922896</v>
          </cell>
          <cell r="Y232">
            <v>912518.85688218195</v>
          </cell>
          <cell r="Z232">
            <v>937309.04134962126</v>
          </cell>
          <cell r="AA232">
            <v>1794592.7892401072</v>
          </cell>
          <cell r="AB232">
            <v>3153303.8242311175</v>
          </cell>
          <cell r="AC232">
            <v>4416767.4651657064</v>
          </cell>
          <cell r="AD232">
            <v>4462799.3599303029</v>
          </cell>
          <cell r="AE232">
            <v>3360797.9712634333</v>
          </cell>
          <cell r="AF232">
            <v>2990953.9469519439</v>
          </cell>
          <cell r="AG232">
            <v>2079005.8087061555</v>
          </cell>
          <cell r="AH232">
            <v>1322030.9883909123</v>
          </cell>
          <cell r="AI232">
            <v>892983.25987798302</v>
          </cell>
          <cell r="AJ232">
            <v>900877.98109186115</v>
          </cell>
          <cell r="AK232">
            <v>912125.28225100611</v>
          </cell>
          <cell r="AL232">
            <v>943559.30103540444</v>
          </cell>
          <cell r="AM232">
            <v>1807411.3388304398</v>
          </cell>
          <cell r="AN232">
            <v>3194723.6637996868</v>
          </cell>
          <cell r="AO232">
            <v>4453269.8611139413</v>
          </cell>
          <cell r="AP232">
            <v>4479689.8976009209</v>
          </cell>
          <cell r="AQ232">
            <v>3486233.6585642253</v>
          </cell>
          <cell r="AR232">
            <v>3002761.4611629993</v>
          </cell>
          <cell r="AS232">
            <v>2086060.5242326278</v>
          </cell>
          <cell r="AT232">
            <v>1333690.7986994691</v>
          </cell>
          <cell r="AU232">
            <v>901883.3927135074</v>
          </cell>
          <cell r="AV232">
            <v>907047.49154896953</v>
          </cell>
          <cell r="AW232">
            <v>924771.6689769713</v>
          </cell>
          <cell r="AX232">
            <v>956253.76189090789</v>
          </cell>
          <cell r="AY232">
            <v>1825445.5285136234</v>
          </cell>
          <cell r="AZ232">
            <v>3211792.1968312664</v>
          </cell>
          <cell r="BA232">
            <v>4472464.0860259794</v>
          </cell>
          <cell r="BB232">
            <v>4546966.9186547352</v>
          </cell>
          <cell r="BC232">
            <v>3422895.9867326622</v>
          </cell>
          <cell r="BD232">
            <v>3042939.992744985</v>
          </cell>
          <cell r="BE232">
            <v>2114971.8581387568</v>
          </cell>
          <cell r="BF232">
            <v>1351513.3133562342</v>
          </cell>
          <cell r="BG232">
            <v>907670.36693514907</v>
          </cell>
          <cell r="BH232">
            <v>914834.09772967559</v>
          </cell>
          <cell r="BI232">
            <v>935522.40874805127</v>
          </cell>
          <cell r="BJ232">
            <v>964261.96745646361</v>
          </cell>
          <cell r="BK232">
            <v>1850908.0381061207</v>
          </cell>
          <cell r="BL232">
            <v>3253737.8815642945</v>
          </cell>
          <cell r="BM232">
            <v>4537593.7570717735</v>
          </cell>
          <cell r="BN232">
            <v>4546966.9186547352</v>
          </cell>
          <cell r="BO232">
            <v>3422895.9867326622</v>
          </cell>
          <cell r="BP232">
            <v>3042939.992744985</v>
          </cell>
          <cell r="BQ232">
            <v>2114971.8581387568</v>
          </cell>
          <cell r="BR232">
            <v>1351513.3133562342</v>
          </cell>
          <cell r="BS232">
            <v>907670.36693514907</v>
          </cell>
          <cell r="BT232">
            <v>914834.09772967559</v>
          </cell>
          <cell r="BU232">
            <v>935522.40874805127</v>
          </cell>
          <cell r="BV232">
            <v>964261.96745646361</v>
          </cell>
          <cell r="BW232">
            <v>1850908.0381061207</v>
          </cell>
          <cell r="BX232">
            <v>3253737.8815642945</v>
          </cell>
          <cell r="BY232">
            <v>4537593.7570717735</v>
          </cell>
        </row>
        <row r="233">
          <cell r="A233" t="str">
            <v>OR424</v>
          </cell>
          <cell r="B233" t="str">
            <v>OR*424</v>
          </cell>
          <cell r="C233" t="str">
            <v>OR424_dca</v>
          </cell>
          <cell r="D233">
            <v>348117.30743175762</v>
          </cell>
          <cell r="E233">
            <v>470230.92187755229</v>
          </cell>
          <cell r="F233">
            <v>405072.7077906552</v>
          </cell>
          <cell r="G233">
            <v>333279.47803761263</v>
          </cell>
          <cell r="H233">
            <v>329739.93382141815</v>
          </cell>
          <cell r="I233">
            <v>272040.41244404396</v>
          </cell>
          <cell r="J233">
            <v>230743.40033319293</v>
          </cell>
          <cell r="K233">
            <v>212228.89764468311</v>
          </cell>
          <cell r="L233">
            <v>241753.82178827</v>
          </cell>
          <cell r="M233">
            <v>266117.39243881981</v>
          </cell>
          <cell r="N233">
            <v>249415.68765191847</v>
          </cell>
          <cell r="O233">
            <v>403526.61221919098</v>
          </cell>
          <cell r="P233">
            <v>488460.0051593298</v>
          </cell>
          <cell r="Q233">
            <v>470070.37559449353</v>
          </cell>
          <cell r="R233">
            <v>416245.90336089494</v>
          </cell>
          <cell r="S233">
            <v>342076.78407043411</v>
          </cell>
          <cell r="T233">
            <v>357783.29251718929</v>
          </cell>
          <cell r="U233">
            <v>280277.65771248162</v>
          </cell>
          <cell r="V233">
            <v>233458.99047723561</v>
          </cell>
          <cell r="W233">
            <v>211677.58016205466</v>
          </cell>
          <cell r="X233">
            <v>249851.08147468985</v>
          </cell>
          <cell r="Y233">
            <v>266847.31789796409</v>
          </cell>
          <cell r="Z233">
            <v>252390.59190191911</v>
          </cell>
          <cell r="AA233">
            <v>413837.51331229834</v>
          </cell>
          <cell r="AB233">
            <v>498774.28283705201</v>
          </cell>
          <cell r="AC233">
            <v>482379.01808840164</v>
          </cell>
          <cell r="AD233">
            <v>421524.90703617159</v>
          </cell>
          <cell r="AE233">
            <v>349511.63574849162</v>
          </cell>
          <cell r="AF233">
            <v>366014.21798735094</v>
          </cell>
          <cell r="AG233">
            <v>288642.82015229028</v>
          </cell>
          <cell r="AH233">
            <v>238137.13316742342</v>
          </cell>
          <cell r="AI233">
            <v>215979.46564547025</v>
          </cell>
          <cell r="AJ233">
            <v>252666.97571329237</v>
          </cell>
          <cell r="AK233">
            <v>269347.32601280941</v>
          </cell>
          <cell r="AL233">
            <v>260002.11671936978</v>
          </cell>
          <cell r="AM233">
            <v>422898.16678281146</v>
          </cell>
          <cell r="AN233">
            <v>511287.63256744121</v>
          </cell>
          <cell r="AO233">
            <v>492148.62962619629</v>
          </cell>
          <cell r="AP233">
            <v>429590.79167487298</v>
          </cell>
          <cell r="AQ233">
            <v>364656.55307219498</v>
          </cell>
          <cell r="AR233">
            <v>369027.32406705013</v>
          </cell>
          <cell r="AS233">
            <v>291579.71124484012</v>
          </cell>
          <cell r="AT233">
            <v>240407.10548972519</v>
          </cell>
          <cell r="AU233">
            <v>218305.30181627971</v>
          </cell>
          <cell r="AV233">
            <v>256083.69927721738</v>
          </cell>
          <cell r="AW233">
            <v>276853.6492719521</v>
          </cell>
          <cell r="AX233">
            <v>266209.47508402704</v>
          </cell>
          <cell r="AY233">
            <v>430746.38358824205</v>
          </cell>
          <cell r="AZ233">
            <v>516832.69450369512</v>
          </cell>
          <cell r="BA233">
            <v>497454.50071861624</v>
          </cell>
          <cell r="BB233">
            <v>439211.13434749702</v>
          </cell>
          <cell r="BC233">
            <v>360231.04006282048</v>
          </cell>
          <cell r="BD233">
            <v>375901.00675101351</v>
          </cell>
          <cell r="BE233">
            <v>296415.86758162425</v>
          </cell>
          <cell r="BF233">
            <v>244643.86710880106</v>
          </cell>
          <cell r="BG233">
            <v>221771.1980675114</v>
          </cell>
          <cell r="BH233">
            <v>260797.91319470789</v>
          </cell>
          <cell r="BI233">
            <v>281455.62192655826</v>
          </cell>
          <cell r="BJ233">
            <v>270833.3056513145</v>
          </cell>
          <cell r="BK233">
            <v>440222.92165610852</v>
          </cell>
          <cell r="BL233">
            <v>527255.05464452389</v>
          </cell>
          <cell r="BM233">
            <v>508268.21124903695</v>
          </cell>
          <cell r="BN233">
            <v>439211.13434749702</v>
          </cell>
          <cell r="BO233">
            <v>360231.04006282048</v>
          </cell>
          <cell r="BP233">
            <v>375901.00675101351</v>
          </cell>
          <cell r="BQ233">
            <v>296415.86758162425</v>
          </cell>
          <cell r="BR233">
            <v>244643.86710880106</v>
          </cell>
          <cell r="BS233">
            <v>221771.1980675114</v>
          </cell>
          <cell r="BT233">
            <v>260797.91319470789</v>
          </cell>
          <cell r="BU233">
            <v>281455.62192655826</v>
          </cell>
          <cell r="BV233">
            <v>270833.3056513145</v>
          </cell>
          <cell r="BW233">
            <v>440222.92165610852</v>
          </cell>
          <cell r="BX233">
            <v>527255.05464452389</v>
          </cell>
          <cell r="BY233">
            <v>508268.21124903695</v>
          </cell>
        </row>
        <row r="234">
          <cell r="A234" t="str">
            <v>OR440</v>
          </cell>
          <cell r="B234" t="str">
            <v>OR*440</v>
          </cell>
          <cell r="C234" t="str">
            <v>OR440_ca</v>
          </cell>
          <cell r="D234">
            <v>371044.47153218178</v>
          </cell>
          <cell r="E234">
            <v>449856.5164649511</v>
          </cell>
          <cell r="F234">
            <v>398177.13849931158</v>
          </cell>
          <cell r="G234">
            <v>338776.51871315838</v>
          </cell>
          <cell r="H234">
            <v>309979.27230596083</v>
          </cell>
          <cell r="I234">
            <v>275914.53523846337</v>
          </cell>
          <cell r="J234">
            <v>229224.87014242407</v>
          </cell>
          <cell r="K234">
            <v>212905.76939849555</v>
          </cell>
          <cell r="L234">
            <v>255437.90286816342</v>
          </cell>
          <cell r="M234">
            <v>294538.55736248498</v>
          </cell>
          <cell r="N234">
            <v>460745.32742943114</v>
          </cell>
          <cell r="O234">
            <v>491279.98342868045</v>
          </cell>
          <cell r="P234">
            <v>503473.39997457643</v>
          </cell>
          <cell r="Q234">
            <v>435904.37367866409</v>
          </cell>
          <cell r="R234">
            <v>397301.57900483604</v>
          </cell>
          <cell r="S234">
            <v>337836.3620114756</v>
          </cell>
          <cell r="T234">
            <v>324274.01098505466</v>
          </cell>
          <cell r="U234">
            <v>276160.25269640068</v>
          </cell>
          <cell r="V234">
            <v>226871.4998540552</v>
          </cell>
          <cell r="W234">
            <v>210317.41455939069</v>
          </cell>
          <cell r="X234">
            <v>253625.9230843175</v>
          </cell>
          <cell r="Y234">
            <v>291666.6454783004</v>
          </cell>
          <cell r="Z234">
            <v>464066.51471519365</v>
          </cell>
          <cell r="AA234">
            <v>504701.70084385423</v>
          </cell>
          <cell r="AB234">
            <v>512594.3931045488</v>
          </cell>
          <cell r="AC234">
            <v>442770.4700320916</v>
          </cell>
          <cell r="AD234">
            <v>398796.71223163634</v>
          </cell>
          <cell r="AE234">
            <v>341069.17739935371</v>
          </cell>
          <cell r="AF234">
            <v>327641.02504263795</v>
          </cell>
          <cell r="AG234">
            <v>277200.45505876292</v>
          </cell>
          <cell r="AH234">
            <v>227185.91954931986</v>
          </cell>
          <cell r="AI234">
            <v>211031.21858092298</v>
          </cell>
          <cell r="AJ234">
            <v>253925.16937943624</v>
          </cell>
          <cell r="AK234">
            <v>290656.85925531521</v>
          </cell>
          <cell r="AL234">
            <v>468252.64504571469</v>
          </cell>
          <cell r="AM234">
            <v>510434.700257955</v>
          </cell>
          <cell r="AN234">
            <v>520120.80953888729</v>
          </cell>
          <cell r="AO234">
            <v>446244.47845413513</v>
          </cell>
          <cell r="AP234">
            <v>400242.40934492019</v>
          </cell>
          <cell r="AQ234">
            <v>352047.81800822821</v>
          </cell>
          <cell r="AR234">
            <v>326825.58020386682</v>
          </cell>
          <cell r="AS234">
            <v>277266.26935035124</v>
          </cell>
          <cell r="AT234">
            <v>226543.84373890661</v>
          </cell>
          <cell r="AU234">
            <v>210261.57250759422</v>
          </cell>
          <cell r="AV234">
            <v>254382.82176017217</v>
          </cell>
          <cell r="AW234">
            <v>295574.4755763014</v>
          </cell>
          <cell r="AX234">
            <v>473258.07158628863</v>
          </cell>
          <cell r="AY234">
            <v>514167.48082847468</v>
          </cell>
          <cell r="AZ234">
            <v>521565.20274802903</v>
          </cell>
          <cell r="BA234">
            <v>446948.7937979126</v>
          </cell>
          <cell r="BB234">
            <v>405016.18394672056</v>
          </cell>
          <cell r="BC234">
            <v>343786.88100212871</v>
          </cell>
          <cell r="BD234">
            <v>329376.39461336297</v>
          </cell>
          <cell r="BE234">
            <v>278952.32662073302</v>
          </cell>
          <cell r="BF234">
            <v>227900.03839615855</v>
          </cell>
          <cell r="BG234">
            <v>211134.32403594186</v>
          </cell>
          <cell r="BH234">
            <v>256174.37022136495</v>
          </cell>
          <cell r="BI234">
            <v>297939.83665463631</v>
          </cell>
          <cell r="BJ234">
            <v>475664.85761044081</v>
          </cell>
          <cell r="BK234">
            <v>520079.00762234256</v>
          </cell>
          <cell r="BL234">
            <v>526447.83954962995</v>
          </cell>
          <cell r="BM234">
            <v>451551.20116782677</v>
          </cell>
          <cell r="BN234">
            <v>405016.18394672056</v>
          </cell>
          <cell r="BO234">
            <v>343786.88100212871</v>
          </cell>
          <cell r="BP234">
            <v>329376.39461336297</v>
          </cell>
          <cell r="BQ234">
            <v>278952.32662073302</v>
          </cell>
          <cell r="BR234">
            <v>227900.03839615855</v>
          </cell>
          <cell r="BS234">
            <v>211134.32403594186</v>
          </cell>
          <cell r="BT234">
            <v>256174.37022136495</v>
          </cell>
          <cell r="BU234">
            <v>297939.83665463631</v>
          </cell>
          <cell r="BV234">
            <v>475664.85761044081</v>
          </cell>
          <cell r="BW234">
            <v>520079.00762234256</v>
          </cell>
          <cell r="BX234">
            <v>526447.83954962995</v>
          </cell>
          <cell r="BY234">
            <v>451551.20116782677</v>
          </cell>
        </row>
        <row r="235">
          <cell r="A235" t="str">
            <v>OR444</v>
          </cell>
          <cell r="B235" t="str">
            <v>OR*444</v>
          </cell>
          <cell r="C235" t="str">
            <v>OR444_dca</v>
          </cell>
          <cell r="D235">
            <v>10699.786971071691</v>
          </cell>
          <cell r="E235">
            <v>4381.4909331375311</v>
          </cell>
          <cell r="F235">
            <v>3675.8702440344005</v>
          </cell>
          <cell r="G235">
            <v>1.1243472282399132</v>
          </cell>
          <cell r="H235">
            <v>1037.1309284589597</v>
          </cell>
          <cell r="I235">
            <v>901.11413144656206</v>
          </cell>
          <cell r="J235">
            <v>528.22453030144209</v>
          </cell>
          <cell r="K235">
            <v>8161.9179380981295</v>
          </cell>
          <cell r="L235">
            <v>7840.9501743304536</v>
          </cell>
          <cell r="M235">
            <v>16471.670956038019</v>
          </cell>
          <cell r="N235">
            <v>138376.48644262657</v>
          </cell>
          <cell r="O235">
            <v>68661.423244148406</v>
          </cell>
          <cell r="P235">
            <v>16131.247920783717</v>
          </cell>
          <cell r="Q235">
            <v>3624.782701678253</v>
          </cell>
          <cell r="R235">
            <v>3692.8000696134227</v>
          </cell>
          <cell r="S235">
            <v>1.127740174588989</v>
          </cell>
          <cell r="T235">
            <v>87.693336199907733</v>
          </cell>
          <cell r="U235">
            <v>725.47840309841217</v>
          </cell>
          <cell r="V235">
            <v>721.9791651855993</v>
          </cell>
          <cell r="W235">
            <v>8109.9779834840356</v>
          </cell>
          <cell r="X235">
            <v>7752.0649655476018</v>
          </cell>
          <cell r="Y235">
            <v>15745.184034791268</v>
          </cell>
          <cell r="Z235">
            <v>139566.79282165511</v>
          </cell>
          <cell r="AA235">
            <v>71616.780919400335</v>
          </cell>
          <cell r="AB235">
            <v>14327.697470600637</v>
          </cell>
          <cell r="AC235">
            <v>3827.0312571738687</v>
          </cell>
          <cell r="AD235">
            <v>3669.7436000993935</v>
          </cell>
          <cell r="AE235">
            <v>1.1310305779340186</v>
          </cell>
          <cell r="AF235">
            <v>69.939635441124409</v>
          </cell>
          <cell r="AG235">
            <v>523.15893210255888</v>
          </cell>
          <cell r="AH235">
            <v>759.40733665482878</v>
          </cell>
          <cell r="AI235">
            <v>8162.5838814506678</v>
          </cell>
          <cell r="AJ235">
            <v>7449.0110349033903</v>
          </cell>
          <cell r="AK235">
            <v>15428.253682915212</v>
          </cell>
          <cell r="AL235">
            <v>141134.89709970483</v>
          </cell>
          <cell r="AM235">
            <v>71753.991319252265</v>
          </cell>
          <cell r="AN235">
            <v>13933.300561316382</v>
          </cell>
          <cell r="AO235">
            <v>3489.915324370535</v>
          </cell>
          <cell r="AP235">
            <v>3660.8392804952018</v>
          </cell>
          <cell r="AQ235">
            <v>1.1611670381753132</v>
          </cell>
          <cell r="AR235">
            <v>35.032619709782949</v>
          </cell>
          <cell r="AS235">
            <v>475.71555962226824</v>
          </cell>
          <cell r="AT235">
            <v>778.10092353105483</v>
          </cell>
          <cell r="AU235">
            <v>8124.8093059247822</v>
          </cell>
          <cell r="AV235">
            <v>7368.8208702230713</v>
          </cell>
          <cell r="AW235">
            <v>15406.133776952036</v>
          </cell>
          <cell r="AX235">
            <v>142073.52688412019</v>
          </cell>
          <cell r="AY235">
            <v>72635.242486963121</v>
          </cell>
          <cell r="AZ235">
            <v>13875.20436832618</v>
          </cell>
          <cell r="BA235">
            <v>3394.1827973690647</v>
          </cell>
          <cell r="BB235">
            <v>3688.972947028471</v>
          </cell>
          <cell r="BC235">
            <v>1.1291473949809603</v>
          </cell>
          <cell r="BD235">
            <v>38.079445703383925</v>
          </cell>
          <cell r="BE235">
            <v>445.44038902444538</v>
          </cell>
          <cell r="BF235">
            <v>779.4850780154909</v>
          </cell>
          <cell r="BG235">
            <v>8153.8069675074912</v>
          </cell>
          <cell r="BH235">
            <v>7373.6790962711657</v>
          </cell>
          <cell r="BI235">
            <v>15266.107368095832</v>
          </cell>
          <cell r="BJ235">
            <v>141989.9925817253</v>
          </cell>
          <cell r="BK235">
            <v>73128.873247137206</v>
          </cell>
          <cell r="BL235">
            <v>13959.316711992409</v>
          </cell>
          <cell r="BM235">
            <v>3374.4712221133609</v>
          </cell>
          <cell r="BN235">
            <v>3688.972947028471</v>
          </cell>
          <cell r="BO235">
            <v>1.1291473949809603</v>
          </cell>
          <cell r="BP235">
            <v>38.079445703383925</v>
          </cell>
          <cell r="BQ235">
            <v>445.44038902444538</v>
          </cell>
          <cell r="BR235">
            <v>779.4850780154909</v>
          </cell>
          <cell r="BS235">
            <v>8153.8069675074912</v>
          </cell>
          <cell r="BT235">
            <v>7373.6790962711657</v>
          </cell>
          <cell r="BU235">
            <v>15266.107368095832</v>
          </cell>
          <cell r="BV235">
            <v>141989.9925817253</v>
          </cell>
          <cell r="BW235">
            <v>73128.873247137206</v>
          </cell>
          <cell r="BX235">
            <v>13959.316711992409</v>
          </cell>
          <cell r="BY235">
            <v>3374.4712221133609</v>
          </cell>
        </row>
        <row r="236">
          <cell r="A236" t="str">
            <v>OR447</v>
          </cell>
          <cell r="B236" t="str">
            <v>OR*447</v>
          </cell>
          <cell r="D236">
            <v>456932</v>
          </cell>
          <cell r="E236">
            <v>424941</v>
          </cell>
          <cell r="F236">
            <v>439800</v>
          </cell>
          <cell r="G236">
            <v>492361</v>
          </cell>
          <cell r="H236">
            <v>492224</v>
          </cell>
          <cell r="I236">
            <v>508919</v>
          </cell>
          <cell r="J236">
            <v>497952</v>
          </cell>
          <cell r="K236">
            <v>473098</v>
          </cell>
          <cell r="L236">
            <v>476307</v>
          </cell>
          <cell r="M236">
            <v>460178</v>
          </cell>
          <cell r="N236">
            <v>463003</v>
          </cell>
          <cell r="O236">
            <v>452320</v>
          </cell>
          <cell r="P236">
            <v>470171</v>
          </cell>
          <cell r="Q236">
            <v>441041</v>
          </cell>
          <cell r="R236">
            <v>447882</v>
          </cell>
          <cell r="S236">
            <v>502844</v>
          </cell>
          <cell r="T236">
            <v>500638</v>
          </cell>
          <cell r="U236">
            <v>525052</v>
          </cell>
          <cell r="V236">
            <v>508496</v>
          </cell>
          <cell r="W236">
            <v>486449</v>
          </cell>
          <cell r="X236">
            <v>488445</v>
          </cell>
          <cell r="Y236">
            <v>471540</v>
          </cell>
          <cell r="Z236">
            <v>478406</v>
          </cell>
          <cell r="AA236">
            <v>461884</v>
          </cell>
          <cell r="AB236">
            <v>485839</v>
          </cell>
          <cell r="AC236">
            <v>451461</v>
          </cell>
          <cell r="AD236">
            <v>461188</v>
          </cell>
          <cell r="AE236">
            <v>514168</v>
          </cell>
          <cell r="AF236">
            <v>512091</v>
          </cell>
          <cell r="AG236">
            <v>537522</v>
          </cell>
          <cell r="AH236">
            <v>519006</v>
          </cell>
          <cell r="AI236">
            <v>500041</v>
          </cell>
          <cell r="AJ236">
            <v>498630</v>
          </cell>
          <cell r="AK236">
            <v>484440</v>
          </cell>
          <cell r="AL236">
            <v>489106</v>
          </cell>
          <cell r="AM236">
            <v>473582</v>
          </cell>
          <cell r="AN236">
            <v>497282</v>
          </cell>
          <cell r="AO236">
            <v>462242</v>
          </cell>
          <cell r="AP236">
            <v>473009</v>
          </cell>
          <cell r="AQ236">
            <v>524433</v>
          </cell>
          <cell r="AR236">
            <v>523994</v>
          </cell>
          <cell r="AS236">
            <v>547864</v>
          </cell>
          <cell r="AT236">
            <v>530663</v>
          </cell>
          <cell r="AU236">
            <v>510824</v>
          </cell>
          <cell r="AV236">
            <v>509726</v>
          </cell>
          <cell r="AW236">
            <v>495637</v>
          </cell>
          <cell r="AX236">
            <v>499738</v>
          </cell>
          <cell r="AY236">
            <v>484958</v>
          </cell>
          <cell r="AZ236">
            <v>507728</v>
          </cell>
          <cell r="BA236">
            <v>473610</v>
          </cell>
          <cell r="BB236">
            <v>483547</v>
          </cell>
          <cell r="BC236">
            <v>535660</v>
          </cell>
          <cell r="BD236">
            <v>534833</v>
          </cell>
          <cell r="BE236">
            <v>558791</v>
          </cell>
          <cell r="BF236">
            <v>541799</v>
          </cell>
          <cell r="BG236">
            <v>521533</v>
          </cell>
          <cell r="BH236">
            <v>521014</v>
          </cell>
          <cell r="BI236">
            <v>506299</v>
          </cell>
          <cell r="BJ236">
            <v>511008</v>
          </cell>
          <cell r="BK236">
            <v>495734</v>
          </cell>
          <cell r="BL236">
            <v>518852</v>
          </cell>
          <cell r="BM236">
            <v>484618</v>
          </cell>
          <cell r="BN236">
            <v>483547</v>
          </cell>
          <cell r="BO236">
            <v>535660</v>
          </cell>
          <cell r="BP236">
            <v>534833</v>
          </cell>
          <cell r="BQ236">
            <v>558791</v>
          </cell>
          <cell r="BR236">
            <v>541799</v>
          </cell>
          <cell r="BS236">
            <v>521533</v>
          </cell>
          <cell r="BT236">
            <v>521014</v>
          </cell>
          <cell r="BU236">
            <v>506299</v>
          </cell>
          <cell r="BV236">
            <v>511008</v>
          </cell>
          <cell r="BW236">
            <v>495734</v>
          </cell>
          <cell r="BX236">
            <v>518852</v>
          </cell>
          <cell r="BY236">
            <v>484618</v>
          </cell>
        </row>
        <row r="237">
          <cell r="A237" t="str">
            <v>OR456</v>
          </cell>
          <cell r="B237" t="str">
            <v>OR*456</v>
          </cell>
          <cell r="D237">
            <v>3426417</v>
          </cell>
          <cell r="E237">
            <v>3460598</v>
          </cell>
          <cell r="F237">
            <v>3541658</v>
          </cell>
          <cell r="G237">
            <v>3925623</v>
          </cell>
          <cell r="H237">
            <v>3614961</v>
          </cell>
          <cell r="I237">
            <v>3691776</v>
          </cell>
          <cell r="J237">
            <v>3486095</v>
          </cell>
          <cell r="K237">
            <v>3296313</v>
          </cell>
          <cell r="L237">
            <v>3234245</v>
          </cell>
          <cell r="M237">
            <v>2994658.6666666665</v>
          </cell>
          <cell r="N237">
            <v>3138215</v>
          </cell>
          <cell r="O237">
            <v>3103387.3333333335</v>
          </cell>
          <cell r="P237">
            <v>3487229</v>
          </cell>
          <cell r="Q237">
            <v>3514814</v>
          </cell>
          <cell r="R237">
            <v>3606414</v>
          </cell>
          <cell r="S237">
            <v>3934626</v>
          </cell>
          <cell r="T237">
            <v>3645636</v>
          </cell>
          <cell r="U237">
            <v>3731164</v>
          </cell>
          <cell r="V237">
            <v>3527761</v>
          </cell>
          <cell r="W237">
            <v>3353462</v>
          </cell>
          <cell r="X237">
            <v>3294795</v>
          </cell>
          <cell r="Y237">
            <v>3039102.6666666665</v>
          </cell>
          <cell r="Z237">
            <v>3184848</v>
          </cell>
          <cell r="AA237">
            <v>3149915.3333333335</v>
          </cell>
          <cell r="AB237">
            <v>3520077</v>
          </cell>
          <cell r="AC237">
            <v>3544437</v>
          </cell>
          <cell r="AD237">
            <v>3641537</v>
          </cell>
          <cell r="AE237">
            <v>3963974</v>
          </cell>
          <cell r="AF237">
            <v>3681841</v>
          </cell>
          <cell r="AG237">
            <v>3783933</v>
          </cell>
          <cell r="AH237">
            <v>3576352</v>
          </cell>
          <cell r="AI237">
            <v>3403590</v>
          </cell>
          <cell r="AJ237">
            <v>3344273</v>
          </cell>
          <cell r="AK237">
            <v>3076087.6666666665</v>
          </cell>
          <cell r="AL237">
            <v>3220769</v>
          </cell>
          <cell r="AM237">
            <v>3184572.3333333335</v>
          </cell>
          <cell r="AN237">
            <v>3549106</v>
          </cell>
          <cell r="AO237">
            <v>3576230</v>
          </cell>
          <cell r="AP237">
            <v>3681049</v>
          </cell>
          <cell r="AQ237">
            <v>4002878</v>
          </cell>
          <cell r="AR237">
            <v>3726709</v>
          </cell>
          <cell r="AS237">
            <v>3834826</v>
          </cell>
          <cell r="AT237">
            <v>3621315</v>
          </cell>
          <cell r="AU237">
            <v>3446134</v>
          </cell>
          <cell r="AV237">
            <v>3384334</v>
          </cell>
          <cell r="AW237">
            <v>3108356.6666666665</v>
          </cell>
          <cell r="AX237">
            <v>3253509</v>
          </cell>
          <cell r="AY237">
            <v>3218910.3333333335</v>
          </cell>
          <cell r="AZ237">
            <v>3582306</v>
          </cell>
          <cell r="BA237">
            <v>3613192</v>
          </cell>
          <cell r="BB237">
            <v>3723477</v>
          </cell>
          <cell r="BC237">
            <v>4045456</v>
          </cell>
          <cell r="BD237">
            <v>3771994</v>
          </cell>
          <cell r="BE237">
            <v>3879765</v>
          </cell>
          <cell r="BF237">
            <v>3660817</v>
          </cell>
          <cell r="BG237">
            <v>3483608</v>
          </cell>
          <cell r="BH237">
            <v>3420356</v>
          </cell>
          <cell r="BI237">
            <v>3141135.6666666665</v>
          </cell>
          <cell r="BJ237">
            <v>3287392</v>
          </cell>
          <cell r="BK237">
            <v>3254843.3333333335</v>
          </cell>
          <cell r="BL237">
            <v>3618459</v>
          </cell>
          <cell r="BM237">
            <v>3652629</v>
          </cell>
          <cell r="BN237">
            <v>3723477</v>
          </cell>
          <cell r="BO237">
            <v>4045456</v>
          </cell>
          <cell r="BP237">
            <v>3771994</v>
          </cell>
          <cell r="BQ237">
            <v>3879765</v>
          </cell>
          <cell r="BR237">
            <v>3660817</v>
          </cell>
          <cell r="BS237">
            <v>3483608</v>
          </cell>
          <cell r="BT237">
            <v>3420356</v>
          </cell>
          <cell r="BU237">
            <v>3141135.6666666665</v>
          </cell>
          <cell r="BV237">
            <v>3287392</v>
          </cell>
          <cell r="BW237">
            <v>3254843.3333333335</v>
          </cell>
          <cell r="BX237">
            <v>3618459</v>
          </cell>
          <cell r="BY237">
            <v>3652629</v>
          </cell>
        </row>
      </sheetData>
      <sheetData sheetId="5" refreshError="1"/>
      <sheetData sheetId="6" refreshError="1"/>
      <sheetData sheetId="7" refreshError="1"/>
      <sheetData sheetId="8" refreshError="1"/>
      <sheetData sheetId="9" refreshError="1"/>
      <sheetData sheetId="10">
        <row r="4">
          <cell r="B4" t="str">
            <v>WA101</v>
          </cell>
          <cell r="C4" t="str">
            <v>WA101_dca</v>
          </cell>
          <cell r="D4">
            <v>10490143.531197427</v>
          </cell>
          <cell r="E4">
            <v>24577850.487528995</v>
          </cell>
          <cell r="F4">
            <v>21475843.154275555</v>
          </cell>
          <cell r="G4">
            <v>19011665.018457934</v>
          </cell>
          <cell r="H4">
            <v>14480331.975135656</v>
          </cell>
          <cell r="I4">
            <v>8860313.7551366519</v>
          </cell>
          <cell r="J4">
            <v>4915533.920376447</v>
          </cell>
          <cell r="K4">
            <v>2831758.8892396693</v>
          </cell>
          <cell r="L4">
            <v>2207593.5981935249</v>
          </cell>
          <cell r="M4">
            <v>1991493.1339386718</v>
          </cell>
          <cell r="N4">
            <v>2513893.3483327874</v>
          </cell>
          <cell r="O4">
            <v>7027402.4166716486</v>
          </cell>
          <cell r="P4">
            <v>15431299.998546418</v>
          </cell>
          <cell r="Q4">
            <v>21690821.068998039</v>
          </cell>
          <cell r="R4">
            <v>21680191.062805481</v>
          </cell>
          <cell r="S4">
            <v>17695700.77041873</v>
          </cell>
          <cell r="T4">
            <v>15037592.420105681</v>
          </cell>
          <cell r="U4">
            <v>9038877.7227286808</v>
          </cell>
          <cell r="V4">
            <v>5038655.7857247787</v>
          </cell>
          <cell r="W4">
            <v>2911601.6893022712</v>
          </cell>
          <cell r="X4">
            <v>2298940.0462242397</v>
          </cell>
          <cell r="Y4">
            <v>2091018.4109351423</v>
          </cell>
          <cell r="Z4">
            <v>2564571.6446178989</v>
          </cell>
          <cell r="AA4">
            <v>7063010.9983676886</v>
          </cell>
          <cell r="AB4">
            <v>15554562.931657003</v>
          </cell>
          <cell r="AC4">
            <v>21908105.294535559</v>
          </cell>
          <cell r="AD4">
            <v>21796197.25437424</v>
          </cell>
          <cell r="AE4">
            <v>17829401.068467811</v>
          </cell>
          <cell r="AF4">
            <v>15187398.040427679</v>
          </cell>
          <cell r="AG4">
            <v>9149044.8181861825</v>
          </cell>
          <cell r="AH4">
            <v>5117456.8493705783</v>
          </cell>
          <cell r="AI4">
            <v>2974515.7142889695</v>
          </cell>
          <cell r="AJ4">
            <v>2377004.2715832931</v>
          </cell>
          <cell r="AK4">
            <v>2171793.7663977151</v>
          </cell>
          <cell r="AL4">
            <v>2606190.2397127459</v>
          </cell>
          <cell r="AM4">
            <v>7163881.6368968664</v>
          </cell>
          <cell r="AN4">
            <v>15707458.361740479</v>
          </cell>
          <cell r="AO4">
            <v>22069992.604826238</v>
          </cell>
          <cell r="AP4">
            <v>21865729.803252812</v>
          </cell>
          <cell r="AQ4">
            <v>18490969.325991668</v>
          </cell>
          <cell r="AR4">
            <v>15248574.290755248</v>
          </cell>
          <cell r="AS4">
            <v>9205221.1026312951</v>
          </cell>
          <cell r="AT4">
            <v>5162096.7048791628</v>
          </cell>
          <cell r="AU4">
            <v>3028083.2346802573</v>
          </cell>
          <cell r="AV4">
            <v>2446966.4303373885</v>
          </cell>
          <cell r="AW4">
            <v>2227935.080221415</v>
          </cell>
          <cell r="AX4">
            <v>2671066.020532392</v>
          </cell>
          <cell r="AY4">
            <v>7262443.4816542882</v>
          </cell>
          <cell r="AZ4">
            <v>15782948.574093617</v>
          </cell>
          <cell r="BA4">
            <v>22173439.717426609</v>
          </cell>
          <cell r="BB4">
            <v>22203547.468363356</v>
          </cell>
          <cell r="BC4">
            <v>18159043.67942144</v>
          </cell>
          <cell r="BD4">
            <v>15470719.131092114</v>
          </cell>
          <cell r="BE4">
            <v>9329946.5507643465</v>
          </cell>
          <cell r="BF4">
            <v>5230575.6423945604</v>
          </cell>
          <cell r="BG4">
            <v>3077999.6473916438</v>
          </cell>
          <cell r="BH4">
            <v>2493264.5448521911</v>
          </cell>
          <cell r="BI4">
            <v>2291926.8237121999</v>
          </cell>
          <cell r="BJ4">
            <v>2750422.1195686837</v>
          </cell>
          <cell r="BK4">
            <v>7409028.2959363777</v>
          </cell>
          <cell r="BL4">
            <v>16063756.763414999</v>
          </cell>
          <cell r="BM4">
            <v>22548721.605532456</v>
          </cell>
          <cell r="BN4">
            <v>22203547.468363356</v>
          </cell>
          <cell r="BO4">
            <v>18159043.67942144</v>
          </cell>
          <cell r="BP4">
            <v>15470719.131092114</v>
          </cell>
          <cell r="BQ4">
            <v>9329946.5507643465</v>
          </cell>
          <cell r="BR4">
            <v>5230575.6423945604</v>
          </cell>
          <cell r="BS4">
            <v>3077999.6473916438</v>
          </cell>
          <cell r="BT4">
            <v>2493264.5448521911</v>
          </cell>
          <cell r="BU4">
            <v>2291926.8237121999</v>
          </cell>
          <cell r="BV4">
            <v>2750422.1195686837</v>
          </cell>
          <cell r="BW4">
            <v>7409028.2959363777</v>
          </cell>
          <cell r="BX4">
            <v>16063756.763414999</v>
          </cell>
          <cell r="BY4">
            <v>22548721.605532456</v>
          </cell>
        </row>
        <row r="5">
          <cell r="B5" t="str">
            <v>WA111</v>
          </cell>
          <cell r="C5" t="str">
            <v>WA111_dca</v>
          </cell>
          <cell r="D5">
            <v>4328957.4067832176</v>
          </cell>
          <cell r="E5">
            <v>8773687.4692509528</v>
          </cell>
          <cell r="F5">
            <v>7403087.3347587455</v>
          </cell>
          <cell r="G5">
            <v>6683308.7801376805</v>
          </cell>
          <cell r="H5">
            <v>5138628.6001651241</v>
          </cell>
          <cell r="I5">
            <v>3402439.5649932311</v>
          </cell>
          <cell r="J5">
            <v>2130042.7518419796</v>
          </cell>
          <cell r="K5">
            <v>1534043.3578015896</v>
          </cell>
          <cell r="L5">
            <v>1477007.4247348027</v>
          </cell>
          <cell r="M5">
            <v>1527047.8244375954</v>
          </cell>
          <cell r="N5">
            <v>1899600.9562980023</v>
          </cell>
          <cell r="O5">
            <v>4051517.6299471501</v>
          </cell>
          <cell r="P5">
            <v>6620837.3566393126</v>
          </cell>
          <cell r="Q5">
            <v>7932227.0595340366</v>
          </cell>
          <cell r="R5">
            <v>7657144.7326764772</v>
          </cell>
          <cell r="S5">
            <v>6279174.2218281161</v>
          </cell>
          <cell r="T5">
            <v>5348954.9188278364</v>
          </cell>
          <cell r="U5">
            <v>3388869.4344963362</v>
          </cell>
          <cell r="V5">
            <v>2082345.1372222484</v>
          </cell>
          <cell r="W5">
            <v>1471633.9315597231</v>
          </cell>
          <cell r="X5">
            <v>1377623.0547820204</v>
          </cell>
          <cell r="Y5">
            <v>1487107.8357117597</v>
          </cell>
          <cell r="Z5">
            <v>1909999.0162468327</v>
          </cell>
          <cell r="AA5">
            <v>4134133.611057634</v>
          </cell>
          <cell r="AB5">
            <v>6838920.9684992228</v>
          </cell>
          <cell r="AC5">
            <v>8167779.812147852</v>
          </cell>
          <cell r="AD5">
            <v>7848144.5550575573</v>
          </cell>
          <cell r="AE5">
            <v>6423374.8412690917</v>
          </cell>
          <cell r="AF5">
            <v>5455538.4098993437</v>
          </cell>
          <cell r="AG5">
            <v>3437944.0706161531</v>
          </cell>
          <cell r="AH5">
            <v>2080782.2178893208</v>
          </cell>
          <cell r="AI5">
            <v>1444110.0475360567</v>
          </cell>
          <cell r="AJ5">
            <v>1326775.540511793</v>
          </cell>
          <cell r="AK5">
            <v>1434559.7727128658</v>
          </cell>
          <cell r="AL5">
            <v>1883426.2039958101</v>
          </cell>
          <cell r="AM5">
            <v>4158638.7965911813</v>
          </cell>
          <cell r="AN5">
            <v>6976696.5946150571</v>
          </cell>
          <cell r="AO5">
            <v>8334614.5129958969</v>
          </cell>
          <cell r="AP5">
            <v>7976299.2436283845</v>
          </cell>
          <cell r="AQ5">
            <v>6754785.202961389</v>
          </cell>
          <cell r="AR5">
            <v>5547857.6824569451</v>
          </cell>
          <cell r="AS5">
            <v>3482414.4645007877</v>
          </cell>
          <cell r="AT5">
            <v>2094927.5299352524</v>
          </cell>
          <cell r="AU5">
            <v>1430474.4005923127</v>
          </cell>
          <cell r="AV5">
            <v>1291491.977531052</v>
          </cell>
          <cell r="AW5">
            <v>1385426.5288441691</v>
          </cell>
          <cell r="AX5">
            <v>1848008.7337099703</v>
          </cell>
          <cell r="AY5">
            <v>4161328.5463444889</v>
          </cell>
          <cell r="AZ5">
            <v>7027634.033869924</v>
          </cell>
          <cell r="BA5">
            <v>8431614.3758728132</v>
          </cell>
          <cell r="BB5">
            <v>8185302.7255748091</v>
          </cell>
          <cell r="BC5">
            <v>6718544.3243065402</v>
          </cell>
          <cell r="BD5">
            <v>5703917.4393960973</v>
          </cell>
          <cell r="BE5">
            <v>3573199.3103307746</v>
          </cell>
          <cell r="BF5">
            <v>2135847.9636205733</v>
          </cell>
          <cell r="BG5">
            <v>1437456.6273768214</v>
          </cell>
          <cell r="BH5">
            <v>1266739.7028639163</v>
          </cell>
          <cell r="BI5">
            <v>1341756.0987340633</v>
          </cell>
          <cell r="BJ5">
            <v>1819669.5612006381</v>
          </cell>
          <cell r="BK5">
            <v>4158674.8246861012</v>
          </cell>
          <cell r="BL5">
            <v>7117984.9448752264</v>
          </cell>
          <cell r="BM5">
            <v>8599154.9303188752</v>
          </cell>
          <cell r="BN5">
            <v>8185302.7255748091</v>
          </cell>
          <cell r="BO5">
            <v>6718544.3243065402</v>
          </cell>
          <cell r="BP5">
            <v>5703917.4393960973</v>
          </cell>
          <cell r="BQ5">
            <v>3573199.3103307746</v>
          </cell>
          <cell r="BR5">
            <v>2135847.9636205733</v>
          </cell>
          <cell r="BS5">
            <v>1437456.6273768214</v>
          </cell>
          <cell r="BT5">
            <v>1266739.7028639163</v>
          </cell>
          <cell r="BU5">
            <v>1341756.0987340633</v>
          </cell>
          <cell r="BV5">
            <v>1819669.5612006381</v>
          </cell>
          <cell r="BW5">
            <v>4158674.8246861012</v>
          </cell>
          <cell r="BX5">
            <v>7117984.9448752264</v>
          </cell>
          <cell r="BY5">
            <v>8599154.9303188752</v>
          </cell>
        </row>
        <row r="6">
          <cell r="B6" t="str">
            <v>WA121</v>
          </cell>
          <cell r="C6" t="str">
            <v>WA121_dca</v>
          </cell>
          <cell r="D6">
            <v>429970.64724719583</v>
          </cell>
          <cell r="E6">
            <v>671811.12501016306</v>
          </cell>
          <cell r="F6">
            <v>586734.35362473433</v>
          </cell>
          <cell r="G6">
            <v>607635.26240489096</v>
          </cell>
          <cell r="H6">
            <v>452587.65173758421</v>
          </cell>
          <cell r="I6">
            <v>344208.88542771619</v>
          </cell>
          <cell r="J6">
            <v>268006.98975540011</v>
          </cell>
          <cell r="K6">
            <v>244042.12226780527</v>
          </cell>
          <cell r="L6">
            <v>258397.09758322348</v>
          </cell>
          <cell r="M6">
            <v>289113.29729530343</v>
          </cell>
          <cell r="N6">
            <v>318842.05410049297</v>
          </cell>
          <cell r="O6">
            <v>545097.61446536635</v>
          </cell>
          <cell r="P6">
            <v>663139.2287776618</v>
          </cell>
          <cell r="Q6">
            <v>603372.8575124332</v>
          </cell>
          <cell r="R6">
            <v>600720.45586453984</v>
          </cell>
          <cell r="S6">
            <v>564048.076284635</v>
          </cell>
          <cell r="T6">
            <v>467919.68005706079</v>
          </cell>
          <cell r="U6">
            <v>348776.92445060296</v>
          </cell>
          <cell r="V6">
            <v>269750.30164950219</v>
          </cell>
          <cell r="W6">
            <v>244346.3949824656</v>
          </cell>
          <cell r="X6">
            <v>260662.8501971318</v>
          </cell>
          <cell r="Y6">
            <v>293985.20717975503</v>
          </cell>
          <cell r="Z6">
            <v>323112.76917750249</v>
          </cell>
          <cell r="AA6">
            <v>548680.96121544391</v>
          </cell>
          <cell r="AB6">
            <v>668726.51826851571</v>
          </cell>
          <cell r="AC6">
            <v>606814.28203806444</v>
          </cell>
          <cell r="AD6">
            <v>601572.76829329226</v>
          </cell>
          <cell r="AE6">
            <v>563651.39788568392</v>
          </cell>
          <cell r="AF6">
            <v>470407.25159617845</v>
          </cell>
          <cell r="AG6">
            <v>350337.79153833538</v>
          </cell>
          <cell r="AH6">
            <v>271779.85075474816</v>
          </cell>
          <cell r="AI6">
            <v>248118.51414532762</v>
          </cell>
          <cell r="AJ6">
            <v>265552.93276768434</v>
          </cell>
          <cell r="AK6">
            <v>300332.44145737123</v>
          </cell>
          <cell r="AL6">
            <v>325363.5498737361</v>
          </cell>
          <cell r="AM6">
            <v>549756.99836781214</v>
          </cell>
          <cell r="AN6">
            <v>669121.60696784558</v>
          </cell>
          <cell r="AO6">
            <v>605660.38312104135</v>
          </cell>
          <cell r="AP6">
            <v>597231.82567983854</v>
          </cell>
          <cell r="AQ6">
            <v>578831.69137490576</v>
          </cell>
          <cell r="AR6">
            <v>467778.48841676698</v>
          </cell>
          <cell r="AS6">
            <v>348708.62167566799</v>
          </cell>
          <cell r="AT6">
            <v>272013.03045960731</v>
          </cell>
          <cell r="AU6">
            <v>249930.87073849709</v>
          </cell>
          <cell r="AV6">
            <v>270984.2665614349</v>
          </cell>
          <cell r="AW6">
            <v>306834.31639937533</v>
          </cell>
          <cell r="AX6">
            <v>330320.97764160932</v>
          </cell>
          <cell r="AY6">
            <v>553100.13626897568</v>
          </cell>
          <cell r="AZ6">
            <v>666327.48085248529</v>
          </cell>
          <cell r="BA6">
            <v>602307.73433952825</v>
          </cell>
          <cell r="BB6">
            <v>600259.57317354763</v>
          </cell>
          <cell r="BC6">
            <v>562549.23424095195</v>
          </cell>
          <cell r="BD6">
            <v>469444.77687439509</v>
          </cell>
          <cell r="BE6">
            <v>349896.46203405736</v>
          </cell>
          <cell r="BF6">
            <v>272634.52617188916</v>
          </cell>
          <cell r="BG6">
            <v>251077.17392186011</v>
          </cell>
          <cell r="BH6">
            <v>273734.88906915009</v>
          </cell>
          <cell r="BI6">
            <v>312000.34907442861</v>
          </cell>
          <cell r="BJ6">
            <v>337334.10845537233</v>
          </cell>
          <cell r="BK6">
            <v>559730.94603819528</v>
          </cell>
          <cell r="BL6">
            <v>671659.58594408887</v>
          </cell>
          <cell r="BM6">
            <v>606398.33393812866</v>
          </cell>
          <cell r="BN6">
            <v>600259.57317354763</v>
          </cell>
          <cell r="BO6">
            <v>562549.23424095195</v>
          </cell>
          <cell r="BP6">
            <v>469444.77687439509</v>
          </cell>
          <cell r="BQ6">
            <v>349896.46203405736</v>
          </cell>
          <cell r="BR6">
            <v>272634.52617188916</v>
          </cell>
          <cell r="BS6">
            <v>251077.17392186011</v>
          </cell>
          <cell r="BT6">
            <v>273734.88906915009</v>
          </cell>
          <cell r="BU6">
            <v>312000.34907442861</v>
          </cell>
          <cell r="BV6">
            <v>337334.10845537233</v>
          </cell>
          <cell r="BW6">
            <v>559730.94603819528</v>
          </cell>
          <cell r="BX6">
            <v>671659.58594408887</v>
          </cell>
          <cell r="BY6">
            <v>606398.33393812866</v>
          </cell>
        </row>
        <row r="7">
          <cell r="B7" t="str">
            <v>WA132</v>
          </cell>
          <cell r="C7" t="str">
            <v>WA132_dc</v>
          </cell>
          <cell r="D7">
            <v>75442.539217919402</v>
          </cell>
          <cell r="E7">
            <v>149358.4223838484</v>
          </cell>
          <cell r="F7">
            <v>130283.50977571141</v>
          </cell>
          <cell r="G7">
            <v>131496.15765028345</v>
          </cell>
          <cell r="H7">
            <v>105127.67873598421</v>
          </cell>
          <cell r="I7">
            <v>76092.550351075144</v>
          </cell>
          <cell r="J7">
            <v>57230.957565543264</v>
          </cell>
          <cell r="K7">
            <v>43641.170321857462</v>
          </cell>
          <cell r="L7">
            <v>38907.84213713029</v>
          </cell>
          <cell r="M7">
            <v>26526.735728838808</v>
          </cell>
          <cell r="N7">
            <v>29987.4747242999</v>
          </cell>
          <cell r="O7">
            <v>65693.520977153647</v>
          </cell>
          <cell r="P7">
            <v>112236.36676008614</v>
          </cell>
          <cell r="Q7">
            <v>131576.21905672512</v>
          </cell>
          <cell r="R7">
            <v>130862.77278274758</v>
          </cell>
          <cell r="S7">
            <v>120711.77140062304</v>
          </cell>
          <cell r="T7">
            <v>107541.41919221036</v>
          </cell>
          <cell r="U7">
            <v>76041.448772964941</v>
          </cell>
          <cell r="V7">
            <v>57088.16890382344</v>
          </cell>
          <cell r="W7">
            <v>42961.748269258722</v>
          </cell>
          <cell r="X7">
            <v>38796.932386099958</v>
          </cell>
          <cell r="Y7">
            <v>26552.089303424869</v>
          </cell>
          <cell r="Z7">
            <v>30029.287604575096</v>
          </cell>
          <cell r="AA7">
            <v>65561.625791577448</v>
          </cell>
          <cell r="AB7">
            <v>112256.15622413193</v>
          </cell>
          <cell r="AC7">
            <v>131857.94912667558</v>
          </cell>
          <cell r="AD7">
            <v>130434.96810307654</v>
          </cell>
          <cell r="AE7">
            <v>120416.84389511558</v>
          </cell>
          <cell r="AF7">
            <v>107669.6323145005</v>
          </cell>
          <cell r="AG7">
            <v>76167.968265819974</v>
          </cell>
          <cell r="AH7">
            <v>57298.16514070527</v>
          </cell>
          <cell r="AI7">
            <v>43424.976926538191</v>
          </cell>
          <cell r="AJ7">
            <v>39370.401301217848</v>
          </cell>
          <cell r="AK7">
            <v>26967.795031840011</v>
          </cell>
          <cell r="AL7">
            <v>30148.976312582141</v>
          </cell>
          <cell r="AM7">
            <v>65404.749489715636</v>
          </cell>
          <cell r="AN7">
            <v>112112.42924937348</v>
          </cell>
          <cell r="AO7">
            <v>131334.32018695082</v>
          </cell>
          <cell r="AP7">
            <v>129309.94687995223</v>
          </cell>
          <cell r="AQ7">
            <v>123500.16680228322</v>
          </cell>
          <cell r="AR7">
            <v>106866.01024665323</v>
          </cell>
          <cell r="AS7">
            <v>75699.09294533098</v>
          </cell>
          <cell r="AT7">
            <v>57201.874178466096</v>
          </cell>
          <cell r="AU7">
            <v>43658.563586267766</v>
          </cell>
          <cell r="AV7">
            <v>40042.271125452928</v>
          </cell>
          <cell r="AW7">
            <v>27479.917648955743</v>
          </cell>
          <cell r="AX7">
            <v>30520.678422580091</v>
          </cell>
          <cell r="AY7">
            <v>65648.200759716739</v>
          </cell>
          <cell r="AZ7">
            <v>111457.83576409603</v>
          </cell>
          <cell r="BA7">
            <v>130406.41207312015</v>
          </cell>
          <cell r="BB7">
            <v>129829.16896306074</v>
          </cell>
          <cell r="BC7">
            <v>119873.96709719847</v>
          </cell>
          <cell r="BD7">
            <v>107110.63700805046</v>
          </cell>
          <cell r="BE7">
            <v>75825.083899283243</v>
          </cell>
          <cell r="BF7">
            <v>57233.020655469001</v>
          </cell>
          <cell r="BG7">
            <v>43764.089615115459</v>
          </cell>
          <cell r="BH7">
            <v>40338.39216860399</v>
          </cell>
          <cell r="BI7">
            <v>27870.698627819234</v>
          </cell>
          <cell r="BJ7">
            <v>31081.477735488752</v>
          </cell>
          <cell r="BK7">
            <v>66293.971129947342</v>
          </cell>
          <cell r="BL7">
            <v>112137.14322160934</v>
          </cell>
          <cell r="BM7">
            <v>131123.71705355012</v>
          </cell>
          <cell r="BN7">
            <v>129829.16896306074</v>
          </cell>
          <cell r="BO7">
            <v>119873.96709719847</v>
          </cell>
          <cell r="BP7">
            <v>107110.63700805046</v>
          </cell>
          <cell r="BQ7">
            <v>75825.083899283243</v>
          </cell>
          <cell r="BR7">
            <v>57233.020655469001</v>
          </cell>
          <cell r="BS7">
            <v>43764.089615115459</v>
          </cell>
          <cell r="BT7">
            <v>40338.39216860399</v>
          </cell>
          <cell r="BU7">
            <v>27870.698627819234</v>
          </cell>
          <cell r="BV7">
            <v>31081.477735488752</v>
          </cell>
          <cell r="BW7">
            <v>66293.971129947342</v>
          </cell>
          <cell r="BX7">
            <v>112137.14322160934</v>
          </cell>
          <cell r="BY7">
            <v>131123.71705355012</v>
          </cell>
        </row>
        <row r="8">
          <cell r="B8" t="str">
            <v>WA146</v>
          </cell>
          <cell r="C8" t="str">
            <v>WA146_d</v>
          </cell>
          <cell r="D8">
            <v>2651527.3680128232</v>
          </cell>
          <cell r="E8">
            <v>2908833.3951791967</v>
          </cell>
          <cell r="F8">
            <v>3347001.2581088888</v>
          </cell>
          <cell r="G8">
            <v>3602837.8366440535</v>
          </cell>
          <cell r="H8">
            <v>2992750.1369872298</v>
          </cell>
          <cell r="I8">
            <v>3031276.8488704013</v>
          </cell>
          <cell r="J8">
            <v>2524553.8530719294</v>
          </cell>
          <cell r="K8">
            <v>2116735.569289274</v>
          </cell>
          <cell r="L8">
            <v>1876169.5796795823</v>
          </cell>
          <cell r="M8">
            <v>1701151.7703815494</v>
          </cell>
          <cell r="N8">
            <v>1781971.7949997988</v>
          </cell>
          <cell r="O8">
            <v>1918718.8523268555</v>
          </cell>
          <cell r="P8">
            <v>2601175.5991028138</v>
          </cell>
          <cell r="Q8">
            <v>2872682.9367259471</v>
          </cell>
          <cell r="R8">
            <v>3301058.0612509055</v>
          </cell>
          <cell r="S8">
            <v>3616191.0203323015</v>
          </cell>
          <cell r="T8">
            <v>2958645.3185228324</v>
          </cell>
          <cell r="U8">
            <v>3008311.5748403794</v>
          </cell>
          <cell r="V8">
            <v>2502110.3864732534</v>
          </cell>
          <cell r="W8">
            <v>2120473.2983476343</v>
          </cell>
          <cell r="X8">
            <v>1880062.9981534723</v>
          </cell>
          <cell r="Y8">
            <v>1736438.7981819026</v>
          </cell>
          <cell r="Z8">
            <v>1770008.7788809757</v>
          </cell>
          <cell r="AA8">
            <v>1942878.0492958704</v>
          </cell>
          <cell r="AB8">
            <v>2607442.5015043798</v>
          </cell>
          <cell r="AC8">
            <v>2919465.3139597178</v>
          </cell>
          <cell r="AD8">
            <v>3346047.935105958</v>
          </cell>
          <cell r="AE8">
            <v>3657661.5948445811</v>
          </cell>
          <cell r="AF8">
            <v>3030588.516086637</v>
          </cell>
          <cell r="AG8">
            <v>3054485.5272061024</v>
          </cell>
          <cell r="AH8">
            <v>2565180.5345043964</v>
          </cell>
          <cell r="AI8">
            <v>2195579.5390583114</v>
          </cell>
          <cell r="AJ8">
            <v>1932567.1561958343</v>
          </cell>
          <cell r="AK8">
            <v>1783308.2371940077</v>
          </cell>
          <cell r="AL8">
            <v>1819185.9350338988</v>
          </cell>
          <cell r="AM8">
            <v>1976261.6500826022</v>
          </cell>
          <cell r="AN8">
            <v>2641225.4784202138</v>
          </cell>
          <cell r="AO8">
            <v>2971911.0389667191</v>
          </cell>
          <cell r="AP8">
            <v>3407779.8907461856</v>
          </cell>
          <cell r="AQ8">
            <v>3702780.6186321196</v>
          </cell>
          <cell r="AR8">
            <v>3103986.9236165732</v>
          </cell>
          <cell r="AS8">
            <v>3111637.4215909806</v>
          </cell>
          <cell r="AT8">
            <v>2615643.2529229093</v>
          </cell>
          <cell r="AU8">
            <v>2239513.4538230542</v>
          </cell>
          <cell r="AV8">
            <v>1976563.5336075388</v>
          </cell>
          <cell r="AW8">
            <v>1811372.9043646499</v>
          </cell>
          <cell r="AX8">
            <v>1857141.6744601312</v>
          </cell>
          <cell r="AY8">
            <v>2002842.4569327459</v>
          </cell>
          <cell r="AZ8">
            <v>2677574.9044459425</v>
          </cell>
          <cell r="BA8">
            <v>3003893.8339817086</v>
          </cell>
          <cell r="BB8">
            <v>3446056.7192486804</v>
          </cell>
          <cell r="BC8">
            <v>3736330.7671115072</v>
          </cell>
          <cell r="BD8">
            <v>3132532.5937104602</v>
          </cell>
          <cell r="BE8">
            <v>3143326.7885702904</v>
          </cell>
          <cell r="BF8">
            <v>2640957.3003596198</v>
          </cell>
          <cell r="BG8">
            <v>2256387.2597362888</v>
          </cell>
          <cell r="BH8">
            <v>1996924.9953691768</v>
          </cell>
          <cell r="BI8">
            <v>1829281.8892257828</v>
          </cell>
          <cell r="BJ8">
            <v>1878260.8480738134</v>
          </cell>
          <cell r="BK8">
            <v>2027511.3118312475</v>
          </cell>
          <cell r="BL8">
            <v>2706588.2932281587</v>
          </cell>
          <cell r="BM8">
            <v>3026222.4353024946</v>
          </cell>
          <cell r="BN8">
            <v>3446056.7192486804</v>
          </cell>
          <cell r="BO8">
            <v>3736330.7671115072</v>
          </cell>
          <cell r="BP8">
            <v>3132532.5937104602</v>
          </cell>
          <cell r="BQ8">
            <v>3143326.7885702904</v>
          </cell>
          <cell r="BR8">
            <v>2640957.3003596198</v>
          </cell>
          <cell r="BS8">
            <v>2256387.2597362888</v>
          </cell>
          <cell r="BT8">
            <v>1996924.9953691768</v>
          </cell>
          <cell r="BU8">
            <v>1829281.8892257828</v>
          </cell>
          <cell r="BV8">
            <v>1878260.8480738134</v>
          </cell>
          <cell r="BW8">
            <v>2027511.3118312475</v>
          </cell>
          <cell r="BX8">
            <v>2706588.2932281587</v>
          </cell>
          <cell r="BY8">
            <v>3026222.4353024946</v>
          </cell>
        </row>
        <row r="10">
          <cell r="B10" t="str">
            <v>ID101</v>
          </cell>
          <cell r="C10" t="str">
            <v>ID101_dca</v>
          </cell>
          <cell r="D10">
            <v>5059784.8624174194</v>
          </cell>
          <cell r="E10">
            <v>11622299.976031316</v>
          </cell>
          <cell r="F10">
            <v>9674232.3681312539</v>
          </cell>
          <cell r="G10">
            <v>8328367.3227313105</v>
          </cell>
          <cell r="H10">
            <v>6643310.1675595548</v>
          </cell>
          <cell r="I10">
            <v>4196766.0456694495</v>
          </cell>
          <cell r="J10">
            <v>2379681.9709799043</v>
          </cell>
          <cell r="K10">
            <v>1405293.0565372712</v>
          </cell>
          <cell r="L10">
            <v>1112174.0391464466</v>
          </cell>
          <cell r="M10">
            <v>1038979.2104052568</v>
          </cell>
          <cell r="N10">
            <v>1377687.4904488639</v>
          </cell>
          <cell r="O10">
            <v>3662732.9496855023</v>
          </cell>
          <cell r="P10">
            <v>7699906.5846533021</v>
          </cell>
          <cell r="Q10">
            <v>10267380.135467676</v>
          </cell>
          <cell r="R10">
            <v>9750118.753242122</v>
          </cell>
          <cell r="S10">
            <v>7762177.3529289477</v>
          </cell>
          <cell r="T10">
            <v>6896826.5023758905</v>
          </cell>
          <cell r="U10">
            <v>4299384.0210929671</v>
          </cell>
          <cell r="V10">
            <v>2456510.4100787421</v>
          </cell>
          <cell r="W10">
            <v>1468376.2918894188</v>
          </cell>
          <cell r="X10">
            <v>1191270.5007232064</v>
          </cell>
          <cell r="Y10">
            <v>1067643.3147697682</v>
          </cell>
          <cell r="Z10">
            <v>1376386.411529131</v>
          </cell>
          <cell r="AA10">
            <v>3751050.9240243533</v>
          </cell>
          <cell r="AB10">
            <v>7788775.0412284415</v>
          </cell>
          <cell r="AC10">
            <v>10383126.47913814</v>
          </cell>
          <cell r="AD10">
            <v>9868334.9157791417</v>
          </cell>
          <cell r="AE10">
            <v>7837906.9549079277</v>
          </cell>
          <cell r="AF10">
            <v>6965340.442502657</v>
          </cell>
          <cell r="AG10">
            <v>4345490.838267914</v>
          </cell>
          <cell r="AH10">
            <v>2485640.8258887609</v>
          </cell>
          <cell r="AI10">
            <v>1498331.2420831453</v>
          </cell>
          <cell r="AJ10">
            <v>1221681.0446115457</v>
          </cell>
          <cell r="AK10">
            <v>1087831.345158837</v>
          </cell>
          <cell r="AL10">
            <v>1431414.4137861745</v>
          </cell>
          <cell r="AM10">
            <v>3803838.8560091024</v>
          </cell>
          <cell r="AN10">
            <v>7835795.2384524737</v>
          </cell>
          <cell r="AO10">
            <v>10505885.817244148</v>
          </cell>
          <cell r="AP10">
            <v>9921015.639395602</v>
          </cell>
          <cell r="AQ10">
            <v>8142110.0181164574</v>
          </cell>
          <cell r="AR10">
            <v>7022178.5082459887</v>
          </cell>
          <cell r="AS10">
            <v>4384352.4390407223</v>
          </cell>
          <cell r="AT10">
            <v>2518487.7199555002</v>
          </cell>
          <cell r="AU10">
            <v>1523797.6272405048</v>
          </cell>
          <cell r="AV10">
            <v>1239713.5068387608</v>
          </cell>
          <cell r="AW10">
            <v>1126842.6221563071</v>
          </cell>
          <cell r="AX10">
            <v>1460567.0302065872</v>
          </cell>
          <cell r="AY10">
            <v>3817066.405401594</v>
          </cell>
          <cell r="AZ10">
            <v>7915607.4992671944</v>
          </cell>
          <cell r="BA10">
            <v>10575548.858751779</v>
          </cell>
          <cell r="BB10">
            <v>10080174.280689491</v>
          </cell>
          <cell r="BC10">
            <v>8017120.4455376742</v>
          </cell>
          <cell r="BD10">
            <v>7139920.3767324258</v>
          </cell>
          <cell r="BE10">
            <v>4458086.8113974184</v>
          </cell>
          <cell r="BF10">
            <v>2559795.8936469094</v>
          </cell>
          <cell r="BG10">
            <v>1547338.2935955354</v>
          </cell>
          <cell r="BH10">
            <v>1279135.4621066512</v>
          </cell>
          <cell r="BI10">
            <v>1162379.4709049407</v>
          </cell>
          <cell r="BJ10">
            <v>1483120.7022828308</v>
          </cell>
          <cell r="BK10">
            <v>3919752.9370805682</v>
          </cell>
          <cell r="BL10">
            <v>8076075.9233430047</v>
          </cell>
          <cell r="BM10">
            <v>10758798.906816199</v>
          </cell>
          <cell r="BN10">
            <v>10080174.280689491</v>
          </cell>
          <cell r="BO10">
            <v>8017120.4455376742</v>
          </cell>
          <cell r="BP10">
            <v>7139920.3767324258</v>
          </cell>
          <cell r="BQ10">
            <v>4458086.8113974184</v>
          </cell>
          <cell r="BR10">
            <v>2559795.8936469094</v>
          </cell>
          <cell r="BS10">
            <v>1547338.2935955354</v>
          </cell>
          <cell r="BT10">
            <v>1279135.4621066512</v>
          </cell>
          <cell r="BU10">
            <v>1162379.4709049407</v>
          </cell>
          <cell r="BV10">
            <v>1483120.7022828308</v>
          </cell>
          <cell r="BW10">
            <v>3919752.9370805682</v>
          </cell>
          <cell r="BX10">
            <v>8076075.9233430047</v>
          </cell>
          <cell r="BY10">
            <v>10758798.906816199</v>
          </cell>
        </row>
        <row r="11">
          <cell r="B11" t="str">
            <v>ID111</v>
          </cell>
          <cell r="C11" t="str">
            <v>ID111_dca</v>
          </cell>
          <cell r="D11">
            <v>2060371.0131368176</v>
          </cell>
          <cell r="E11">
            <v>3896632.5197947146</v>
          </cell>
          <cell r="F11">
            <v>3301345.7583267833</v>
          </cell>
          <cell r="G11">
            <v>2846737.458617914</v>
          </cell>
          <cell r="H11">
            <v>2265393.9266660959</v>
          </cell>
          <cell r="I11">
            <v>1429718.6811973494</v>
          </cell>
          <cell r="J11">
            <v>921757.95542267209</v>
          </cell>
          <cell r="K11">
            <v>818004.10239943734</v>
          </cell>
          <cell r="L11">
            <v>1022684.8439337445</v>
          </cell>
          <cell r="M11">
            <v>1233276.775192186</v>
          </cell>
          <cell r="N11">
            <v>1247584.1488722062</v>
          </cell>
          <cell r="O11">
            <v>2210398.6372966105</v>
          </cell>
          <cell r="P11">
            <v>3169540.1783218565</v>
          </cell>
          <cell r="Q11">
            <v>3508496.4232753473</v>
          </cell>
          <cell r="R11">
            <v>3416510.886578836</v>
          </cell>
          <cell r="S11">
            <v>2677203.8154940996</v>
          </cell>
          <cell r="T11">
            <v>2338037.3869294855</v>
          </cell>
          <cell r="U11">
            <v>1415418.4574327606</v>
          </cell>
          <cell r="V11">
            <v>902587.21277392074</v>
          </cell>
          <cell r="W11">
            <v>813492.46770949895</v>
          </cell>
          <cell r="X11">
            <v>1011441.709042476</v>
          </cell>
          <cell r="Y11">
            <v>1201170.5011107372</v>
          </cell>
          <cell r="Z11">
            <v>1264775.8575856306</v>
          </cell>
          <cell r="AA11">
            <v>2241324.0973200933</v>
          </cell>
          <cell r="AB11">
            <v>3240055.8637235472</v>
          </cell>
          <cell r="AC11">
            <v>3610526.8015244342</v>
          </cell>
          <cell r="AD11">
            <v>3497406.0445651216</v>
          </cell>
          <cell r="AE11">
            <v>2732808.6212807666</v>
          </cell>
          <cell r="AF11">
            <v>2357545.392239294</v>
          </cell>
          <cell r="AG11">
            <v>1418925.2881047369</v>
          </cell>
          <cell r="AH11">
            <v>911912.1572559179</v>
          </cell>
          <cell r="AI11">
            <v>815797.09670215647</v>
          </cell>
          <cell r="AJ11">
            <v>1010788.098208531</v>
          </cell>
          <cell r="AK11">
            <v>1208505.3923264993</v>
          </cell>
          <cell r="AL11">
            <v>1268407.0370202167</v>
          </cell>
          <cell r="AM11">
            <v>2256666.9234953234</v>
          </cell>
          <cell r="AN11">
            <v>3300921.0498819239</v>
          </cell>
          <cell r="AO11">
            <v>3689417.3320480287</v>
          </cell>
          <cell r="AP11">
            <v>3554199.9176458875</v>
          </cell>
          <cell r="AQ11">
            <v>2854743.3523168578</v>
          </cell>
          <cell r="AR11">
            <v>2371351.2470941278</v>
          </cell>
          <cell r="AS11">
            <v>1425743.0186163955</v>
          </cell>
          <cell r="AT11">
            <v>914565.37756088597</v>
          </cell>
          <cell r="AU11">
            <v>815940.675051759</v>
          </cell>
          <cell r="AV11">
            <v>1016963.3348476039</v>
          </cell>
          <cell r="AW11">
            <v>1220916.3197519185</v>
          </cell>
          <cell r="AX11">
            <v>1276457.8769495445</v>
          </cell>
          <cell r="AY11">
            <v>2276007.2539477851</v>
          </cell>
          <cell r="AZ11">
            <v>3348614.1708756792</v>
          </cell>
          <cell r="BA11">
            <v>3746871.1792127462</v>
          </cell>
          <cell r="BB11">
            <v>3644358.479082332</v>
          </cell>
          <cell r="BC11">
            <v>2821643.0361279966</v>
          </cell>
          <cell r="BD11">
            <v>2416208.7471154826</v>
          </cell>
          <cell r="BE11">
            <v>1449567.8332989998</v>
          </cell>
          <cell r="BF11">
            <v>922276.61120863387</v>
          </cell>
          <cell r="BG11">
            <v>817378.66284189583</v>
          </cell>
          <cell r="BH11">
            <v>1019815.4729885883</v>
          </cell>
          <cell r="BI11">
            <v>1226116.792264756</v>
          </cell>
          <cell r="BJ11">
            <v>1287415.7029846034</v>
          </cell>
          <cell r="BK11">
            <v>2312145.7690284019</v>
          </cell>
          <cell r="BL11">
            <v>3430248.7117168391</v>
          </cell>
          <cell r="BM11">
            <v>3842549.2390971989</v>
          </cell>
          <cell r="BN11">
            <v>3644358.479082332</v>
          </cell>
          <cell r="BO11">
            <v>2821643.0361279966</v>
          </cell>
          <cell r="BP11">
            <v>2416208.7471154826</v>
          </cell>
          <cell r="BQ11">
            <v>1449567.8332989998</v>
          </cell>
          <cell r="BR11">
            <v>922276.61120863387</v>
          </cell>
          <cell r="BS11">
            <v>817378.66284189583</v>
          </cell>
          <cell r="BT11">
            <v>1019815.4729885883</v>
          </cell>
          <cell r="BU11">
            <v>1226116.792264756</v>
          </cell>
          <cell r="BV11">
            <v>1287415.7029846034</v>
          </cell>
          <cell r="BW11">
            <v>2312145.7690284019</v>
          </cell>
          <cell r="BX11">
            <v>3430248.7117168391</v>
          </cell>
          <cell r="BY11">
            <v>3842549.2390971989</v>
          </cell>
        </row>
        <row r="12">
          <cell r="B12" t="str">
            <v>ID132</v>
          </cell>
          <cell r="C12" t="str">
            <v>ID132_c</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row>
        <row r="14">
          <cell r="B14" t="str">
            <v>OR410</v>
          </cell>
          <cell r="C14" t="str">
            <v>OR410_dca</v>
          </cell>
          <cell r="D14">
            <v>4313211.5468475679</v>
          </cell>
          <cell r="E14">
            <v>8601525.9706882592</v>
          </cell>
          <cell r="F14">
            <v>8405221.0204841942</v>
          </cell>
          <cell r="G14">
            <v>6299261.3509836663</v>
          </cell>
          <cell r="H14">
            <v>5387100.4019220797</v>
          </cell>
          <cell r="I14">
            <v>4011187.2953740852</v>
          </cell>
          <cell r="J14">
            <v>2452125.7252645311</v>
          </cell>
          <cell r="K14">
            <v>1516818.3417256277</v>
          </cell>
          <cell r="L14">
            <v>1314896.9631091899</v>
          </cell>
          <cell r="M14">
            <v>1213456.0269929846</v>
          </cell>
          <cell r="N14">
            <v>1262052.0610799284</v>
          </cell>
          <cell r="O14">
            <v>2897649.0418708371</v>
          </cell>
          <cell r="P14">
            <v>5933913.1550268987</v>
          </cell>
          <cell r="Q14">
            <v>8400689.0674129054</v>
          </cell>
          <cell r="R14">
            <v>8569540.7228416428</v>
          </cell>
          <cell r="S14">
            <v>6421469.690462226</v>
          </cell>
          <cell r="T14">
            <v>5800399.043621554</v>
          </cell>
          <cell r="U14">
            <v>4079654.2263987707</v>
          </cell>
          <cell r="V14">
            <v>2498459.3668687805</v>
          </cell>
          <cell r="W14">
            <v>1537420.6205012426</v>
          </cell>
          <cell r="X14">
            <v>1333975.404878353</v>
          </cell>
          <cell r="Y14">
            <v>1240178.5801140547</v>
          </cell>
          <cell r="Z14">
            <v>1297818.7404801745</v>
          </cell>
          <cell r="AA14">
            <v>2983838.7652525529</v>
          </cell>
          <cell r="AB14">
            <v>6119497.4726482425</v>
          </cell>
          <cell r="AC14">
            <v>8595738.1840650383</v>
          </cell>
          <cell r="AD14">
            <v>8665177.6205401756</v>
          </cell>
          <cell r="AE14">
            <v>6511701.5743425246</v>
          </cell>
          <cell r="AF14">
            <v>5858491.54853136</v>
          </cell>
          <cell r="AG14">
            <v>4117377.6579242912</v>
          </cell>
          <cell r="AH14">
            <v>2529906.4330620682</v>
          </cell>
          <cell r="AI14">
            <v>1541477.4577323925</v>
          </cell>
          <cell r="AJ14">
            <v>1338180.6086023801</v>
          </cell>
          <cell r="AK14">
            <v>1266736.7064028571</v>
          </cell>
          <cell r="AL14">
            <v>1306753.5265881934</v>
          </cell>
          <cell r="AM14">
            <v>3014861.5676425588</v>
          </cell>
          <cell r="AN14">
            <v>6167948.8042602343</v>
          </cell>
          <cell r="AO14">
            <v>8694654.6693178751</v>
          </cell>
          <cell r="AP14">
            <v>8717097.8279417064</v>
          </cell>
          <cell r="AQ14">
            <v>6778938.2621631455</v>
          </cell>
          <cell r="AR14">
            <v>5905701.1917733168</v>
          </cell>
          <cell r="AS14">
            <v>4153702.7889369018</v>
          </cell>
          <cell r="AT14">
            <v>2552172.2798566055</v>
          </cell>
          <cell r="AU14">
            <v>1559755.2555063879</v>
          </cell>
          <cell r="AV14">
            <v>1357055.8898083658</v>
          </cell>
          <cell r="AW14">
            <v>1271286.4880258034</v>
          </cell>
          <cell r="AX14">
            <v>1311461.6052962879</v>
          </cell>
          <cell r="AY14">
            <v>3026506.7832104503</v>
          </cell>
          <cell r="AZ14">
            <v>6208102.0822290191</v>
          </cell>
          <cell r="BA14">
            <v>8750484.8415008746</v>
          </cell>
          <cell r="BB14">
            <v>8884121.7411637791</v>
          </cell>
          <cell r="BC14">
            <v>6680171.9085487649</v>
          </cell>
          <cell r="BD14">
            <v>6015924.448540519</v>
          </cell>
          <cell r="BE14">
            <v>4225496.3796112686</v>
          </cell>
          <cell r="BF14">
            <v>2587021.5334913931</v>
          </cell>
          <cell r="BG14">
            <v>1580702.410915989</v>
          </cell>
          <cell r="BH14">
            <v>1371586.1075590975</v>
          </cell>
          <cell r="BI14">
            <v>1282971.3331933378</v>
          </cell>
          <cell r="BJ14">
            <v>1328842.4554987091</v>
          </cell>
          <cell r="BK14">
            <v>3072550.4674409614</v>
          </cell>
          <cell r="BL14">
            <v>6331033.2512621451</v>
          </cell>
          <cell r="BM14">
            <v>8922197.4318436421</v>
          </cell>
          <cell r="BN14">
            <v>8884121.7411637791</v>
          </cell>
          <cell r="BO14">
            <v>6680171.9085487649</v>
          </cell>
          <cell r="BP14">
            <v>6015924.448540519</v>
          </cell>
          <cell r="BQ14">
            <v>4225496.3796112686</v>
          </cell>
          <cell r="BR14">
            <v>2587021.5334913931</v>
          </cell>
          <cell r="BS14">
            <v>1580702.410915989</v>
          </cell>
          <cell r="BT14">
            <v>1371586.1075590975</v>
          </cell>
          <cell r="BU14">
            <v>1282971.3331933378</v>
          </cell>
          <cell r="BV14">
            <v>1328842.4554987091</v>
          </cell>
          <cell r="BW14">
            <v>3072550.4674409614</v>
          </cell>
          <cell r="BX14">
            <v>6331033.2512621451</v>
          </cell>
          <cell r="BY14">
            <v>8922197.4318436421</v>
          </cell>
        </row>
        <row r="15">
          <cell r="B15" t="str">
            <v>OR420</v>
          </cell>
          <cell r="C15" t="str">
            <v>OR420_dca</v>
          </cell>
          <cell r="D15">
            <v>2378256.8872174216</v>
          </cell>
          <cell r="E15">
            <v>4518985.1000360996</v>
          </cell>
          <cell r="F15">
            <v>4305173.7060623784</v>
          </cell>
          <cell r="G15">
            <v>3274221.5279183341</v>
          </cell>
          <cell r="H15">
            <v>2791063.2610220821</v>
          </cell>
          <cell r="I15">
            <v>2019793.8987660694</v>
          </cell>
          <cell r="J15">
            <v>1298310.6020491675</v>
          </cell>
          <cell r="K15">
            <v>872372.39999919292</v>
          </cell>
          <cell r="L15">
            <v>877492.96641414252</v>
          </cell>
          <cell r="M15">
            <v>905674.88598412543</v>
          </cell>
          <cell r="N15">
            <v>945270.3676143362</v>
          </cell>
          <cell r="O15">
            <v>1804723.8676048429</v>
          </cell>
          <cell r="P15">
            <v>3142756.2066413946</v>
          </cell>
          <cell r="Q15">
            <v>4326179.2498990521</v>
          </cell>
          <cell r="R15">
            <v>4414822.6599081885</v>
          </cell>
          <cell r="S15">
            <v>3351158.846741539</v>
          </cell>
          <cell r="T15">
            <v>2963564.139663232</v>
          </cell>
          <cell r="U15">
            <v>2057776.6657612342</v>
          </cell>
          <cell r="V15">
            <v>1316099.0971056882</v>
          </cell>
          <cell r="W15">
            <v>875744.65812558297</v>
          </cell>
          <cell r="X15">
            <v>881419.89714922896</v>
          </cell>
          <cell r="Y15">
            <v>912518.85688218195</v>
          </cell>
          <cell r="Z15">
            <v>937309.04134962126</v>
          </cell>
          <cell r="AA15">
            <v>1794592.7892401072</v>
          </cell>
          <cell r="AB15">
            <v>3153303.8242311175</v>
          </cell>
          <cell r="AC15">
            <v>4416767.4651657064</v>
          </cell>
          <cell r="AD15">
            <v>4462799.3599303029</v>
          </cell>
          <cell r="AE15">
            <v>3360797.9712634333</v>
          </cell>
          <cell r="AF15">
            <v>2990953.9469519439</v>
          </cell>
          <cell r="AG15">
            <v>2079005.8087061555</v>
          </cell>
          <cell r="AH15">
            <v>1322030.9883909123</v>
          </cell>
          <cell r="AI15">
            <v>892983.25987798302</v>
          </cell>
          <cell r="AJ15">
            <v>900877.98109186115</v>
          </cell>
          <cell r="AK15">
            <v>912125.28225100611</v>
          </cell>
          <cell r="AL15">
            <v>943559.30103540444</v>
          </cell>
          <cell r="AM15">
            <v>1807411.3388304398</v>
          </cell>
          <cell r="AN15">
            <v>3194723.6637996868</v>
          </cell>
          <cell r="AO15">
            <v>4453269.8611139413</v>
          </cell>
          <cell r="AP15">
            <v>4479689.8976009209</v>
          </cell>
          <cell r="AQ15">
            <v>3486233.6585642253</v>
          </cell>
          <cell r="AR15">
            <v>3002761.4611629993</v>
          </cell>
          <cell r="AS15">
            <v>2086060.5242326278</v>
          </cell>
          <cell r="AT15">
            <v>1333690.7986994691</v>
          </cell>
          <cell r="AU15">
            <v>901883.3927135074</v>
          </cell>
          <cell r="AV15">
            <v>907047.49154896953</v>
          </cell>
          <cell r="AW15">
            <v>924771.6689769713</v>
          </cell>
          <cell r="AX15">
            <v>956253.76189090789</v>
          </cell>
          <cell r="AY15">
            <v>1825445.5285136234</v>
          </cell>
          <cell r="AZ15">
            <v>3211792.1968312664</v>
          </cell>
          <cell r="BA15">
            <v>4472464.0860259794</v>
          </cell>
          <cell r="BB15">
            <v>4546966.9186547352</v>
          </cell>
          <cell r="BC15">
            <v>3422895.9867326622</v>
          </cell>
          <cell r="BD15">
            <v>3042939.992744985</v>
          </cell>
          <cell r="BE15">
            <v>2114971.8581387568</v>
          </cell>
          <cell r="BF15">
            <v>1351513.3133562342</v>
          </cell>
          <cell r="BG15">
            <v>907670.36693514907</v>
          </cell>
          <cell r="BH15">
            <v>914834.09772967559</v>
          </cell>
          <cell r="BI15">
            <v>935522.40874805127</v>
          </cell>
          <cell r="BJ15">
            <v>964261.96745646361</v>
          </cell>
          <cell r="BK15">
            <v>1850908.0381061207</v>
          </cell>
          <cell r="BL15">
            <v>3253737.8815642945</v>
          </cell>
          <cell r="BM15">
            <v>4537593.7570717735</v>
          </cell>
          <cell r="BN15">
            <v>4546966.9186547352</v>
          </cell>
          <cell r="BO15">
            <v>3422895.9867326622</v>
          </cell>
          <cell r="BP15">
            <v>3042939.992744985</v>
          </cell>
          <cell r="BQ15">
            <v>2114971.8581387568</v>
          </cell>
          <cell r="BR15">
            <v>1351513.3133562342</v>
          </cell>
          <cell r="BS15">
            <v>907670.36693514907</v>
          </cell>
          <cell r="BT15">
            <v>914834.09772967559</v>
          </cell>
          <cell r="BU15">
            <v>935522.40874805127</v>
          </cell>
          <cell r="BV15">
            <v>964261.96745646361</v>
          </cell>
          <cell r="BW15">
            <v>1850908.0381061207</v>
          </cell>
          <cell r="BX15">
            <v>3253737.8815642945</v>
          </cell>
          <cell r="BY15">
            <v>4537593.7570717735</v>
          </cell>
        </row>
        <row r="16">
          <cell r="B16" t="str">
            <v>OR424</v>
          </cell>
          <cell r="C16" t="str">
            <v>OR424_dca</v>
          </cell>
          <cell r="D16">
            <v>348117.30743175762</v>
          </cell>
          <cell r="E16">
            <v>470230.92187755229</v>
          </cell>
          <cell r="F16">
            <v>405072.7077906552</v>
          </cell>
          <cell r="G16">
            <v>333279.47803761263</v>
          </cell>
          <cell r="H16">
            <v>329739.93382141815</v>
          </cell>
          <cell r="I16">
            <v>272040.41244404396</v>
          </cell>
          <cell r="J16">
            <v>230743.40033319293</v>
          </cell>
          <cell r="K16">
            <v>212228.89764468311</v>
          </cell>
          <cell r="L16">
            <v>241753.82178827</v>
          </cell>
          <cell r="M16">
            <v>266117.39243881981</v>
          </cell>
          <cell r="N16">
            <v>249415.68765191847</v>
          </cell>
          <cell r="O16">
            <v>403526.61221919098</v>
          </cell>
          <cell r="P16">
            <v>488460.0051593298</v>
          </cell>
          <cell r="Q16">
            <v>470070.37559449353</v>
          </cell>
          <cell r="R16">
            <v>416245.90336089494</v>
          </cell>
          <cell r="S16">
            <v>342076.78407043411</v>
          </cell>
          <cell r="T16">
            <v>357783.29251718929</v>
          </cell>
          <cell r="U16">
            <v>280277.65771248162</v>
          </cell>
          <cell r="V16">
            <v>233458.99047723561</v>
          </cell>
          <cell r="W16">
            <v>211677.58016205466</v>
          </cell>
          <cell r="X16">
            <v>249851.08147468985</v>
          </cell>
          <cell r="Y16">
            <v>266847.31789796409</v>
          </cell>
          <cell r="Z16">
            <v>252390.59190191911</v>
          </cell>
          <cell r="AA16">
            <v>413837.51331229834</v>
          </cell>
          <cell r="AB16">
            <v>498774.28283705201</v>
          </cell>
          <cell r="AC16">
            <v>482379.01808840164</v>
          </cell>
          <cell r="AD16">
            <v>421524.90703617159</v>
          </cell>
          <cell r="AE16">
            <v>349511.63574849162</v>
          </cell>
          <cell r="AF16">
            <v>366014.21798735094</v>
          </cell>
          <cell r="AG16">
            <v>288642.82015229028</v>
          </cell>
          <cell r="AH16">
            <v>238137.13316742342</v>
          </cell>
          <cell r="AI16">
            <v>215979.46564547025</v>
          </cell>
          <cell r="AJ16">
            <v>252666.97571329237</v>
          </cell>
          <cell r="AK16">
            <v>269347.32601280941</v>
          </cell>
          <cell r="AL16">
            <v>260002.11671936978</v>
          </cell>
          <cell r="AM16">
            <v>422898.16678281146</v>
          </cell>
          <cell r="AN16">
            <v>511287.63256744121</v>
          </cell>
          <cell r="AO16">
            <v>492148.62962619629</v>
          </cell>
          <cell r="AP16">
            <v>429590.79167487298</v>
          </cell>
          <cell r="AQ16">
            <v>364656.55307219498</v>
          </cell>
          <cell r="AR16">
            <v>369027.32406705013</v>
          </cell>
          <cell r="AS16">
            <v>291579.71124484012</v>
          </cell>
          <cell r="AT16">
            <v>240407.10548972519</v>
          </cell>
          <cell r="AU16">
            <v>218305.30181627971</v>
          </cell>
          <cell r="AV16">
            <v>256083.69927721738</v>
          </cell>
          <cell r="AW16">
            <v>276853.6492719521</v>
          </cell>
          <cell r="AX16">
            <v>266209.47508402704</v>
          </cell>
          <cell r="AY16">
            <v>430746.38358824205</v>
          </cell>
          <cell r="AZ16">
            <v>516832.69450369512</v>
          </cell>
          <cell r="BA16">
            <v>497454.50071861624</v>
          </cell>
          <cell r="BB16">
            <v>439211.13434749702</v>
          </cell>
          <cell r="BC16">
            <v>360231.04006282048</v>
          </cell>
          <cell r="BD16">
            <v>375901.00675101351</v>
          </cell>
          <cell r="BE16">
            <v>296415.86758162425</v>
          </cell>
          <cell r="BF16">
            <v>244643.86710880106</v>
          </cell>
          <cell r="BG16">
            <v>221771.1980675114</v>
          </cell>
          <cell r="BH16">
            <v>260797.91319470789</v>
          </cell>
          <cell r="BI16">
            <v>281455.62192655826</v>
          </cell>
          <cell r="BJ16">
            <v>270833.3056513145</v>
          </cell>
          <cell r="BK16">
            <v>440222.92165610852</v>
          </cell>
          <cell r="BL16">
            <v>527255.05464452389</v>
          </cell>
          <cell r="BM16">
            <v>508268.21124903695</v>
          </cell>
          <cell r="BN16">
            <v>439211.13434749702</v>
          </cell>
          <cell r="BO16">
            <v>360231.04006282048</v>
          </cell>
          <cell r="BP16">
            <v>375901.00675101351</v>
          </cell>
          <cell r="BQ16">
            <v>296415.86758162425</v>
          </cell>
          <cell r="BR16">
            <v>244643.86710880106</v>
          </cell>
          <cell r="BS16">
            <v>221771.1980675114</v>
          </cell>
          <cell r="BT16">
            <v>260797.91319470789</v>
          </cell>
          <cell r="BU16">
            <v>281455.62192655826</v>
          </cell>
          <cell r="BV16">
            <v>270833.3056513145</v>
          </cell>
          <cell r="BW16">
            <v>440222.92165610852</v>
          </cell>
          <cell r="BX16">
            <v>527255.05464452389</v>
          </cell>
          <cell r="BY16">
            <v>508268.21124903695</v>
          </cell>
        </row>
        <row r="17">
          <cell r="B17" t="str">
            <v>OR440</v>
          </cell>
          <cell r="C17" t="str">
            <v>OR440_ca</v>
          </cell>
          <cell r="D17">
            <v>371044.47153218178</v>
          </cell>
          <cell r="E17">
            <v>449856.5164649511</v>
          </cell>
          <cell r="F17">
            <v>398177.13849931158</v>
          </cell>
          <cell r="G17">
            <v>338776.51871315838</v>
          </cell>
          <cell r="H17">
            <v>309979.27230596083</v>
          </cell>
          <cell r="I17">
            <v>275914.53523846337</v>
          </cell>
          <cell r="J17">
            <v>229224.87014242407</v>
          </cell>
          <cell r="K17">
            <v>212905.76939849555</v>
          </cell>
          <cell r="L17">
            <v>255437.90286816342</v>
          </cell>
          <cell r="M17">
            <v>294538.55736248498</v>
          </cell>
          <cell r="N17">
            <v>460745.32742943114</v>
          </cell>
          <cell r="O17">
            <v>491279.98342868045</v>
          </cell>
          <cell r="P17">
            <v>503473.39997457643</v>
          </cell>
          <cell r="Q17">
            <v>435904.37367866409</v>
          </cell>
          <cell r="R17">
            <v>397301.57900483604</v>
          </cell>
          <cell r="S17">
            <v>337836.3620114756</v>
          </cell>
          <cell r="T17">
            <v>324274.01098505466</v>
          </cell>
          <cell r="U17">
            <v>276160.25269640068</v>
          </cell>
          <cell r="V17">
            <v>226871.4998540552</v>
          </cell>
          <cell r="W17">
            <v>210317.41455939069</v>
          </cell>
          <cell r="X17">
            <v>253625.9230843175</v>
          </cell>
          <cell r="Y17">
            <v>291666.6454783004</v>
          </cell>
          <cell r="Z17">
            <v>464066.51471519365</v>
          </cell>
          <cell r="AA17">
            <v>504701.70084385423</v>
          </cell>
          <cell r="AB17">
            <v>512594.3931045488</v>
          </cell>
          <cell r="AC17">
            <v>442770.4700320916</v>
          </cell>
          <cell r="AD17">
            <v>398796.71223163634</v>
          </cell>
          <cell r="AE17">
            <v>341069.17739935371</v>
          </cell>
          <cell r="AF17">
            <v>327641.02504263795</v>
          </cell>
          <cell r="AG17">
            <v>277200.45505876292</v>
          </cell>
          <cell r="AH17">
            <v>227185.91954931986</v>
          </cell>
          <cell r="AI17">
            <v>211031.21858092298</v>
          </cell>
          <cell r="AJ17">
            <v>253925.16937943624</v>
          </cell>
          <cell r="AK17">
            <v>290656.85925531521</v>
          </cell>
          <cell r="AL17">
            <v>468252.64504571469</v>
          </cell>
          <cell r="AM17">
            <v>510434.700257955</v>
          </cell>
          <cell r="AN17">
            <v>520120.80953888729</v>
          </cell>
          <cell r="AO17">
            <v>446244.47845413513</v>
          </cell>
          <cell r="AP17">
            <v>400242.40934492019</v>
          </cell>
          <cell r="AQ17">
            <v>352047.81800822821</v>
          </cell>
          <cell r="AR17">
            <v>326825.58020386682</v>
          </cell>
          <cell r="AS17">
            <v>277266.26935035124</v>
          </cell>
          <cell r="AT17">
            <v>226543.84373890661</v>
          </cell>
          <cell r="AU17">
            <v>210261.57250759422</v>
          </cell>
          <cell r="AV17">
            <v>254382.82176017217</v>
          </cell>
          <cell r="AW17">
            <v>295574.4755763014</v>
          </cell>
          <cell r="AX17">
            <v>473258.07158628863</v>
          </cell>
          <cell r="AY17">
            <v>514167.48082847468</v>
          </cell>
          <cell r="AZ17">
            <v>521565.20274802903</v>
          </cell>
          <cell r="BA17">
            <v>446948.7937979126</v>
          </cell>
          <cell r="BB17">
            <v>405016.18394672056</v>
          </cell>
          <cell r="BC17">
            <v>343786.88100212871</v>
          </cell>
          <cell r="BD17">
            <v>329376.39461336297</v>
          </cell>
          <cell r="BE17">
            <v>278952.32662073302</v>
          </cell>
          <cell r="BF17">
            <v>227900.03839615855</v>
          </cell>
          <cell r="BG17">
            <v>211134.32403594186</v>
          </cell>
          <cell r="BH17">
            <v>256174.37022136495</v>
          </cell>
          <cell r="BI17">
            <v>297939.83665463631</v>
          </cell>
          <cell r="BJ17">
            <v>475664.85761044081</v>
          </cell>
          <cell r="BK17">
            <v>520079.00762234256</v>
          </cell>
          <cell r="BL17">
            <v>526447.83954962995</v>
          </cell>
          <cell r="BM17">
            <v>451551.20116782677</v>
          </cell>
          <cell r="BN17">
            <v>405016.18394672056</v>
          </cell>
          <cell r="BO17">
            <v>343786.88100212871</v>
          </cell>
          <cell r="BP17">
            <v>329376.39461336297</v>
          </cell>
          <cell r="BQ17">
            <v>278952.32662073302</v>
          </cell>
          <cell r="BR17">
            <v>227900.03839615855</v>
          </cell>
          <cell r="BS17">
            <v>211134.32403594186</v>
          </cell>
          <cell r="BT17">
            <v>256174.37022136495</v>
          </cell>
          <cell r="BU17">
            <v>297939.83665463631</v>
          </cell>
          <cell r="BV17">
            <v>475664.85761044081</v>
          </cell>
          <cell r="BW17">
            <v>520079.00762234256</v>
          </cell>
          <cell r="BX17">
            <v>526447.83954962995</v>
          </cell>
          <cell r="BY17">
            <v>451551.20116782677</v>
          </cell>
        </row>
        <row r="18">
          <cell r="B18" t="str">
            <v>OR444</v>
          </cell>
          <cell r="C18" t="str">
            <v>OR444_dca</v>
          </cell>
          <cell r="D18">
            <v>10699.786971071691</v>
          </cell>
          <cell r="E18">
            <v>4381.4909331375311</v>
          </cell>
          <cell r="F18">
            <v>3675.8702440344005</v>
          </cell>
          <cell r="G18">
            <v>1.1243472282399132</v>
          </cell>
          <cell r="H18">
            <v>1037.1309284589597</v>
          </cell>
          <cell r="I18">
            <v>901.11413144656206</v>
          </cell>
          <cell r="J18">
            <v>528.22453030144209</v>
          </cell>
          <cell r="K18">
            <v>8161.9179380981295</v>
          </cell>
          <cell r="L18">
            <v>7840.9501743304536</v>
          </cell>
          <cell r="M18">
            <v>16471.670956038019</v>
          </cell>
          <cell r="N18">
            <v>138376.48644262657</v>
          </cell>
          <cell r="O18">
            <v>68661.423244148406</v>
          </cell>
          <cell r="P18">
            <v>16131.247920783717</v>
          </cell>
          <cell r="Q18">
            <v>3624.782701678253</v>
          </cell>
          <cell r="R18">
            <v>3692.8000696134227</v>
          </cell>
          <cell r="S18">
            <v>1.127740174588989</v>
          </cell>
          <cell r="T18">
            <v>87.693336199907733</v>
          </cell>
          <cell r="U18">
            <v>725.47840309841217</v>
          </cell>
          <cell r="V18">
            <v>721.9791651855993</v>
          </cell>
          <cell r="W18">
            <v>8109.9779834840356</v>
          </cell>
          <cell r="X18">
            <v>7752.0649655476018</v>
          </cell>
          <cell r="Y18">
            <v>15745.184034791268</v>
          </cell>
          <cell r="Z18">
            <v>139566.79282165511</v>
          </cell>
          <cell r="AA18">
            <v>71616.780919400335</v>
          </cell>
          <cell r="AB18">
            <v>14327.697470600637</v>
          </cell>
          <cell r="AC18">
            <v>3827.0312571738687</v>
          </cell>
          <cell r="AD18">
            <v>3669.7436000993935</v>
          </cell>
          <cell r="AE18">
            <v>1.1310305779340186</v>
          </cell>
          <cell r="AF18">
            <v>69.939635441124409</v>
          </cell>
          <cell r="AG18">
            <v>523.15893210255888</v>
          </cell>
          <cell r="AH18">
            <v>759.40733665482878</v>
          </cell>
          <cell r="AI18">
            <v>8162.5838814506678</v>
          </cell>
          <cell r="AJ18">
            <v>7449.0110349033903</v>
          </cell>
          <cell r="AK18">
            <v>15428.253682915212</v>
          </cell>
          <cell r="AL18">
            <v>141134.89709970483</v>
          </cell>
          <cell r="AM18">
            <v>71753.991319252265</v>
          </cell>
          <cell r="AN18">
            <v>13933.300561316382</v>
          </cell>
          <cell r="AO18">
            <v>3489.915324370535</v>
          </cell>
          <cell r="AP18">
            <v>3660.8392804952018</v>
          </cell>
          <cell r="AQ18">
            <v>1.1611670381753132</v>
          </cell>
          <cell r="AR18">
            <v>35.032619709782949</v>
          </cell>
          <cell r="AS18">
            <v>475.71555962226824</v>
          </cell>
          <cell r="AT18">
            <v>778.10092353105483</v>
          </cell>
          <cell r="AU18">
            <v>8124.8093059247822</v>
          </cell>
          <cell r="AV18">
            <v>7368.8208702230713</v>
          </cell>
          <cell r="AW18">
            <v>15406.133776952036</v>
          </cell>
          <cell r="AX18">
            <v>142073.52688412019</v>
          </cell>
          <cell r="AY18">
            <v>72635.242486963121</v>
          </cell>
          <cell r="AZ18">
            <v>13875.20436832618</v>
          </cell>
          <cell r="BA18">
            <v>3394.1827973690647</v>
          </cell>
          <cell r="BB18">
            <v>3688.972947028471</v>
          </cell>
          <cell r="BC18">
            <v>1.1291473949809603</v>
          </cell>
          <cell r="BD18">
            <v>38.079445703383925</v>
          </cell>
          <cell r="BE18">
            <v>445.44038902444538</v>
          </cell>
          <cell r="BF18">
            <v>779.4850780154909</v>
          </cell>
          <cell r="BG18">
            <v>8153.8069675074912</v>
          </cell>
          <cell r="BH18">
            <v>7373.6790962711657</v>
          </cell>
          <cell r="BI18">
            <v>15266.107368095832</v>
          </cell>
          <cell r="BJ18">
            <v>141989.9925817253</v>
          </cell>
          <cell r="BK18">
            <v>73128.873247137206</v>
          </cell>
          <cell r="BL18">
            <v>13959.316711992409</v>
          </cell>
          <cell r="BM18">
            <v>3374.4712221133609</v>
          </cell>
          <cell r="BN18">
            <v>3688.972947028471</v>
          </cell>
          <cell r="BO18">
            <v>1.1291473949809603</v>
          </cell>
          <cell r="BP18">
            <v>38.079445703383925</v>
          </cell>
          <cell r="BQ18">
            <v>445.44038902444538</v>
          </cell>
          <cell r="BR18">
            <v>779.4850780154909</v>
          </cell>
          <cell r="BS18">
            <v>8153.8069675074912</v>
          </cell>
          <cell r="BT18">
            <v>7373.6790962711657</v>
          </cell>
          <cell r="BU18">
            <v>15266.107368095832</v>
          </cell>
          <cell r="BV18">
            <v>141989.9925817253</v>
          </cell>
          <cell r="BW18">
            <v>73128.873247137206</v>
          </cell>
          <cell r="BX18">
            <v>13959.316711992409</v>
          </cell>
          <cell r="BY18">
            <v>3374.4712221133609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Adder Schedule"/>
      <sheetName val="ERM"/>
      <sheetName val="LIRAP"/>
      <sheetName val="ROR"/>
      <sheetName val="Bill Determ"/>
      <sheetName val="Bill Impact"/>
      <sheetName val="WA Sch 25"/>
      <sheetName val="Lighting summary"/>
      <sheetName val="St Lts"/>
      <sheetName val="Area Lts"/>
      <sheetName val="Capital Recovery Factor Calc"/>
      <sheetName val="Block Data"/>
      <sheetName val="Rev Runs 12MESEPT2014"/>
    </sheetNames>
    <sheetDataSet>
      <sheetData sheetId="0">
        <row r="8">
          <cell r="N8">
            <v>1</v>
          </cell>
        </row>
      </sheetData>
      <sheetData sheetId="1"/>
      <sheetData sheetId="2"/>
      <sheetData sheetId="3"/>
      <sheetData sheetId="4"/>
      <sheetData sheetId="5">
        <row r="11">
          <cell r="H11" t="e">
            <v>#DIV/0!</v>
          </cell>
        </row>
      </sheetData>
      <sheetData sheetId="6"/>
      <sheetData sheetId="7"/>
      <sheetData sheetId="8"/>
      <sheetData sheetId="9"/>
      <sheetData sheetId="10"/>
      <sheetData sheetId="11"/>
      <sheetData sheetId="12"/>
      <sheetData sheetId="13"/>
      <sheetData sheetId="14"/>
      <sheetData sheetId="15"/>
      <sheetData sheetId="16"/>
      <sheetData sheetId="17">
        <row r="49">
          <cell r="P49">
            <v>58008579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N70"/>
  <sheetViews>
    <sheetView tabSelected="1" view="pageBreakPreview" topLeftCell="B1" zoomScaleNormal="100" zoomScaleSheetLayoutView="100" workbookViewId="0">
      <selection activeCell="J5" sqref="J5"/>
    </sheetView>
  </sheetViews>
  <sheetFormatPr defaultRowHeight="14.5"/>
  <cols>
    <col min="1" max="1" width="12" bestFit="1" customWidth="1"/>
    <col min="2" max="2" width="54.7265625" customWidth="1"/>
    <col min="3" max="3" width="21.26953125" customWidth="1"/>
    <col min="4" max="4" width="15.7265625" customWidth="1"/>
    <col min="5" max="5" width="17.26953125" customWidth="1"/>
    <col min="6" max="6" width="15.26953125" bestFit="1" customWidth="1"/>
    <col min="7" max="7" width="20.1796875" customWidth="1"/>
    <col min="8" max="8" width="15.7265625" customWidth="1"/>
    <col min="9" max="9" width="16.81640625" customWidth="1"/>
    <col min="10" max="10" width="10" bestFit="1" customWidth="1"/>
    <col min="12" max="12" width="23.54296875" bestFit="1" customWidth="1"/>
    <col min="13" max="13" width="17" customWidth="1"/>
    <col min="14" max="14" width="10.26953125" customWidth="1"/>
  </cols>
  <sheetData>
    <row r="2" spans="1:12">
      <c r="A2" s="1"/>
      <c r="B2" s="3" t="s">
        <v>0</v>
      </c>
      <c r="C2" s="1"/>
      <c r="D2" s="1"/>
      <c r="E2" s="1"/>
      <c r="F2" s="1"/>
      <c r="G2" s="1"/>
      <c r="H2" s="1"/>
      <c r="I2" s="1"/>
      <c r="J2" s="1"/>
    </row>
    <row r="3" spans="1:12">
      <c r="A3" s="5"/>
      <c r="B3" s="5"/>
      <c r="C3" s="5"/>
      <c r="D3" s="5"/>
      <c r="E3" s="5"/>
      <c r="F3" s="5"/>
      <c r="G3" s="5"/>
      <c r="H3" s="5"/>
      <c r="I3" s="5"/>
    </row>
    <row r="4" spans="1:12">
      <c r="A4" s="7"/>
      <c r="B4" s="8"/>
      <c r="C4" s="8" t="s">
        <v>1</v>
      </c>
      <c r="D4" s="8" t="s">
        <v>2</v>
      </c>
      <c r="E4" s="8" t="s">
        <v>3</v>
      </c>
      <c r="F4" s="8" t="s">
        <v>4</v>
      </c>
      <c r="G4" s="8" t="s">
        <v>5</v>
      </c>
      <c r="H4" s="8" t="s">
        <v>6</v>
      </c>
      <c r="I4" s="8" t="s">
        <v>7</v>
      </c>
      <c r="J4" s="2"/>
    </row>
    <row r="5" spans="1:12" ht="29">
      <c r="A5" s="77" t="s">
        <v>10</v>
      </c>
      <c r="B5" s="9"/>
      <c r="C5" s="9" t="s">
        <v>8</v>
      </c>
      <c r="D5" s="9" t="s">
        <v>247</v>
      </c>
      <c r="E5" s="9" t="s">
        <v>248</v>
      </c>
      <c r="F5" s="9" t="s">
        <v>132</v>
      </c>
      <c r="G5" s="236" t="s">
        <v>252</v>
      </c>
      <c r="H5" s="9" t="s">
        <v>9</v>
      </c>
      <c r="I5" s="9" t="s">
        <v>117</v>
      </c>
      <c r="J5" s="2"/>
    </row>
    <row r="6" spans="1:12">
      <c r="A6" s="10"/>
      <c r="B6" s="10"/>
      <c r="C6" s="11"/>
      <c r="D6" s="11"/>
      <c r="E6" s="11"/>
      <c r="F6" s="11"/>
      <c r="G6" s="11"/>
      <c r="H6" s="11"/>
      <c r="I6" s="11"/>
    </row>
    <row r="7" spans="1:12">
      <c r="A7" s="13" t="s">
        <v>47</v>
      </c>
      <c r="B7" s="78" t="s">
        <v>115</v>
      </c>
      <c r="C7" s="12">
        <f>SUM(D7:I7)</f>
        <v>5457742109.1285944</v>
      </c>
      <c r="D7" s="12">
        <f>SUM('Billing Determinants'!$F19:$Q19)</f>
        <v>2670013980.3884344</v>
      </c>
      <c r="E7" s="12">
        <f>SUM('Billing Determinants'!F20:Q20)</f>
        <v>685254028.41754782</v>
      </c>
      <c r="F7" s="12">
        <f>SUM('Billing Determinants'!F21:Q21)</f>
        <v>1271620627.4719951</v>
      </c>
      <c r="G7" s="12">
        <f>SUM('Billing Determinants'!F22:Q22)</f>
        <v>668220405.39999998</v>
      </c>
      <c r="H7" s="12">
        <f>SUM('Billing Determinants'!F23:Q23)</f>
        <v>146934193.97923464</v>
      </c>
      <c r="I7" s="12">
        <f>SUM('Billing Determinants'!F24:Q24)</f>
        <v>15698873.471383084</v>
      </c>
      <c r="L7" s="119"/>
    </row>
    <row r="8" spans="1:12">
      <c r="A8" s="34"/>
      <c r="B8" s="5"/>
      <c r="C8" s="5"/>
      <c r="D8" s="5"/>
      <c r="E8" s="5"/>
      <c r="F8" s="5"/>
      <c r="G8" s="5"/>
      <c r="H8" s="5"/>
      <c r="I8" s="5"/>
    </row>
    <row r="9" spans="1:12">
      <c r="A9" s="34"/>
      <c r="B9" s="5" t="s">
        <v>202</v>
      </c>
      <c r="C9" s="5"/>
      <c r="D9" s="127">
        <v>3.3400000000000001E-3</v>
      </c>
      <c r="E9" s="127">
        <v>3.81E-3</v>
      </c>
      <c r="F9" s="127">
        <v>3.1900000000000001E-3</v>
      </c>
      <c r="G9" s="127">
        <v>2.3600000000000001E-3</v>
      </c>
      <c r="H9" s="127">
        <v>3.3400000000000001E-3</v>
      </c>
      <c r="I9" s="127">
        <v>1.478E-2</v>
      </c>
    </row>
    <row r="10" spans="1:12">
      <c r="A10" s="34"/>
      <c r="B10" s="5"/>
      <c r="C10" s="5"/>
      <c r="D10" s="5"/>
      <c r="E10" s="5"/>
      <c r="F10" s="5"/>
      <c r="G10" s="5"/>
      <c r="H10" s="5"/>
      <c r="I10" s="5"/>
    </row>
    <row r="11" spans="1:12">
      <c r="A11" s="34"/>
      <c r="B11" s="5" t="s">
        <v>198</v>
      </c>
      <c r="C11" s="6">
        <f>SUM(D11:I11)</f>
        <v>17884924.058945578</v>
      </c>
      <c r="D11" s="6">
        <f>D7*D9</f>
        <v>8917846.6944973711</v>
      </c>
      <c r="E11" s="6">
        <f>E7*E9</f>
        <v>2610817.8482708572</v>
      </c>
      <c r="F11" s="6">
        <f t="shared" ref="F11:I11" si="0">F7*F9</f>
        <v>4056469.8016356644</v>
      </c>
      <c r="G11" s="6">
        <f t="shared" si="0"/>
        <v>1577000.156744</v>
      </c>
      <c r="H11" s="6">
        <f t="shared" si="0"/>
        <v>490760.20789064368</v>
      </c>
      <c r="I11" s="6">
        <f t="shared" si="0"/>
        <v>232029.34990704196</v>
      </c>
    </row>
    <row r="12" spans="1:12">
      <c r="A12" s="34"/>
      <c r="B12" s="5"/>
      <c r="C12" s="6"/>
      <c r="D12" s="6"/>
      <c r="E12" s="6"/>
      <c r="F12" s="6"/>
      <c r="G12" s="6"/>
      <c r="H12" s="6"/>
      <c r="I12" s="6"/>
      <c r="L12" s="122"/>
    </row>
    <row r="13" spans="1:12" s="42" customFormat="1" ht="16">
      <c r="A13" s="13" t="s">
        <v>199</v>
      </c>
      <c r="B13" s="5" t="s">
        <v>69</v>
      </c>
      <c r="C13" s="6">
        <f>SUM(D13:I13)</f>
        <v>586260223.53812814</v>
      </c>
      <c r="D13" s="6">
        <f>'Base Revenue'!F14*1000</f>
        <v>285801929.62</v>
      </c>
      <c r="E13" s="6">
        <f>'Base Revenue'!F16*1000</f>
        <v>86753343.310000002</v>
      </c>
      <c r="F13" s="6">
        <f>'Base Revenue'!F18*1000</f>
        <v>139487038.94000003</v>
      </c>
      <c r="G13" s="6">
        <f>('Base Revenue'!F20+'Base Revenue'!F22)*1000-14447122</f>
        <v>50443639.075800009</v>
      </c>
      <c r="H13" s="6">
        <f>'Base Revenue'!F24*1000</f>
        <v>16437675.949999997</v>
      </c>
      <c r="I13" s="6">
        <f>'Base Revenue'!F26*1000</f>
        <v>7336596.6423279988</v>
      </c>
      <c r="L13" s="123"/>
    </row>
    <row r="14" spans="1:12" s="42" customFormat="1">
      <c r="A14" s="5"/>
      <c r="B14" s="5"/>
      <c r="C14" s="6"/>
      <c r="D14" s="6"/>
      <c r="E14" s="6"/>
      <c r="F14" s="6"/>
      <c r="L14" s="14"/>
    </row>
    <row r="15" spans="1:12" s="42" customFormat="1">
      <c r="A15" s="5"/>
      <c r="B15" s="5" t="s">
        <v>62</v>
      </c>
      <c r="C15" s="73">
        <f>SUM(D15:I15)</f>
        <v>1</v>
      </c>
      <c r="D15" s="4">
        <f>D13/$C$13</f>
        <v>0.48750012050137415</v>
      </c>
      <c r="E15" s="4">
        <f>E13/$C$13</f>
        <v>0.14797753595909427</v>
      </c>
      <c r="F15" s="4">
        <f t="shared" ref="F15:H15" si="1">F13/$C$13</f>
        <v>0.23792683409115564</v>
      </c>
      <c r="G15" s="4">
        <f>G13/$C$13</f>
        <v>8.6043086415395098E-2</v>
      </c>
      <c r="H15" s="4">
        <f t="shared" si="1"/>
        <v>2.8038190704457632E-2</v>
      </c>
      <c r="I15" s="4">
        <f>I13/$C$13</f>
        <v>1.251423232852306E-2</v>
      </c>
    </row>
    <row r="16" spans="1:12" s="42" customFormat="1">
      <c r="A16" s="5"/>
      <c r="B16" s="5"/>
      <c r="C16" s="73"/>
      <c r="D16" s="4"/>
      <c r="E16" s="4"/>
      <c r="F16" s="4"/>
      <c r="G16" s="4"/>
      <c r="H16" s="4"/>
      <c r="I16" s="4"/>
    </row>
    <row r="17" spans="1:11" s="42" customFormat="1">
      <c r="A17" s="5"/>
      <c r="B17" s="5" t="s">
        <v>70</v>
      </c>
      <c r="C17" s="134">
        <v>33225760.21140334</v>
      </c>
      <c r="D17" s="4">
        <f>D7/C7</f>
        <v>0.48921585648442079</v>
      </c>
      <c r="E17" s="133"/>
      <c r="F17" s="133"/>
      <c r="G17" s="133"/>
      <c r="H17" s="133"/>
      <c r="I17" s="133"/>
    </row>
    <row r="18" spans="1:11" s="42" customFormat="1">
      <c r="A18" s="5"/>
      <c r="B18" s="5"/>
      <c r="C18" s="5"/>
      <c r="D18" s="5"/>
      <c r="E18" s="5"/>
      <c r="F18" s="5"/>
      <c r="G18" s="5"/>
      <c r="H18" s="5"/>
      <c r="I18" s="5"/>
    </row>
    <row r="19" spans="1:11" s="42" customFormat="1">
      <c r="A19" s="5"/>
      <c r="B19" s="5" t="s">
        <v>63</v>
      </c>
      <c r="C19" s="6">
        <f>SUM(D19:I19)</f>
        <v>33225760.211403336</v>
      </c>
      <c r="D19" s="6">
        <f>$C$17*D15</f>
        <v>16197562.106808892</v>
      </c>
      <c r="E19" s="6">
        <f>$C$17*E15</f>
        <v>4916666.1264511812</v>
      </c>
      <c r="F19" s="6">
        <f t="shared" ref="F19:H19" si="2">$C$17*F15</f>
        <v>7905299.9373710826</v>
      </c>
      <c r="G19" s="6">
        <f>$C$17*G15</f>
        <v>2858846.9570869738</v>
      </c>
      <c r="H19" s="6">
        <f t="shared" si="2"/>
        <v>931590.20110790734</v>
      </c>
      <c r="I19" s="6">
        <f>$C$17*I15</f>
        <v>415794.88257729885</v>
      </c>
    </row>
    <row r="20" spans="1:11" s="42" customFormat="1">
      <c r="A20" s="5"/>
      <c r="B20" s="5"/>
      <c r="C20" s="6"/>
      <c r="D20" s="6"/>
      <c r="E20" s="6"/>
      <c r="F20" s="6"/>
      <c r="G20" s="6"/>
      <c r="H20" s="6"/>
      <c r="I20" s="6"/>
    </row>
    <row r="21" spans="1:11" s="42" customFormat="1">
      <c r="A21" s="5"/>
      <c r="B21" s="5" t="s">
        <v>203</v>
      </c>
      <c r="C21" s="6">
        <f>C19-C11</f>
        <v>15340836.152457759</v>
      </c>
      <c r="D21" s="6">
        <f>D19-D11</f>
        <v>7279715.4123115204</v>
      </c>
      <c r="E21" s="6">
        <f>E19-E11</f>
        <v>2305848.278180324</v>
      </c>
      <c r="F21" s="6">
        <f t="shared" ref="F21:I21" si="3">F19-F11</f>
        <v>3848830.1357354182</v>
      </c>
      <c r="G21" s="6">
        <f>G19-G11</f>
        <v>1281846.8003429738</v>
      </c>
      <c r="H21" s="6">
        <f>H19-H11</f>
        <v>440829.99321726366</v>
      </c>
      <c r="I21" s="6">
        <f t="shared" si="3"/>
        <v>183765.53267025689</v>
      </c>
    </row>
    <row r="22" spans="1:11" s="42" customFormat="1">
      <c r="A22" s="5"/>
      <c r="B22" s="5"/>
      <c r="C22" s="5"/>
      <c r="D22" s="5"/>
      <c r="E22" s="5"/>
      <c r="F22" s="5"/>
      <c r="G22" s="5"/>
      <c r="H22" s="5"/>
      <c r="I22" s="5"/>
    </row>
    <row r="23" spans="1:11" s="42" customFormat="1">
      <c r="A23" s="5"/>
      <c r="B23" s="5" t="s">
        <v>204</v>
      </c>
      <c r="C23" s="5"/>
      <c r="D23" s="201">
        <f>D19/D7</f>
        <v>6.0664708970746533E-3</v>
      </c>
      <c r="E23" s="201">
        <f t="shared" ref="E23:H23" si="4">E19/E7</f>
        <v>7.1749539915952083E-3</v>
      </c>
      <c r="F23" s="201">
        <f t="shared" si="4"/>
        <v>6.2167125686589109E-3</v>
      </c>
      <c r="G23" s="201">
        <f t="shared" si="4"/>
        <v>4.2782993964029792E-3</v>
      </c>
      <c r="H23" s="201">
        <f t="shared" si="4"/>
        <v>6.3401865548026459E-3</v>
      </c>
      <c r="I23" s="201">
        <f>I19/I7</f>
        <v>2.6485650918534793E-2</v>
      </c>
      <c r="J23" s="76"/>
    </row>
    <row r="24" spans="1:11" s="42" customFormat="1">
      <c r="A24" s="5"/>
      <c r="B24" s="5"/>
      <c r="C24" s="5"/>
      <c r="D24" s="211"/>
      <c r="E24" s="5"/>
      <c r="F24" s="5"/>
      <c r="G24" s="5"/>
      <c r="H24" s="5"/>
      <c r="I24" s="5"/>
    </row>
    <row r="25" spans="1:11" s="42" customFormat="1">
      <c r="A25" s="5"/>
      <c r="B25" s="5" t="s">
        <v>64</v>
      </c>
      <c r="C25" s="75">
        <f>C19/C11-1</f>
        <v>0.85775237858975806</v>
      </c>
      <c r="D25" s="75">
        <f>D19/D11-1</f>
        <v>0.81630865181875856</v>
      </c>
      <c r="E25" s="75">
        <f>E19/E11-1</f>
        <v>0.8831900240407371</v>
      </c>
      <c r="F25" s="75">
        <f>F19/F11-1</f>
        <v>0.94881271744793438</v>
      </c>
      <c r="G25" s="75">
        <f>G19/G11-1</f>
        <v>0.81283872728939777</v>
      </c>
      <c r="H25" s="75">
        <f t="shared" ref="H25" si="5">H19/H11-1</f>
        <v>0.89825944754570242</v>
      </c>
      <c r="I25" s="75">
        <f>I19/I11-1</f>
        <v>0.79199261965729328</v>
      </c>
    </row>
    <row r="26" spans="1:11" s="42" customFormat="1">
      <c r="A26" s="34"/>
      <c r="B26" s="5"/>
      <c r="C26" s="6"/>
      <c r="D26" s="6"/>
      <c r="E26" s="6"/>
      <c r="F26" s="6"/>
      <c r="G26" s="6"/>
      <c r="H26" s="6"/>
      <c r="I26" s="6"/>
    </row>
    <row r="27" spans="1:11">
      <c r="A27" s="13"/>
      <c r="B27" s="42" t="s">
        <v>59</v>
      </c>
      <c r="C27" s="44">
        <f>SUM(D27:I27)</f>
        <v>653455000</v>
      </c>
      <c r="D27" s="134">
        <v>298181000</v>
      </c>
      <c r="E27" s="134">
        <v>102533000</v>
      </c>
      <c r="F27" s="134">
        <v>152834000</v>
      </c>
      <c r="G27" s="134">
        <f>53275000+23074000</f>
        <v>76349000</v>
      </c>
      <c r="H27" s="134">
        <v>16048000</v>
      </c>
      <c r="I27" s="134">
        <v>7510000</v>
      </c>
      <c r="K27" s="42"/>
    </row>
    <row r="29" spans="1:11" s="42" customFormat="1">
      <c r="B29" s="42" t="s">
        <v>65</v>
      </c>
      <c r="C29" s="15">
        <f>SUM(D29:I29)</f>
        <v>668795836.15245771</v>
      </c>
      <c r="D29" s="15">
        <f>D21+D27</f>
        <v>305460715.41231149</v>
      </c>
      <c r="E29" s="15">
        <f t="shared" ref="E29:F29" si="6">E21+E27</f>
        <v>104838848.27818033</v>
      </c>
      <c r="F29" s="15">
        <f t="shared" si="6"/>
        <v>156682830.13573542</v>
      </c>
      <c r="G29" s="15">
        <f>G21+G27</f>
        <v>77630846.800342977</v>
      </c>
      <c r="H29" s="15">
        <f>H21+H27</f>
        <v>16488829.993217263</v>
      </c>
      <c r="I29" s="15">
        <f>I21+I27</f>
        <v>7693765.5326702567</v>
      </c>
    </row>
    <row r="30" spans="1:11" s="42" customFormat="1"/>
    <row r="31" spans="1:11" s="42" customFormat="1">
      <c r="B31" s="42" t="s">
        <v>66</v>
      </c>
      <c r="C31" s="118">
        <f>C29/C27-1</f>
        <v>2.3476499762734582E-2</v>
      </c>
      <c r="D31" s="118">
        <f>D29/D27-1</f>
        <v>2.4413746725349794E-2</v>
      </c>
      <c r="E31" s="118">
        <f t="shared" ref="E31:I31" si="7">E29/E27-1</f>
        <v>2.2488840453125603E-2</v>
      </c>
      <c r="F31" s="118">
        <f>F29/F27-1</f>
        <v>2.5183075334908711E-2</v>
      </c>
      <c r="G31" s="118">
        <f>G29/G27-1</f>
        <v>1.6789307002619269E-2</v>
      </c>
      <c r="H31" s="118">
        <f t="shared" si="7"/>
        <v>2.7469466177546309E-2</v>
      </c>
      <c r="I31" s="118">
        <f t="shared" si="7"/>
        <v>2.4469445095906428E-2</v>
      </c>
    </row>
    <row r="32" spans="1:11" s="42" customFormat="1"/>
    <row r="33" spans="1:14" s="42" customFormat="1">
      <c r="D33" s="74">
        <f t="shared" ref="D33:H33" si="8">D23-D9</f>
        <v>2.7264708970746532E-3</v>
      </c>
      <c r="E33" s="74">
        <f t="shared" si="8"/>
        <v>3.3649539915952082E-3</v>
      </c>
      <c r="F33" s="74">
        <f t="shared" si="8"/>
        <v>3.0267125686589107E-3</v>
      </c>
      <c r="G33" s="74">
        <f t="shared" si="8"/>
        <v>1.9182993964029791E-3</v>
      </c>
      <c r="H33" s="74">
        <f t="shared" si="8"/>
        <v>3.0001865548026458E-3</v>
      </c>
      <c r="I33" s="74"/>
    </row>
    <row r="34" spans="1:14">
      <c r="B34" s="42" t="s">
        <v>205</v>
      </c>
      <c r="C34" s="4">
        <f>C11/C27</f>
        <v>2.7369786839102277E-2</v>
      </c>
      <c r="D34" s="4"/>
      <c r="E34" s="4"/>
      <c r="F34" s="4"/>
      <c r="G34" s="4"/>
      <c r="H34" s="4"/>
      <c r="I34" s="4"/>
    </row>
    <row r="35" spans="1:14" s="42" customFormat="1">
      <c r="C35" s="69"/>
      <c r="D35" s="4"/>
      <c r="E35" s="4"/>
      <c r="F35" s="4"/>
      <c r="G35" s="4"/>
      <c r="H35" s="4"/>
      <c r="I35" s="4"/>
    </row>
    <row r="36" spans="1:14" s="42" customFormat="1">
      <c r="B36" s="42" t="s">
        <v>221</v>
      </c>
      <c r="C36" s="4">
        <f>C17/C29</f>
        <v>4.96799746878646E-2</v>
      </c>
      <c r="D36" s="4"/>
      <c r="E36" s="4"/>
      <c r="F36" s="4"/>
      <c r="G36" s="4"/>
      <c r="H36" s="4"/>
      <c r="I36" s="4"/>
    </row>
    <row r="37" spans="1:14" s="42" customFormat="1">
      <c r="C37" s="69"/>
      <c r="D37" s="4"/>
      <c r="E37" s="4"/>
      <c r="F37" s="4"/>
      <c r="G37" s="4"/>
      <c r="H37" s="4"/>
      <c r="I37" s="4"/>
    </row>
    <row r="38" spans="1:14">
      <c r="A38" s="42"/>
      <c r="C38" s="42" t="s">
        <v>46</v>
      </c>
      <c r="D38" s="42" t="s">
        <v>67</v>
      </c>
      <c r="E38" s="42" t="s">
        <v>68</v>
      </c>
    </row>
    <row r="39" spans="1:14">
      <c r="B39" t="s">
        <v>206</v>
      </c>
      <c r="C39" s="135">
        <f>C11</f>
        <v>17884924.058945578</v>
      </c>
      <c r="D39" s="136">
        <f>C19</f>
        <v>33225760.211403336</v>
      </c>
      <c r="E39" s="136">
        <f>D39-C39</f>
        <v>15340836.152457759</v>
      </c>
      <c r="F39" s="137"/>
      <c r="G39" s="137"/>
    </row>
    <row r="40" spans="1:14" ht="15.5">
      <c r="B40" t="s">
        <v>11</v>
      </c>
      <c r="C40" s="138">
        <f>'Rev Conv Factor'!E22</f>
        <v>0.95606855188236617</v>
      </c>
      <c r="D40" s="138">
        <f>'Rev Conv Factor'!E22</f>
        <v>0.95606855188236617</v>
      </c>
      <c r="E40" s="137"/>
      <c r="F40" s="137"/>
      <c r="G40" s="137"/>
      <c r="L40" s="230"/>
      <c r="M40" s="277" t="s">
        <v>238</v>
      </c>
      <c r="N40" s="277"/>
    </row>
    <row r="41" spans="1:14" ht="15.5">
      <c r="C41" s="137"/>
      <c r="D41" s="137"/>
      <c r="E41" s="137"/>
      <c r="F41" s="137"/>
      <c r="G41" s="137"/>
      <c r="L41" s="235" t="s">
        <v>237</v>
      </c>
      <c r="M41" s="235" t="s">
        <v>239</v>
      </c>
      <c r="N41" s="235" t="s">
        <v>240</v>
      </c>
    </row>
    <row r="42" spans="1:14" ht="15.5">
      <c r="B42" t="s">
        <v>207</v>
      </c>
      <c r="C42" s="136">
        <f>C39*C40</f>
        <v>17099213.445562188</v>
      </c>
      <c r="D42" s="136">
        <f>D39*D40</f>
        <v>31766104.450507127</v>
      </c>
      <c r="E42" s="136">
        <f>D42-C42</f>
        <v>14666891.004944939</v>
      </c>
      <c r="F42" s="137"/>
      <c r="G42" s="137"/>
      <c r="L42" s="231" t="s">
        <v>255</v>
      </c>
      <c r="M42" s="238">
        <f>ROUND(D29-D27,-3)</f>
        <v>7280000</v>
      </c>
      <c r="N42" s="232">
        <f>D31</f>
        <v>2.4413746725349794E-2</v>
      </c>
    </row>
    <row r="43" spans="1:14" ht="15.5">
      <c r="C43" s="137"/>
      <c r="D43" s="137"/>
      <c r="E43" s="137"/>
      <c r="F43" s="137"/>
      <c r="G43" s="137"/>
      <c r="L43" s="231" t="s">
        <v>256</v>
      </c>
      <c r="M43" s="238">
        <f>ROUND(E29-E27,-3)</f>
        <v>2306000</v>
      </c>
      <c r="N43" s="232">
        <f>E31</f>
        <v>2.2488840453125603E-2</v>
      </c>
    </row>
    <row r="44" spans="1:14" ht="15.5">
      <c r="B44" s="42"/>
      <c r="C44" s="42" t="s">
        <v>46</v>
      </c>
      <c r="D44" s="42" t="s">
        <v>67</v>
      </c>
      <c r="E44" s="42" t="s">
        <v>133</v>
      </c>
      <c r="F44" s="42" t="s">
        <v>134</v>
      </c>
      <c r="G44" s="137"/>
      <c r="L44" s="231" t="s">
        <v>241</v>
      </c>
      <c r="M44" s="238">
        <f>ROUND(F29-F27,-3)</f>
        <v>3849000</v>
      </c>
      <c r="N44" s="232">
        <f>F31</f>
        <v>2.5183075334908711E-2</v>
      </c>
    </row>
    <row r="45" spans="1:14" ht="15.5">
      <c r="B45" s="42" t="s">
        <v>253</v>
      </c>
      <c r="C45" s="139">
        <f>C48+(800*C49)+((C46-800)*C50)</f>
        <v>105.7619</v>
      </c>
      <c r="D45" s="139">
        <f>E48+(800*E49)+((C46-800)*E50)</f>
        <v>108.34174999999999</v>
      </c>
      <c r="E45" s="237">
        <f>D45-C45</f>
        <v>2.5798499999999933</v>
      </c>
      <c r="F45" s="140">
        <f>E45/C45</f>
        <v>2.4392999747546076E-2</v>
      </c>
      <c r="G45" s="137"/>
      <c r="L45" s="231" t="s">
        <v>242</v>
      </c>
      <c r="M45" s="238">
        <f>ROUND(G29-G27,-3)</f>
        <v>1282000</v>
      </c>
      <c r="N45" s="232">
        <f>G31</f>
        <v>1.6789307002619269E-2</v>
      </c>
    </row>
    <row r="46" spans="1:14" ht="15.5">
      <c r="B46" s="210" t="s">
        <v>254</v>
      </c>
      <c r="C46" s="42">
        <v>945</v>
      </c>
      <c r="D46" s="42"/>
      <c r="E46" s="42"/>
      <c r="F46" s="42"/>
      <c r="G46" s="137"/>
      <c r="L46" s="231" t="s">
        <v>243</v>
      </c>
      <c r="M46" s="238">
        <f>ROUND(H29-H27,-3)</f>
        <v>441000</v>
      </c>
      <c r="N46" s="232">
        <f>H31</f>
        <v>2.7469466177546309E-2</v>
      </c>
    </row>
    <row r="47" spans="1:14" ht="15.5">
      <c r="B47" s="42"/>
      <c r="C47" s="42" t="s">
        <v>46</v>
      </c>
      <c r="D47" s="42" t="s">
        <v>68</v>
      </c>
      <c r="E47" s="42" t="s">
        <v>67</v>
      </c>
      <c r="F47" s="42"/>
      <c r="G47" s="137"/>
      <c r="L47" s="231" t="s">
        <v>44</v>
      </c>
      <c r="M47" s="239">
        <f>ROUND(I29-I27,-3)</f>
        <v>184000</v>
      </c>
      <c r="N47" s="233">
        <f>I31</f>
        <v>2.4469445095906428E-2</v>
      </c>
    </row>
    <row r="48" spans="1:14" ht="15.5">
      <c r="B48" s="42" t="s">
        <v>118</v>
      </c>
      <c r="C48" s="139">
        <v>9</v>
      </c>
      <c r="D48" s="139">
        <v>0</v>
      </c>
      <c r="E48" s="237">
        <f>C48+D48</f>
        <v>9</v>
      </c>
      <c r="F48" s="42"/>
      <c r="G48" s="137"/>
      <c r="L48" s="231" t="s">
        <v>45</v>
      </c>
      <c r="M48" s="238">
        <f>ROUND(C29-C27,-3)</f>
        <v>15341000</v>
      </c>
      <c r="N48" s="232">
        <f>C31</f>
        <v>2.3476499762734582E-2</v>
      </c>
    </row>
    <row r="49" spans="2:7">
      <c r="B49" s="42" t="s">
        <v>119</v>
      </c>
      <c r="C49" s="141">
        <v>9.9959999999999993E-2</v>
      </c>
      <c r="D49" s="141">
        <f>ROUND($D$23,5)-ROUND($D$9,5)</f>
        <v>2.7299999999999998E-3</v>
      </c>
      <c r="E49" s="76">
        <f>C49+D49</f>
        <v>0.10268999999999999</v>
      </c>
      <c r="F49" s="42"/>
      <c r="G49" s="137"/>
    </row>
    <row r="50" spans="2:7">
      <c r="B50" s="42" t="s">
        <v>120</v>
      </c>
      <c r="C50" s="141">
        <v>0.11582000000000001</v>
      </c>
      <c r="D50" s="141">
        <f>ROUND($D$23,5)-ROUND($D$9,5)</f>
        <v>2.7299999999999998E-3</v>
      </c>
      <c r="E50" s="76">
        <f t="shared" ref="E50:E51" si="9">C50+D50</f>
        <v>0.11855</v>
      </c>
      <c r="F50" s="42"/>
      <c r="G50" s="137"/>
    </row>
    <row r="51" spans="2:7">
      <c r="B51" s="42" t="s">
        <v>121</v>
      </c>
      <c r="C51" s="141">
        <v>0.13535</v>
      </c>
      <c r="D51" s="141">
        <f>ROUND($D$23,5)-ROUND($D$9,5)</f>
        <v>2.7299999999999998E-3</v>
      </c>
      <c r="E51" s="76">
        <f t="shared" si="9"/>
        <v>0.13808000000000001</v>
      </c>
      <c r="F51" s="42"/>
      <c r="G51" s="137"/>
    </row>
    <row r="52" spans="2:7">
      <c r="B52" s="42"/>
      <c r="C52" s="42"/>
      <c r="D52" s="42"/>
      <c r="E52" s="42"/>
      <c r="F52" s="42"/>
      <c r="G52" s="137"/>
    </row>
    <row r="53" spans="2:7">
      <c r="B53" s="42"/>
      <c r="C53" s="125">
        <f>C48+(800*C49)+(132*C50)</f>
        <v>104.25623999999999</v>
      </c>
      <c r="D53" s="125">
        <f>C46*D49</f>
        <v>2.57985</v>
      </c>
      <c r="E53" s="125">
        <f>E48+(800*E49)+(132*E50)</f>
        <v>106.80059999999999</v>
      </c>
      <c r="F53" s="42"/>
    </row>
    <row r="54" spans="2:7">
      <c r="B54" s="42"/>
      <c r="C54" s="42"/>
      <c r="D54" s="42"/>
      <c r="E54" s="42"/>
      <c r="F54" s="42"/>
    </row>
    <row r="55" spans="2:7">
      <c r="B55" s="42"/>
      <c r="C55" s="42"/>
      <c r="D55" s="42"/>
      <c r="E55" s="4">
        <f>D53/C53</f>
        <v>2.4745281433514198E-2</v>
      </c>
      <c r="F55" s="42"/>
    </row>
    <row r="57" spans="2:7">
      <c r="C57" s="42"/>
      <c r="D57" s="42"/>
      <c r="E57" s="42"/>
    </row>
    <row r="58" spans="2:7">
      <c r="C58" s="42"/>
      <c r="D58" s="42"/>
      <c r="E58" s="42"/>
    </row>
    <row r="59" spans="2:7">
      <c r="C59" s="42"/>
      <c r="D59" s="42"/>
      <c r="E59" s="42"/>
    </row>
    <row r="60" spans="2:7">
      <c r="C60" s="42"/>
      <c r="D60" s="42"/>
      <c r="E60" s="42"/>
    </row>
    <row r="61" spans="2:7">
      <c r="C61" s="42"/>
      <c r="D61" s="42"/>
      <c r="E61" s="42"/>
    </row>
    <row r="62" spans="2:7">
      <c r="C62" s="42"/>
      <c r="D62" s="42"/>
      <c r="E62" s="42"/>
    </row>
    <row r="63" spans="2:7">
      <c r="C63" s="42"/>
      <c r="D63" s="42"/>
      <c r="E63" s="42"/>
    </row>
    <row r="64" spans="2:7">
      <c r="C64" s="42"/>
      <c r="D64" s="42"/>
      <c r="E64" s="42"/>
    </row>
    <row r="65" spans="3:5">
      <c r="C65" s="42"/>
      <c r="D65" s="42"/>
      <c r="E65" s="42"/>
    </row>
    <row r="66" spans="3:5">
      <c r="C66" s="42"/>
      <c r="D66" s="42"/>
      <c r="E66" s="42"/>
    </row>
    <row r="67" spans="3:5">
      <c r="C67" s="42"/>
      <c r="D67" s="42"/>
      <c r="E67" s="42"/>
    </row>
    <row r="68" spans="3:5">
      <c r="C68" s="42"/>
      <c r="D68" s="42"/>
      <c r="E68" s="42"/>
    </row>
    <row r="69" spans="3:5">
      <c r="C69" s="42"/>
      <c r="D69" s="42"/>
      <c r="E69" s="42"/>
    </row>
    <row r="70" spans="3:5">
      <c r="C70" s="42"/>
      <c r="D70" s="42"/>
      <c r="E70" s="42"/>
    </row>
  </sheetData>
  <mergeCells count="1">
    <mergeCell ref="M40:N40"/>
  </mergeCells>
  <pageMargins left="0.7" right="0.7" top="0.75" bottom="0.75" header="0.3" footer="0.3"/>
  <pageSetup scale="65" orientation="landscape" r:id="rId1"/>
  <headerFooter>
    <oddHeader>&amp;CAvista Utilities
Schedule 92 LIRAP</oddHeader>
    <oddFooter>&amp;L&amp;A&amp;RPage &amp;P of &amp;N</oddFooter>
  </headerFooter>
  <customProperties>
    <customPr name="xxe4aPID" r:id="rId2"/>
  </customPropertie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34"/>
  <sheetViews>
    <sheetView view="pageBreakPreview" zoomScale="115" zoomScaleNormal="100" zoomScaleSheetLayoutView="115" workbookViewId="0"/>
  </sheetViews>
  <sheetFormatPr defaultRowHeight="14.5"/>
  <cols>
    <col min="1" max="1" width="49.1796875" bestFit="1" customWidth="1"/>
    <col min="2" max="2" width="18.26953125" bestFit="1" customWidth="1"/>
    <col min="3" max="3" width="19.54296875" customWidth="1"/>
    <col min="4" max="5" width="10.453125" bestFit="1" customWidth="1"/>
    <col min="6" max="6" width="12.7265625" bestFit="1" customWidth="1"/>
    <col min="7" max="7" width="10.7265625" bestFit="1" customWidth="1"/>
    <col min="8" max="9" width="12.1796875" bestFit="1" customWidth="1"/>
    <col min="10" max="10" width="10.453125" bestFit="1" customWidth="1"/>
    <col min="11" max="11" width="11" bestFit="1" customWidth="1"/>
    <col min="12" max="14" width="10.453125" bestFit="1" customWidth="1"/>
    <col min="15" max="17" width="10.453125" style="42" bestFit="1" customWidth="1"/>
    <col min="18" max="18" width="12.7265625" bestFit="1" customWidth="1"/>
    <col min="19" max="19" width="10.7265625" style="42" bestFit="1" customWidth="1"/>
    <col min="20" max="21" width="12.1796875" style="42" bestFit="1" customWidth="1"/>
    <col min="22" max="22" width="10.453125" style="42" bestFit="1" customWidth="1"/>
    <col min="23" max="23" width="11" style="42" bestFit="1" customWidth="1"/>
    <col min="24" max="29" width="10.453125" style="42" bestFit="1" customWidth="1"/>
    <col min="30" max="30" width="12.7265625" bestFit="1" customWidth="1"/>
    <col min="31" max="31" width="10.7265625" bestFit="1" customWidth="1"/>
  </cols>
  <sheetData>
    <row r="1" spans="1:29">
      <c r="A1" s="16"/>
      <c r="B1" s="65">
        <v>2024</v>
      </c>
      <c r="C1" s="65">
        <f>B1</f>
        <v>2024</v>
      </c>
      <c r="D1" s="65">
        <f t="shared" ref="D1:G1" si="0">C1</f>
        <v>2024</v>
      </c>
      <c r="E1" s="65">
        <f t="shared" si="0"/>
        <v>2024</v>
      </c>
      <c r="F1" s="65">
        <f t="shared" si="0"/>
        <v>2024</v>
      </c>
      <c r="G1" s="65">
        <f t="shared" si="0"/>
        <v>2024</v>
      </c>
      <c r="H1" s="65">
        <f>G1+1</f>
        <v>2025</v>
      </c>
      <c r="I1" s="65">
        <v>2025</v>
      </c>
      <c r="J1" s="65">
        <v>2025</v>
      </c>
      <c r="K1" s="65">
        <v>2025</v>
      </c>
      <c r="L1" s="65">
        <v>2025</v>
      </c>
      <c r="M1" s="65">
        <v>2025</v>
      </c>
      <c r="N1" s="65">
        <v>2025</v>
      </c>
      <c r="O1" s="65">
        <v>2025</v>
      </c>
      <c r="P1" s="65">
        <v>2025</v>
      </c>
      <c r="Q1" s="65">
        <v>2025</v>
      </c>
      <c r="R1" s="65">
        <v>2025</v>
      </c>
      <c r="S1" s="65">
        <v>2025</v>
      </c>
      <c r="T1" s="65">
        <f>2025+1</f>
        <v>2026</v>
      </c>
      <c r="U1" s="65">
        <f>T1</f>
        <v>2026</v>
      </c>
      <c r="V1" s="65">
        <f t="shared" ref="V1:AC1" si="1">U1</f>
        <v>2026</v>
      </c>
      <c r="W1" s="65">
        <f t="shared" si="1"/>
        <v>2026</v>
      </c>
      <c r="X1" s="65">
        <f t="shared" si="1"/>
        <v>2026</v>
      </c>
      <c r="Y1" s="65">
        <f t="shared" si="1"/>
        <v>2026</v>
      </c>
      <c r="Z1" s="65">
        <f t="shared" si="1"/>
        <v>2026</v>
      </c>
      <c r="AA1" s="65">
        <f t="shared" si="1"/>
        <v>2026</v>
      </c>
      <c r="AB1" s="65">
        <f t="shared" si="1"/>
        <v>2026</v>
      </c>
      <c r="AC1" s="65">
        <f t="shared" si="1"/>
        <v>2026</v>
      </c>
    </row>
    <row r="2" spans="1:29">
      <c r="A2" s="17"/>
      <c r="B2" s="17" t="s">
        <v>16</v>
      </c>
      <c r="C2" s="17" t="s">
        <v>17</v>
      </c>
      <c r="D2" s="17" t="s">
        <v>18</v>
      </c>
      <c r="E2" s="17" t="s">
        <v>114</v>
      </c>
      <c r="F2" s="17" t="s">
        <v>19</v>
      </c>
      <c r="G2" s="17" t="s">
        <v>20</v>
      </c>
      <c r="H2" s="17" t="s">
        <v>21</v>
      </c>
      <c r="I2" s="17" t="s">
        <v>22</v>
      </c>
      <c r="J2" s="17" t="s">
        <v>12</v>
      </c>
      <c r="K2" s="17" t="s">
        <v>13</v>
      </c>
      <c r="L2" s="17" t="s">
        <v>14</v>
      </c>
      <c r="M2" s="17" t="s">
        <v>15</v>
      </c>
      <c r="N2" s="17" t="s">
        <v>16</v>
      </c>
      <c r="O2" s="17" t="s">
        <v>17</v>
      </c>
      <c r="P2" s="17" t="s">
        <v>18</v>
      </c>
      <c r="Q2" s="17" t="s">
        <v>114</v>
      </c>
      <c r="R2" s="17" t="s">
        <v>19</v>
      </c>
      <c r="S2" s="17" t="s">
        <v>20</v>
      </c>
      <c r="T2" s="17" t="s">
        <v>21</v>
      </c>
      <c r="U2" s="17" t="s">
        <v>22</v>
      </c>
      <c r="V2" s="17" t="s">
        <v>12</v>
      </c>
      <c r="W2" s="17" t="s">
        <v>13</v>
      </c>
      <c r="X2" s="17" t="s">
        <v>14</v>
      </c>
      <c r="Y2" s="17" t="s">
        <v>15</v>
      </c>
      <c r="Z2" s="17" t="s">
        <v>16</v>
      </c>
      <c r="AA2" s="17" t="s">
        <v>17</v>
      </c>
      <c r="AB2" s="17" t="s">
        <v>18</v>
      </c>
      <c r="AC2" s="17" t="s">
        <v>114</v>
      </c>
    </row>
    <row r="3" spans="1:29">
      <c r="A3" s="16" t="s">
        <v>23</v>
      </c>
      <c r="B3" s="18"/>
      <c r="C3" s="18">
        <f>-'Revenue By Month'!D39</f>
        <v>-1440377.844805859</v>
      </c>
      <c r="D3" s="18">
        <f>-'Revenue By Month'!E39</f>
        <v>-1192960.2962088615</v>
      </c>
      <c r="E3" s="18">
        <f>-'Revenue By Month'!F39</f>
        <v>-1264350.3990171514</v>
      </c>
      <c r="F3" s="18">
        <f>-'Revenue By Month'!G39</f>
        <v>-2792113.6783252405</v>
      </c>
      <c r="G3" s="18">
        <f>-'Revenue By Month'!H39</f>
        <v>-3169709.1045309417</v>
      </c>
      <c r="H3" s="18">
        <f>-'Revenue By Month'!I39</f>
        <v>-3324318.2550779465</v>
      </c>
      <c r="I3" s="18">
        <f>-'Revenue By Month'!J39</f>
        <v>-2696548.7875198042</v>
      </c>
      <c r="J3" s="18">
        <f>-'Revenue By Month'!K39</f>
        <v>-2657526.9255873947</v>
      </c>
      <c r="K3" s="18">
        <f>-'Revenue By Month'!L39</f>
        <v>-2393442.553449654</v>
      </c>
      <c r="L3" s="18">
        <f>-'Revenue By Month'!M39</f>
        <v>-2303792.390032365</v>
      </c>
      <c r="M3" s="18">
        <f>-'Revenue By Month'!N39</f>
        <v>-2380320.4159188387</v>
      </c>
      <c r="N3" s="18">
        <f>-'Revenue By Month'!O39</f>
        <v>-2681238.5577052673</v>
      </c>
      <c r="O3" s="18">
        <f>-'Revenue By Month'!P39</f>
        <v>-2713395.6910666758</v>
      </c>
      <c r="P3" s="18">
        <f>-'Revenue By Month'!Q39</f>
        <v>-2259965.2149112653</v>
      </c>
      <c r="Q3" s="18">
        <f>-'Revenue By Month'!R39</f>
        <v>-2393732.8763817335</v>
      </c>
      <c r="R3" s="18">
        <f>-'Revenue By Month'!S39</f>
        <v>-2776370.7949714367</v>
      </c>
      <c r="S3" s="18">
        <f>-'Revenue By Month'!T39</f>
        <v>-3175019.8629782922</v>
      </c>
      <c r="T3" s="18">
        <f>-'Revenue By Month'!U39</f>
        <v>-3338230.9776852569</v>
      </c>
      <c r="U3" s="18">
        <f>-'Revenue By Month'!V39</f>
        <v>-2716602.4507909776</v>
      </c>
      <c r="V3" s="18">
        <f>-'Revenue By Month'!W39</f>
        <v>-2676025.2895408571</v>
      </c>
      <c r="W3" s="18">
        <f>-'Revenue By Month'!X39</f>
        <v>-2404882.087387295</v>
      </c>
      <c r="X3" s="18">
        <f>-'Revenue By Month'!Y39</f>
        <v>-2312184.4655345161</v>
      </c>
      <c r="Y3" s="18">
        <f>-'Revenue By Month'!Z39</f>
        <v>-2387889.3278586078</v>
      </c>
      <c r="Z3" s="18">
        <f>-'Revenue By Month'!AA39</f>
        <v>-2688919.3073574845</v>
      </c>
      <c r="AA3" s="18">
        <f>-'Revenue By Month'!AB39</f>
        <v>-2731520.3892471264</v>
      </c>
      <c r="AB3" s="18">
        <f>-'Revenue By Month'!AC39</f>
        <v>-2278632.6857701675</v>
      </c>
      <c r="AC3" s="18">
        <f>-'Revenue By Month'!AD39</f>
        <v>-2413886.8484897129</v>
      </c>
    </row>
    <row r="4" spans="1:29">
      <c r="A4" s="16" t="s">
        <v>197</v>
      </c>
      <c r="B4" s="47"/>
      <c r="C4" s="47">
        <f>'LIRAP Expense Summary'!$C$38/12</f>
        <v>1599106.0749066006</v>
      </c>
      <c r="D4" s="47">
        <f>'LIRAP Expense Summary'!$C$38/12</f>
        <v>1599106.0749066006</v>
      </c>
      <c r="E4" s="47">
        <f>'LIRAP Expense Summary'!$D$38/12</f>
        <v>2314181.8386059436</v>
      </c>
      <c r="F4" s="47">
        <f>'LIRAP Expense Summary'!$D$38/12</f>
        <v>2314181.8386059436</v>
      </c>
      <c r="G4" s="47">
        <f>'LIRAP Expense Summary'!$D$38/12</f>
        <v>2314181.8386059436</v>
      </c>
      <c r="H4" s="47">
        <f>'LIRAP Expense Summary'!$D$38/12</f>
        <v>2314181.8386059436</v>
      </c>
      <c r="I4" s="47">
        <f>'LIRAP Expense Summary'!$D$38/12</f>
        <v>2314181.8386059436</v>
      </c>
      <c r="J4" s="47">
        <f>'LIRAP Expense Summary'!$D$38/12</f>
        <v>2314181.8386059436</v>
      </c>
      <c r="K4" s="47">
        <f>'LIRAP Expense Summary'!$D$38/12</f>
        <v>2314181.8386059436</v>
      </c>
      <c r="L4" s="47">
        <f>'LIRAP Expense Summary'!$D$38/12</f>
        <v>2314181.8386059436</v>
      </c>
      <c r="M4" s="47">
        <f>'LIRAP Expense Summary'!$D$38/12</f>
        <v>2314181.8386059436</v>
      </c>
      <c r="N4" s="47">
        <f>'LIRAP Expense Summary'!$D$38/12</f>
        <v>2314181.8386059436</v>
      </c>
      <c r="O4" s="47">
        <f>'LIRAP Expense Summary'!$D$38/12</f>
        <v>2314181.8386059436</v>
      </c>
      <c r="P4" s="47">
        <f>'LIRAP Expense Summary'!$D$38/12</f>
        <v>2314181.8386059436</v>
      </c>
      <c r="Q4" s="47">
        <f>'LIRAP Expense Summary'!$E$38/12</f>
        <v>2718668.8259372534</v>
      </c>
      <c r="R4" s="47">
        <f>'LIRAP Expense Summary'!$E$38/12</f>
        <v>2718668.8259372534</v>
      </c>
      <c r="S4" s="47">
        <f>'LIRAP Expense Summary'!$E$38/12</f>
        <v>2718668.8259372534</v>
      </c>
      <c r="T4" s="47">
        <f>'LIRAP Expense Summary'!$E$38/12</f>
        <v>2718668.8259372534</v>
      </c>
      <c r="U4" s="47">
        <f>'LIRAP Expense Summary'!$E$38/12</f>
        <v>2718668.8259372534</v>
      </c>
      <c r="V4" s="47">
        <f>'LIRAP Expense Summary'!$E$38/12</f>
        <v>2718668.8259372534</v>
      </c>
      <c r="W4" s="47">
        <f>'LIRAP Expense Summary'!$E$38/12</f>
        <v>2718668.8259372534</v>
      </c>
      <c r="X4" s="47">
        <f>'LIRAP Expense Summary'!$E$38/12</f>
        <v>2718668.8259372534</v>
      </c>
      <c r="Y4" s="47">
        <f>'LIRAP Expense Summary'!$E$38/12</f>
        <v>2718668.8259372534</v>
      </c>
      <c r="Z4" s="47">
        <f>'LIRAP Expense Summary'!$E$38/12</f>
        <v>2718668.8259372534</v>
      </c>
      <c r="AA4" s="47">
        <f>'LIRAP Expense Summary'!$E$38/12</f>
        <v>2718668.8259372534</v>
      </c>
      <c r="AB4" s="47">
        <f>'LIRAP Expense Summary'!$E$38/12</f>
        <v>2718668.8259372534</v>
      </c>
      <c r="AC4" s="47">
        <f>'LIRAP Expense Summary'!$F$38/12</f>
        <v>3019829.1971525033</v>
      </c>
    </row>
    <row r="5" spans="1:29">
      <c r="A5" s="16" t="s">
        <v>24</v>
      </c>
      <c r="B5" s="47"/>
      <c r="C5" s="47">
        <f t="shared" ref="C5:P5" si="2">C3+C4</f>
        <v>158728.23010074161</v>
      </c>
      <c r="D5" s="47">
        <f t="shared" si="2"/>
        <v>406145.77869773912</v>
      </c>
      <c r="E5" s="47">
        <f t="shared" si="2"/>
        <v>1049831.4395887922</v>
      </c>
      <c r="F5" s="47">
        <f t="shared" si="2"/>
        <v>-477931.8397192969</v>
      </c>
      <c r="G5" s="47">
        <f t="shared" si="2"/>
        <v>-855527.26592499809</v>
      </c>
      <c r="H5" s="47">
        <f t="shared" si="2"/>
        <v>-1010136.4164720029</v>
      </c>
      <c r="I5" s="47">
        <f t="shared" si="2"/>
        <v>-382366.9489138606</v>
      </c>
      <c r="J5" s="47">
        <f t="shared" si="2"/>
        <v>-343345.08698145114</v>
      </c>
      <c r="K5" s="47">
        <f t="shared" si="2"/>
        <v>-79260.714843710419</v>
      </c>
      <c r="L5" s="47">
        <f t="shared" si="2"/>
        <v>10389.448573578615</v>
      </c>
      <c r="M5" s="47">
        <f t="shared" si="2"/>
        <v>-66138.577312895097</v>
      </c>
      <c r="N5" s="47">
        <f t="shared" si="2"/>
        <v>-367056.71909932373</v>
      </c>
      <c r="O5" s="47">
        <f t="shared" si="2"/>
        <v>-399213.85246073222</v>
      </c>
      <c r="P5" s="47">
        <f t="shared" si="2"/>
        <v>54216.623694678303</v>
      </c>
      <c r="Q5" s="47">
        <f t="shared" ref="Q5:AB5" si="3">Q3+Q4</f>
        <v>324935.94955551997</v>
      </c>
      <c r="R5" s="47">
        <f t="shared" si="3"/>
        <v>-57701.969034183305</v>
      </c>
      <c r="S5" s="47">
        <f t="shared" si="3"/>
        <v>-456351.03704103874</v>
      </c>
      <c r="T5" s="47">
        <f t="shared" si="3"/>
        <v>-619562.15174800344</v>
      </c>
      <c r="U5" s="47">
        <f t="shared" si="3"/>
        <v>2066.3751462758519</v>
      </c>
      <c r="V5" s="47">
        <f t="shared" si="3"/>
        <v>42643.536396396346</v>
      </c>
      <c r="W5" s="47">
        <f t="shared" si="3"/>
        <v>313786.73854995845</v>
      </c>
      <c r="X5" s="47">
        <f t="shared" si="3"/>
        <v>406484.36040273728</v>
      </c>
      <c r="Y5" s="47">
        <f t="shared" si="3"/>
        <v>330779.49807864567</v>
      </c>
      <c r="Z5" s="47">
        <f t="shared" si="3"/>
        <v>29749.518579768948</v>
      </c>
      <c r="AA5" s="47">
        <f t="shared" si="3"/>
        <v>-12851.563309872989</v>
      </c>
      <c r="AB5" s="47">
        <f t="shared" si="3"/>
        <v>440036.14016708592</v>
      </c>
      <c r="AC5" s="47">
        <f t="shared" ref="AC5" si="4">AC3+AC4</f>
        <v>605942.34866279038</v>
      </c>
    </row>
    <row r="6" spans="1:29">
      <c r="A6" s="16" t="s">
        <v>113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c r="A7" s="16" t="s">
        <v>25</v>
      </c>
      <c r="B7" s="18">
        <v>817671.76</v>
      </c>
      <c r="C7" s="47">
        <f>C5+C6+B7</f>
        <v>976399.99010074162</v>
      </c>
      <c r="D7" s="47">
        <f>D5+D6+C7</f>
        <v>1382545.7687984807</v>
      </c>
      <c r="E7" s="47">
        <f t="shared" ref="E7:O7" si="5">E5+E6+D7</f>
        <v>2432377.2083872729</v>
      </c>
      <c r="F7" s="47">
        <f t="shared" si="5"/>
        <v>1954445.368667976</v>
      </c>
      <c r="G7" s="47">
        <f t="shared" si="5"/>
        <v>1098918.1027429779</v>
      </c>
      <c r="H7" s="47">
        <f t="shared" si="5"/>
        <v>88781.686270975042</v>
      </c>
      <c r="I7" s="47">
        <f t="shared" si="5"/>
        <v>-293585.26264288556</v>
      </c>
      <c r="J7" s="47">
        <f t="shared" si="5"/>
        <v>-636930.3496243367</v>
      </c>
      <c r="K7" s="47">
        <f t="shared" si="5"/>
        <v>-716191.06446804712</v>
      </c>
      <c r="L7" s="47">
        <f t="shared" si="5"/>
        <v>-705801.6158944685</v>
      </c>
      <c r="M7" s="47">
        <f t="shared" si="5"/>
        <v>-771940.1932073636</v>
      </c>
      <c r="N7" s="47">
        <f t="shared" si="5"/>
        <v>-1138996.9123066873</v>
      </c>
      <c r="O7" s="47">
        <f t="shared" si="5"/>
        <v>-1538210.7647674195</v>
      </c>
      <c r="P7" s="145">
        <f>O7+P5+P6</f>
        <v>-1483994.1410727412</v>
      </c>
      <c r="Q7" s="145">
        <f>P7+Q5+Q6</f>
        <v>-1159058.1915172213</v>
      </c>
      <c r="R7" s="145">
        <f t="shared" ref="R7:AB7" si="6">Q7+R5+R6</f>
        <v>-1216760.1605514046</v>
      </c>
      <c r="S7" s="145">
        <f t="shared" si="6"/>
        <v>-1673111.1975924433</v>
      </c>
      <c r="T7" s="145">
        <f t="shared" si="6"/>
        <v>-2292673.3493404468</v>
      </c>
      <c r="U7" s="145">
        <f t="shared" si="6"/>
        <v>-2290606.9741941709</v>
      </c>
      <c r="V7" s="145">
        <f t="shared" si="6"/>
        <v>-2247963.4377977746</v>
      </c>
      <c r="W7" s="145">
        <f t="shared" si="6"/>
        <v>-1934176.6992478161</v>
      </c>
      <c r="X7" s="145">
        <f t="shared" si="6"/>
        <v>-1527692.3388450788</v>
      </c>
      <c r="Y7" s="145">
        <f t="shared" si="6"/>
        <v>-1196912.8407664332</v>
      </c>
      <c r="Z7" s="145">
        <f t="shared" si="6"/>
        <v>-1167163.3221866642</v>
      </c>
      <c r="AA7" s="145">
        <f t="shared" si="6"/>
        <v>-1180014.8854965372</v>
      </c>
      <c r="AB7" s="145">
        <f t="shared" si="6"/>
        <v>-739978.74532945128</v>
      </c>
      <c r="AC7" s="145">
        <f>AB7+AC5+AC6</f>
        <v>-134036.3966666609</v>
      </c>
    </row>
    <row r="8" spans="1:29">
      <c r="B8" s="47"/>
      <c r="C8" s="35"/>
      <c r="D8" s="35"/>
      <c r="E8" s="35"/>
      <c r="F8" s="18"/>
      <c r="G8" s="18"/>
      <c r="H8" s="18"/>
      <c r="I8" s="18"/>
      <c r="J8" s="18"/>
      <c r="K8" s="18"/>
      <c r="L8" s="18"/>
      <c r="M8" s="18"/>
      <c r="N8" s="18"/>
      <c r="O8" s="18"/>
      <c r="P8" s="18"/>
      <c r="Q8" s="18"/>
      <c r="R8" s="18"/>
      <c r="S8" s="18"/>
      <c r="T8" s="18"/>
      <c r="U8" s="18"/>
      <c r="V8" s="18"/>
      <c r="W8" s="18"/>
      <c r="X8" s="18"/>
      <c r="Y8" s="18"/>
      <c r="Z8" s="18"/>
      <c r="AA8" s="18"/>
      <c r="AB8"/>
      <c r="AC8"/>
    </row>
    <row r="9" spans="1:29">
      <c r="C9" s="18"/>
      <c r="D9" s="18"/>
      <c r="E9" s="18"/>
      <c r="F9" s="35"/>
      <c r="G9" s="35"/>
      <c r="H9" s="18"/>
      <c r="I9" s="18"/>
      <c r="J9" s="18"/>
      <c r="K9" s="18"/>
      <c r="L9" s="18"/>
      <c r="M9" s="18"/>
      <c r="N9" s="18"/>
      <c r="O9" s="18"/>
      <c r="P9" s="18"/>
      <c r="Q9" s="18"/>
      <c r="R9" s="18"/>
      <c r="S9" s="18"/>
      <c r="T9" s="18"/>
      <c r="U9" s="18"/>
      <c r="V9" s="18"/>
      <c r="W9" s="18"/>
      <c r="X9" s="18"/>
      <c r="Y9" s="18"/>
      <c r="Z9" s="18"/>
      <c r="AA9" s="18"/>
      <c r="AB9" s="18"/>
      <c r="AC9" s="18"/>
    </row>
    <row r="10" spans="1:29">
      <c r="A10" s="16"/>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29">
      <c r="A11" s="36" t="s">
        <v>244</v>
      </c>
      <c r="B11" s="14">
        <f>E7</f>
        <v>2432377.2083872729</v>
      </c>
      <c r="C11" s="16" t="s">
        <v>122</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29">
      <c r="A12" s="37" t="s">
        <v>245</v>
      </c>
      <c r="B12" s="38">
        <f>SUM(F4:AC4)</f>
        <v>61099855.333064951</v>
      </c>
      <c r="C12" s="16"/>
      <c r="D12" s="16"/>
      <c r="E12" s="63"/>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29" s="42" customFormat="1">
      <c r="A13" s="37" t="s">
        <v>246</v>
      </c>
      <c r="B13" s="38">
        <f>SUM(F3:AC3)</f>
        <v>-63666268.93811886</v>
      </c>
      <c r="C13" s="16"/>
      <c r="D13" s="16"/>
      <c r="E13" s="63"/>
      <c r="F13" s="16"/>
      <c r="G13" s="16"/>
      <c r="H13" s="16"/>
      <c r="I13" s="16"/>
      <c r="J13" s="16"/>
      <c r="K13" s="16"/>
      <c r="L13" s="16"/>
      <c r="M13" s="16"/>
      <c r="N13" s="16"/>
      <c r="O13" s="16"/>
      <c r="P13" s="16"/>
      <c r="Q13" s="16"/>
      <c r="R13" s="16"/>
      <c r="S13" s="16"/>
      <c r="T13" s="16"/>
      <c r="U13" s="16"/>
      <c r="V13" s="16"/>
      <c r="W13" s="16"/>
      <c r="X13" s="16"/>
      <c r="Y13" s="16"/>
      <c r="Z13" s="16"/>
      <c r="AA13" s="16"/>
      <c r="AB13" s="16"/>
      <c r="AC13" s="16"/>
    </row>
    <row r="14" spans="1:29">
      <c r="A14" s="37"/>
      <c r="B14" s="45">
        <f>SUM(B6:P6)</f>
        <v>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c r="A15" s="5" t="s">
        <v>294</v>
      </c>
      <c r="B15" s="6">
        <f>B11+B12+B14+B13</f>
        <v>-134036.39666663855</v>
      </c>
      <c r="C15" s="70" t="s">
        <v>233</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row>
    <row r="16" spans="1:29">
      <c r="A16" s="5"/>
      <c r="B16" s="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29" s="42" customFormat="1">
      <c r="A17" s="278" t="s">
        <v>293</v>
      </c>
      <c r="B17" s="278"/>
      <c r="C17" s="278"/>
      <c r="D17" s="278"/>
      <c r="E17" s="278"/>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29" s="42" customFormat="1">
      <c r="A18" s="278"/>
      <c r="B18" s="278"/>
      <c r="C18" s="278"/>
      <c r="D18" s="278"/>
      <c r="E18" s="278"/>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1:29">
      <c r="A19" s="278"/>
      <c r="B19" s="278"/>
      <c r="C19" s="278"/>
      <c r="D19" s="278"/>
      <c r="E19" s="278"/>
    </row>
    <row r="20" spans="1:29">
      <c r="A20" s="42"/>
      <c r="B20" s="14"/>
      <c r="C20" s="14"/>
    </row>
    <row r="21" spans="1:29">
      <c r="A21" s="42"/>
      <c r="B21" s="14"/>
      <c r="C21" s="14"/>
      <c r="D21" s="63"/>
    </row>
    <row r="22" spans="1:29">
      <c r="A22" s="42"/>
      <c r="B22" s="14"/>
      <c r="C22" s="14"/>
    </row>
    <row r="23" spans="1:29">
      <c r="A23" s="42"/>
      <c r="B23" s="14"/>
      <c r="C23" s="14"/>
    </row>
    <row r="24" spans="1:29">
      <c r="B24" s="14"/>
      <c r="C24" s="14"/>
      <c r="I24" s="14"/>
      <c r="J24" s="14"/>
      <c r="K24" s="15"/>
      <c r="L24" s="42"/>
    </row>
    <row r="25" spans="1:29">
      <c r="A25" s="121"/>
      <c r="B25" s="14"/>
      <c r="C25" s="14"/>
    </row>
    <row r="26" spans="1:29">
      <c r="B26" s="14"/>
      <c r="C26" s="14"/>
      <c r="J26" s="42"/>
    </row>
    <row r="27" spans="1:29" ht="16">
      <c r="A27" s="42"/>
      <c r="B27" s="120"/>
      <c r="I27" s="14"/>
      <c r="J27" s="14"/>
    </row>
    <row r="28" spans="1:29">
      <c r="B28" s="15"/>
      <c r="G28" s="42"/>
      <c r="I28" s="14"/>
      <c r="J28" s="14"/>
      <c r="K28" s="15"/>
    </row>
    <row r="30" spans="1:29">
      <c r="I30" s="14"/>
    </row>
    <row r="32" spans="1:29">
      <c r="I32" s="69"/>
    </row>
    <row r="34" spans="9:9">
      <c r="I34" s="14"/>
    </row>
  </sheetData>
  <mergeCells count="1">
    <mergeCell ref="A17:E19"/>
  </mergeCells>
  <pageMargins left="0.7" right="0.7" top="0.75" bottom="0.75" header="0.3" footer="0.3"/>
  <pageSetup orientation="landscape" r:id="rId1"/>
  <headerFooter>
    <oddHeader>&amp;CAvista Utilities
Schedule 92 LIRAP</oddHeader>
    <oddFooter>&amp;L&amp;A&amp;RPage &amp;P of &amp;N</oddFooter>
  </headerFooter>
  <customProperties>
    <customPr name="xxe4aP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B521-86C1-48E3-844D-F7639A66B60E}">
  <sheetPr>
    <tabColor rgb="FF92D050"/>
    <pageSetUpPr fitToPage="1"/>
  </sheetPr>
  <dimension ref="A1:N58"/>
  <sheetViews>
    <sheetView view="pageBreakPreview" zoomScale="85" zoomScaleNormal="100" zoomScaleSheetLayoutView="85" workbookViewId="0">
      <selection sqref="A1:F1"/>
    </sheetView>
  </sheetViews>
  <sheetFormatPr defaultColWidth="9.1796875" defaultRowHeight="14.5"/>
  <cols>
    <col min="1" max="1" width="28.453125" style="42" bestFit="1" customWidth="1"/>
    <col min="2" max="2" width="15.26953125" style="42" bestFit="1" customWidth="1"/>
    <col min="3" max="6" width="12.54296875" style="42" bestFit="1" customWidth="1"/>
    <col min="7" max="7" width="9.1796875" style="42"/>
    <col min="8" max="8" width="18.7265625" style="42" bestFit="1" customWidth="1"/>
    <col min="9" max="9" width="14.1796875" style="42" customWidth="1"/>
    <col min="10" max="10" width="12.54296875" style="42" bestFit="1" customWidth="1"/>
    <col min="11" max="11" width="15.453125" style="42" bestFit="1" customWidth="1"/>
    <col min="12" max="12" width="11.453125" style="42" bestFit="1" customWidth="1"/>
    <col min="13" max="13" width="11.81640625" style="42" bestFit="1" customWidth="1"/>
    <col min="14" max="14" width="12.453125" style="42" bestFit="1" customWidth="1"/>
    <col min="15" max="15" width="14.81640625" style="42" bestFit="1" customWidth="1"/>
    <col min="16" max="16" width="10.54296875" style="42" customWidth="1"/>
    <col min="17" max="17" width="11.453125" style="42" bestFit="1" customWidth="1"/>
    <col min="18" max="18" width="12.54296875" style="42" bestFit="1" customWidth="1"/>
    <col min="19" max="19" width="15.453125" style="42" bestFit="1" customWidth="1"/>
    <col min="20" max="16384" width="9.1796875" style="42"/>
  </cols>
  <sheetData>
    <row r="1" spans="1:14" ht="19" thickBot="1">
      <c r="A1" s="287" t="s">
        <v>150</v>
      </c>
      <c r="B1" s="288"/>
      <c r="C1" s="288"/>
      <c r="D1" s="288"/>
      <c r="E1" s="288"/>
      <c r="F1" s="288"/>
    </row>
    <row r="2" spans="1:14" ht="47.25" customHeight="1">
      <c r="A2" s="289" t="s">
        <v>151</v>
      </c>
      <c r="B2" s="290"/>
      <c r="C2" s="240" t="s">
        <v>257</v>
      </c>
      <c r="D2" s="146" t="s">
        <v>152</v>
      </c>
      <c r="E2" s="146" t="s">
        <v>153</v>
      </c>
      <c r="F2" s="147" t="s">
        <v>154</v>
      </c>
      <c r="H2" s="241" t="s">
        <v>258</v>
      </c>
      <c r="I2" s="267" t="s">
        <v>173</v>
      </c>
      <c r="J2" s="267" t="s">
        <v>175</v>
      </c>
      <c r="K2" s="242"/>
      <c r="L2" s="281"/>
      <c r="M2" s="281"/>
      <c r="N2" s="281"/>
    </row>
    <row r="3" spans="1:14">
      <c r="A3" s="212" t="s">
        <v>155</v>
      </c>
      <c r="B3" s="148">
        <v>141863</v>
      </c>
      <c r="C3" s="149">
        <v>51071</v>
      </c>
      <c r="D3" s="149">
        <v>75187</v>
      </c>
      <c r="E3" s="149">
        <v>89374</v>
      </c>
      <c r="F3" s="150">
        <v>99304</v>
      </c>
      <c r="H3" s="267" t="s">
        <v>168</v>
      </c>
      <c r="I3" s="156">
        <v>935.29</v>
      </c>
      <c r="J3" s="156">
        <v>0</v>
      </c>
      <c r="K3" s="242"/>
    </row>
    <row r="4" spans="1:14" ht="15" thickBot="1">
      <c r="A4" s="152" t="s">
        <v>158</v>
      </c>
      <c r="B4" s="153">
        <v>1</v>
      </c>
      <c r="C4" s="154">
        <v>0.36</v>
      </c>
      <c r="D4" s="154">
        <v>0.53</v>
      </c>
      <c r="E4" s="154">
        <v>0.63</v>
      </c>
      <c r="F4" s="243">
        <v>0.7</v>
      </c>
      <c r="H4" s="267" t="s">
        <v>169</v>
      </c>
      <c r="I4" s="156">
        <v>944.69</v>
      </c>
      <c r="J4" s="156">
        <v>836.9</v>
      </c>
      <c r="K4" s="242"/>
      <c r="L4" s="62"/>
    </row>
    <row r="5" spans="1:14">
      <c r="A5" s="157" t="s">
        <v>160</v>
      </c>
      <c r="B5" s="220">
        <v>7054017.5170602435</v>
      </c>
      <c r="C5" s="158">
        <v>2539446.3061416876</v>
      </c>
      <c r="D5" s="159">
        <v>3738629.2840419291</v>
      </c>
      <c r="E5" s="159">
        <v>4444031.0357479537</v>
      </c>
      <c r="F5" s="179">
        <v>4937812.2619421706</v>
      </c>
      <c r="H5" s="267" t="s">
        <v>170</v>
      </c>
      <c r="I5" s="156">
        <v>0</v>
      </c>
      <c r="J5" s="156">
        <v>953.9</v>
      </c>
      <c r="K5" s="242"/>
      <c r="L5" s="62"/>
    </row>
    <row r="6" spans="1:14" ht="15" thickBot="1">
      <c r="A6" s="161" t="s">
        <v>162</v>
      </c>
      <c r="B6" s="221">
        <v>3207620.5034053726</v>
      </c>
      <c r="C6" s="162">
        <v>1154743.381225934</v>
      </c>
      <c r="D6" s="163">
        <v>1700038.8668048475</v>
      </c>
      <c r="E6" s="163">
        <v>2020800.9171453847</v>
      </c>
      <c r="F6" s="244">
        <v>2245334.3523837607</v>
      </c>
      <c r="H6" s="267" t="s">
        <v>171</v>
      </c>
      <c r="I6" s="156">
        <v>941</v>
      </c>
      <c r="J6" s="156">
        <v>854</v>
      </c>
      <c r="L6" s="245"/>
    </row>
    <row r="7" spans="1:14">
      <c r="A7" s="157" t="s">
        <v>163</v>
      </c>
      <c r="B7" s="220">
        <v>35949315.242561981</v>
      </c>
      <c r="C7" s="158">
        <v>12941753.487322312</v>
      </c>
      <c r="D7" s="159">
        <v>19053137.078557853</v>
      </c>
      <c r="E7" s="159">
        <v>22648068.602814049</v>
      </c>
      <c r="F7" s="179">
        <v>25164520.669793386</v>
      </c>
      <c r="L7" s="246"/>
    </row>
    <row r="8" spans="1:14" ht="15.75" customHeight="1" thickBot="1">
      <c r="A8" s="161" t="s">
        <v>164</v>
      </c>
      <c r="B8" s="222">
        <v>15115630.63934573</v>
      </c>
      <c r="C8" s="165">
        <v>5441627.0301644625</v>
      </c>
      <c r="D8" s="166">
        <v>8011284.2388532376</v>
      </c>
      <c r="E8" s="166">
        <v>9522847.3027878106</v>
      </c>
      <c r="F8" s="182">
        <v>10580941.44754201</v>
      </c>
      <c r="H8" s="284" t="s">
        <v>259</v>
      </c>
      <c r="I8" s="267" t="s">
        <v>260</v>
      </c>
      <c r="J8" s="267" t="s">
        <v>261</v>
      </c>
      <c r="K8" s="267" t="s">
        <v>262</v>
      </c>
      <c r="L8" s="246"/>
    </row>
    <row r="9" spans="1:14">
      <c r="A9" s="157" t="s">
        <v>165</v>
      </c>
      <c r="B9" s="223">
        <v>2251770.2954132231</v>
      </c>
      <c r="C9" s="158">
        <v>810637.30634876026</v>
      </c>
      <c r="D9" s="159">
        <v>1193438.2565690083</v>
      </c>
      <c r="E9" s="159">
        <v>1418615.2861103306</v>
      </c>
      <c r="F9" s="179">
        <v>1576239.2067892561</v>
      </c>
      <c r="H9" s="285"/>
      <c r="I9" s="151" t="s">
        <v>263</v>
      </c>
      <c r="J9" s="160">
        <v>232457</v>
      </c>
      <c r="K9" s="164">
        <f>J9/J11</f>
        <v>0.58785284017054684</v>
      </c>
    </row>
    <row r="10" spans="1:14" ht="15" thickBot="1">
      <c r="A10" s="161" t="s">
        <v>166</v>
      </c>
      <c r="B10" s="222">
        <v>462174.25619779614</v>
      </c>
      <c r="C10" s="165">
        <v>166382.73223120661</v>
      </c>
      <c r="D10" s="166">
        <v>244952.35578483198</v>
      </c>
      <c r="E10" s="166">
        <v>291169.7814046116</v>
      </c>
      <c r="F10" s="182">
        <v>323521.97933845728</v>
      </c>
      <c r="H10" s="285"/>
      <c r="I10" s="151" t="s">
        <v>264</v>
      </c>
      <c r="J10" s="160">
        <v>162977</v>
      </c>
      <c r="K10" s="164">
        <f>J10/J11</f>
        <v>0.41214715982945321</v>
      </c>
    </row>
    <row r="11" spans="1:14">
      <c r="A11" s="157" t="s">
        <v>167</v>
      </c>
      <c r="B11" s="218">
        <v>1406368.8160826445</v>
      </c>
      <c r="C11" s="167">
        <v>506292.77378975198</v>
      </c>
      <c r="D11" s="159">
        <v>745375.47252380161</v>
      </c>
      <c r="E11" s="159">
        <v>886012.35413206602</v>
      </c>
      <c r="F11" s="179">
        <v>984458.17125785106</v>
      </c>
      <c r="H11" s="286"/>
      <c r="I11" s="151" t="s">
        <v>171</v>
      </c>
      <c r="J11" s="160">
        <f>SUM(J9:J10)</f>
        <v>395434</v>
      </c>
      <c r="K11" s="164">
        <f t="shared" ref="K11" si="0">J11/$C$15</f>
        <v>1.6240091048016474E-2</v>
      </c>
      <c r="L11" s="247"/>
    </row>
    <row r="12" spans="1:14" ht="15" thickBot="1">
      <c r="A12" s="161" t="s">
        <v>172</v>
      </c>
      <c r="B12" s="219">
        <v>503326.75846198341</v>
      </c>
      <c r="C12" s="169">
        <v>181197.63304631403</v>
      </c>
      <c r="D12" s="166">
        <v>266763.1819848512</v>
      </c>
      <c r="E12" s="166">
        <v>317095.85783104954</v>
      </c>
      <c r="F12" s="182">
        <v>352328.73092338839</v>
      </c>
      <c r="L12" s="242"/>
    </row>
    <row r="13" spans="1:14" ht="29">
      <c r="A13" s="157" t="s">
        <v>174</v>
      </c>
      <c r="B13" s="218">
        <v>1053459.7873278237</v>
      </c>
      <c r="C13" s="167">
        <v>379245.52343801653</v>
      </c>
      <c r="D13" s="159">
        <v>558333.68728374655</v>
      </c>
      <c r="E13" s="159">
        <v>663679.66601652896</v>
      </c>
      <c r="F13" s="179">
        <v>737421.85112947656</v>
      </c>
      <c r="H13" s="151" t="s">
        <v>265</v>
      </c>
      <c r="I13" s="168" t="s">
        <v>266</v>
      </c>
      <c r="J13" s="248" t="s">
        <v>262</v>
      </c>
      <c r="K13" s="266" t="s">
        <v>267</v>
      </c>
      <c r="L13" s="242"/>
    </row>
    <row r="14" spans="1:14" ht="15" thickBot="1">
      <c r="A14" s="161" t="s">
        <v>176</v>
      </c>
      <c r="B14" s="170">
        <v>633115.41944903578</v>
      </c>
      <c r="C14" s="171">
        <v>227921.55100165287</v>
      </c>
      <c r="D14" s="172">
        <v>335551.17230798898</v>
      </c>
      <c r="E14" s="172">
        <v>398862.71425289253</v>
      </c>
      <c r="F14" s="173">
        <v>443180.793614325</v>
      </c>
      <c r="H14" s="151" t="s">
        <v>268</v>
      </c>
      <c r="I14" s="160">
        <v>64199</v>
      </c>
      <c r="J14" s="164">
        <v>0.4421418732782369</v>
      </c>
      <c r="K14" s="160">
        <f>J14*$K$17</f>
        <v>62723.572568870521</v>
      </c>
      <c r="L14" s="242"/>
    </row>
    <row r="15" spans="1:14" ht="15" thickBot="1">
      <c r="A15" s="174" t="s">
        <v>177</v>
      </c>
      <c r="B15" s="175">
        <f>SUM(B5:B14)</f>
        <v>67636799.235305831</v>
      </c>
      <c r="C15" s="175">
        <f>SUM(C5:C14)</f>
        <v>24349247.724710099</v>
      </c>
      <c r="D15" s="175">
        <f t="shared" ref="D15:F15" si="1">SUM(D5:D14)</f>
        <v>35847503.594712093</v>
      </c>
      <c r="E15" s="175">
        <f t="shared" si="1"/>
        <v>42611183.518242672</v>
      </c>
      <c r="F15" s="175">
        <f t="shared" si="1"/>
        <v>47345759.464714095</v>
      </c>
      <c r="H15" s="151" t="s">
        <v>269</v>
      </c>
      <c r="I15" s="160">
        <v>10420</v>
      </c>
      <c r="J15" s="164">
        <v>7.1763085399449034E-2</v>
      </c>
      <c r="K15" s="160">
        <f>J15*$K$17</f>
        <v>10180.526584022038</v>
      </c>
      <c r="L15" s="242"/>
    </row>
    <row r="16" spans="1:14">
      <c r="A16" s="282"/>
      <c r="B16" s="283"/>
      <c r="C16" s="283"/>
      <c r="D16" s="283"/>
      <c r="E16" s="283"/>
      <c r="F16" s="283"/>
      <c r="H16" s="151" t="s">
        <v>270</v>
      </c>
      <c r="I16" s="160">
        <v>70581</v>
      </c>
      <c r="J16" s="164">
        <v>0.48609504132231407</v>
      </c>
      <c r="K16" s="160">
        <f>J16*$K$17</f>
        <v>68958.900847107434</v>
      </c>
      <c r="L16" s="242"/>
    </row>
    <row r="17" spans="1:12" ht="15" thickBot="1">
      <c r="A17" s="213" t="s">
        <v>272</v>
      </c>
      <c r="B17" s="153">
        <f>B4</f>
        <v>1</v>
      </c>
      <c r="C17" s="154">
        <f>C4</f>
        <v>0.36</v>
      </c>
      <c r="D17" s="154">
        <f>D4</f>
        <v>0.53</v>
      </c>
      <c r="E17" s="154">
        <f>E4</f>
        <v>0.63</v>
      </c>
      <c r="F17" s="154">
        <f>F4</f>
        <v>0.7</v>
      </c>
      <c r="H17" s="151" t="s">
        <v>271</v>
      </c>
      <c r="I17" s="160">
        <f>SUM(I14:I16)</f>
        <v>145200</v>
      </c>
      <c r="J17" s="164">
        <v>1</v>
      </c>
      <c r="K17" s="160">
        <v>141863</v>
      </c>
      <c r="L17" s="242"/>
    </row>
    <row r="18" spans="1:12" ht="29.5" thickBot="1">
      <c r="A18" s="249" t="s">
        <v>273</v>
      </c>
      <c r="B18" s="177">
        <v>4144047.4384008264</v>
      </c>
      <c r="C18" s="167">
        <v>1491857.0778242976</v>
      </c>
      <c r="D18" s="167">
        <v>2156684.8199999998</v>
      </c>
      <c r="E18" s="167">
        <v>2200057.4899999998</v>
      </c>
      <c r="F18" s="167">
        <v>2328652.1199999996</v>
      </c>
      <c r="L18" s="242"/>
    </row>
    <row r="19" spans="1:12" ht="29.5" thickBot="1">
      <c r="A19" s="251" t="s">
        <v>274</v>
      </c>
      <c r="B19" s="180">
        <v>2526921.9178759642</v>
      </c>
      <c r="C19" s="169">
        <v>909691.89043534698</v>
      </c>
      <c r="D19" s="169">
        <v>1498713.18</v>
      </c>
      <c r="E19" s="167">
        <v>1528853.51</v>
      </c>
      <c r="F19" s="167">
        <v>1618215.88</v>
      </c>
      <c r="G19" s="133"/>
      <c r="H19" s="151" t="s">
        <v>178</v>
      </c>
      <c r="I19" s="164">
        <v>0.59</v>
      </c>
      <c r="J19" s="250">
        <v>3620000</v>
      </c>
      <c r="K19" s="15">
        <f>J19*I19</f>
        <v>2135800</v>
      </c>
      <c r="L19" s="242"/>
    </row>
    <row r="20" spans="1:12">
      <c r="A20" s="252" t="s">
        <v>275</v>
      </c>
      <c r="B20" s="253"/>
      <c r="C20" s="254"/>
      <c r="D20" s="254">
        <v>118000</v>
      </c>
      <c r="E20" s="254">
        <v>118000</v>
      </c>
      <c r="F20" s="254">
        <v>118000</v>
      </c>
      <c r="G20" s="133"/>
      <c r="H20" s="151" t="s">
        <v>179</v>
      </c>
      <c r="I20" s="164">
        <v>0.41</v>
      </c>
      <c r="K20" s="15">
        <f>J19*I20</f>
        <v>1484200</v>
      </c>
    </row>
    <row r="21" spans="1:12" ht="15" thickBot="1">
      <c r="A21" s="252" t="s">
        <v>276</v>
      </c>
      <c r="B21" s="253"/>
      <c r="C21" s="254"/>
      <c r="D21" s="254">
        <v>82000</v>
      </c>
      <c r="E21" s="254">
        <v>82000</v>
      </c>
      <c r="F21" s="254">
        <v>82000</v>
      </c>
      <c r="H21" s="142"/>
    </row>
    <row r="22" spans="1:12" ht="15.75" customHeight="1">
      <c r="A22" s="176" t="s">
        <v>183</v>
      </c>
      <c r="B22" s="177">
        <v>1054776.6120619834</v>
      </c>
      <c r="C22" s="167">
        <v>379719.58034231403</v>
      </c>
      <c r="D22" s="178"/>
      <c r="E22" s="178"/>
      <c r="F22" s="255"/>
      <c r="H22" s="284" t="s">
        <v>180</v>
      </c>
      <c r="I22" s="291" t="s">
        <v>181</v>
      </c>
      <c r="J22" s="292"/>
      <c r="K22" s="293"/>
    </row>
    <row r="23" spans="1:12" ht="15" thickBot="1">
      <c r="A23" s="183" t="s">
        <v>185</v>
      </c>
      <c r="B23" s="180">
        <v>643403.54501508269</v>
      </c>
      <c r="C23" s="169">
        <v>231625.27620542975</v>
      </c>
      <c r="D23" s="181"/>
      <c r="E23" s="181"/>
      <c r="F23" s="256"/>
      <c r="H23" s="286"/>
      <c r="I23" s="151" t="s">
        <v>156</v>
      </c>
      <c r="J23" s="151" t="s">
        <v>157</v>
      </c>
      <c r="K23" s="151" t="s">
        <v>182</v>
      </c>
    </row>
    <row r="24" spans="1:12">
      <c r="A24" s="269" t="s">
        <v>291</v>
      </c>
      <c r="B24" s="270"/>
      <c r="C24" s="271"/>
      <c r="D24" s="268"/>
      <c r="E24" s="268"/>
      <c r="F24" s="272">
        <v>118000</v>
      </c>
      <c r="G24" s="257"/>
      <c r="H24" s="151" t="s">
        <v>184</v>
      </c>
      <c r="I24" s="155">
        <v>10211</v>
      </c>
      <c r="J24" s="156">
        <v>2957944.14</v>
      </c>
      <c r="K24" s="156">
        <f t="shared" ref="K24:K30" si="2">J24/I24</f>
        <v>289.68212124179809</v>
      </c>
    </row>
    <row r="25" spans="1:12" ht="15" thickBot="1">
      <c r="A25" s="269" t="s">
        <v>292</v>
      </c>
      <c r="B25" s="273"/>
      <c r="C25" s="274"/>
      <c r="D25" s="275"/>
      <c r="E25" s="275"/>
      <c r="F25" s="276">
        <v>82000</v>
      </c>
      <c r="G25" s="257"/>
      <c r="H25" s="151" t="s">
        <v>186</v>
      </c>
      <c r="I25" s="160">
        <v>11996</v>
      </c>
      <c r="J25" s="156">
        <v>3528478.38</v>
      </c>
      <c r="K25" s="156">
        <f t="shared" si="2"/>
        <v>294.13791097032345</v>
      </c>
    </row>
    <row r="26" spans="1:12" ht="15" thickBot="1">
      <c r="A26" s="184" t="s">
        <v>187</v>
      </c>
      <c r="B26" s="185">
        <v>8369149.5133538572</v>
      </c>
      <c r="C26" s="185">
        <v>3012893.8248073887</v>
      </c>
      <c r="D26" s="185">
        <v>3855398</v>
      </c>
      <c r="E26" s="185">
        <v>3928911</v>
      </c>
      <c r="F26" s="186">
        <v>4346868</v>
      </c>
      <c r="G26" s="257"/>
      <c r="H26" s="151" t="s">
        <v>188</v>
      </c>
      <c r="I26" s="160">
        <v>7337</v>
      </c>
      <c r="J26" s="156">
        <v>2306538.34</v>
      </c>
      <c r="K26" s="156">
        <f t="shared" si="2"/>
        <v>314.37077006951068</v>
      </c>
    </row>
    <row r="27" spans="1:12" ht="15" thickBot="1">
      <c r="A27" s="294"/>
      <c r="B27" s="295"/>
      <c r="C27" s="295"/>
      <c r="D27" s="295"/>
      <c r="E27" s="295"/>
      <c r="F27" s="295"/>
      <c r="H27" s="151" t="s">
        <v>189</v>
      </c>
      <c r="I27" s="160">
        <v>8978</v>
      </c>
      <c r="J27" s="156">
        <v>2874156.45</v>
      </c>
      <c r="K27" s="156">
        <f t="shared" si="2"/>
        <v>320.13326464691471</v>
      </c>
    </row>
    <row r="28" spans="1:12" ht="16" thickBot="1">
      <c r="A28" s="187" t="s">
        <v>190</v>
      </c>
      <c r="B28" s="188">
        <f>B26+B15</f>
        <v>76005948.748659685</v>
      </c>
      <c r="C28" s="188">
        <f>C26+C15</f>
        <v>27362141.54951749</v>
      </c>
      <c r="D28" s="188">
        <f>D26+D15</f>
        <v>39702901.594712093</v>
      </c>
      <c r="E28" s="188">
        <f>E26+E15</f>
        <v>46540094.518242672</v>
      </c>
      <c r="F28" s="188">
        <f>F26+F15</f>
        <v>51692627.464714095</v>
      </c>
      <c r="H28" s="151" t="s">
        <v>277</v>
      </c>
      <c r="I28" s="160">
        <v>13156</v>
      </c>
      <c r="J28" s="156">
        <v>3940864.85</v>
      </c>
      <c r="K28" s="156">
        <f t="shared" si="2"/>
        <v>299.54886363636365</v>
      </c>
    </row>
    <row r="29" spans="1:12">
      <c r="A29" s="176" t="s">
        <v>191</v>
      </c>
      <c r="B29" s="190">
        <v>113647.23817881114</v>
      </c>
      <c r="C29" s="190">
        <v>120410.45369157025</v>
      </c>
      <c r="D29" s="190">
        <v>177270.94571258954</v>
      </c>
      <c r="E29" s="190">
        <v>210718.29396024795</v>
      </c>
      <c r="F29" s="190">
        <v>234131.43773360882</v>
      </c>
      <c r="H29" s="151" t="s">
        <v>45</v>
      </c>
      <c r="I29" s="160">
        <f>SUM(I24:I28)</f>
        <v>51678</v>
      </c>
      <c r="J29" s="189">
        <f>SUM(J24:J28)</f>
        <v>15607982.159999998</v>
      </c>
      <c r="K29" s="156">
        <f t="shared" si="2"/>
        <v>302.02372692441656</v>
      </c>
    </row>
    <row r="30" spans="1:12" ht="15" thickBot="1">
      <c r="A30" s="183" t="s">
        <v>193</v>
      </c>
      <c r="B30" s="192">
        <v>79678.761821188877</v>
      </c>
      <c r="C30" s="192">
        <v>72934.896320528918</v>
      </c>
      <c r="D30" s="192">
        <v>107376.37513855647</v>
      </c>
      <c r="E30" s="192">
        <v>127636.06856092562</v>
      </c>
      <c r="F30" s="192">
        <v>141817.853956584</v>
      </c>
      <c r="H30" s="151" t="s">
        <v>192</v>
      </c>
      <c r="I30" s="155">
        <f>AVERAGE(I24:I28)</f>
        <v>10335.6</v>
      </c>
      <c r="J30" s="155">
        <f>AVERAGE(J24:J28)</f>
        <v>3121596.4319999996</v>
      </c>
      <c r="K30" s="191">
        <f t="shared" si="2"/>
        <v>302.02372692441651</v>
      </c>
    </row>
    <row r="31" spans="1:12" ht="34.5" customHeight="1">
      <c r="A31" s="176" t="s">
        <v>194</v>
      </c>
      <c r="B31" s="190">
        <v>55306.638834710742</v>
      </c>
      <c r="C31" s="258">
        <v>19910.389980495867</v>
      </c>
      <c r="D31" s="190">
        <v>29312.518582396693</v>
      </c>
      <c r="E31" s="190">
        <v>34843.182465867772</v>
      </c>
      <c r="F31" s="190">
        <v>38714.647184297515</v>
      </c>
    </row>
    <row r="32" spans="1:12">
      <c r="A32" s="224" t="s">
        <v>195</v>
      </c>
      <c r="B32" s="225">
        <v>34029.953795385671</v>
      </c>
      <c r="C32" s="259">
        <v>12250.783366338841</v>
      </c>
      <c r="D32" s="225">
        <v>18035.875511554408</v>
      </c>
      <c r="E32" s="225">
        <v>21438.870891092974</v>
      </c>
      <c r="F32" s="225">
        <v>23820.967656769968</v>
      </c>
      <c r="H32" s="151"/>
      <c r="I32" s="296" t="s">
        <v>278</v>
      </c>
      <c r="J32" s="297"/>
    </row>
    <row r="33" spans="1:10" ht="19" thickBot="1">
      <c r="A33" s="226" t="s">
        <v>196</v>
      </c>
      <c r="B33" s="193">
        <f>SUM(B15, B26, B29:B32)</f>
        <v>76288611.341289788</v>
      </c>
      <c r="C33" s="193">
        <f>SUM(C15, C26, C29:C32)</f>
        <v>27587648.072876424</v>
      </c>
      <c r="D33" s="193">
        <f>SUM(D15, D26, D29:D32)</f>
        <v>40034897.309657194</v>
      </c>
      <c r="E33" s="193">
        <f>SUM(E15, E26, E29:E32)</f>
        <v>46934730.934120812</v>
      </c>
      <c r="F33" s="193">
        <f>SUM(F15, F26, F29:F32)</f>
        <v>52131112.371245354</v>
      </c>
      <c r="H33" s="151"/>
      <c r="I33" s="267" t="s">
        <v>268</v>
      </c>
      <c r="J33" s="267" t="s">
        <v>269</v>
      </c>
    </row>
    <row r="34" spans="1:10" ht="75.75" customHeight="1">
      <c r="A34" s="260" t="s">
        <v>279</v>
      </c>
      <c r="B34" s="261">
        <v>67896146</v>
      </c>
      <c r="C34" s="261">
        <v>22254324</v>
      </c>
      <c r="D34" s="261">
        <v>36748553</v>
      </c>
      <c r="E34" s="261">
        <v>43145668</v>
      </c>
      <c r="F34" s="261">
        <v>46369225</v>
      </c>
      <c r="H34" s="151" t="s">
        <v>159</v>
      </c>
      <c r="I34" s="156">
        <v>693206.29</v>
      </c>
      <c r="J34" s="156">
        <v>157150.85</v>
      </c>
    </row>
    <row r="35" spans="1:10" ht="77.25" customHeight="1" thickBot="1">
      <c r="A35" s="262" t="s">
        <v>280</v>
      </c>
      <c r="B35" s="263">
        <f>B33/B34</f>
        <v>1.123607389162999</v>
      </c>
      <c r="C35" s="263">
        <f t="shared" ref="C35:F35" si="3">C33/C34</f>
        <v>1.239653384792835</v>
      </c>
      <c r="D35" s="263">
        <f t="shared" si="3"/>
        <v>1.0894278561024482</v>
      </c>
      <c r="E35" s="263">
        <f t="shared" si="3"/>
        <v>1.0878202403569417</v>
      </c>
      <c r="F35" s="263">
        <f t="shared" si="3"/>
        <v>1.1242610237985506</v>
      </c>
      <c r="H35" s="151" t="s">
        <v>161</v>
      </c>
      <c r="I35" s="156">
        <v>370633.5</v>
      </c>
      <c r="J35" s="156">
        <v>127208.65</v>
      </c>
    </row>
    <row r="36" spans="1:10">
      <c r="A36" s="298" t="s">
        <v>281</v>
      </c>
      <c r="B36" s="299"/>
      <c r="C36" s="299"/>
      <c r="D36" s="299"/>
      <c r="E36" s="299"/>
      <c r="F36" s="299"/>
      <c r="H36" s="151" t="s">
        <v>180</v>
      </c>
      <c r="I36" s="156">
        <v>2395064.42</v>
      </c>
      <c r="J36" s="156">
        <v>1090018.0900000001</v>
      </c>
    </row>
    <row r="37" spans="1:10">
      <c r="A37" s="264"/>
      <c r="B37" s="264"/>
      <c r="C37" s="264"/>
      <c r="D37" s="264"/>
      <c r="E37" s="264"/>
      <c r="F37" s="264"/>
      <c r="H37" s="151" t="s">
        <v>282</v>
      </c>
      <c r="I37" s="156">
        <v>11080743.91</v>
      </c>
      <c r="J37" s="156">
        <v>3984796.73</v>
      </c>
    </row>
    <row r="38" spans="1:10">
      <c r="B38" s="194" t="s">
        <v>208</v>
      </c>
      <c r="C38" s="195">
        <f t="shared" ref="C38:F39" si="4">C5+C7+C9+C11+C13+C18+C22+C29+C31+C20+C24</f>
        <v>19189272.898879208</v>
      </c>
      <c r="D38" s="195">
        <f t="shared" si="4"/>
        <v>27770182.063271325</v>
      </c>
      <c r="E38" s="195">
        <f t="shared" si="4"/>
        <v>32624025.911247041</v>
      </c>
      <c r="F38" s="195">
        <f t="shared" si="4"/>
        <v>36237950.365830041</v>
      </c>
      <c r="H38" s="151" t="s">
        <v>283</v>
      </c>
      <c r="I38" s="156">
        <v>246123.25</v>
      </c>
      <c r="J38" s="156">
        <v>150555.20000000001</v>
      </c>
    </row>
    <row r="39" spans="1:10">
      <c r="B39" s="194" t="s">
        <v>209</v>
      </c>
      <c r="C39" s="195">
        <f t="shared" si="4"/>
        <v>8398375.1739972159</v>
      </c>
      <c r="D39" s="195">
        <f t="shared" si="4"/>
        <v>12264715.246385867</v>
      </c>
      <c r="E39" s="195">
        <f t="shared" si="4"/>
        <v>14310705.022873767</v>
      </c>
      <c r="F39" s="195">
        <f t="shared" si="4"/>
        <v>15893162.005415296</v>
      </c>
      <c r="H39" s="151" t="s">
        <v>284</v>
      </c>
      <c r="I39" s="156">
        <v>1492215</v>
      </c>
      <c r="J39" s="156">
        <v>909973</v>
      </c>
    </row>
    <row r="40" spans="1:10">
      <c r="B40" s="196"/>
      <c r="C40" s="195">
        <f>C38+C39</f>
        <v>27587648.072876424</v>
      </c>
      <c r="D40" s="195">
        <f t="shared" ref="D40:F40" si="5">D38+D39</f>
        <v>40034897.309657194</v>
      </c>
      <c r="E40" s="195">
        <f t="shared" si="5"/>
        <v>46934730.934120804</v>
      </c>
      <c r="F40" s="195">
        <f t="shared" si="5"/>
        <v>52131112.37124534</v>
      </c>
      <c r="H40" s="151" t="s">
        <v>285</v>
      </c>
      <c r="I40" s="156">
        <v>379835</v>
      </c>
      <c r="J40" s="156">
        <v>231629</v>
      </c>
    </row>
    <row r="41" spans="1:10">
      <c r="C41" s="15">
        <f>C40-C33</f>
        <v>0</v>
      </c>
      <c r="D41" s="15">
        <f>D40-D33</f>
        <v>0</v>
      </c>
      <c r="E41" s="15">
        <f>E40-E33</f>
        <v>0</v>
      </c>
      <c r="F41" s="15">
        <f>F40-F33</f>
        <v>0</v>
      </c>
      <c r="H41" s="151" t="s">
        <v>286</v>
      </c>
      <c r="I41" s="156">
        <v>104563.01003613198</v>
      </c>
      <c r="J41" s="156">
        <v>63764.069797831195</v>
      </c>
    </row>
    <row r="42" spans="1:10">
      <c r="C42" s="15"/>
      <c r="D42" s="15"/>
      <c r="E42" s="15"/>
      <c r="F42" s="15"/>
      <c r="G42" s="195"/>
      <c r="H42" s="151" t="s">
        <v>287</v>
      </c>
      <c r="I42" s="156">
        <v>17537.99844790062</v>
      </c>
      <c r="J42" s="156">
        <v>10695.021718136208</v>
      </c>
    </row>
    <row r="43" spans="1:10" ht="15.75" customHeight="1" thickBot="1">
      <c r="H43" s="151" t="s">
        <v>289</v>
      </c>
      <c r="I43" s="156">
        <v>-3143651.9624999999</v>
      </c>
      <c r="J43" s="156">
        <v>-1846271.7875000001</v>
      </c>
    </row>
    <row r="44" spans="1:10" ht="15" thickBot="1">
      <c r="A44" s="279" t="s">
        <v>288</v>
      </c>
      <c r="B44" s="280"/>
    </row>
    <row r="45" spans="1:10" ht="15" thickBot="1">
      <c r="A45" s="227" t="s">
        <v>225</v>
      </c>
      <c r="B45" s="228">
        <v>2509243</v>
      </c>
    </row>
    <row r="46" spans="1:10" ht="15" thickBot="1">
      <c r="A46" s="227" t="s">
        <v>226</v>
      </c>
      <c r="B46" s="228">
        <v>936807</v>
      </c>
    </row>
    <row r="47" spans="1:10" ht="15" thickBot="1">
      <c r="A47" s="227" t="s">
        <v>227</v>
      </c>
      <c r="B47" s="228">
        <v>0</v>
      </c>
    </row>
    <row r="48" spans="1:10" ht="15" thickBot="1">
      <c r="A48" s="227" t="s">
        <v>228</v>
      </c>
      <c r="B48" s="228">
        <v>0</v>
      </c>
    </row>
    <row r="49" spans="1:2" ht="15" thickBot="1">
      <c r="A49" s="227" t="s">
        <v>229</v>
      </c>
      <c r="B49" s="228">
        <v>0</v>
      </c>
    </row>
    <row r="50" spans="1:2" ht="15" thickBot="1">
      <c r="A50" s="227" t="s">
        <v>230</v>
      </c>
      <c r="B50" s="228">
        <v>0</v>
      </c>
    </row>
    <row r="51" spans="1:2" ht="15" thickBot="1">
      <c r="A51" s="227" t="s">
        <v>290</v>
      </c>
      <c r="B51" s="228">
        <v>15749</v>
      </c>
    </row>
    <row r="52" spans="1:2" ht="15" thickBot="1">
      <c r="A52" s="227" t="s">
        <v>193</v>
      </c>
      <c r="B52" s="228">
        <v>9249</v>
      </c>
    </row>
    <row r="53" spans="1:2" ht="15" thickBot="1">
      <c r="A53" s="227" t="s">
        <v>194</v>
      </c>
      <c r="B53" s="228">
        <v>2605</v>
      </c>
    </row>
    <row r="54" spans="1:2" ht="15" thickBot="1">
      <c r="A54" s="227" t="s">
        <v>195</v>
      </c>
      <c r="B54" s="228">
        <v>1588</v>
      </c>
    </row>
    <row r="55" spans="1:2" ht="15" thickBot="1">
      <c r="A55" s="227" t="s">
        <v>45</v>
      </c>
      <c r="B55" s="228">
        <f>SUM(B45:B54)</f>
        <v>3475241</v>
      </c>
    </row>
    <row r="57" spans="1:2">
      <c r="A57" s="265" t="s">
        <v>231</v>
      </c>
      <c r="B57" s="229">
        <f>(B46+B48+B50+B52+B54)/2</f>
        <v>473822</v>
      </c>
    </row>
    <row r="58" spans="1:2">
      <c r="A58" s="265" t="s">
        <v>232</v>
      </c>
      <c r="B58" s="229">
        <f>(B45+B47+B49+B51+B53)/2</f>
        <v>1263798.5</v>
      </c>
    </row>
  </sheetData>
  <mergeCells count="11">
    <mergeCell ref="A44:B44"/>
    <mergeCell ref="L2:N2"/>
    <mergeCell ref="A16:F16"/>
    <mergeCell ref="H8:H11"/>
    <mergeCell ref="A1:F1"/>
    <mergeCell ref="A2:B2"/>
    <mergeCell ref="H22:H23"/>
    <mergeCell ref="I22:K22"/>
    <mergeCell ref="A27:F27"/>
    <mergeCell ref="I32:J32"/>
    <mergeCell ref="A36:F36"/>
  </mergeCells>
  <pageMargins left="0.7" right="0.7" top="0.75" bottom="0.75" header="0.3" footer="0.3"/>
  <pageSetup scale="46" orientation="landscape" r:id="rId1"/>
  <headerFooter>
    <oddHeader>&amp;CAvista Utilities
Schedule 92 LIRAP</oddHeader>
    <oddFooter>&amp;L&amp;A&amp;RPage &amp;P of &amp;N</oddFooter>
  </headerFooter>
  <customProperties>
    <customPr name="xxe4aP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4:AE39"/>
  <sheetViews>
    <sheetView view="pageBreakPreview" zoomScale="70" zoomScaleNormal="100" zoomScaleSheetLayoutView="70" workbookViewId="0"/>
  </sheetViews>
  <sheetFormatPr defaultColWidth="9.1796875" defaultRowHeight="14.5"/>
  <cols>
    <col min="1" max="1" width="8.26953125" style="42" customWidth="1"/>
    <col min="2" max="2" width="29.453125" style="42" bestFit="1" customWidth="1"/>
    <col min="3" max="3" width="11" style="42" customWidth="1"/>
    <col min="4" max="4" width="14.81640625" style="42" bestFit="1" customWidth="1"/>
    <col min="5" max="5" width="14.453125" style="42" bestFit="1" customWidth="1"/>
    <col min="6" max="15" width="14.81640625" style="42" bestFit="1" customWidth="1"/>
    <col min="16" max="17" width="14.453125" style="42" bestFit="1" customWidth="1"/>
    <col min="18" max="19" width="14.81640625" style="42" bestFit="1" customWidth="1"/>
    <col min="20" max="20" width="14" style="42" bestFit="1" customWidth="1"/>
    <col min="21" max="25" width="14.81640625" style="42" bestFit="1" customWidth="1"/>
    <col min="26" max="26" width="14" style="42" bestFit="1" customWidth="1"/>
    <col min="27" max="27" width="14.453125" style="42" bestFit="1" customWidth="1"/>
    <col min="28" max="29" width="14.81640625" style="42" bestFit="1" customWidth="1"/>
    <col min="30" max="30" width="14.453125" style="42" bestFit="1" customWidth="1"/>
    <col min="31" max="31" width="12.54296875" style="42" bestFit="1" customWidth="1"/>
    <col min="32" max="16384" width="9.1796875" style="42"/>
  </cols>
  <sheetData>
    <row r="4" spans="1:30">
      <c r="A4" s="42" t="s">
        <v>60</v>
      </c>
      <c r="D4" s="64">
        <f>'Billing Determinants'!C7</f>
        <v>45535</v>
      </c>
      <c r="E4" s="64">
        <f>'Billing Determinants'!D7</f>
        <v>45565</v>
      </c>
      <c r="F4" s="64">
        <f>'Billing Determinants'!E7</f>
        <v>45595</v>
      </c>
      <c r="G4" s="64">
        <f>'Billing Determinants'!F7</f>
        <v>45626</v>
      </c>
      <c r="H4" s="64">
        <f>'Billing Determinants'!G7</f>
        <v>45656</v>
      </c>
      <c r="I4" s="64">
        <f>'Billing Determinants'!H7</f>
        <v>45687</v>
      </c>
      <c r="J4" s="64">
        <f>'Billing Determinants'!I7</f>
        <v>45716</v>
      </c>
      <c r="K4" s="64">
        <f>'Billing Determinants'!J7</f>
        <v>45744</v>
      </c>
      <c r="L4" s="64">
        <f>'Billing Determinants'!K7</f>
        <v>45775</v>
      </c>
      <c r="M4" s="64">
        <f>'Billing Determinants'!L7</f>
        <v>45805</v>
      </c>
      <c r="N4" s="64">
        <f>'Billing Determinants'!M7</f>
        <v>45836</v>
      </c>
      <c r="O4" s="64">
        <f>'Billing Determinants'!N7</f>
        <v>45866</v>
      </c>
      <c r="P4" s="64">
        <f>'Billing Determinants'!O7</f>
        <v>45897</v>
      </c>
      <c r="Q4" s="64">
        <f>'Billing Determinants'!P7</f>
        <v>45928</v>
      </c>
      <c r="R4" s="64">
        <f>'Billing Determinants'!Q7</f>
        <v>45958</v>
      </c>
      <c r="S4" s="64">
        <f>'Billing Determinants'!R7</f>
        <v>45989</v>
      </c>
      <c r="T4" s="64">
        <f>'Billing Determinants'!S7</f>
        <v>46019</v>
      </c>
      <c r="U4" s="64">
        <f>'Billing Determinants'!T7</f>
        <v>46050</v>
      </c>
      <c r="V4" s="64">
        <f>'Billing Determinants'!U7</f>
        <v>46081</v>
      </c>
      <c r="W4" s="64">
        <f>'Billing Determinants'!V7</f>
        <v>46109</v>
      </c>
      <c r="X4" s="64">
        <f>'Billing Determinants'!W7</f>
        <v>46140</v>
      </c>
      <c r="Y4" s="64">
        <f>'Billing Determinants'!X7</f>
        <v>46170</v>
      </c>
      <c r="Z4" s="64">
        <f>'Billing Determinants'!Y7</f>
        <v>46201</v>
      </c>
      <c r="AA4" s="64">
        <f>'Billing Determinants'!Z7</f>
        <v>46231</v>
      </c>
      <c r="AB4" s="64">
        <f>'Billing Determinants'!AA7</f>
        <v>46262</v>
      </c>
      <c r="AC4" s="64">
        <f>'Billing Determinants'!AB7</f>
        <v>46293</v>
      </c>
      <c r="AD4" s="64">
        <f>'Billing Determinants'!AC7</f>
        <v>46323</v>
      </c>
    </row>
    <row r="5" spans="1:30">
      <c r="B5" s="42" t="s">
        <v>40</v>
      </c>
      <c r="D5" s="81">
        <f>'Billing Determinants'!C19</f>
        <v>205634898.40616786</v>
      </c>
      <c r="E5" s="81">
        <f>'Billing Determinants'!D19</f>
        <v>160470276.49030823</v>
      </c>
      <c r="F5" s="81">
        <f>'Billing Determinants'!E19</f>
        <v>178221117.59096214</v>
      </c>
      <c r="G5" s="81">
        <f>'Billing Determinants'!F19</f>
        <v>239415875.34043533</v>
      </c>
      <c r="H5" s="81">
        <f>'Billing Determinants'!G19</f>
        <v>304215269.57546175</v>
      </c>
      <c r="I5" s="81">
        <f>'Billing Determinants'!H19</f>
        <v>317720304.29503012</v>
      </c>
      <c r="J5" s="81">
        <f>'Billing Determinants'!I19</f>
        <v>250529571.26444688</v>
      </c>
      <c r="K5" s="81">
        <f>'Billing Determinants'!J19</f>
        <v>236155497.60897648</v>
      </c>
      <c r="L5" s="81">
        <f>'Billing Determinants'!K19</f>
        <v>203935707.04712585</v>
      </c>
      <c r="M5" s="81">
        <f>'Billing Determinants'!L19</f>
        <v>181246810.52368349</v>
      </c>
      <c r="N5" s="81">
        <f>'Billing Determinants'!M19</f>
        <v>176156770.87080798</v>
      </c>
      <c r="O5" s="81">
        <f>'Billing Determinants'!N19</f>
        <v>201643616.1957083</v>
      </c>
      <c r="P5" s="81">
        <f>'Billing Determinants'!O19</f>
        <v>209605361.14545268</v>
      </c>
      <c r="Q5" s="81">
        <f>'Billing Determinants'!P19</f>
        <v>166823670.30291176</v>
      </c>
      <c r="R5" s="81">
        <f>'Billing Determinants'!Q19</f>
        <v>182565526.21839392</v>
      </c>
      <c r="S5" s="81">
        <f>'Billing Determinants'!R19</f>
        <v>236906489.8680743</v>
      </c>
      <c r="T5" s="81">
        <f>'Billing Determinants'!S19</f>
        <v>305745431.21570128</v>
      </c>
      <c r="U5" s="81">
        <f>'Billing Determinants'!T19</f>
        <v>322965258.18712705</v>
      </c>
      <c r="V5" s="81">
        <f>'Billing Determinants'!U19</f>
        <v>254022192.86176497</v>
      </c>
      <c r="W5" s="81">
        <f>'Billing Determinants'!V19</f>
        <v>240593174.92225111</v>
      </c>
      <c r="X5" s="81">
        <f>'Billing Determinants'!W19</f>
        <v>207687468.43725601</v>
      </c>
      <c r="Y5" s="81">
        <f>'Billing Determinants'!X19</f>
        <v>184489548.15388849</v>
      </c>
      <c r="Z5" s="81">
        <f>'Billing Determinants'!Y19</f>
        <v>178918029.52419019</v>
      </c>
      <c r="AA5" s="81">
        <f>'Billing Determinants'!Z19</f>
        <v>204568029.31251049</v>
      </c>
      <c r="AB5" s="81">
        <f>'Billing Determinants'!AA19</f>
        <v>214351702.60896197</v>
      </c>
      <c r="AC5" s="81">
        <f>'Billing Determinants'!AB19</f>
        <v>170876902.35992575</v>
      </c>
      <c r="AD5" s="81">
        <f>'Billing Determinants'!AC19</f>
        <v>186433164.666733</v>
      </c>
    </row>
    <row r="6" spans="1:30">
      <c r="B6" s="42" t="s">
        <v>41</v>
      </c>
      <c r="D6" s="81">
        <f>'Billing Determinants'!C20</f>
        <v>57814884.903669126</v>
      </c>
      <c r="E6" s="81">
        <f>'Billing Determinants'!D20</f>
        <v>50451311.749514848</v>
      </c>
      <c r="F6" s="81">
        <f>'Billing Determinants'!E20</f>
        <v>52987363.079210304</v>
      </c>
      <c r="G6" s="81">
        <f>'Billing Determinants'!F20</f>
        <v>60408133.03029301</v>
      </c>
      <c r="H6" s="81">
        <f>'Billing Determinants'!G20</f>
        <v>67562528.613521278</v>
      </c>
      <c r="I6" s="81">
        <f>'Billing Determinants'!H20</f>
        <v>69606725.50606297</v>
      </c>
      <c r="J6" s="81">
        <f>'Billing Determinants'!I20</f>
        <v>57535588.493472874</v>
      </c>
      <c r="K6" s="81">
        <f>'Billing Determinants'!J20</f>
        <v>57003350.849338159</v>
      </c>
      <c r="L6" s="81">
        <f>'Billing Determinants'!K20</f>
        <v>51609682.802492373</v>
      </c>
      <c r="M6" s="81">
        <f>'Billing Determinants'!L20</f>
        <v>49686336.134430811</v>
      </c>
      <c r="N6" s="81">
        <f>'Billing Determinants'!M20</f>
        <v>50917595.508478455</v>
      </c>
      <c r="O6" s="81">
        <f>'Billing Determinants'!N20</f>
        <v>58962782.59750028</v>
      </c>
      <c r="P6" s="81">
        <f>'Billing Determinants'!O20</f>
        <v>58086331.126621775</v>
      </c>
      <c r="Q6" s="81">
        <f>'Billing Determinants'!P20</f>
        <v>50511763.64324934</v>
      </c>
      <c r="R6" s="81">
        <f>'Billing Determinants'!Q20</f>
        <v>53363210.112086371</v>
      </c>
      <c r="S6" s="81">
        <f>'Billing Determinants'!R20</f>
        <v>61243350.789118856</v>
      </c>
      <c r="T6" s="81">
        <f>'Billing Determinants'!S20</f>
        <v>68443417.465795517</v>
      </c>
      <c r="U6" s="81">
        <f>'Billing Determinants'!T20</f>
        <v>70492625.034484252</v>
      </c>
      <c r="V6" s="81">
        <f>'Billing Determinants'!U20</f>
        <v>57903555.95281595</v>
      </c>
      <c r="W6" s="81">
        <f>'Billing Determinants'!V20</f>
        <v>57682404.857614711</v>
      </c>
      <c r="X6" s="81">
        <f>'Billing Determinants'!W20</f>
        <v>52041266.828922875</v>
      </c>
      <c r="Y6" s="81">
        <f>'Billing Determinants'!X20</f>
        <v>50054795.063979283</v>
      </c>
      <c r="Z6" s="81">
        <f>'Billing Determinants'!Y20</f>
        <v>51459481.111267313</v>
      </c>
      <c r="AA6" s="81">
        <f>'Billing Determinants'!Z20</f>
        <v>59630140.315470479</v>
      </c>
      <c r="AB6" s="81">
        <f>'Billing Determinants'!AA20</f>
        <v>58906900.531280629</v>
      </c>
      <c r="AC6" s="81">
        <f>'Billing Determinants'!AB20</f>
        <v>50899329.242272384</v>
      </c>
      <c r="AD6" s="81">
        <f>'Billing Determinants'!AC20</f>
        <v>54031294.319208436</v>
      </c>
    </row>
    <row r="7" spans="1:30">
      <c r="B7" s="42" t="s">
        <v>42</v>
      </c>
      <c r="D7" s="81">
        <f>'Billing Determinants'!C21</f>
        <v>111844379.57713303</v>
      </c>
      <c r="E7" s="81">
        <f>'Billing Determinants'!D21</f>
        <v>98101999.791076675</v>
      </c>
      <c r="F7" s="81">
        <f>'Billing Determinants'!E21</f>
        <v>110870412.35417895</v>
      </c>
      <c r="G7" s="81">
        <f>'Billing Determinants'!F21</f>
        <v>116850113.10916716</v>
      </c>
      <c r="H7" s="81">
        <f>'Billing Determinants'!G21</f>
        <v>113446906.27745362</v>
      </c>
      <c r="I7" s="81">
        <f>'Billing Determinants'!H21</f>
        <v>115344021.03092787</v>
      </c>
      <c r="J7" s="81">
        <f>'Billing Determinants'!I21</f>
        <v>96670471.251404896</v>
      </c>
      <c r="K7" s="81">
        <f>'Billing Determinants'!J21</f>
        <v>99497450.208621055</v>
      </c>
      <c r="L7" s="81">
        <f>'Billing Determinants'!K21</f>
        <v>93553779.69869262</v>
      </c>
      <c r="M7" s="81">
        <f>'Billing Determinants'!L21</f>
        <v>98708186.391825303</v>
      </c>
      <c r="N7" s="81">
        <f>'Billing Determinants'!M21</f>
        <v>105796575.86149621</v>
      </c>
      <c r="O7" s="81">
        <f>'Billing Determinants'!N21</f>
        <v>117433240.43037435</v>
      </c>
      <c r="P7" s="81">
        <f>'Billing Determinants'!O21</f>
        <v>109738716.91898037</v>
      </c>
      <c r="Q7" s="81">
        <f>'Billing Determinants'!P21</f>
        <v>95983675.319351941</v>
      </c>
      <c r="R7" s="81">
        <f>'Billing Determinants'!Q21</f>
        <v>108597490.97369963</v>
      </c>
      <c r="S7" s="81">
        <f>'Billing Determinants'!R21</f>
        <v>115464739.15124923</v>
      </c>
      <c r="T7" s="81">
        <f>'Billing Determinants'!S21</f>
        <v>112161110.47796534</v>
      </c>
      <c r="U7" s="81">
        <f>'Billing Determinants'!T21</f>
        <v>114193331.03164843</v>
      </c>
      <c r="V7" s="81">
        <f>'Billing Determinants'!U21</f>
        <v>95047821.23371017</v>
      </c>
      <c r="W7" s="81">
        <f>'Billing Determinants'!V21</f>
        <v>97893781.7866956</v>
      </c>
      <c r="X7" s="81">
        <f>'Billing Determinants'!W21</f>
        <v>92052055.399049237</v>
      </c>
      <c r="Y7" s="81">
        <f>'Billing Determinants'!X21</f>
        <v>96589230.671415135</v>
      </c>
      <c r="Z7" s="81">
        <f>'Billing Determinants'!Y21</f>
        <v>103874339.61218536</v>
      </c>
      <c r="AA7" s="81">
        <f>'Billing Determinants'!Z21</f>
        <v>115731988.12946446</v>
      </c>
      <c r="AB7" s="81">
        <f>'Billing Determinants'!AA21</f>
        <v>108646629.96373312</v>
      </c>
      <c r="AC7" s="81">
        <f>'Billing Determinants'!AB21</f>
        <v>94323736.751544625</v>
      </c>
      <c r="AD7" s="81">
        <f>'Billing Determinants'!AC21</f>
        <v>107029166.00195315</v>
      </c>
    </row>
    <row r="8" spans="1:30">
      <c r="B8" s="42" t="s">
        <v>235</v>
      </c>
      <c r="D8" s="81">
        <f>'Billing Determinants'!C22</f>
        <v>60810231.799999997</v>
      </c>
      <c r="E8" s="81">
        <f>'Billing Determinants'!D22</f>
        <v>53726718.399999999</v>
      </c>
      <c r="F8" s="81">
        <f>'Billing Determinants'!E22</f>
        <v>51494927</v>
      </c>
      <c r="G8" s="81">
        <f>'Billing Determinants'!F22</f>
        <v>57667389</v>
      </c>
      <c r="H8" s="81">
        <f>'Billing Determinants'!G22</f>
        <v>51225808</v>
      </c>
      <c r="I8" s="81">
        <f>'Billing Determinants'!H22</f>
        <v>62414086.600000001</v>
      </c>
      <c r="J8" s="81">
        <f>'Billing Determinants'!I22</f>
        <v>53654638</v>
      </c>
      <c r="K8" s="81">
        <f>'Billing Determinants'!J22</f>
        <v>59464203.200000003</v>
      </c>
      <c r="L8" s="81">
        <f>'Billing Determinants'!K22</f>
        <v>57152509</v>
      </c>
      <c r="M8" s="81">
        <f>'Billing Determinants'!L22</f>
        <v>53626372</v>
      </c>
      <c r="N8" s="81">
        <f>'Billing Determinants'!M22</f>
        <v>55812506</v>
      </c>
      <c r="O8" s="81">
        <f>'Billing Determinants'!N22</f>
        <v>53691719.399999999</v>
      </c>
      <c r="P8" s="81">
        <f>'Billing Determinants'!O22</f>
        <v>59263770.799999997</v>
      </c>
      <c r="Q8" s="81">
        <f>'Billing Determinants'!P22</f>
        <v>52462806.399999999</v>
      </c>
      <c r="R8" s="81">
        <f>'Billing Determinants'!Q22</f>
        <v>51784597</v>
      </c>
      <c r="S8" s="81">
        <f>'Billing Determinants'!R22</f>
        <v>57826755</v>
      </c>
      <c r="T8" s="81">
        <f>'Billing Determinants'!S22</f>
        <v>51088095</v>
      </c>
      <c r="U8" s="81">
        <f>'Billing Determinants'!T22</f>
        <v>59177297.600000001</v>
      </c>
      <c r="V8" s="81">
        <f>'Billing Determinants'!U22</f>
        <v>54738197</v>
      </c>
      <c r="W8" s="81">
        <f>'Billing Determinants'!V22</f>
        <v>58654355.200000003</v>
      </c>
      <c r="X8" s="81">
        <f>'Billing Determinants'!W22</f>
        <v>56074897</v>
      </c>
      <c r="Y8" s="81">
        <f>'Billing Determinants'!X22</f>
        <v>53650301</v>
      </c>
      <c r="Z8" s="81">
        <f>'Billing Determinants'!Y22</f>
        <v>55669600</v>
      </c>
      <c r="AA8" s="81">
        <f>'Billing Determinants'!Z22</f>
        <v>53608978.399999999</v>
      </c>
      <c r="AB8" s="81">
        <f>'Billing Determinants'!AA22</f>
        <v>57730540.799999997</v>
      </c>
      <c r="AC8" s="81">
        <f>'Billing Determinants'!AB22</f>
        <v>52743055.399999999</v>
      </c>
      <c r="AD8" s="81">
        <f>'Billing Determinants'!AC22</f>
        <v>51319844</v>
      </c>
    </row>
    <row r="9" spans="1:30">
      <c r="B9" s="42" t="s">
        <v>43</v>
      </c>
      <c r="D9" s="81">
        <f>'Billing Determinants'!C23</f>
        <v>28105522.023448147</v>
      </c>
      <c r="E9" s="81">
        <f>'Billing Determinants'!D23</f>
        <v>22324393.550125208</v>
      </c>
      <c r="F9" s="81">
        <f>'Billing Determinants'!E23</f>
        <v>13419792.562130492</v>
      </c>
      <c r="G9" s="81">
        <f>'Billing Determinants'!F23</f>
        <v>4174411.1539708753</v>
      </c>
      <c r="H9" s="81">
        <f>'Billing Determinants'!G23</f>
        <v>4054075.2454521544</v>
      </c>
      <c r="I9" s="81">
        <f>'Billing Determinants'!H23</f>
        <v>4947432.8456137758</v>
      </c>
      <c r="J9" s="81">
        <f>'Billing Determinants'!I23</f>
        <v>3676780.4901996143</v>
      </c>
      <c r="K9" s="81">
        <f>'Billing Determinants'!J23</f>
        <v>4634778.6436594399</v>
      </c>
      <c r="L9" s="81">
        <f>'Billing Determinants'!K23</f>
        <v>5658105.5961744459</v>
      </c>
      <c r="M9" s="81">
        <f>'Billing Determinants'!L23</f>
        <v>11911444.40331538</v>
      </c>
      <c r="N9" s="81">
        <f>'Billing Determinants'!M23</f>
        <v>19635700.204555467</v>
      </c>
      <c r="O9" s="81">
        <f>'Billing Determinants'!N23</f>
        <v>25779620.234738089</v>
      </c>
      <c r="P9" s="81">
        <f>'Billing Determinants'!O23</f>
        <v>28246465.356704816</v>
      </c>
      <c r="Q9" s="81">
        <f>'Billing Determinants'!P23</f>
        <v>21227831.515596446</v>
      </c>
      <c r="R9" s="81">
        <f>'Billing Determinants'!Q23</f>
        <v>12987548.289254133</v>
      </c>
      <c r="S9" s="81">
        <f>'Billing Determinants'!R23</f>
        <v>4343888.396390927</v>
      </c>
      <c r="T9" s="81">
        <f>'Billing Determinants'!S23</f>
        <v>3888403.1450000172</v>
      </c>
      <c r="U9" s="81">
        <f>'Billing Determinants'!T23</f>
        <v>4705284.19707698</v>
      </c>
      <c r="V9" s="81">
        <f>'Billing Determinants'!U23</f>
        <v>4091240.0675018043</v>
      </c>
      <c r="W9" s="81">
        <f>'Billing Determinants'!V23</f>
        <v>4860904.8221620247</v>
      </c>
      <c r="X9" s="81">
        <f>'Billing Determinants'!W23</f>
        <v>5736482.9719429947</v>
      </c>
      <c r="Y9" s="81">
        <f>'Billing Determinants'!X23</f>
        <v>11933718.36752243</v>
      </c>
      <c r="Z9" s="81">
        <f>'Billing Determinants'!Y23</f>
        <v>19684651.551413801</v>
      </c>
      <c r="AA9" s="81">
        <f>'Billing Determinants'!Z23</f>
        <v>25301687.992905255</v>
      </c>
      <c r="AB9" s="81">
        <f>'Billing Determinants'!AA23</f>
        <v>27955724.277574059</v>
      </c>
      <c r="AC9" s="81">
        <f>'Billing Determinants'!AB23</f>
        <v>21474543.34986335</v>
      </c>
      <c r="AD9" s="81">
        <f>'Billing Determinants'!AC23</f>
        <v>13797006.367339142</v>
      </c>
    </row>
    <row r="10" spans="1:30">
      <c r="B10" s="42" t="s">
        <v>222</v>
      </c>
      <c r="D10" s="135">
        <v>358587.35046994447</v>
      </c>
      <c r="E10" s="135">
        <v>357429.89455422648</v>
      </c>
      <c r="F10" s="135">
        <v>357259.35647346941</v>
      </c>
      <c r="G10" s="81">
        <f>'Billing Determinants'!F24</f>
        <v>1320266.0382451359</v>
      </c>
      <c r="H10" s="81">
        <f>'Billing Determinants'!G24</f>
        <v>1319835.5894288972</v>
      </c>
      <c r="I10" s="81">
        <f>'Billing Determinants'!H24</f>
        <v>1312052.5670342222</v>
      </c>
      <c r="J10" s="81">
        <f>'Billing Determinants'!I24</f>
        <v>1282781.9397454073</v>
      </c>
      <c r="K10" s="81">
        <f>'Billing Determinants'!J24</f>
        <v>1346978.8782308577</v>
      </c>
      <c r="L10" s="81">
        <f>'Billing Determinants'!K24</f>
        <v>1282521.0688841238</v>
      </c>
      <c r="M10" s="81">
        <f>'Billing Determinants'!L24</f>
        <v>1322804.2761951154</v>
      </c>
      <c r="N10" s="81">
        <f>'Billing Determinants'!M24</f>
        <v>1311334.1459539002</v>
      </c>
      <c r="O10" s="81">
        <f>'Billing Determinants'!N24</f>
        <v>1318291.5221090443</v>
      </c>
      <c r="P10" s="81">
        <f>'Billing Determinants'!O24</f>
        <v>1317500.1690632126</v>
      </c>
      <c r="Q10" s="81">
        <f>'Billing Determinants'!P24</f>
        <v>1269268.4803722838</v>
      </c>
      <c r="R10" s="81">
        <f>'Billing Determinants'!Q24</f>
        <v>1295238.796120883</v>
      </c>
      <c r="S10" s="81">
        <f>'Billing Determinants'!R24</f>
        <v>1305931.2342727571</v>
      </c>
      <c r="T10" s="81">
        <f>'Billing Determinants'!S24</f>
        <v>1304157.7672317254</v>
      </c>
      <c r="U10" s="81">
        <f>'Billing Determinants'!T24</f>
        <v>1271052.7874755026</v>
      </c>
      <c r="V10" s="81">
        <f>'Billing Determinants'!U24</f>
        <v>1281690.8657831096</v>
      </c>
      <c r="W10" s="81">
        <f>'Billing Determinants'!V24</f>
        <v>1330206.771087918</v>
      </c>
      <c r="X10" s="81">
        <f>'Billing Determinants'!W24</f>
        <v>1265826.8516803812</v>
      </c>
      <c r="Y10" s="81">
        <f>'Billing Determinants'!X24</f>
        <v>1299825.2317412151</v>
      </c>
      <c r="Z10" s="81">
        <f>'Billing Determinants'!Y24</f>
        <v>1293536.9214742235</v>
      </c>
      <c r="AA10" s="81">
        <f>'Billing Determinants'!Z24</f>
        <v>1298088.8774713338</v>
      </c>
      <c r="AB10" s="81">
        <f>'Billing Determinants'!AA24</f>
        <v>1297436.482687983</v>
      </c>
      <c r="AC10" s="81">
        <f>'Billing Determinants'!AB24</f>
        <v>1258388.4828026511</v>
      </c>
      <c r="AD10" s="81">
        <f>'Billing Determinants'!AC24</f>
        <v>1273707.2308794528</v>
      </c>
    </row>
    <row r="11" spans="1:30">
      <c r="A11" s="42" t="s">
        <v>61</v>
      </c>
      <c r="D11" s="43">
        <f t="shared" ref="D11:M11" si="0">SUM(D5:D10)</f>
        <v>464568504.06088817</v>
      </c>
      <c r="E11" s="43">
        <f t="shared" si="0"/>
        <v>385432129.87557912</v>
      </c>
      <c r="F11" s="43">
        <f t="shared" si="0"/>
        <v>407350871.94295537</v>
      </c>
      <c r="G11" s="43">
        <f t="shared" si="0"/>
        <v>479836187.67211151</v>
      </c>
      <c r="H11" s="43">
        <f t="shared" si="0"/>
        <v>541824423.30131769</v>
      </c>
      <c r="I11" s="43">
        <f t="shared" si="0"/>
        <v>571344622.84466898</v>
      </c>
      <c r="J11" s="43">
        <f t="shared" si="0"/>
        <v>463349831.43926972</v>
      </c>
      <c r="K11" s="43">
        <f t="shared" si="0"/>
        <v>458102259.38882595</v>
      </c>
      <c r="L11" s="43">
        <f t="shared" si="0"/>
        <v>413192305.21336943</v>
      </c>
      <c r="M11" s="43">
        <f t="shared" si="0"/>
        <v>396501953.72945011</v>
      </c>
      <c r="N11" s="43">
        <f t="shared" ref="N11:Q11" si="1">SUM(N5:N10)</f>
        <v>409630482.59129196</v>
      </c>
      <c r="O11" s="43">
        <f t="shared" si="1"/>
        <v>458829270.3804301</v>
      </c>
      <c r="P11" s="43">
        <f t="shared" si="1"/>
        <v>466258145.51682287</v>
      </c>
      <c r="Q11" s="43">
        <f t="shared" si="1"/>
        <v>388279015.6614818</v>
      </c>
      <c r="R11" s="43">
        <f t="shared" ref="R11:AC11" si="2">SUM(R5:R10)</f>
        <v>410593611.38955492</v>
      </c>
      <c r="S11" s="43">
        <f t="shared" si="2"/>
        <v>477091154.43910611</v>
      </c>
      <c r="T11" s="43">
        <f t="shared" si="2"/>
        <v>542630615.0716939</v>
      </c>
      <c r="U11" s="43">
        <f t="shared" si="2"/>
        <v>572804848.8378123</v>
      </c>
      <c r="V11" s="43">
        <f t="shared" si="2"/>
        <v>467084697.98157597</v>
      </c>
      <c r="W11" s="43">
        <f t="shared" si="2"/>
        <v>461014828.35981137</v>
      </c>
      <c r="X11" s="43">
        <f t="shared" si="2"/>
        <v>414857997.48885155</v>
      </c>
      <c r="Y11" s="43">
        <f t="shared" si="2"/>
        <v>398017418.48854655</v>
      </c>
      <c r="Z11" s="43">
        <f t="shared" si="2"/>
        <v>410899638.72053087</v>
      </c>
      <c r="AA11" s="43">
        <f t="shared" si="2"/>
        <v>460138913.02782202</v>
      </c>
      <c r="AB11" s="43">
        <f t="shared" si="2"/>
        <v>468888934.6642378</v>
      </c>
      <c r="AC11" s="43">
        <f t="shared" si="2"/>
        <v>391575955.58640867</v>
      </c>
      <c r="AD11" s="43">
        <f t="shared" ref="AD11" si="3">SUM(AD5:AD10)</f>
        <v>413884182.58611315</v>
      </c>
    </row>
    <row r="12" spans="1:30">
      <c r="C12" s="210"/>
      <c r="D12" s="62"/>
      <c r="E12" s="62"/>
      <c r="F12" s="62"/>
      <c r="G12" s="62">
        <f>G11-'Billing Determinants'!F25</f>
        <v>0</v>
      </c>
      <c r="H12" s="62">
        <f>H11-'Billing Determinants'!G25</f>
        <v>0</v>
      </c>
      <c r="I12" s="62">
        <f>I11-'Billing Determinants'!H25</f>
        <v>0</v>
      </c>
      <c r="J12" s="62">
        <f>J11-'Billing Determinants'!I25</f>
        <v>0</v>
      </c>
      <c r="K12" s="62">
        <f>K11-'Billing Determinants'!J25</f>
        <v>0</v>
      </c>
      <c r="L12" s="62">
        <f>L11-'Billing Determinants'!K25</f>
        <v>0</v>
      </c>
      <c r="M12" s="62">
        <f>M11-'Billing Determinants'!L25</f>
        <v>0</v>
      </c>
      <c r="N12" s="62">
        <f>N11-'Billing Determinants'!M25</f>
        <v>0</v>
      </c>
      <c r="O12" s="62">
        <f>O11-'Billing Determinants'!N25</f>
        <v>0</v>
      </c>
      <c r="P12" s="62">
        <f>P11-'Billing Determinants'!O25</f>
        <v>0</v>
      </c>
      <c r="Q12" s="62">
        <f>Q11-'Billing Determinants'!P25</f>
        <v>0</v>
      </c>
      <c r="R12" s="62">
        <f>R11-'Billing Determinants'!Q25</f>
        <v>0</v>
      </c>
      <c r="S12" s="62">
        <f>S11-'Billing Determinants'!R25</f>
        <v>0</v>
      </c>
      <c r="T12" s="62">
        <f>T11-'Billing Determinants'!S25</f>
        <v>0</v>
      </c>
      <c r="U12" s="62">
        <f>U11-'Billing Determinants'!T25</f>
        <v>0</v>
      </c>
      <c r="V12" s="62">
        <f>V11-'Billing Determinants'!U25</f>
        <v>0</v>
      </c>
      <c r="W12" s="62">
        <f>W11-'Billing Determinants'!V25</f>
        <v>0</v>
      </c>
      <c r="X12" s="62">
        <f>X11-'Billing Determinants'!W25</f>
        <v>0</v>
      </c>
      <c r="Y12" s="62">
        <f>Y11-'Billing Determinants'!X25</f>
        <v>0</v>
      </c>
      <c r="Z12" s="62">
        <f>Z11-'Billing Determinants'!Y25</f>
        <v>0</v>
      </c>
      <c r="AA12" s="62">
        <f>AA11-'Billing Determinants'!Z25</f>
        <v>0</v>
      </c>
      <c r="AB12" s="62">
        <f>AB11-'Billing Determinants'!AA25</f>
        <v>0</v>
      </c>
      <c r="AC12" s="62">
        <f>AC11-'Billing Determinants'!AB25</f>
        <v>0</v>
      </c>
      <c r="AD12" s="62">
        <f>AD11-'Billing Determinants'!AC25</f>
        <v>0</v>
      </c>
    </row>
    <row r="13" spans="1:30">
      <c r="A13" s="209"/>
    </row>
    <row r="14" spans="1:30">
      <c r="A14" s="42" t="s">
        <v>223</v>
      </c>
    </row>
    <row r="15" spans="1:30">
      <c r="B15" s="42" t="s">
        <v>40</v>
      </c>
      <c r="D15" s="126">
        <f>'WA Electric - Sched 92'!D9</f>
        <v>3.3400000000000001E-3</v>
      </c>
      <c r="E15" s="39">
        <f>D15</f>
        <v>3.3400000000000001E-3</v>
      </c>
      <c r="F15" s="39">
        <f>E15</f>
        <v>3.3400000000000001E-3</v>
      </c>
      <c r="G15" s="126">
        <f>'WA Electric - Sched 92'!$D$23</f>
        <v>6.0664708970746533E-3</v>
      </c>
      <c r="H15" s="39">
        <f>'WA Electric - Sched 92'!$D$23</f>
        <v>6.0664708970746533E-3</v>
      </c>
      <c r="I15" s="39">
        <f>'WA Electric - Sched 92'!$D$23</f>
        <v>6.0664708970746533E-3</v>
      </c>
      <c r="J15" s="39">
        <f>'WA Electric - Sched 92'!$D$23</f>
        <v>6.0664708970746533E-3</v>
      </c>
      <c r="K15" s="39">
        <f>'WA Electric - Sched 92'!$D$23</f>
        <v>6.0664708970746533E-3</v>
      </c>
      <c r="L15" s="39">
        <f>'WA Electric - Sched 92'!$D$23</f>
        <v>6.0664708970746533E-3</v>
      </c>
      <c r="M15" s="39">
        <f>'WA Electric - Sched 92'!$D$23</f>
        <v>6.0664708970746533E-3</v>
      </c>
      <c r="N15" s="39">
        <f>'WA Electric - Sched 92'!$D$23</f>
        <v>6.0664708970746533E-3</v>
      </c>
      <c r="O15" s="39">
        <f>'WA Electric - Sched 92'!$D$23</f>
        <v>6.0664708970746533E-3</v>
      </c>
      <c r="P15" s="39">
        <f>'WA Electric - Sched 92'!$D$23</f>
        <v>6.0664708970746533E-3</v>
      </c>
      <c r="Q15" s="39">
        <f>'WA Electric - Sched 92'!$D$23</f>
        <v>6.0664708970746533E-3</v>
      </c>
      <c r="R15" s="39">
        <f>'WA Electric - Sched 92'!$D$23</f>
        <v>6.0664708970746533E-3</v>
      </c>
      <c r="S15" s="39">
        <f>'WA Electric - Sched 92'!$D$23</f>
        <v>6.0664708970746533E-3</v>
      </c>
      <c r="T15" s="39">
        <f>'WA Electric - Sched 92'!$D$23</f>
        <v>6.0664708970746533E-3</v>
      </c>
      <c r="U15" s="39">
        <f>'WA Electric - Sched 92'!$D$23</f>
        <v>6.0664708970746533E-3</v>
      </c>
      <c r="V15" s="39">
        <f>'WA Electric - Sched 92'!$D$23</f>
        <v>6.0664708970746533E-3</v>
      </c>
      <c r="W15" s="39">
        <f>'WA Electric - Sched 92'!$D$23</f>
        <v>6.0664708970746533E-3</v>
      </c>
      <c r="X15" s="39">
        <f>'WA Electric - Sched 92'!$D$23</f>
        <v>6.0664708970746533E-3</v>
      </c>
      <c r="Y15" s="39">
        <f>'WA Electric - Sched 92'!$D$23</f>
        <v>6.0664708970746533E-3</v>
      </c>
      <c r="Z15" s="39">
        <f>'WA Electric - Sched 92'!$D$23</f>
        <v>6.0664708970746533E-3</v>
      </c>
      <c r="AA15" s="39">
        <f>'WA Electric - Sched 92'!$D$23</f>
        <v>6.0664708970746533E-3</v>
      </c>
      <c r="AB15" s="39">
        <f>'WA Electric - Sched 92'!$D$23</f>
        <v>6.0664708970746533E-3</v>
      </c>
      <c r="AC15" s="39">
        <f>'WA Electric - Sched 92'!$D$23</f>
        <v>6.0664708970746533E-3</v>
      </c>
      <c r="AD15" s="39">
        <f>'WA Electric - Sched 92'!$D$23</f>
        <v>6.0664708970746533E-3</v>
      </c>
    </row>
    <row r="16" spans="1:30">
      <c r="B16" s="42" t="s">
        <v>41</v>
      </c>
      <c r="D16" s="126">
        <f>'WA Electric - Sched 92'!E9</f>
        <v>3.81E-3</v>
      </c>
      <c r="E16" s="39">
        <f t="shared" ref="E16:E20" si="4">D16</f>
        <v>3.81E-3</v>
      </c>
      <c r="F16" s="39">
        <f t="shared" ref="F16" si="5">E16</f>
        <v>3.81E-3</v>
      </c>
      <c r="G16" s="126">
        <f>'WA Electric - Sched 92'!$E$23</f>
        <v>7.1749539915952083E-3</v>
      </c>
      <c r="H16" s="39">
        <f>'WA Electric - Sched 92'!$E$23</f>
        <v>7.1749539915952083E-3</v>
      </c>
      <c r="I16" s="39">
        <f>'WA Electric - Sched 92'!$E$23</f>
        <v>7.1749539915952083E-3</v>
      </c>
      <c r="J16" s="39">
        <f>'WA Electric - Sched 92'!$E$23</f>
        <v>7.1749539915952083E-3</v>
      </c>
      <c r="K16" s="39">
        <f>'WA Electric - Sched 92'!$E$23</f>
        <v>7.1749539915952083E-3</v>
      </c>
      <c r="L16" s="39">
        <f>'WA Electric - Sched 92'!$E$23</f>
        <v>7.1749539915952083E-3</v>
      </c>
      <c r="M16" s="39">
        <f>'WA Electric - Sched 92'!$E$23</f>
        <v>7.1749539915952083E-3</v>
      </c>
      <c r="N16" s="39">
        <f>'WA Electric - Sched 92'!$E$23</f>
        <v>7.1749539915952083E-3</v>
      </c>
      <c r="O16" s="39">
        <f>'WA Electric - Sched 92'!$E$23</f>
        <v>7.1749539915952083E-3</v>
      </c>
      <c r="P16" s="39">
        <f>'WA Electric - Sched 92'!$E$23</f>
        <v>7.1749539915952083E-3</v>
      </c>
      <c r="Q16" s="39">
        <f>'WA Electric - Sched 92'!$E$23</f>
        <v>7.1749539915952083E-3</v>
      </c>
      <c r="R16" s="39">
        <f>'WA Electric - Sched 92'!$E$23</f>
        <v>7.1749539915952083E-3</v>
      </c>
      <c r="S16" s="39">
        <f>'WA Electric - Sched 92'!$E$23</f>
        <v>7.1749539915952083E-3</v>
      </c>
      <c r="T16" s="39">
        <f>'WA Electric - Sched 92'!$E$23</f>
        <v>7.1749539915952083E-3</v>
      </c>
      <c r="U16" s="39">
        <f>'WA Electric - Sched 92'!$E$23</f>
        <v>7.1749539915952083E-3</v>
      </c>
      <c r="V16" s="39">
        <f>'WA Electric - Sched 92'!$E$23</f>
        <v>7.1749539915952083E-3</v>
      </c>
      <c r="W16" s="39">
        <f>'WA Electric - Sched 92'!$E$23</f>
        <v>7.1749539915952083E-3</v>
      </c>
      <c r="X16" s="39">
        <f>'WA Electric - Sched 92'!$E$23</f>
        <v>7.1749539915952083E-3</v>
      </c>
      <c r="Y16" s="39">
        <f>'WA Electric - Sched 92'!$E$23</f>
        <v>7.1749539915952083E-3</v>
      </c>
      <c r="Z16" s="39">
        <f>'WA Electric - Sched 92'!$E$23</f>
        <v>7.1749539915952083E-3</v>
      </c>
      <c r="AA16" s="39">
        <f>'WA Electric - Sched 92'!$E$23</f>
        <v>7.1749539915952083E-3</v>
      </c>
      <c r="AB16" s="39">
        <f>'WA Electric - Sched 92'!$E$23</f>
        <v>7.1749539915952083E-3</v>
      </c>
      <c r="AC16" s="39">
        <f>'WA Electric - Sched 92'!$E$23</f>
        <v>7.1749539915952083E-3</v>
      </c>
      <c r="AD16" s="39">
        <f>'WA Electric - Sched 92'!$E$23</f>
        <v>7.1749539915952083E-3</v>
      </c>
    </row>
    <row r="17" spans="1:31">
      <c r="B17" s="42" t="s">
        <v>42</v>
      </c>
      <c r="D17" s="126">
        <f>'WA Electric - Sched 92'!F9</f>
        <v>3.1900000000000001E-3</v>
      </c>
      <c r="E17" s="39">
        <f t="shared" si="4"/>
        <v>3.1900000000000001E-3</v>
      </c>
      <c r="F17" s="39">
        <f t="shared" ref="F17" si="6">E17</f>
        <v>3.1900000000000001E-3</v>
      </c>
      <c r="G17" s="126">
        <f>'WA Electric - Sched 92'!$F$23</f>
        <v>6.2167125686589109E-3</v>
      </c>
      <c r="H17" s="39">
        <f>'WA Electric - Sched 92'!$F$23</f>
        <v>6.2167125686589109E-3</v>
      </c>
      <c r="I17" s="39">
        <f>'WA Electric - Sched 92'!$F$23</f>
        <v>6.2167125686589109E-3</v>
      </c>
      <c r="J17" s="39">
        <f>'WA Electric - Sched 92'!$F$23</f>
        <v>6.2167125686589109E-3</v>
      </c>
      <c r="K17" s="39">
        <f>'WA Electric - Sched 92'!$F$23</f>
        <v>6.2167125686589109E-3</v>
      </c>
      <c r="L17" s="39">
        <f>'WA Electric - Sched 92'!$F$23</f>
        <v>6.2167125686589109E-3</v>
      </c>
      <c r="M17" s="39">
        <f>'WA Electric - Sched 92'!$F$23</f>
        <v>6.2167125686589109E-3</v>
      </c>
      <c r="N17" s="39">
        <f>'WA Electric - Sched 92'!$F$23</f>
        <v>6.2167125686589109E-3</v>
      </c>
      <c r="O17" s="39">
        <f>'WA Electric - Sched 92'!$F$23</f>
        <v>6.2167125686589109E-3</v>
      </c>
      <c r="P17" s="39">
        <f>'WA Electric - Sched 92'!$F$23</f>
        <v>6.2167125686589109E-3</v>
      </c>
      <c r="Q17" s="39">
        <f>'WA Electric - Sched 92'!$F$23</f>
        <v>6.2167125686589109E-3</v>
      </c>
      <c r="R17" s="39">
        <f>'WA Electric - Sched 92'!$F$23</f>
        <v>6.2167125686589109E-3</v>
      </c>
      <c r="S17" s="39">
        <f>'WA Electric - Sched 92'!$F$23</f>
        <v>6.2167125686589109E-3</v>
      </c>
      <c r="T17" s="39">
        <f>'WA Electric - Sched 92'!$F$23</f>
        <v>6.2167125686589109E-3</v>
      </c>
      <c r="U17" s="39">
        <f>'WA Electric - Sched 92'!$F$23</f>
        <v>6.2167125686589109E-3</v>
      </c>
      <c r="V17" s="39">
        <f>'WA Electric - Sched 92'!$F$23</f>
        <v>6.2167125686589109E-3</v>
      </c>
      <c r="W17" s="39">
        <f>'WA Electric - Sched 92'!$F$23</f>
        <v>6.2167125686589109E-3</v>
      </c>
      <c r="X17" s="39">
        <f>'WA Electric - Sched 92'!$F$23</f>
        <v>6.2167125686589109E-3</v>
      </c>
      <c r="Y17" s="39">
        <f>'WA Electric - Sched 92'!$F$23</f>
        <v>6.2167125686589109E-3</v>
      </c>
      <c r="Z17" s="39">
        <f>'WA Electric - Sched 92'!$F$23</f>
        <v>6.2167125686589109E-3</v>
      </c>
      <c r="AA17" s="39">
        <f>'WA Electric - Sched 92'!$F$23</f>
        <v>6.2167125686589109E-3</v>
      </c>
      <c r="AB17" s="39">
        <f>'WA Electric - Sched 92'!$F$23</f>
        <v>6.2167125686589109E-3</v>
      </c>
      <c r="AC17" s="39">
        <f>'WA Electric - Sched 92'!$F$23</f>
        <v>6.2167125686589109E-3</v>
      </c>
      <c r="AD17" s="39">
        <f>'WA Electric - Sched 92'!$F$23</f>
        <v>6.2167125686589109E-3</v>
      </c>
    </row>
    <row r="18" spans="1:31">
      <c r="B18" s="42" t="s">
        <v>235</v>
      </c>
      <c r="D18" s="126">
        <f>'WA Electric - Sched 92'!G9</f>
        <v>2.3600000000000001E-3</v>
      </c>
      <c r="E18" s="39">
        <f t="shared" si="4"/>
        <v>2.3600000000000001E-3</v>
      </c>
      <c r="F18" s="39">
        <f t="shared" ref="F18" si="7">E18</f>
        <v>2.3600000000000001E-3</v>
      </c>
      <c r="G18" s="126">
        <f>'WA Electric - Sched 92'!$G$23</f>
        <v>4.2782993964029792E-3</v>
      </c>
      <c r="H18" s="39">
        <f>'WA Electric - Sched 92'!$G$23</f>
        <v>4.2782993964029792E-3</v>
      </c>
      <c r="I18" s="39">
        <f>'WA Electric - Sched 92'!$G$23</f>
        <v>4.2782993964029792E-3</v>
      </c>
      <c r="J18" s="39">
        <f>'WA Electric - Sched 92'!$G$23</f>
        <v>4.2782993964029792E-3</v>
      </c>
      <c r="K18" s="39">
        <f>'WA Electric - Sched 92'!$G$23</f>
        <v>4.2782993964029792E-3</v>
      </c>
      <c r="L18" s="39">
        <f>'WA Electric - Sched 92'!$G$23</f>
        <v>4.2782993964029792E-3</v>
      </c>
      <c r="M18" s="39">
        <f>'WA Electric - Sched 92'!$G$23</f>
        <v>4.2782993964029792E-3</v>
      </c>
      <c r="N18" s="39">
        <f>'WA Electric - Sched 92'!$G$23</f>
        <v>4.2782993964029792E-3</v>
      </c>
      <c r="O18" s="39">
        <f>'WA Electric - Sched 92'!$G$23</f>
        <v>4.2782993964029792E-3</v>
      </c>
      <c r="P18" s="39">
        <f>'WA Electric - Sched 92'!$G$23</f>
        <v>4.2782993964029792E-3</v>
      </c>
      <c r="Q18" s="39">
        <f>'WA Electric - Sched 92'!$G$23</f>
        <v>4.2782993964029792E-3</v>
      </c>
      <c r="R18" s="39">
        <f>'WA Electric - Sched 92'!$G$23</f>
        <v>4.2782993964029792E-3</v>
      </c>
      <c r="S18" s="39">
        <f>'WA Electric - Sched 92'!$G$23</f>
        <v>4.2782993964029792E-3</v>
      </c>
      <c r="T18" s="39">
        <f>'WA Electric - Sched 92'!$G$23</f>
        <v>4.2782993964029792E-3</v>
      </c>
      <c r="U18" s="39">
        <f>'WA Electric - Sched 92'!$G$23</f>
        <v>4.2782993964029792E-3</v>
      </c>
      <c r="V18" s="39">
        <f>'WA Electric - Sched 92'!$G$23</f>
        <v>4.2782993964029792E-3</v>
      </c>
      <c r="W18" s="39">
        <f>'WA Electric - Sched 92'!$G$23</f>
        <v>4.2782993964029792E-3</v>
      </c>
      <c r="X18" s="39">
        <f>'WA Electric - Sched 92'!$G$23</f>
        <v>4.2782993964029792E-3</v>
      </c>
      <c r="Y18" s="39">
        <f>'WA Electric - Sched 92'!$G$23</f>
        <v>4.2782993964029792E-3</v>
      </c>
      <c r="Z18" s="39">
        <f>'WA Electric - Sched 92'!$G$23</f>
        <v>4.2782993964029792E-3</v>
      </c>
      <c r="AA18" s="39">
        <f>'WA Electric - Sched 92'!$G$23</f>
        <v>4.2782993964029792E-3</v>
      </c>
      <c r="AB18" s="39">
        <f>'WA Electric - Sched 92'!$G$23</f>
        <v>4.2782993964029792E-3</v>
      </c>
      <c r="AC18" s="39">
        <f>'WA Electric - Sched 92'!$G$23</f>
        <v>4.2782993964029792E-3</v>
      </c>
      <c r="AD18" s="39">
        <f>'WA Electric - Sched 92'!$G$23</f>
        <v>4.2782993964029792E-3</v>
      </c>
    </row>
    <row r="19" spans="1:31">
      <c r="B19" s="42" t="s">
        <v>43</v>
      </c>
      <c r="D19" s="126">
        <f>'WA Electric - Sched 92'!H9</f>
        <v>3.3400000000000001E-3</v>
      </c>
      <c r="E19" s="39">
        <f t="shared" si="4"/>
        <v>3.3400000000000001E-3</v>
      </c>
      <c r="F19" s="39">
        <f t="shared" ref="F19" si="8">E19</f>
        <v>3.3400000000000001E-3</v>
      </c>
      <c r="G19" s="126">
        <f>'WA Electric - Sched 92'!$H$23</f>
        <v>6.3401865548026459E-3</v>
      </c>
      <c r="H19" s="39">
        <f>'WA Electric - Sched 92'!$H$23</f>
        <v>6.3401865548026459E-3</v>
      </c>
      <c r="I19" s="39">
        <f>'WA Electric - Sched 92'!$H$23</f>
        <v>6.3401865548026459E-3</v>
      </c>
      <c r="J19" s="39">
        <f>'WA Electric - Sched 92'!$H$23</f>
        <v>6.3401865548026459E-3</v>
      </c>
      <c r="K19" s="39">
        <f>'WA Electric - Sched 92'!$H$23</f>
        <v>6.3401865548026459E-3</v>
      </c>
      <c r="L19" s="39">
        <f>'WA Electric - Sched 92'!$H$23</f>
        <v>6.3401865548026459E-3</v>
      </c>
      <c r="M19" s="39">
        <f>'WA Electric - Sched 92'!$H$23</f>
        <v>6.3401865548026459E-3</v>
      </c>
      <c r="N19" s="39">
        <f>'WA Electric - Sched 92'!$H$23</f>
        <v>6.3401865548026459E-3</v>
      </c>
      <c r="O19" s="39">
        <f>'WA Electric - Sched 92'!$H$23</f>
        <v>6.3401865548026459E-3</v>
      </c>
      <c r="P19" s="39">
        <f>'WA Electric - Sched 92'!$H$23</f>
        <v>6.3401865548026459E-3</v>
      </c>
      <c r="Q19" s="39">
        <f>'WA Electric - Sched 92'!$H$23</f>
        <v>6.3401865548026459E-3</v>
      </c>
      <c r="R19" s="39">
        <f>'WA Electric - Sched 92'!$H$23</f>
        <v>6.3401865548026459E-3</v>
      </c>
      <c r="S19" s="39">
        <f>'WA Electric - Sched 92'!$H$23</f>
        <v>6.3401865548026459E-3</v>
      </c>
      <c r="T19" s="39">
        <f>'WA Electric - Sched 92'!$H$23</f>
        <v>6.3401865548026459E-3</v>
      </c>
      <c r="U19" s="39">
        <f>'WA Electric - Sched 92'!$H$23</f>
        <v>6.3401865548026459E-3</v>
      </c>
      <c r="V19" s="39">
        <f>'WA Electric - Sched 92'!$H$23</f>
        <v>6.3401865548026459E-3</v>
      </c>
      <c r="W19" s="39">
        <f>'WA Electric - Sched 92'!$H$23</f>
        <v>6.3401865548026459E-3</v>
      </c>
      <c r="X19" s="39">
        <f>'WA Electric - Sched 92'!$H$23</f>
        <v>6.3401865548026459E-3</v>
      </c>
      <c r="Y19" s="39">
        <f>'WA Electric - Sched 92'!$H$23</f>
        <v>6.3401865548026459E-3</v>
      </c>
      <c r="Z19" s="39">
        <f>'WA Electric - Sched 92'!$H$23</f>
        <v>6.3401865548026459E-3</v>
      </c>
      <c r="AA19" s="39">
        <f>'WA Electric - Sched 92'!$H$23</f>
        <v>6.3401865548026459E-3</v>
      </c>
      <c r="AB19" s="39">
        <f>'WA Electric - Sched 92'!$H$23</f>
        <v>6.3401865548026459E-3</v>
      </c>
      <c r="AC19" s="39">
        <f>'WA Electric - Sched 92'!$H$23</f>
        <v>6.3401865548026459E-3</v>
      </c>
      <c r="AD19" s="39">
        <f>'WA Electric - Sched 92'!$H$23</f>
        <v>6.3401865548026459E-3</v>
      </c>
    </row>
    <row r="20" spans="1:31">
      <c r="B20" s="42" t="s">
        <v>44</v>
      </c>
      <c r="D20" s="126">
        <f>'WA Electric - Sched 92'!I9</f>
        <v>1.478E-2</v>
      </c>
      <c r="E20" s="39">
        <f t="shared" si="4"/>
        <v>1.478E-2</v>
      </c>
      <c r="F20" s="39">
        <f t="shared" ref="F20" si="9">E20</f>
        <v>1.478E-2</v>
      </c>
      <c r="G20" s="126">
        <f>'WA Electric - Sched 92'!$I$23</f>
        <v>2.6485650918534793E-2</v>
      </c>
      <c r="H20" s="39">
        <f>'WA Electric - Sched 92'!$I$23</f>
        <v>2.6485650918534793E-2</v>
      </c>
      <c r="I20" s="39">
        <f>'WA Electric - Sched 92'!$I$23</f>
        <v>2.6485650918534793E-2</v>
      </c>
      <c r="J20" s="39">
        <f>'WA Electric - Sched 92'!$I$23</f>
        <v>2.6485650918534793E-2</v>
      </c>
      <c r="K20" s="39">
        <f>'WA Electric - Sched 92'!$I$23</f>
        <v>2.6485650918534793E-2</v>
      </c>
      <c r="L20" s="39">
        <f>'WA Electric - Sched 92'!$I$23</f>
        <v>2.6485650918534793E-2</v>
      </c>
      <c r="M20" s="39">
        <f>'WA Electric - Sched 92'!$I$23</f>
        <v>2.6485650918534793E-2</v>
      </c>
      <c r="N20" s="39">
        <f>'WA Electric - Sched 92'!$I$23</f>
        <v>2.6485650918534793E-2</v>
      </c>
      <c r="O20" s="39">
        <f>'WA Electric - Sched 92'!$I$23</f>
        <v>2.6485650918534793E-2</v>
      </c>
      <c r="P20" s="39">
        <f>'WA Electric - Sched 92'!$I$23</f>
        <v>2.6485650918534793E-2</v>
      </c>
      <c r="Q20" s="39">
        <f>'WA Electric - Sched 92'!$I$23</f>
        <v>2.6485650918534793E-2</v>
      </c>
      <c r="R20" s="39">
        <f>'WA Electric - Sched 92'!$I$23</f>
        <v>2.6485650918534793E-2</v>
      </c>
      <c r="S20" s="39">
        <f>'WA Electric - Sched 92'!$I$23</f>
        <v>2.6485650918534793E-2</v>
      </c>
      <c r="T20" s="39">
        <f>'WA Electric - Sched 92'!$I$23</f>
        <v>2.6485650918534793E-2</v>
      </c>
      <c r="U20" s="39">
        <f>'WA Electric - Sched 92'!$I$23</f>
        <v>2.6485650918534793E-2</v>
      </c>
      <c r="V20" s="39">
        <f>'WA Electric - Sched 92'!$I$23</f>
        <v>2.6485650918534793E-2</v>
      </c>
      <c r="W20" s="39">
        <f>'WA Electric - Sched 92'!$I$23</f>
        <v>2.6485650918534793E-2</v>
      </c>
      <c r="X20" s="39">
        <f>'WA Electric - Sched 92'!$I$23</f>
        <v>2.6485650918534793E-2</v>
      </c>
      <c r="Y20" s="39">
        <f>'WA Electric - Sched 92'!$I$23</f>
        <v>2.6485650918534793E-2</v>
      </c>
      <c r="Z20" s="39">
        <f>'WA Electric - Sched 92'!$I$23</f>
        <v>2.6485650918534793E-2</v>
      </c>
      <c r="AA20" s="39">
        <f>'WA Electric - Sched 92'!$I$23</f>
        <v>2.6485650918534793E-2</v>
      </c>
      <c r="AB20" s="39">
        <f>'WA Electric - Sched 92'!$I$23</f>
        <v>2.6485650918534793E-2</v>
      </c>
      <c r="AC20" s="39">
        <f>'WA Electric - Sched 92'!$I$23</f>
        <v>2.6485650918534793E-2</v>
      </c>
      <c r="AD20" s="39">
        <f>'WA Electric - Sched 92'!$I$23</f>
        <v>2.6485650918534793E-2</v>
      </c>
    </row>
    <row r="21" spans="1:31">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3" spans="1:31">
      <c r="A23" s="42" t="s">
        <v>206</v>
      </c>
      <c r="D23" s="64">
        <f t="shared" ref="D23:Q23" si="10">D4</f>
        <v>45535</v>
      </c>
      <c r="E23" s="64">
        <f t="shared" si="10"/>
        <v>45565</v>
      </c>
      <c r="F23" s="64">
        <f t="shared" si="10"/>
        <v>45595</v>
      </c>
      <c r="G23" s="64">
        <f t="shared" si="10"/>
        <v>45626</v>
      </c>
      <c r="H23" s="64">
        <f t="shared" si="10"/>
        <v>45656</v>
      </c>
      <c r="I23" s="64">
        <f t="shared" si="10"/>
        <v>45687</v>
      </c>
      <c r="J23" s="64">
        <f t="shared" si="10"/>
        <v>45716</v>
      </c>
      <c r="K23" s="64">
        <f t="shared" si="10"/>
        <v>45744</v>
      </c>
      <c r="L23" s="64">
        <f t="shared" si="10"/>
        <v>45775</v>
      </c>
      <c r="M23" s="64">
        <f t="shared" si="10"/>
        <v>45805</v>
      </c>
      <c r="N23" s="64">
        <f t="shared" si="10"/>
        <v>45836</v>
      </c>
      <c r="O23" s="64">
        <f t="shared" si="10"/>
        <v>45866</v>
      </c>
      <c r="P23" s="64">
        <f t="shared" si="10"/>
        <v>45897</v>
      </c>
      <c r="Q23" s="64">
        <f t="shared" si="10"/>
        <v>45928</v>
      </c>
      <c r="R23" s="64">
        <f t="shared" ref="R23:AC23" si="11">R4</f>
        <v>45958</v>
      </c>
      <c r="S23" s="64">
        <f t="shared" si="11"/>
        <v>45989</v>
      </c>
      <c r="T23" s="64">
        <f t="shared" si="11"/>
        <v>46019</v>
      </c>
      <c r="U23" s="64">
        <f t="shared" si="11"/>
        <v>46050</v>
      </c>
      <c r="V23" s="64">
        <f t="shared" si="11"/>
        <v>46081</v>
      </c>
      <c r="W23" s="64">
        <f t="shared" si="11"/>
        <v>46109</v>
      </c>
      <c r="X23" s="64">
        <f t="shared" si="11"/>
        <v>46140</v>
      </c>
      <c r="Y23" s="64">
        <f t="shared" si="11"/>
        <v>46170</v>
      </c>
      <c r="Z23" s="64">
        <f t="shared" si="11"/>
        <v>46201</v>
      </c>
      <c r="AA23" s="64">
        <f t="shared" si="11"/>
        <v>46231</v>
      </c>
      <c r="AB23" s="64">
        <f t="shared" si="11"/>
        <v>46262</v>
      </c>
      <c r="AC23" s="64">
        <f t="shared" si="11"/>
        <v>46293</v>
      </c>
      <c r="AD23" s="64">
        <f t="shared" ref="AD23" si="12">AD4</f>
        <v>46323</v>
      </c>
    </row>
    <row r="24" spans="1:31">
      <c r="B24" s="42" t="s">
        <v>40</v>
      </c>
      <c r="D24" s="14">
        <f>D5*D15</f>
        <v>686820.56067660067</v>
      </c>
      <c r="E24" s="14">
        <f t="shared" ref="E24:M24" si="13">E5*E15</f>
        <v>535970.72347762948</v>
      </c>
      <c r="F24" s="14">
        <f t="shared" si="13"/>
        <v>595258.53275381355</v>
      </c>
      <c r="G24" s="14">
        <f t="shared" si="13"/>
        <v>1452409.4400504041</v>
      </c>
      <c r="H24" s="14">
        <f t="shared" si="13"/>
        <v>1845513.079325259</v>
      </c>
      <c r="I24" s="14">
        <f t="shared" si="13"/>
        <v>1927440.9794155031</v>
      </c>
      <c r="J24" s="14">
        <f t="shared" si="13"/>
        <v>1519830.3529323575</v>
      </c>
      <c r="K24" s="14">
        <f t="shared" si="13"/>
        <v>1432630.4534290386</v>
      </c>
      <c r="L24" s="14">
        <f t="shared" si="13"/>
        <v>1237170.0316757313</v>
      </c>
      <c r="M24" s="14">
        <f t="shared" si="13"/>
        <v>1099528.50122953</v>
      </c>
      <c r="N24" s="14">
        <f t="shared" ref="N24:P24" si="14">N5*N15</f>
        <v>1068649.9238104047</v>
      </c>
      <c r="O24" s="14">
        <f t="shared" si="14"/>
        <v>1223265.1292321556</v>
      </c>
      <c r="P24" s="14">
        <f t="shared" si="14"/>
        <v>1271564.823259711</v>
      </c>
      <c r="Q24" s="14">
        <f>Q5*Q15</f>
        <v>1012030.9408357913</v>
      </c>
      <c r="R24" s="14">
        <f t="shared" ref="R24:AC24" si="15">R5*R15</f>
        <v>1107528.4516130064</v>
      </c>
      <c r="S24" s="14">
        <f t="shared" si="15"/>
        <v>1437186.326112784</v>
      </c>
      <c r="T24" s="14">
        <f t="shared" si="15"/>
        <v>1854795.760383592</v>
      </c>
      <c r="U24" s="14">
        <f t="shared" si="15"/>
        <v>1959259.3395584077</v>
      </c>
      <c r="V24" s="14">
        <f t="shared" si="15"/>
        <v>1541018.240206982</v>
      </c>
      <c r="W24" s="14">
        <f t="shared" si="15"/>
        <v>1459551.4937006277</v>
      </c>
      <c r="X24" s="14">
        <f t="shared" si="15"/>
        <v>1259929.9829617243</v>
      </c>
      <c r="Y24" s="14">
        <f t="shared" si="15"/>
        <v>1119200.4746900173</v>
      </c>
      <c r="Z24" s="14">
        <f t="shared" si="15"/>
        <v>1085401.0190704435</v>
      </c>
      <c r="AA24" s="14">
        <f t="shared" si="15"/>
        <v>1241005.9962962596</v>
      </c>
      <c r="AB24" s="14">
        <f t="shared" si="15"/>
        <v>1300358.3656156687</v>
      </c>
      <c r="AC24" s="14">
        <f t="shared" si="15"/>
        <v>1036619.7551487567</v>
      </c>
      <c r="AD24" s="14">
        <f t="shared" ref="AD24" si="16">AD5*AD15</f>
        <v>1130991.3677002622</v>
      </c>
    </row>
    <row r="25" spans="1:31">
      <c r="B25" s="42" t="s">
        <v>41</v>
      </c>
      <c r="D25" s="14">
        <f t="shared" ref="D25:D29" si="17">D6*D16</f>
        <v>220274.71148297939</v>
      </c>
      <c r="E25" s="14">
        <f t="shared" ref="E25:M25" si="18">E6*E16</f>
        <v>192219.49776565158</v>
      </c>
      <c r="F25" s="14">
        <f t="shared" si="18"/>
        <v>201881.85333179127</v>
      </c>
      <c r="G25" s="14">
        <f t="shared" si="18"/>
        <v>433425.57521051518</v>
      </c>
      <c r="H25" s="14">
        <f t="shared" si="18"/>
        <v>484758.03435784997</v>
      </c>
      <c r="I25" s="14">
        <f t="shared" si="18"/>
        <v>499425.05301159847</v>
      </c>
      <c r="J25" s="14">
        <f t="shared" si="18"/>
        <v>412815.20032002253</v>
      </c>
      <c r="K25" s="14">
        <f t="shared" si="18"/>
        <v>408996.41971076094</v>
      </c>
      <c r="L25" s="14">
        <f t="shared" si="18"/>
        <v>370297.09962870524</v>
      </c>
      <c r="M25" s="14">
        <f t="shared" si="18"/>
        <v>356497.17577547557</v>
      </c>
      <c r="N25" s="14">
        <f t="shared" ref="N25:Q25" si="19">N6*N16</f>
        <v>365331.40513598773</v>
      </c>
      <c r="O25" s="14">
        <f t="shared" si="19"/>
        <v>423055.2523534951</v>
      </c>
      <c r="P25" s="14">
        <f t="shared" si="19"/>
        <v>416766.75337407592</v>
      </c>
      <c r="Q25" s="14">
        <f t="shared" si="19"/>
        <v>362419.58017464558</v>
      </c>
      <c r="R25" s="14">
        <f t="shared" ref="R25:AC25" si="20">R6*R16</f>
        <v>382878.5773980479</v>
      </c>
      <c r="S25" s="14">
        <f t="shared" si="20"/>
        <v>439418.22420305386</v>
      </c>
      <c r="T25" s="14">
        <f t="shared" si="20"/>
        <v>491078.37134462676</v>
      </c>
      <c r="U25" s="14">
        <f t="shared" si="20"/>
        <v>505781.34136919706</v>
      </c>
      <c r="V25" s="14">
        <f t="shared" si="20"/>
        <v>415455.34991121327</v>
      </c>
      <c r="W25" s="14">
        <f t="shared" si="20"/>
        <v>413868.60097795352</v>
      </c>
      <c r="X25" s="14">
        <f t="shared" si="20"/>
        <v>373393.69516185147</v>
      </c>
      <c r="Y25" s="14">
        <f t="shared" si="20"/>
        <v>359140.85164277826</v>
      </c>
      <c r="Z25" s="14">
        <f t="shared" si="20"/>
        <v>369219.40940470563</v>
      </c>
      <c r="AA25" s="14">
        <f t="shared" si="20"/>
        <v>427843.51327586727</v>
      </c>
      <c r="AB25" s="14">
        <f t="shared" si="20"/>
        <v>422654.30109941383</v>
      </c>
      <c r="AC25" s="14">
        <f t="shared" si="20"/>
        <v>365200.34551636095</v>
      </c>
      <c r="AD25" s="14">
        <f t="shared" ref="AD25" si="21">AD6*AD16</f>
        <v>387672.05084666004</v>
      </c>
    </row>
    <row r="26" spans="1:31">
      <c r="B26" s="42" t="s">
        <v>42</v>
      </c>
      <c r="D26" s="14">
        <f t="shared" si="17"/>
        <v>356783.57085105439</v>
      </c>
      <c r="E26" s="14">
        <f t="shared" ref="E26:M26" si="22">E7*E17</f>
        <v>312945.37933353463</v>
      </c>
      <c r="F26" s="14">
        <f t="shared" si="22"/>
        <v>353676.61540983088</v>
      </c>
      <c r="G26" s="14">
        <f t="shared" si="22"/>
        <v>726423.56681497488</v>
      </c>
      <c r="H26" s="14">
        <f t="shared" si="22"/>
        <v>705266.80813051539</v>
      </c>
      <c r="I26" s="14">
        <f t="shared" si="22"/>
        <v>717060.62526262703</v>
      </c>
      <c r="J26" s="14">
        <f t="shared" si="22"/>
        <v>600972.53364678868</v>
      </c>
      <c r="K26" s="14">
        <f t="shared" si="22"/>
        <v>618547.04926144867</v>
      </c>
      <c r="L26" s="14">
        <f t="shared" si="22"/>
        <v>581596.95809840923</v>
      </c>
      <c r="M26" s="14">
        <f t="shared" si="22"/>
        <v>613640.42297158681</v>
      </c>
      <c r="N26" s="14">
        <f t="shared" ref="N26:Q26" si="23">N7*N17</f>
        <v>657706.90287923941</v>
      </c>
      <c r="O26" s="14">
        <f t="shared" si="23"/>
        <v>730048.70176185202</v>
      </c>
      <c r="P26" s="14">
        <f t="shared" si="23"/>
        <v>682214.06073872757</v>
      </c>
      <c r="Q26" s="14">
        <f t="shared" si="23"/>
        <v>596702.92074389127</v>
      </c>
      <c r="R26" s="14">
        <f t="shared" ref="R26:AC26" si="24">R7*R17</f>
        <v>675119.38706102106</v>
      </c>
      <c r="S26" s="14">
        <f t="shared" si="24"/>
        <v>717811.09511849366</v>
      </c>
      <c r="T26" s="14">
        <f t="shared" si="24"/>
        <v>697273.38522310776</v>
      </c>
      <c r="U26" s="14">
        <f t="shared" si="24"/>
        <v>709907.11628147645</v>
      </c>
      <c r="V26" s="14">
        <f t="shared" si="24"/>
        <v>590884.98488725128</v>
      </c>
      <c r="W26" s="14">
        <f t="shared" si="24"/>
        <v>608577.50362690329</v>
      </c>
      <c r="X26" s="14">
        <f t="shared" si="24"/>
        <v>572261.1697701558</v>
      </c>
      <c r="Y26" s="14">
        <f t="shared" si="24"/>
        <v>600467.48431208124</v>
      </c>
      <c r="Z26" s="14">
        <f t="shared" si="24"/>
        <v>645756.9126282169</v>
      </c>
      <c r="AA26" s="14">
        <f t="shared" si="24"/>
        <v>719472.50520032563</v>
      </c>
      <c r="AB26" s="14">
        <f t="shared" si="24"/>
        <v>675424.87003797351</v>
      </c>
      <c r="AC26" s="14">
        <f t="shared" si="24"/>
        <v>586383.55978620192</v>
      </c>
      <c r="AD26" s="14">
        <f t="shared" ref="AD26" si="25">AD7*AD17</f>
        <v>665369.56149742322</v>
      </c>
    </row>
    <row r="27" spans="1:31">
      <c r="B27" s="42" t="s">
        <v>234</v>
      </c>
      <c r="D27" s="14">
        <f t="shared" si="17"/>
        <v>143512.14704800001</v>
      </c>
      <c r="E27" s="14">
        <f t="shared" ref="E27:M27" si="26">E8*E18</f>
        <v>126795.05542400001</v>
      </c>
      <c r="F27" s="14">
        <f t="shared" si="26"/>
        <v>121528.02772000001</v>
      </c>
      <c r="G27" s="14">
        <f t="shared" si="26"/>
        <v>246718.35555083581</v>
      </c>
      <c r="H27" s="14">
        <f t="shared" si="26"/>
        <v>219159.34344665491</v>
      </c>
      <c r="I27" s="14">
        <f t="shared" si="26"/>
        <v>267026.1490278233</v>
      </c>
      <c r="J27" s="14">
        <f t="shared" si="26"/>
        <v>229550.60536962035</v>
      </c>
      <c r="K27" s="14">
        <f t="shared" si="26"/>
        <v>254405.66465814412</v>
      </c>
      <c r="L27" s="14">
        <f t="shared" si="26"/>
        <v>244515.54475761583</v>
      </c>
      <c r="M27" s="14">
        <f t="shared" si="26"/>
        <v>229429.67495888163</v>
      </c>
      <c r="N27" s="14">
        <f t="shared" ref="N27:Q27" si="27">N8*N18</f>
        <v>238782.61073153766</v>
      </c>
      <c r="O27" s="14">
        <f t="shared" si="27"/>
        <v>229709.25070085813</v>
      </c>
      <c r="P27" s="14">
        <f t="shared" si="27"/>
        <v>253548.1548422045</v>
      </c>
      <c r="Q27" s="14">
        <f t="shared" si="27"/>
        <v>224451.59295472634</v>
      </c>
      <c r="R27" s="14">
        <f t="shared" ref="R27:AC27" si="28">R8*R18</f>
        <v>221550.01008807152</v>
      </c>
      <c r="S27" s="14">
        <f t="shared" si="28"/>
        <v>247400.17101244297</v>
      </c>
      <c r="T27" s="14">
        <f t="shared" si="28"/>
        <v>218570.16600187807</v>
      </c>
      <c r="U27" s="14">
        <f t="shared" si="28"/>
        <v>253178.19660283948</v>
      </c>
      <c r="V27" s="14">
        <f t="shared" si="28"/>
        <v>234186.39518528737</v>
      </c>
      <c r="W27" s="14">
        <f t="shared" si="28"/>
        <v>250940.89244856595</v>
      </c>
      <c r="X27" s="14">
        <f t="shared" si="28"/>
        <v>239905.19798845923</v>
      </c>
      <c r="Y27" s="14">
        <f t="shared" si="28"/>
        <v>229532.05038513814</v>
      </c>
      <c r="Z27" s="14">
        <f t="shared" si="28"/>
        <v>238171.21607799528</v>
      </c>
      <c r="AA27" s="14">
        <f t="shared" si="28"/>
        <v>229355.25993050035</v>
      </c>
      <c r="AB27" s="14">
        <f t="shared" si="28"/>
        <v>246988.53785865754</v>
      </c>
      <c r="AC27" s="14">
        <f t="shared" si="28"/>
        <v>225650.5820822689</v>
      </c>
      <c r="AD27" s="14">
        <f t="shared" ref="AD27" si="29">AD8*AD18</f>
        <v>219561.65760869507</v>
      </c>
    </row>
    <row r="28" spans="1:31">
      <c r="B28" s="42" t="s">
        <v>43</v>
      </c>
      <c r="D28" s="14">
        <f t="shared" si="17"/>
        <v>93872.443558316809</v>
      </c>
      <c r="E28" s="14">
        <f t="shared" ref="E28:M28" si="30">E9*E19</f>
        <v>74563.474457418197</v>
      </c>
      <c r="F28" s="14">
        <f t="shared" si="30"/>
        <v>44822.107157515842</v>
      </c>
      <c r="G28" s="14">
        <f t="shared" si="30"/>
        <v>26466.545472624341</v>
      </c>
      <c r="H28" s="14">
        <f t="shared" si="30"/>
        <v>25703.593363373988</v>
      </c>
      <c r="I28" s="14">
        <f t="shared" si="30"/>
        <v>31367.647208549457</v>
      </c>
      <c r="J28" s="14">
        <f t="shared" si="30"/>
        <v>23311.474228924275</v>
      </c>
      <c r="K28" s="14">
        <f t="shared" si="30"/>
        <v>29385.361241016024</v>
      </c>
      <c r="L28" s="14">
        <f t="shared" si="30"/>
        <v>35873.445026518828</v>
      </c>
      <c r="M28" s="14">
        <f t="shared" si="30"/>
        <v>75520.779654179394</v>
      </c>
      <c r="N28" s="14">
        <f t="shared" ref="N28:Q28" si="31">N9*N19</f>
        <v>124494.00243105814</v>
      </c>
      <c r="O28" s="14">
        <f t="shared" si="31"/>
        <v>163447.60160020465</v>
      </c>
      <c r="P28" s="14">
        <f t="shared" si="31"/>
        <v>179087.85987527861</v>
      </c>
      <c r="Q28" s="14">
        <f t="shared" si="31"/>
        <v>134588.41196280046</v>
      </c>
      <c r="R28" s="14">
        <f t="shared" ref="R28:AC28" si="32">R9*R19</f>
        <v>82343.479043379164</v>
      </c>
      <c r="S28" s="14">
        <f t="shared" si="32"/>
        <v>27541.06280636098</v>
      </c>
      <c r="T28" s="14">
        <f t="shared" si="32"/>
        <v>24653.201339581432</v>
      </c>
      <c r="U28" s="14">
        <f t="shared" si="32"/>
        <v>29832.379602832832</v>
      </c>
      <c r="V28" s="14">
        <f t="shared" si="32"/>
        <v>25939.22526844481</v>
      </c>
      <c r="W28" s="14">
        <f t="shared" si="32"/>
        <v>30819.043397647016</v>
      </c>
      <c r="X28" s="14">
        <f t="shared" si="32"/>
        <v>36370.3722105673</v>
      </c>
      <c r="Y28" s="14">
        <f t="shared" si="32"/>
        <v>75662.000742567092</v>
      </c>
      <c r="Z28" s="14">
        <f t="shared" si="32"/>
        <v>124804.36310224883</v>
      </c>
      <c r="AA28" s="14">
        <f t="shared" si="32"/>
        <v>160417.42202642944</v>
      </c>
      <c r="AB28" s="14">
        <f t="shared" si="32"/>
        <v>177244.50719444494</v>
      </c>
      <c r="AC28" s="14">
        <f t="shared" si="32"/>
        <v>136152.6110173302</v>
      </c>
      <c r="AD28" s="14">
        <f t="shared" ref="AD28" si="33">AD9*AD19</f>
        <v>87475.594266730128</v>
      </c>
    </row>
    <row r="29" spans="1:31">
      <c r="B29" s="42" t="s">
        <v>44</v>
      </c>
      <c r="D29" s="41">
        <f t="shared" si="17"/>
        <v>5299.9210399457788</v>
      </c>
      <c r="E29" s="41">
        <f t="shared" ref="E29:G29" si="34">E10*E20</f>
        <v>5282.8138415114672</v>
      </c>
      <c r="F29" s="41">
        <f t="shared" si="34"/>
        <v>5280.2932886778781</v>
      </c>
      <c r="G29" s="41">
        <f t="shared" si="34"/>
        <v>34968.105408557574</v>
      </c>
      <c r="H29" s="41">
        <f t="shared" ref="H29:L29" si="35">H10*H20</f>
        <v>34956.704691472383</v>
      </c>
      <c r="I29" s="41">
        <f t="shared" si="35"/>
        <v>34750.566277235877</v>
      </c>
      <c r="J29" s="41">
        <f t="shared" si="35"/>
        <v>33975.31466069779</v>
      </c>
      <c r="K29" s="41">
        <f t="shared" si="35"/>
        <v>35675.612363462082</v>
      </c>
      <c r="L29" s="41">
        <f t="shared" si="35"/>
        <v>33968.405326131018</v>
      </c>
      <c r="M29" s="41">
        <f>M10*M20</f>
        <v>35035.332292848907</v>
      </c>
      <c r="N29" s="41">
        <f t="shared" ref="N29:Q29" si="36">N10*N20</f>
        <v>34731.538427289954</v>
      </c>
      <c r="O29" s="41">
        <f t="shared" si="36"/>
        <v>34915.809063444038</v>
      </c>
      <c r="P29" s="41">
        <f t="shared" si="36"/>
        <v>34894.849562918818</v>
      </c>
      <c r="Q29" s="41">
        <f t="shared" si="36"/>
        <v>33617.401893039438</v>
      </c>
      <c r="R29" s="41">
        <f t="shared" ref="R29:AC29" si="37">R10*R20</f>
        <v>34305.242610200963</v>
      </c>
      <c r="S29" s="41">
        <f t="shared" si="37"/>
        <v>34588.438794559523</v>
      </c>
      <c r="T29" s="41">
        <f t="shared" si="37"/>
        <v>34541.467365595236</v>
      </c>
      <c r="U29" s="41">
        <f t="shared" si="37"/>
        <v>33664.660428106756</v>
      </c>
      <c r="V29" s="41">
        <f t="shared" si="37"/>
        <v>33946.416856606069</v>
      </c>
      <c r="W29" s="41">
        <f t="shared" si="37"/>
        <v>35231.392188505917</v>
      </c>
      <c r="X29" s="41">
        <f t="shared" si="37"/>
        <v>33526.248116914496</v>
      </c>
      <c r="Y29" s="41">
        <f t="shared" si="37"/>
        <v>34426.717343001415</v>
      </c>
      <c r="Z29" s="41">
        <f t="shared" si="37"/>
        <v>34260.167352402437</v>
      </c>
      <c r="AA29" s="41">
        <f t="shared" si="37"/>
        <v>34380.72886993843</v>
      </c>
      <c r="AB29" s="41">
        <f t="shared" si="37"/>
        <v>34363.449769445528</v>
      </c>
      <c r="AC29" s="41">
        <f t="shared" si="37"/>
        <v>33329.23807541564</v>
      </c>
      <c r="AD29" s="41">
        <f t="shared" ref="AD29" si="38">AD10*AD20</f>
        <v>33734.965089486788</v>
      </c>
    </row>
    <row r="30" spans="1:31">
      <c r="B30" s="42" t="s">
        <v>45</v>
      </c>
      <c r="D30" s="14">
        <f t="shared" ref="D30:J30" si="39">SUM(D24:D29)</f>
        <v>1506563.354656897</v>
      </c>
      <c r="E30" s="14">
        <f t="shared" si="39"/>
        <v>1247776.9442997454</v>
      </c>
      <c r="F30" s="14">
        <f t="shared" si="39"/>
        <v>1322447.4296616293</v>
      </c>
      <c r="G30" s="14">
        <f t="shared" si="39"/>
        <v>2920411.5885079117</v>
      </c>
      <c r="H30" s="14">
        <f t="shared" si="39"/>
        <v>3315357.5633151256</v>
      </c>
      <c r="I30" s="14">
        <f t="shared" si="39"/>
        <v>3477071.0202033371</v>
      </c>
      <c r="J30" s="14">
        <f t="shared" si="39"/>
        <v>2820455.4811584111</v>
      </c>
      <c r="K30" s="14">
        <f t="shared" ref="K30:M30" si="40">SUM(K24:K29)</f>
        <v>2779640.5606638705</v>
      </c>
      <c r="L30" s="14">
        <f t="shared" si="40"/>
        <v>2503421.4845131114</v>
      </c>
      <c r="M30" s="14">
        <f t="shared" si="40"/>
        <v>2409651.8868825017</v>
      </c>
      <c r="N30" s="14">
        <f t="shared" ref="N30:Q30" si="41">SUM(N24:N29)</f>
        <v>2489696.3834155179</v>
      </c>
      <c r="O30" s="14">
        <f t="shared" si="41"/>
        <v>2804441.7447120091</v>
      </c>
      <c r="P30" s="14">
        <f t="shared" si="41"/>
        <v>2838076.5016529164</v>
      </c>
      <c r="Q30" s="14">
        <f t="shared" si="41"/>
        <v>2363810.8485648944</v>
      </c>
      <c r="R30" s="14">
        <f t="shared" ref="R30:AC30" si="42">SUM(R24:R29)</f>
        <v>2503725.1478137267</v>
      </c>
      <c r="S30" s="14">
        <f t="shared" si="42"/>
        <v>2903945.3180476949</v>
      </c>
      <c r="T30" s="14">
        <f t="shared" si="42"/>
        <v>3320912.3516583815</v>
      </c>
      <c r="U30" s="14">
        <f t="shared" si="42"/>
        <v>3491623.0338428603</v>
      </c>
      <c r="V30" s="14">
        <f t="shared" si="42"/>
        <v>2841430.6123157851</v>
      </c>
      <c r="W30" s="14">
        <f t="shared" si="42"/>
        <v>2798988.9263402028</v>
      </c>
      <c r="X30" s="14">
        <f t="shared" si="42"/>
        <v>2515386.666209673</v>
      </c>
      <c r="Y30" s="14">
        <f t="shared" si="42"/>
        <v>2418429.5791155836</v>
      </c>
      <c r="Z30" s="14">
        <f t="shared" si="42"/>
        <v>2497613.0876360126</v>
      </c>
      <c r="AA30" s="14">
        <f t="shared" si="42"/>
        <v>2812475.4255993203</v>
      </c>
      <c r="AB30" s="14">
        <f t="shared" si="42"/>
        <v>2857034.0315756043</v>
      </c>
      <c r="AC30" s="14">
        <f t="shared" si="42"/>
        <v>2383336.091626334</v>
      </c>
      <c r="AD30" s="14">
        <f t="shared" ref="AD30" si="43">SUM(AD24:AD29)</f>
        <v>2524805.197009257</v>
      </c>
      <c r="AE30" s="15">
        <f>SUM(F30:Q30)-'WA Electric - Sched 92'!D39</f>
        <v>-1181277.7181521021</v>
      </c>
    </row>
    <row r="32" spans="1:31">
      <c r="A32" s="42" t="s">
        <v>224</v>
      </c>
      <c r="C32" s="71">
        <f>'Rev Conv Factor'!E22</f>
        <v>0.95606855188236617</v>
      </c>
      <c r="D32" s="64">
        <f t="shared" ref="D32:Q32" si="44">D4</f>
        <v>45535</v>
      </c>
      <c r="E32" s="64">
        <f t="shared" si="44"/>
        <v>45565</v>
      </c>
      <c r="F32" s="64">
        <f t="shared" si="44"/>
        <v>45595</v>
      </c>
      <c r="G32" s="64">
        <f t="shared" si="44"/>
        <v>45626</v>
      </c>
      <c r="H32" s="64">
        <f t="shared" si="44"/>
        <v>45656</v>
      </c>
      <c r="I32" s="64">
        <f t="shared" si="44"/>
        <v>45687</v>
      </c>
      <c r="J32" s="64">
        <f t="shared" si="44"/>
        <v>45716</v>
      </c>
      <c r="K32" s="64">
        <f t="shared" si="44"/>
        <v>45744</v>
      </c>
      <c r="L32" s="64">
        <f t="shared" si="44"/>
        <v>45775</v>
      </c>
      <c r="M32" s="64">
        <f t="shared" si="44"/>
        <v>45805</v>
      </c>
      <c r="N32" s="64">
        <f t="shared" si="44"/>
        <v>45836</v>
      </c>
      <c r="O32" s="64">
        <f t="shared" si="44"/>
        <v>45866</v>
      </c>
      <c r="P32" s="64">
        <f t="shared" si="44"/>
        <v>45897</v>
      </c>
      <c r="Q32" s="64">
        <f t="shared" si="44"/>
        <v>45928</v>
      </c>
      <c r="R32" s="64">
        <f t="shared" ref="R32:AC32" si="45">R4</f>
        <v>45958</v>
      </c>
      <c r="S32" s="64">
        <f t="shared" si="45"/>
        <v>45989</v>
      </c>
      <c r="T32" s="64">
        <f t="shared" si="45"/>
        <v>46019</v>
      </c>
      <c r="U32" s="64">
        <f t="shared" si="45"/>
        <v>46050</v>
      </c>
      <c r="V32" s="64">
        <f t="shared" si="45"/>
        <v>46081</v>
      </c>
      <c r="W32" s="64">
        <f t="shared" si="45"/>
        <v>46109</v>
      </c>
      <c r="X32" s="64">
        <f t="shared" si="45"/>
        <v>46140</v>
      </c>
      <c r="Y32" s="64">
        <f t="shared" si="45"/>
        <v>46170</v>
      </c>
      <c r="Z32" s="64">
        <f t="shared" si="45"/>
        <v>46201</v>
      </c>
      <c r="AA32" s="64">
        <f t="shared" si="45"/>
        <v>46231</v>
      </c>
      <c r="AB32" s="64">
        <f t="shared" si="45"/>
        <v>46262</v>
      </c>
      <c r="AC32" s="64">
        <f t="shared" si="45"/>
        <v>46293</v>
      </c>
      <c r="AD32" s="64">
        <f t="shared" ref="AD32" si="46">AD4</f>
        <v>46323</v>
      </c>
    </row>
    <row r="33" spans="2:31">
      <c r="B33" s="42" t="s">
        <v>40</v>
      </c>
      <c r="D33" s="14">
        <f>D24*$C$32</f>
        <v>656647.53884911246</v>
      </c>
      <c r="E33" s="14">
        <f t="shared" ref="E33:M33" si="47">E24*$C$32</f>
        <v>512424.75344660133</v>
      </c>
      <c r="F33" s="14">
        <f t="shared" si="47"/>
        <v>569107.96340556059</v>
      </c>
      <c r="G33" s="14">
        <f t="shared" si="47"/>
        <v>1388602.9900892682</v>
      </c>
      <c r="H33" s="14">
        <f t="shared" si="47"/>
        <v>1764437.0172304667</v>
      </c>
      <c r="I33" s="14">
        <f t="shared" si="47"/>
        <v>1842765.7060285097</v>
      </c>
      <c r="J33" s="14">
        <f t="shared" si="47"/>
        <v>1453062.0046349044</v>
      </c>
      <c r="K33" s="14">
        <f t="shared" si="47"/>
        <v>1369692.9229924786</v>
      </c>
      <c r="L33" s="14">
        <f t="shared" si="47"/>
        <v>1182819.3606164774</v>
      </c>
      <c r="M33" s="14">
        <f t="shared" si="47"/>
        <v>1051224.6219239051</v>
      </c>
      <c r="N33" s="14">
        <f t="shared" ref="N33:P33" si="48">N24*$C$32</f>
        <v>1021702.5851266145</v>
      </c>
      <c r="O33" s="14">
        <f t="shared" si="48"/>
        <v>1169525.3206731826</v>
      </c>
      <c r="P33" s="14">
        <f t="shared" si="48"/>
        <v>1215703.1391984688</v>
      </c>
      <c r="Q33" s="14">
        <f>Q24*$C$32</f>
        <v>967570.95606502355</v>
      </c>
      <c r="R33" s="14">
        <f t="shared" ref="R33:AC33" si="49">R24*$C$32</f>
        <v>1058873.1229021663</v>
      </c>
      <c r="S33" s="14">
        <f t="shared" si="49"/>
        <v>1374048.6495917875</v>
      </c>
      <c r="T33" s="14">
        <f t="shared" si="49"/>
        <v>1773311.896667493</v>
      </c>
      <c r="U33" s="14">
        <f t="shared" si="49"/>
        <v>1873186.2395336078</v>
      </c>
      <c r="V33" s="14">
        <f t="shared" si="49"/>
        <v>1473319.0773390017</v>
      </c>
      <c r="W33" s="14">
        <f t="shared" si="49"/>
        <v>1395431.2829801035</v>
      </c>
      <c r="X33" s="14">
        <f t="shared" si="49"/>
        <v>1204579.4342833899</v>
      </c>
      <c r="Y33" s="14">
        <f t="shared" si="49"/>
        <v>1070032.3771029417</v>
      </c>
      <c r="Z33" s="14">
        <f t="shared" si="49"/>
        <v>1037717.7805143234</v>
      </c>
      <c r="AA33" s="14">
        <f t="shared" si="49"/>
        <v>1186486.8057562979</v>
      </c>
      <c r="AB33" s="14">
        <f t="shared" si="49"/>
        <v>1243231.7395422929</v>
      </c>
      <c r="AC33" s="14">
        <f t="shared" si="49"/>
        <v>991079.54815772478</v>
      </c>
      <c r="AD33" s="14">
        <f t="shared" ref="AD33" si="50">AD24*$C$32</f>
        <v>1081305.2791086463</v>
      </c>
    </row>
    <row r="34" spans="2:31">
      <c r="B34" s="42" t="s">
        <v>41</v>
      </c>
      <c r="D34" s="14">
        <f t="shared" ref="D34:M34" si="51">D25*$C$32</f>
        <v>210597.72442383811</v>
      </c>
      <c r="E34" s="14">
        <f t="shared" si="51"/>
        <v>183775.01687236223</v>
      </c>
      <c r="F34" s="14">
        <f t="shared" si="51"/>
        <v>193012.89116625392</v>
      </c>
      <c r="G34" s="14">
        <f t="shared" si="51"/>
        <v>414384.56204029883</v>
      </c>
      <c r="H34" s="14">
        <f t="shared" si="51"/>
        <v>463461.91192185192</v>
      </c>
      <c r="I34" s="14">
        <f t="shared" si="51"/>
        <v>477484.58720657293</v>
      </c>
      <c r="J34" s="14">
        <f t="shared" si="51"/>
        <v>394679.63076499285</v>
      </c>
      <c r="K34" s="14">
        <f t="shared" si="51"/>
        <v>391028.61471793964</v>
      </c>
      <c r="L34" s="14">
        <f t="shared" si="51"/>
        <v>354029.41180825647</v>
      </c>
      <c r="M34" s="14">
        <f t="shared" si="51"/>
        <v>340835.73859381228</v>
      </c>
      <c r="N34" s="14">
        <f t="shared" ref="N34:Q34" si="52">N25*$C$32</f>
        <v>349281.86746551382</v>
      </c>
      <c r="O34" s="14">
        <f t="shared" si="52"/>
        <v>404469.82248383504</v>
      </c>
      <c r="P34" s="14">
        <f t="shared" si="52"/>
        <v>398457.58637106803</v>
      </c>
      <c r="Q34" s="14">
        <f t="shared" si="52"/>
        <v>346497.96319138852</v>
      </c>
      <c r="R34" s="14">
        <f t="shared" ref="R34:AC34" si="53">R25*$C$32</f>
        <v>366058.1670397321</v>
      </c>
      <c r="S34" s="14">
        <f t="shared" si="53"/>
        <v>420113.94528453459</v>
      </c>
      <c r="T34" s="14">
        <f t="shared" si="53"/>
        <v>469504.58735220815</v>
      </c>
      <c r="U34" s="14">
        <f t="shared" si="53"/>
        <v>483561.63461196894</v>
      </c>
      <c r="V34" s="14">
        <f t="shared" si="53"/>
        <v>397203.79476139537</v>
      </c>
      <c r="W34" s="14">
        <f t="shared" si="53"/>
        <v>395686.75400657288</v>
      </c>
      <c r="X34" s="14">
        <f t="shared" si="53"/>
        <v>356989.96941539703</v>
      </c>
      <c r="Y34" s="14">
        <f t="shared" si="53"/>
        <v>343363.27395191073</v>
      </c>
      <c r="Z34" s="14">
        <f t="shared" si="53"/>
        <v>352999.06607641937</v>
      </c>
      <c r="AA34" s="14">
        <f t="shared" si="53"/>
        <v>409047.72816992231</v>
      </c>
      <c r="AB34" s="14">
        <f t="shared" si="53"/>
        <v>404086.48559897015</v>
      </c>
      <c r="AC34" s="14">
        <f t="shared" si="53"/>
        <v>349156.56548476696</v>
      </c>
      <c r="AD34" s="14">
        <f t="shared" ref="AD34" si="54">AD25*$C$32</f>
        <v>370641.05625823332</v>
      </c>
    </row>
    <row r="35" spans="2:31">
      <c r="B35" s="42" t="s">
        <v>42</v>
      </c>
      <c r="D35" s="14">
        <f t="shared" ref="D35:M35" si="55">D26*$C$32</f>
        <v>341109.55191898718</v>
      </c>
      <c r="E35" s="14">
        <f t="shared" si="55"/>
        <v>299197.23563769023</v>
      </c>
      <c r="F35" s="14">
        <f t="shared" si="55"/>
        <v>338139.08952953358</v>
      </c>
      <c r="G35" s="14">
        <f t="shared" si="55"/>
        <v>694510.72757801635</v>
      </c>
      <c r="H35" s="14">
        <f t="shared" si="55"/>
        <v>674283.41594004049</v>
      </c>
      <c r="I35" s="14">
        <f t="shared" si="55"/>
        <v>685559.11360670382</v>
      </c>
      <c r="J35" s="14">
        <f t="shared" si="55"/>
        <v>574570.93996476184</v>
      </c>
      <c r="K35" s="14">
        <f t="shared" si="55"/>
        <v>591373.38165850379</v>
      </c>
      <c r="L35" s="14">
        <f t="shared" si="55"/>
        <v>556046.56150833529</v>
      </c>
      <c r="M35" s="14">
        <f t="shared" si="55"/>
        <v>586682.31056692766</v>
      </c>
      <c r="N35" s="14">
        <f t="shared" ref="N35:Q35" si="56">N26*$C$32</f>
        <v>628812.88619879051</v>
      </c>
      <c r="O35" s="14">
        <f t="shared" si="56"/>
        <v>697976.60509705532</v>
      </c>
      <c r="P35" s="14">
        <f t="shared" si="56"/>
        <v>652243.40912426391</v>
      </c>
      <c r="Q35" s="14">
        <f t="shared" si="56"/>
        <v>570488.89733959048</v>
      </c>
      <c r="R35" s="14">
        <f t="shared" ref="R35:AC35" si="57">R26*$C$32</f>
        <v>645460.41473514109</v>
      </c>
      <c r="S35" s="14">
        <f t="shared" si="57"/>
        <v>686276.61423503363</v>
      </c>
      <c r="T35" s="14">
        <f t="shared" si="57"/>
        <v>666641.15567637188</v>
      </c>
      <c r="U35" s="14">
        <f t="shared" si="57"/>
        <v>678719.86863421777</v>
      </c>
      <c r="V35" s="14">
        <f t="shared" si="57"/>
        <v>564926.55183018814</v>
      </c>
      <c r="W35" s="14">
        <f t="shared" si="57"/>
        <v>581841.81260075886</v>
      </c>
      <c r="X35" s="14">
        <f t="shared" si="57"/>
        <v>547120.90788066178</v>
      </c>
      <c r="Y35" s="14">
        <f t="shared" si="57"/>
        <v>574088.0781786989</v>
      </c>
      <c r="Z35" s="14">
        <f t="shared" si="57"/>
        <v>617387.87632448704</v>
      </c>
      <c r="AA35" s="14">
        <f t="shared" si="57"/>
        <v>687865.0361660535</v>
      </c>
      <c r="AB35" s="14">
        <f t="shared" si="57"/>
        <v>645752.47740254074</v>
      </c>
      <c r="AC35" s="14">
        <f t="shared" si="57"/>
        <v>560622.88085242093</v>
      </c>
      <c r="AD35" s="14">
        <f t="shared" ref="AD35" si="58">AD26*$C$32</f>
        <v>636138.91312744643</v>
      </c>
    </row>
    <row r="36" spans="2:31">
      <c r="B36" s="42" t="s">
        <v>234</v>
      </c>
      <c r="D36" s="14">
        <f t="shared" ref="D36:M36" si="59">D27*$C$32</f>
        <v>137207.45060571056</v>
      </c>
      <c r="E36" s="14">
        <f t="shared" si="59"/>
        <v>121224.76502506805</v>
      </c>
      <c r="F36" s="14">
        <f t="shared" si="59"/>
        <v>116189.12547538047</v>
      </c>
      <c r="G36" s="14">
        <f t="shared" si="59"/>
        <v>235879.66091428633</v>
      </c>
      <c r="H36" s="14">
        <f t="shared" si="59"/>
        <v>209531.35612053348</v>
      </c>
      <c r="I36" s="14">
        <f t="shared" si="59"/>
        <v>255295.30361575593</v>
      </c>
      <c r="J36" s="14">
        <f t="shared" si="59"/>
        <v>219466.11485945343</v>
      </c>
      <c r="K36" s="14">
        <f t="shared" si="59"/>
        <v>243229.25540038271</v>
      </c>
      <c r="L36" s="14">
        <f t="shared" si="59"/>
        <v>233773.62278914166</v>
      </c>
      <c r="M36" s="14">
        <f t="shared" si="59"/>
        <v>219350.49709677993</v>
      </c>
      <c r="N36" s="14">
        <f t="shared" ref="N36:Q36" si="60">N27*$C$32</f>
        <v>228292.54485679197</v>
      </c>
      <c r="O36" s="14">
        <f t="shared" si="60"/>
        <v>219617.79067155285</v>
      </c>
      <c r="P36" s="14">
        <f t="shared" si="60"/>
        <v>242409.4172324324</v>
      </c>
      <c r="Q36" s="14">
        <f t="shared" si="60"/>
        <v>214591.10944391551</v>
      </c>
      <c r="R36" s="14">
        <f t="shared" ref="R36:AC36" si="61">R27*$C$32</f>
        <v>211816.99731442615</v>
      </c>
      <c r="S36" s="14">
        <f t="shared" si="61"/>
        <v>236531.5232353161</v>
      </c>
      <c r="T36" s="14">
        <f t="shared" si="61"/>
        <v>208968.06209410395</v>
      </c>
      <c r="U36" s="14">
        <f t="shared" si="61"/>
        <v>242055.71179426575</v>
      </c>
      <c r="V36" s="14">
        <f t="shared" si="61"/>
        <v>223898.24771534922</v>
      </c>
      <c r="W36" s="14">
        <f t="shared" si="61"/>
        <v>239916.69565136905</v>
      </c>
      <c r="X36" s="14">
        <f t="shared" si="61"/>
        <v>229365.81522987856</v>
      </c>
      <c r="Y36" s="14">
        <f t="shared" si="61"/>
        <v>219448.37502230934</v>
      </c>
      <c r="Z36" s="14">
        <f t="shared" si="61"/>
        <v>227708.00965575108</v>
      </c>
      <c r="AA36" s="14">
        <f t="shared" si="61"/>
        <v>219279.35122835715</v>
      </c>
      <c r="AB36" s="14">
        <f t="shared" si="61"/>
        <v>236137.9737220697</v>
      </c>
      <c r="AC36" s="14">
        <f t="shared" si="61"/>
        <v>215737.42524280783</v>
      </c>
      <c r="AD36" s="14">
        <f t="shared" ref="AD36" si="62">AD27*$C$32</f>
        <v>209915.99603883701</v>
      </c>
    </row>
    <row r="37" spans="2:31">
      <c r="B37" s="42" t="s">
        <v>43</v>
      </c>
      <c r="D37" s="14">
        <f t="shared" ref="D37:M37" si="63">D28*$C$32</f>
        <v>89748.491174459108</v>
      </c>
      <c r="E37" s="14">
        <f t="shared" si="63"/>
        <v>71287.793047821615</v>
      </c>
      <c r="F37" s="14">
        <f t="shared" si="63"/>
        <v>42853.007082402408</v>
      </c>
      <c r="G37" s="14">
        <f t="shared" si="63"/>
        <v>25303.831803340749</v>
      </c>
      <c r="H37" s="14">
        <f t="shared" si="63"/>
        <v>24574.397285094165</v>
      </c>
      <c r="I37" s="14">
        <f t="shared" si="63"/>
        <v>29989.621042634826</v>
      </c>
      <c r="J37" s="14">
        <f t="shared" si="63"/>
        <v>22287.367408290731</v>
      </c>
      <c r="K37" s="14">
        <f t="shared" si="63"/>
        <v>28094.4197682384</v>
      </c>
      <c r="L37" s="14">
        <f t="shared" si="63"/>
        <v>34297.472637535524</v>
      </c>
      <c r="M37" s="14">
        <f t="shared" si="63"/>
        <v>72203.042440998557</v>
      </c>
      <c r="N37" s="14">
        <f t="shared" ref="N37:Q37" si="64">N28*$C$32</f>
        <v>119024.80062230153</v>
      </c>
      <c r="O37" s="14">
        <f t="shared" si="64"/>
        <v>156267.11177055357</v>
      </c>
      <c r="P37" s="14">
        <f t="shared" si="64"/>
        <v>171220.27085066974</v>
      </c>
      <c r="Q37" s="14">
        <f t="shared" si="64"/>
        <v>128675.74812542196</v>
      </c>
      <c r="R37" s="14">
        <f t="shared" ref="R37:AC37" si="65">R28*$C$32</f>
        <v>78726.01076595948</v>
      </c>
      <c r="S37" s="14">
        <f t="shared" si="65"/>
        <v>26331.14403457884</v>
      </c>
      <c r="T37" s="14">
        <f t="shared" si="65"/>
        <v>23570.150503998029</v>
      </c>
      <c r="U37" s="14">
        <f t="shared" si="65"/>
        <v>28521.799966085426</v>
      </c>
      <c r="V37" s="14">
        <f t="shared" si="65"/>
        <v>24799.677539352509</v>
      </c>
      <c r="W37" s="14">
        <f t="shared" si="65"/>
        <v>29465.118191588179</v>
      </c>
      <c r="X37" s="14">
        <f t="shared" si="65"/>
        <v>34772.569090779733</v>
      </c>
      <c r="Y37" s="14">
        <f t="shared" si="65"/>
        <v>72338.059482468627</v>
      </c>
      <c r="Z37" s="14">
        <f t="shared" si="65"/>
        <v>119321.52669976804</v>
      </c>
      <c r="AA37" s="14">
        <f t="shared" si="65"/>
        <v>153370.05237351079</v>
      </c>
      <c r="AB37" s="14">
        <f t="shared" si="65"/>
        <v>169457.89932249661</v>
      </c>
      <c r="AC37" s="14">
        <f t="shared" si="65"/>
        <v>130171.22965034198</v>
      </c>
      <c r="AD37" s="14">
        <f t="shared" ref="AD37" si="66">AD28*$C$32</f>
        <v>83632.664735642087</v>
      </c>
    </row>
    <row r="38" spans="2:31">
      <c r="B38" s="42" t="s">
        <v>44</v>
      </c>
      <c r="D38" s="41">
        <f t="shared" ref="D38:M38" si="67">D29*$C$32</f>
        <v>5067.0878337518452</v>
      </c>
      <c r="E38" s="41">
        <f t="shared" si="67"/>
        <v>5050.7321793179881</v>
      </c>
      <c r="F38" s="41">
        <f t="shared" si="67"/>
        <v>5048.3223580204358</v>
      </c>
      <c r="G38" s="41">
        <f t="shared" si="67"/>
        <v>33431.905900029575</v>
      </c>
      <c r="H38" s="41">
        <f t="shared" si="67"/>
        <v>33421.00603295552</v>
      </c>
      <c r="I38" s="41">
        <f t="shared" si="67"/>
        <v>33223.923577769092</v>
      </c>
      <c r="J38" s="41">
        <f t="shared" si="67"/>
        <v>32482.729887401059</v>
      </c>
      <c r="K38" s="41">
        <f t="shared" si="67"/>
        <v>34108.331049851833</v>
      </c>
      <c r="L38" s="41">
        <f t="shared" si="67"/>
        <v>32476.124089907338</v>
      </c>
      <c r="M38" s="41">
        <f t="shared" si="67"/>
        <v>33496.179409941557</v>
      </c>
      <c r="N38" s="41">
        <f t="shared" ref="N38:Q38" si="68">N29*$C$32</f>
        <v>33205.731648825858</v>
      </c>
      <c r="O38" s="41">
        <f t="shared" si="68"/>
        <v>33381.907009088136</v>
      </c>
      <c r="P38" s="41">
        <f t="shared" si="68"/>
        <v>33361.868289772814</v>
      </c>
      <c r="Q38" s="41">
        <f t="shared" si="68"/>
        <v>32140.540745925729</v>
      </c>
      <c r="R38" s="41">
        <f t="shared" ref="R38:AC38" si="69">R29*$C$32</f>
        <v>32798.163624308079</v>
      </c>
      <c r="S38" s="41">
        <f t="shared" si="69"/>
        <v>33068.918590186375</v>
      </c>
      <c r="T38" s="41">
        <f t="shared" si="69"/>
        <v>33024.010684116649</v>
      </c>
      <c r="U38" s="41">
        <f t="shared" si="69"/>
        <v>32185.723145111624</v>
      </c>
      <c r="V38" s="41">
        <f t="shared" si="69"/>
        <v>32455.10160569051</v>
      </c>
      <c r="W38" s="41">
        <f t="shared" si="69"/>
        <v>33683.62611046456</v>
      </c>
      <c r="X38" s="41">
        <f t="shared" si="69"/>
        <v>32053.391487187349</v>
      </c>
      <c r="Y38" s="41">
        <f t="shared" si="69"/>
        <v>32914.301796186905</v>
      </c>
      <c r="Z38" s="41">
        <f t="shared" si="69"/>
        <v>32755.068587858917</v>
      </c>
      <c r="AA38" s="41">
        <f t="shared" si="69"/>
        <v>32870.333663342295</v>
      </c>
      <c r="AB38" s="41">
        <f t="shared" si="69"/>
        <v>32853.813658756219</v>
      </c>
      <c r="AC38" s="41">
        <f t="shared" si="69"/>
        <v>31865.036382105252</v>
      </c>
      <c r="AD38" s="41">
        <f t="shared" ref="AD38" si="70">AD29*$C$32</f>
        <v>32252.939220907811</v>
      </c>
    </row>
    <row r="39" spans="2:31">
      <c r="B39" s="42" t="s">
        <v>45</v>
      </c>
      <c r="D39" s="15">
        <f t="shared" ref="D39:M39" si="71">SUM(D33:D38)</f>
        <v>1440377.844805859</v>
      </c>
      <c r="E39" s="15">
        <f t="shared" si="71"/>
        <v>1192960.2962088615</v>
      </c>
      <c r="F39" s="15">
        <f t="shared" si="71"/>
        <v>1264350.3990171514</v>
      </c>
      <c r="G39" s="15">
        <f t="shared" si="71"/>
        <v>2792113.6783252405</v>
      </c>
      <c r="H39" s="15">
        <f t="shared" si="71"/>
        <v>3169709.1045309417</v>
      </c>
      <c r="I39" s="15">
        <f t="shared" si="71"/>
        <v>3324318.2550779465</v>
      </c>
      <c r="J39" s="15">
        <f t="shared" si="71"/>
        <v>2696548.7875198042</v>
      </c>
      <c r="K39" s="15">
        <f t="shared" si="71"/>
        <v>2657526.9255873947</v>
      </c>
      <c r="L39" s="15">
        <f t="shared" si="71"/>
        <v>2393442.553449654</v>
      </c>
      <c r="M39" s="15">
        <f t="shared" si="71"/>
        <v>2303792.390032365</v>
      </c>
      <c r="N39" s="15">
        <f t="shared" ref="N39:Q39" si="72">SUM(N33:N38)</f>
        <v>2380320.4159188387</v>
      </c>
      <c r="O39" s="15">
        <f t="shared" si="72"/>
        <v>2681238.5577052673</v>
      </c>
      <c r="P39" s="15">
        <f t="shared" si="72"/>
        <v>2713395.6910666758</v>
      </c>
      <c r="Q39" s="15">
        <f t="shared" si="72"/>
        <v>2259965.2149112653</v>
      </c>
      <c r="R39" s="15">
        <f t="shared" ref="R39:AC39" si="73">SUM(R33:R38)</f>
        <v>2393732.8763817335</v>
      </c>
      <c r="S39" s="15">
        <f t="shared" si="73"/>
        <v>2776370.7949714367</v>
      </c>
      <c r="T39" s="15">
        <f t="shared" si="73"/>
        <v>3175019.8629782922</v>
      </c>
      <c r="U39" s="15">
        <f t="shared" si="73"/>
        <v>3338230.9776852569</v>
      </c>
      <c r="V39" s="15">
        <f t="shared" si="73"/>
        <v>2716602.4507909776</v>
      </c>
      <c r="W39" s="15">
        <f t="shared" si="73"/>
        <v>2676025.2895408571</v>
      </c>
      <c r="X39" s="15">
        <f t="shared" si="73"/>
        <v>2404882.087387295</v>
      </c>
      <c r="Y39" s="15">
        <f t="shared" si="73"/>
        <v>2312184.4655345161</v>
      </c>
      <c r="Z39" s="15">
        <f t="shared" si="73"/>
        <v>2387889.3278586078</v>
      </c>
      <c r="AA39" s="15">
        <f t="shared" si="73"/>
        <v>2688919.3073574845</v>
      </c>
      <c r="AB39" s="15">
        <f t="shared" si="73"/>
        <v>2731520.3892471264</v>
      </c>
      <c r="AC39" s="15">
        <f t="shared" si="73"/>
        <v>2278632.6857701675</v>
      </c>
      <c r="AD39" s="15">
        <f t="shared" ref="AD39" si="74">SUM(AD33:AD38)</f>
        <v>2413886.8484897129</v>
      </c>
      <c r="AE39" s="15">
        <f>SUM(F39:Q39)-'WA Electric - Sched 92'!D42</f>
        <v>-1129382.4773645774</v>
      </c>
    </row>
  </sheetData>
  <pageMargins left="0.7" right="0.7" top="0.75" bottom="0.75" header="0.3" footer="0.3"/>
  <pageSetup scale="89" fitToWidth="0" orientation="landscape" r:id="rId1"/>
  <headerFooter>
    <oddHeader>&amp;CAvista Utilities
Schedule 92 LIRAP</oddHeader>
    <oddFooter>&amp;L&amp;A&amp;RPage &amp;P of &amp;N</oddFooter>
  </headerFooter>
  <customProperties>
    <customPr name="xxe4aP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4:AE49"/>
  <sheetViews>
    <sheetView view="pageBreakPreview" zoomScaleNormal="100" zoomScaleSheetLayoutView="100" workbookViewId="0"/>
  </sheetViews>
  <sheetFormatPr defaultRowHeight="14.5"/>
  <cols>
    <col min="1" max="1" width="11" bestFit="1" customWidth="1"/>
    <col min="2" max="2" width="8.7265625" customWidth="1"/>
    <col min="3" max="11" width="15.26953125" bestFit="1" customWidth="1"/>
    <col min="12" max="28" width="15.26953125" style="42" bestFit="1" customWidth="1"/>
    <col min="29" max="29" width="15" bestFit="1" customWidth="1"/>
    <col min="30" max="30" width="18" customWidth="1"/>
    <col min="31" max="31" width="17.54296875" bestFit="1" customWidth="1"/>
  </cols>
  <sheetData>
    <row r="4" spans="1:30">
      <c r="A4" s="42" t="s">
        <v>58</v>
      </c>
    </row>
    <row r="7" spans="1:30">
      <c r="B7" s="68"/>
      <c r="C7" s="197">
        <v>45535</v>
      </c>
      <c r="D7" s="197">
        <f>EDATE(C7, 1)</f>
        <v>45565</v>
      </c>
      <c r="E7" s="197">
        <f>EDATE(D7, 1)</f>
        <v>45595</v>
      </c>
      <c r="F7" s="197">
        <f t="shared" ref="F7:AC7" si="0">EDATE(E7, 1)</f>
        <v>45626</v>
      </c>
      <c r="G7" s="197">
        <f t="shared" si="0"/>
        <v>45656</v>
      </c>
      <c r="H7" s="197">
        <f t="shared" si="0"/>
        <v>45687</v>
      </c>
      <c r="I7" s="197">
        <f t="shared" si="0"/>
        <v>45716</v>
      </c>
      <c r="J7" s="197">
        <f t="shared" si="0"/>
        <v>45744</v>
      </c>
      <c r="K7" s="197">
        <f t="shared" si="0"/>
        <v>45775</v>
      </c>
      <c r="L7" s="197">
        <f t="shared" si="0"/>
        <v>45805</v>
      </c>
      <c r="M7" s="197">
        <f t="shared" si="0"/>
        <v>45836</v>
      </c>
      <c r="N7" s="197">
        <f t="shared" si="0"/>
        <v>45866</v>
      </c>
      <c r="O7" s="197">
        <f t="shared" si="0"/>
        <v>45897</v>
      </c>
      <c r="P7" s="197">
        <f t="shared" si="0"/>
        <v>45928</v>
      </c>
      <c r="Q7" s="197">
        <f t="shared" si="0"/>
        <v>45958</v>
      </c>
      <c r="R7" s="197">
        <f t="shared" si="0"/>
        <v>45989</v>
      </c>
      <c r="S7" s="197">
        <f t="shared" si="0"/>
        <v>46019</v>
      </c>
      <c r="T7" s="197">
        <f t="shared" si="0"/>
        <v>46050</v>
      </c>
      <c r="U7" s="197">
        <f t="shared" si="0"/>
        <v>46081</v>
      </c>
      <c r="V7" s="197">
        <f t="shared" si="0"/>
        <v>46109</v>
      </c>
      <c r="W7" s="197">
        <f t="shared" si="0"/>
        <v>46140</v>
      </c>
      <c r="X7" s="197">
        <f t="shared" si="0"/>
        <v>46170</v>
      </c>
      <c r="Y7" s="197">
        <f t="shared" si="0"/>
        <v>46201</v>
      </c>
      <c r="Z7" s="197">
        <f t="shared" si="0"/>
        <v>46231</v>
      </c>
      <c r="AA7" s="197">
        <f t="shared" si="0"/>
        <v>46262</v>
      </c>
      <c r="AB7" s="197">
        <f t="shared" si="0"/>
        <v>46293</v>
      </c>
      <c r="AC7" s="197">
        <f t="shared" si="0"/>
        <v>46323</v>
      </c>
    </row>
    <row r="8" spans="1:30">
      <c r="A8" s="66" t="s">
        <v>147</v>
      </c>
      <c r="B8" s="72"/>
      <c r="C8" s="214">
        <f t="shared" ref="C8:AB8" si="1">C32+C33</f>
        <v>205634898.40616786</v>
      </c>
      <c r="D8" s="214">
        <f t="shared" si="1"/>
        <v>160470276.49030823</v>
      </c>
      <c r="E8" s="214">
        <f t="shared" si="1"/>
        <v>178221117.59096214</v>
      </c>
      <c r="F8" s="214">
        <f t="shared" si="1"/>
        <v>239415875.34043533</v>
      </c>
      <c r="G8" s="214">
        <f t="shared" si="1"/>
        <v>304215269.57546175</v>
      </c>
      <c r="H8" s="214">
        <f t="shared" si="1"/>
        <v>317720304.29503012</v>
      </c>
      <c r="I8" s="214">
        <f t="shared" si="1"/>
        <v>250529571.26444688</v>
      </c>
      <c r="J8" s="214">
        <f t="shared" si="1"/>
        <v>236155497.60897648</v>
      </c>
      <c r="K8" s="214">
        <f t="shared" si="1"/>
        <v>203935707.04712585</v>
      </c>
      <c r="L8" s="214">
        <f t="shared" si="1"/>
        <v>181246810.52368349</v>
      </c>
      <c r="M8" s="214">
        <f t="shared" si="1"/>
        <v>176156770.87080798</v>
      </c>
      <c r="N8" s="214">
        <f t="shared" si="1"/>
        <v>201643616.1957083</v>
      </c>
      <c r="O8" s="214">
        <f t="shared" si="1"/>
        <v>209605361.14545268</v>
      </c>
      <c r="P8" s="214">
        <f t="shared" si="1"/>
        <v>166823670.30291176</v>
      </c>
      <c r="Q8" s="214">
        <f t="shared" si="1"/>
        <v>182565526.21839392</v>
      </c>
      <c r="R8" s="214">
        <f t="shared" si="1"/>
        <v>236906489.8680743</v>
      </c>
      <c r="S8" s="214">
        <f t="shared" si="1"/>
        <v>305745431.21570128</v>
      </c>
      <c r="T8" s="214">
        <f t="shared" si="1"/>
        <v>322965258.18712705</v>
      </c>
      <c r="U8" s="214">
        <f t="shared" si="1"/>
        <v>254022192.86176497</v>
      </c>
      <c r="V8" s="214">
        <f t="shared" si="1"/>
        <v>240593174.92225111</v>
      </c>
      <c r="W8" s="214">
        <f t="shared" si="1"/>
        <v>207687468.43725601</v>
      </c>
      <c r="X8" s="214">
        <f t="shared" si="1"/>
        <v>184489548.15388849</v>
      </c>
      <c r="Y8" s="214">
        <f t="shared" si="1"/>
        <v>178918029.52419019</v>
      </c>
      <c r="Z8" s="214">
        <f t="shared" si="1"/>
        <v>204568029.31251049</v>
      </c>
      <c r="AA8" s="214">
        <f t="shared" si="1"/>
        <v>214351702.60896197</v>
      </c>
      <c r="AB8" s="214">
        <f t="shared" si="1"/>
        <v>170876902.35992575</v>
      </c>
      <c r="AC8" s="214">
        <f>AC32+AC33</f>
        <v>186433164.666733</v>
      </c>
      <c r="AD8" s="62"/>
    </row>
    <row r="9" spans="1:30">
      <c r="A9" s="66" t="s">
        <v>148</v>
      </c>
      <c r="B9" s="72"/>
      <c r="C9" s="214">
        <f t="shared" ref="C9:AB9" si="2">C34+C36</f>
        <v>53148885.235521801</v>
      </c>
      <c r="D9" s="214">
        <f t="shared" si="2"/>
        <v>46268582.585417204</v>
      </c>
      <c r="E9" s="214">
        <f t="shared" si="2"/>
        <v>48141640.671823099</v>
      </c>
      <c r="F9" s="214">
        <f t="shared" si="2"/>
        <v>53729629.063718222</v>
      </c>
      <c r="G9" s="214">
        <f t="shared" si="2"/>
        <v>58844934.640028834</v>
      </c>
      <c r="H9" s="214">
        <f t="shared" si="2"/>
        <v>60582511.798686378</v>
      </c>
      <c r="I9" s="214">
        <f t="shared" si="2"/>
        <v>50544527.533503793</v>
      </c>
      <c r="J9" s="214">
        <f t="shared" si="2"/>
        <v>50092419.562742271</v>
      </c>
      <c r="K9" s="214">
        <f t="shared" si="2"/>
        <v>46045612.348658122</v>
      </c>
      <c r="L9" s="214">
        <f t="shared" si="2"/>
        <v>44852533.235769667</v>
      </c>
      <c r="M9" s="214">
        <f t="shared" si="2"/>
        <v>46546194.563847728</v>
      </c>
      <c r="N9" s="214">
        <f t="shared" si="2"/>
        <v>54013718.077356964</v>
      </c>
      <c r="O9" s="214">
        <f t="shared" si="2"/>
        <v>53362299.184973247</v>
      </c>
      <c r="P9" s="214">
        <f t="shared" si="2"/>
        <v>46278255.042974927</v>
      </c>
      <c r="Q9" s="214">
        <f t="shared" si="2"/>
        <v>48468656.905711122</v>
      </c>
      <c r="R9" s="214">
        <f t="shared" si="2"/>
        <v>54387816.886103593</v>
      </c>
      <c r="S9" s="214">
        <f t="shared" si="2"/>
        <v>59643979.614609137</v>
      </c>
      <c r="T9" s="214">
        <f t="shared" si="2"/>
        <v>61320229.190891512</v>
      </c>
      <c r="U9" s="214">
        <f t="shared" si="2"/>
        <v>50785343.097890221</v>
      </c>
      <c r="V9" s="214">
        <f t="shared" si="2"/>
        <v>50594884.680550084</v>
      </c>
      <c r="W9" s="214">
        <f t="shared" si="2"/>
        <v>46325093.762817413</v>
      </c>
      <c r="X9" s="214">
        <f t="shared" si="2"/>
        <v>45155922.986436456</v>
      </c>
      <c r="Y9" s="214">
        <f t="shared" si="2"/>
        <v>46910765.115678459</v>
      </c>
      <c r="Z9" s="214">
        <f t="shared" si="2"/>
        <v>54493456.258462481</v>
      </c>
      <c r="AA9" s="214">
        <f t="shared" si="2"/>
        <v>53991468.917727485</v>
      </c>
      <c r="AB9" s="214">
        <f t="shared" si="2"/>
        <v>46565568.284781747</v>
      </c>
      <c r="AC9" s="214">
        <f t="shared" ref="AC9" si="3">AC34+AC36</f>
        <v>48964634.715154834</v>
      </c>
    </row>
    <row r="10" spans="1:30">
      <c r="A10" s="66" t="s">
        <v>49</v>
      </c>
      <c r="B10" s="72"/>
      <c r="C10" s="214">
        <f t="shared" ref="C10:AB10" si="4">C35</f>
        <v>4665999.6681473255</v>
      </c>
      <c r="D10" s="214">
        <f t="shared" si="4"/>
        <v>4182729.1640976425</v>
      </c>
      <c r="E10" s="214">
        <f t="shared" si="4"/>
        <v>4845722.4073872063</v>
      </c>
      <c r="F10" s="214">
        <f t="shared" si="4"/>
        <v>6678503.9665747872</v>
      </c>
      <c r="G10" s="214">
        <f t="shared" si="4"/>
        <v>8717593.9734924361</v>
      </c>
      <c r="H10" s="214">
        <f t="shared" si="4"/>
        <v>9024213.7073765956</v>
      </c>
      <c r="I10" s="214">
        <f t="shared" si="4"/>
        <v>6991060.9599690828</v>
      </c>
      <c r="J10" s="214">
        <f t="shared" si="4"/>
        <v>6910931.2865958875</v>
      </c>
      <c r="K10" s="214">
        <f t="shared" si="4"/>
        <v>5564070.4538342478</v>
      </c>
      <c r="L10" s="214">
        <f t="shared" si="4"/>
        <v>4833802.8986611478</v>
      </c>
      <c r="M10" s="214">
        <f t="shared" si="4"/>
        <v>4371400.9446307262</v>
      </c>
      <c r="N10" s="214">
        <f t="shared" si="4"/>
        <v>4949064.5201433124</v>
      </c>
      <c r="O10" s="214">
        <f t="shared" si="4"/>
        <v>4724031.9416485298</v>
      </c>
      <c r="P10" s="214">
        <f t="shared" si="4"/>
        <v>4233508.6002744138</v>
      </c>
      <c r="Q10" s="214">
        <f t="shared" si="4"/>
        <v>4894553.2063752459</v>
      </c>
      <c r="R10" s="214">
        <f t="shared" si="4"/>
        <v>6855533.9030152652</v>
      </c>
      <c r="S10" s="214">
        <f t="shared" si="4"/>
        <v>8799437.8511863817</v>
      </c>
      <c r="T10" s="214">
        <f t="shared" si="4"/>
        <v>9172395.843592735</v>
      </c>
      <c r="U10" s="214">
        <f t="shared" si="4"/>
        <v>7118212.8549257312</v>
      </c>
      <c r="V10" s="214">
        <f t="shared" si="4"/>
        <v>7087520.1770646293</v>
      </c>
      <c r="W10" s="214">
        <f t="shared" si="4"/>
        <v>5716173.0661054617</v>
      </c>
      <c r="X10" s="214">
        <f t="shared" si="4"/>
        <v>4898872.0775428284</v>
      </c>
      <c r="Y10" s="214">
        <f t="shared" si="4"/>
        <v>4548715.9955888567</v>
      </c>
      <c r="Z10" s="214">
        <f t="shared" si="4"/>
        <v>5136684.0570079992</v>
      </c>
      <c r="AA10" s="214">
        <f t="shared" si="4"/>
        <v>4915431.6135531459</v>
      </c>
      <c r="AB10" s="214">
        <f t="shared" si="4"/>
        <v>4333760.9574906407</v>
      </c>
      <c r="AC10" s="214">
        <f t="shared" ref="AC10" si="5">AC35</f>
        <v>5066659.6040536007</v>
      </c>
    </row>
    <row r="11" spans="1:30">
      <c r="A11" s="66" t="s">
        <v>149</v>
      </c>
      <c r="B11" s="72"/>
      <c r="C11" s="214">
        <f t="shared" ref="C11:AB11" si="6">C37+C39</f>
        <v>109506305.64198849</v>
      </c>
      <c r="D11" s="214">
        <f t="shared" si="6"/>
        <v>96056979.534606442</v>
      </c>
      <c r="E11" s="214">
        <f t="shared" si="6"/>
        <v>108644370.51355566</v>
      </c>
      <c r="F11" s="214">
        <f t="shared" si="6"/>
        <v>114145972.76254213</v>
      </c>
      <c r="G11" s="214">
        <f t="shared" si="6"/>
        <v>110002212.7961316</v>
      </c>
      <c r="H11" s="214">
        <f t="shared" si="6"/>
        <v>111790239.70765895</v>
      </c>
      <c r="I11" s="214">
        <f t="shared" si="6"/>
        <v>93862010.368987724</v>
      </c>
      <c r="J11" s="214">
        <f t="shared" si="6"/>
        <v>96790227.444867224</v>
      </c>
      <c r="K11" s="214">
        <f t="shared" si="6"/>
        <v>91254216.592733979</v>
      </c>
      <c r="L11" s="214">
        <f t="shared" si="6"/>
        <v>96604023.464579314</v>
      </c>
      <c r="M11" s="214">
        <f t="shared" si="6"/>
        <v>103707157.37431909</v>
      </c>
      <c r="N11" s="214">
        <f t="shared" si="6"/>
        <v>114981989.24413437</v>
      </c>
      <c r="O11" s="214">
        <f t="shared" si="6"/>
        <v>107386029.88358976</v>
      </c>
      <c r="P11" s="214">
        <f t="shared" si="6"/>
        <v>93947525.757248893</v>
      </c>
      <c r="Q11" s="214">
        <f t="shared" si="6"/>
        <v>106334499.8952582</v>
      </c>
      <c r="R11" s="214">
        <f t="shared" si="6"/>
        <v>112728719.63922876</v>
      </c>
      <c r="S11" s="214">
        <f t="shared" si="6"/>
        <v>108760411.340012</v>
      </c>
      <c r="T11" s="214">
        <f t="shared" si="6"/>
        <v>110649015.36130124</v>
      </c>
      <c r="U11" s="214">
        <f t="shared" si="6"/>
        <v>92258280.644124925</v>
      </c>
      <c r="V11" s="214">
        <f t="shared" si="6"/>
        <v>95206295.173224986</v>
      </c>
      <c r="W11" s="214">
        <f t="shared" si="6"/>
        <v>89746991.204553202</v>
      </c>
      <c r="X11" s="214">
        <f t="shared" si="6"/>
        <v>94480734.759978756</v>
      </c>
      <c r="Y11" s="214">
        <f t="shared" si="6"/>
        <v>101765701.98706529</v>
      </c>
      <c r="Z11" s="214">
        <f t="shared" si="6"/>
        <v>113259541.36609711</v>
      </c>
      <c r="AA11" s="214">
        <f t="shared" si="6"/>
        <v>106259780.67791685</v>
      </c>
      <c r="AB11" s="214">
        <f t="shared" si="6"/>
        <v>92277247.953672513</v>
      </c>
      <c r="AC11" s="214">
        <f t="shared" ref="AC11" si="7">AC37+AC39</f>
        <v>104719369.82179999</v>
      </c>
    </row>
    <row r="12" spans="1:30">
      <c r="A12" s="66" t="s">
        <v>50</v>
      </c>
      <c r="B12" s="72"/>
      <c r="C12" s="214">
        <f t="shared" ref="C12:AB12" si="8">C38</f>
        <v>2338073.9351445474</v>
      </c>
      <c r="D12" s="214">
        <f t="shared" si="8"/>
        <v>2045020.2564702288</v>
      </c>
      <c r="E12" s="214">
        <f t="shared" si="8"/>
        <v>2226041.8406232931</v>
      </c>
      <c r="F12" s="214">
        <f t="shared" si="8"/>
        <v>2704140.3466250272</v>
      </c>
      <c r="G12" s="214">
        <f t="shared" si="8"/>
        <v>3444693.4813220142</v>
      </c>
      <c r="H12" s="214">
        <f t="shared" si="8"/>
        <v>3553781.3232689267</v>
      </c>
      <c r="I12" s="214">
        <f t="shared" si="8"/>
        <v>2808460.8824171685</v>
      </c>
      <c r="J12" s="214">
        <f t="shared" si="8"/>
        <v>2707222.7637538249</v>
      </c>
      <c r="K12" s="214">
        <f t="shared" si="8"/>
        <v>2299563.105958648</v>
      </c>
      <c r="L12" s="214">
        <f t="shared" si="8"/>
        <v>2104162.927245995</v>
      </c>
      <c r="M12" s="214">
        <f t="shared" si="8"/>
        <v>2089418.4871771177</v>
      </c>
      <c r="N12" s="214">
        <f t="shared" si="8"/>
        <v>2451251.1862399899</v>
      </c>
      <c r="O12" s="214">
        <f t="shared" si="8"/>
        <v>2352687.0353906183</v>
      </c>
      <c r="P12" s="214">
        <f t="shared" si="8"/>
        <v>2036149.5621030494</v>
      </c>
      <c r="Q12" s="214">
        <f t="shared" si="8"/>
        <v>2262991.0784414201</v>
      </c>
      <c r="R12" s="214">
        <f t="shared" si="8"/>
        <v>2736019.5120204729</v>
      </c>
      <c r="S12" s="214">
        <f t="shared" si="8"/>
        <v>3400699.1379533447</v>
      </c>
      <c r="T12" s="214">
        <f t="shared" si="8"/>
        <v>3544315.6703471807</v>
      </c>
      <c r="U12" s="214">
        <f t="shared" si="8"/>
        <v>2789540.5895852372</v>
      </c>
      <c r="V12" s="214">
        <f t="shared" si="8"/>
        <v>2687486.6134706079</v>
      </c>
      <c r="W12" s="214">
        <f t="shared" si="8"/>
        <v>2305064.1944960328</v>
      </c>
      <c r="X12" s="214">
        <f t="shared" si="8"/>
        <v>2108495.9114363776</v>
      </c>
      <c r="Y12" s="214">
        <f t="shared" si="8"/>
        <v>2108637.6251200801</v>
      </c>
      <c r="Z12" s="214">
        <f t="shared" si="8"/>
        <v>2472446.7633673535</v>
      </c>
      <c r="AA12" s="214">
        <f t="shared" si="8"/>
        <v>2386849.2858162671</v>
      </c>
      <c r="AB12" s="214">
        <f t="shared" si="8"/>
        <v>2046488.7978721103</v>
      </c>
      <c r="AC12" s="214">
        <f t="shared" ref="AC12" si="9">AC38</f>
        <v>2309796.180153158</v>
      </c>
    </row>
    <row r="13" spans="1:30">
      <c r="A13" s="66" t="s">
        <v>249</v>
      </c>
      <c r="B13" s="72"/>
      <c r="C13" s="214">
        <f>C40+C44-C45</f>
        <v>60810231.799999997</v>
      </c>
      <c r="D13" s="214">
        <f t="shared" ref="D13:AC13" si="10">D40+D44-D45</f>
        <v>53726718.399999999</v>
      </c>
      <c r="E13" s="214">
        <f t="shared" si="10"/>
        <v>51494927</v>
      </c>
      <c r="F13" s="214">
        <f t="shared" si="10"/>
        <v>57667389</v>
      </c>
      <c r="G13" s="214">
        <f t="shared" si="10"/>
        <v>51225808</v>
      </c>
      <c r="H13" s="214">
        <f t="shared" si="10"/>
        <v>62414086.600000001</v>
      </c>
      <c r="I13" s="214">
        <f t="shared" si="10"/>
        <v>53654638</v>
      </c>
      <c r="J13" s="214">
        <f t="shared" si="10"/>
        <v>59464203.200000003</v>
      </c>
      <c r="K13" s="214">
        <f t="shared" si="10"/>
        <v>57152509</v>
      </c>
      <c r="L13" s="214">
        <f t="shared" si="10"/>
        <v>53626372</v>
      </c>
      <c r="M13" s="214">
        <f t="shared" si="10"/>
        <v>55812506</v>
      </c>
      <c r="N13" s="214">
        <f t="shared" si="10"/>
        <v>53691719.399999999</v>
      </c>
      <c r="O13" s="214">
        <f t="shared" si="10"/>
        <v>59263770.799999997</v>
      </c>
      <c r="P13" s="214">
        <f t="shared" si="10"/>
        <v>52462806.399999999</v>
      </c>
      <c r="Q13" s="214">
        <f t="shared" si="10"/>
        <v>51784597</v>
      </c>
      <c r="R13" s="214">
        <f t="shared" si="10"/>
        <v>57826755</v>
      </c>
      <c r="S13" s="214">
        <f t="shared" si="10"/>
        <v>51088095</v>
      </c>
      <c r="T13" s="214">
        <f t="shared" si="10"/>
        <v>59177297.600000001</v>
      </c>
      <c r="U13" s="214">
        <f t="shared" si="10"/>
        <v>54738197</v>
      </c>
      <c r="V13" s="214">
        <f t="shared" si="10"/>
        <v>58654355.200000003</v>
      </c>
      <c r="W13" s="214">
        <f t="shared" si="10"/>
        <v>56074897</v>
      </c>
      <c r="X13" s="214">
        <f t="shared" si="10"/>
        <v>53650301</v>
      </c>
      <c r="Y13" s="214">
        <f t="shared" si="10"/>
        <v>55669600</v>
      </c>
      <c r="Z13" s="214">
        <f t="shared" si="10"/>
        <v>53608978.399999999</v>
      </c>
      <c r="AA13" s="214">
        <f t="shared" si="10"/>
        <v>57730540.799999997</v>
      </c>
      <c r="AB13" s="214">
        <f t="shared" si="10"/>
        <v>52743055.399999999</v>
      </c>
      <c r="AC13" s="214">
        <f t="shared" si="10"/>
        <v>51319844</v>
      </c>
    </row>
    <row r="14" spans="1:30">
      <c r="A14" s="66" t="s">
        <v>52</v>
      </c>
      <c r="B14" s="72"/>
      <c r="C14" s="214">
        <f t="shared" ref="C14:AB14" si="11">C41</f>
        <v>26196087.747690693</v>
      </c>
      <c r="D14" s="214">
        <f t="shared" si="11"/>
        <v>21207651.978866506</v>
      </c>
      <c r="E14" s="214">
        <f t="shared" si="11"/>
        <v>12792920.99554177</v>
      </c>
      <c r="F14" s="214">
        <f t="shared" si="11"/>
        <v>3793593.5262851678</v>
      </c>
      <c r="G14" s="214">
        <f t="shared" si="11"/>
        <v>3647457.1208414128</v>
      </c>
      <c r="H14" s="214">
        <f t="shared" si="11"/>
        <v>4466264.7198980711</v>
      </c>
      <c r="I14" s="214">
        <f t="shared" si="11"/>
        <v>3291132.1705674292</v>
      </c>
      <c r="J14" s="214">
        <f t="shared" si="11"/>
        <v>4255008.9684777167</v>
      </c>
      <c r="K14" s="214">
        <f t="shared" si="11"/>
        <v>5234502.3037046641</v>
      </c>
      <c r="L14" s="214">
        <f t="shared" si="11"/>
        <v>11282380.197254535</v>
      </c>
      <c r="M14" s="214">
        <f t="shared" si="11"/>
        <v>18688681.781238146</v>
      </c>
      <c r="N14" s="214">
        <f t="shared" si="11"/>
        <v>24163837.904274181</v>
      </c>
      <c r="O14" s="214">
        <f t="shared" si="11"/>
        <v>26372232.262065466</v>
      </c>
      <c r="P14" s="214">
        <f t="shared" si="11"/>
        <v>20182586.439696096</v>
      </c>
      <c r="Q14" s="214">
        <f t="shared" si="11"/>
        <v>12399183.675410647</v>
      </c>
      <c r="R14" s="214">
        <f t="shared" si="11"/>
        <v>3981034.161403785</v>
      </c>
      <c r="S14" s="214">
        <f t="shared" si="11"/>
        <v>3498245.4765134426</v>
      </c>
      <c r="T14" s="214">
        <f t="shared" si="11"/>
        <v>4264904.3768419828</v>
      </c>
      <c r="U14" s="214">
        <f t="shared" si="11"/>
        <v>3716973.4638001951</v>
      </c>
      <c r="V14" s="214">
        <f t="shared" si="11"/>
        <v>4491574.1265085833</v>
      </c>
      <c r="W14" s="214">
        <f t="shared" si="11"/>
        <v>5309187.544768245</v>
      </c>
      <c r="X14" s="214">
        <f t="shared" si="11"/>
        <v>11264948.29963842</v>
      </c>
      <c r="Y14" s="214">
        <f t="shared" si="11"/>
        <v>18689510.418674566</v>
      </c>
      <c r="Z14" s="214">
        <f t="shared" si="11"/>
        <v>23592757.098632053</v>
      </c>
      <c r="AA14" s="214">
        <f t="shared" si="11"/>
        <v>26081253.646886658</v>
      </c>
      <c r="AB14" s="214">
        <f t="shared" si="11"/>
        <v>20390280.299107887</v>
      </c>
      <c r="AC14" s="214">
        <f t="shared" ref="AC14" si="12">AC41</f>
        <v>13165983.402111638</v>
      </c>
    </row>
    <row r="15" spans="1:30">
      <c r="A15" s="66" t="s">
        <v>53</v>
      </c>
      <c r="B15" s="72"/>
      <c r="C15" s="214">
        <f t="shared" ref="C15:AB15" si="13">C42</f>
        <v>1909434.2757574553</v>
      </c>
      <c r="D15" s="214">
        <f t="shared" si="13"/>
        <v>1116741.5712587009</v>
      </c>
      <c r="E15" s="214">
        <f t="shared" si="13"/>
        <v>626871.56658872252</v>
      </c>
      <c r="F15" s="214">
        <f t="shared" si="13"/>
        <v>380817.62768570747</v>
      </c>
      <c r="G15" s="214">
        <f t="shared" si="13"/>
        <v>406618.12461074151</v>
      </c>
      <c r="H15" s="214">
        <f t="shared" si="13"/>
        <v>481168.12571570452</v>
      </c>
      <c r="I15" s="214">
        <f t="shared" si="13"/>
        <v>385648.31963218522</v>
      </c>
      <c r="J15" s="214">
        <f t="shared" si="13"/>
        <v>379769.67518172279</v>
      </c>
      <c r="K15" s="214">
        <f t="shared" si="13"/>
        <v>423603.29246978188</v>
      </c>
      <c r="L15" s="214">
        <f t="shared" si="13"/>
        <v>629064.2060608461</v>
      </c>
      <c r="M15" s="214">
        <f t="shared" si="13"/>
        <v>947018.42331732181</v>
      </c>
      <c r="N15" s="214">
        <f t="shared" si="13"/>
        <v>1615782.330463907</v>
      </c>
      <c r="O15" s="214">
        <f t="shared" si="13"/>
        <v>1874233.0946393479</v>
      </c>
      <c r="P15" s="214">
        <f t="shared" si="13"/>
        <v>1045245.0759003481</v>
      </c>
      <c r="Q15" s="214">
        <f t="shared" si="13"/>
        <v>588364.61384348501</v>
      </c>
      <c r="R15" s="214">
        <f t="shared" si="13"/>
        <v>362854.23498714215</v>
      </c>
      <c r="S15" s="214">
        <f t="shared" si="13"/>
        <v>390157.66848657466</v>
      </c>
      <c r="T15" s="214">
        <f t="shared" si="13"/>
        <v>440379.82023499737</v>
      </c>
      <c r="U15" s="214">
        <f t="shared" si="13"/>
        <v>374266.60370160907</v>
      </c>
      <c r="V15" s="214">
        <f t="shared" si="13"/>
        <v>369330.69565344177</v>
      </c>
      <c r="W15" s="214">
        <f t="shared" si="13"/>
        <v>427295.42717475002</v>
      </c>
      <c r="X15" s="214">
        <f t="shared" si="13"/>
        <v>668770.06788401026</v>
      </c>
      <c r="Y15" s="214">
        <f t="shared" si="13"/>
        <v>995141.13273923495</v>
      </c>
      <c r="Z15" s="214">
        <f t="shared" si="13"/>
        <v>1708930.8942732024</v>
      </c>
      <c r="AA15" s="214">
        <f t="shared" si="13"/>
        <v>1874470.6306873991</v>
      </c>
      <c r="AB15" s="214">
        <f t="shared" si="13"/>
        <v>1084263.0507554628</v>
      </c>
      <c r="AC15" s="214">
        <f t="shared" ref="AC15" si="14">AC42</f>
        <v>631022.96522750286</v>
      </c>
    </row>
    <row r="16" spans="1:30">
      <c r="A16" s="67" t="s">
        <v>54</v>
      </c>
      <c r="B16" s="72"/>
      <c r="C16" s="214">
        <f t="shared" ref="C16:AB16" si="15">C43</f>
        <v>1334110.298731857</v>
      </c>
      <c r="D16" s="214">
        <f t="shared" si="15"/>
        <v>1302325.5008865951</v>
      </c>
      <c r="E16" s="214">
        <f t="shared" si="15"/>
        <v>1306182.7894858946</v>
      </c>
      <c r="F16" s="214">
        <f t="shared" si="15"/>
        <v>1320266.0382451359</v>
      </c>
      <c r="G16" s="214">
        <f t="shared" si="15"/>
        <v>1319835.5894288972</v>
      </c>
      <c r="H16" s="214">
        <f t="shared" si="15"/>
        <v>1312052.5670342222</v>
      </c>
      <c r="I16" s="214">
        <f t="shared" si="15"/>
        <v>1282781.9397454073</v>
      </c>
      <c r="J16" s="214">
        <f t="shared" si="15"/>
        <v>1346978.8782308577</v>
      </c>
      <c r="K16" s="214">
        <f t="shared" si="15"/>
        <v>1282521.0688841238</v>
      </c>
      <c r="L16" s="214">
        <f t="shared" si="15"/>
        <v>1322804.2761951154</v>
      </c>
      <c r="M16" s="214">
        <f t="shared" si="15"/>
        <v>1311334.1459539002</v>
      </c>
      <c r="N16" s="214">
        <f t="shared" si="15"/>
        <v>1318291.5221090443</v>
      </c>
      <c r="O16" s="214">
        <f t="shared" si="15"/>
        <v>1317500.1690632126</v>
      </c>
      <c r="P16" s="214">
        <f t="shared" si="15"/>
        <v>1269268.4803722838</v>
      </c>
      <c r="Q16" s="214">
        <f t="shared" si="15"/>
        <v>1295238.796120883</v>
      </c>
      <c r="R16" s="214">
        <f t="shared" si="15"/>
        <v>1305931.2342727571</v>
      </c>
      <c r="S16" s="214">
        <f t="shared" si="15"/>
        <v>1304157.7672317254</v>
      </c>
      <c r="T16" s="214">
        <f t="shared" si="15"/>
        <v>1271052.7874755026</v>
      </c>
      <c r="U16" s="214">
        <f t="shared" si="15"/>
        <v>1281690.8657831096</v>
      </c>
      <c r="V16" s="214">
        <f t="shared" si="15"/>
        <v>1330206.771087918</v>
      </c>
      <c r="W16" s="214">
        <f t="shared" si="15"/>
        <v>1265826.8516803812</v>
      </c>
      <c r="X16" s="214">
        <f t="shared" si="15"/>
        <v>1299825.2317412151</v>
      </c>
      <c r="Y16" s="214">
        <f t="shared" si="15"/>
        <v>1293536.9214742235</v>
      </c>
      <c r="Z16" s="214">
        <f t="shared" si="15"/>
        <v>1298088.8774713338</v>
      </c>
      <c r="AA16" s="214">
        <f t="shared" si="15"/>
        <v>1297436.482687983</v>
      </c>
      <c r="AB16" s="214">
        <f t="shared" si="15"/>
        <v>1258388.4828026511</v>
      </c>
      <c r="AC16" s="214">
        <f t="shared" ref="AC16" si="16">AC43</f>
        <v>1273707.2308794528</v>
      </c>
    </row>
    <row r="17" spans="1:31">
      <c r="B17" s="62"/>
      <c r="C17" s="215">
        <f t="shared" ref="C17:AB17" si="17">SUM(C8:C16)</f>
        <v>465544027.00915003</v>
      </c>
      <c r="D17" s="215">
        <f t="shared" si="17"/>
        <v>386377025.48191154</v>
      </c>
      <c r="E17" s="215">
        <f t="shared" si="17"/>
        <v>408299795.37596774</v>
      </c>
      <c r="F17" s="215">
        <f t="shared" si="17"/>
        <v>479836187.67211151</v>
      </c>
      <c r="G17" s="215">
        <f t="shared" si="17"/>
        <v>541824423.30131769</v>
      </c>
      <c r="H17" s="215">
        <f t="shared" si="17"/>
        <v>571344622.8446691</v>
      </c>
      <c r="I17" s="215">
        <f t="shared" si="17"/>
        <v>463349831.43926972</v>
      </c>
      <c r="J17" s="215">
        <f t="shared" si="17"/>
        <v>458102259.38882607</v>
      </c>
      <c r="K17" s="215">
        <f t="shared" si="17"/>
        <v>413192305.21336943</v>
      </c>
      <c r="L17" s="215">
        <f t="shared" si="17"/>
        <v>396501953.72945005</v>
      </c>
      <c r="M17" s="215">
        <f t="shared" si="17"/>
        <v>409630482.59129196</v>
      </c>
      <c r="N17" s="215">
        <f t="shared" si="17"/>
        <v>458829270.38042998</v>
      </c>
      <c r="O17" s="215">
        <f t="shared" si="17"/>
        <v>466258145.51682287</v>
      </c>
      <c r="P17" s="215">
        <f t="shared" si="17"/>
        <v>388279015.66148174</v>
      </c>
      <c r="Q17" s="215">
        <f t="shared" si="17"/>
        <v>410593611.38955492</v>
      </c>
      <c r="R17" s="215">
        <f t="shared" si="17"/>
        <v>477091154.43910605</v>
      </c>
      <c r="S17" s="215">
        <f t="shared" si="17"/>
        <v>542630615.0716939</v>
      </c>
      <c r="T17" s="215">
        <f t="shared" si="17"/>
        <v>572804848.83781219</v>
      </c>
      <c r="U17" s="215">
        <f t="shared" si="17"/>
        <v>467084697.98157597</v>
      </c>
      <c r="V17" s="215">
        <f t="shared" si="17"/>
        <v>461014828.35981143</v>
      </c>
      <c r="W17" s="215">
        <f t="shared" si="17"/>
        <v>414857997.48885155</v>
      </c>
      <c r="X17" s="215">
        <f t="shared" si="17"/>
        <v>398017418.48854655</v>
      </c>
      <c r="Y17" s="215">
        <f t="shared" si="17"/>
        <v>410899638.72053099</v>
      </c>
      <c r="Z17" s="215">
        <f t="shared" si="17"/>
        <v>460138913.02782202</v>
      </c>
      <c r="AA17" s="215">
        <f t="shared" si="17"/>
        <v>468888934.6642378</v>
      </c>
      <c r="AB17" s="215">
        <f t="shared" si="17"/>
        <v>391575955.58640873</v>
      </c>
      <c r="AC17" s="215">
        <f t="shared" ref="AC17" si="18">SUM(AC8:AC16)</f>
        <v>413884182.5861131</v>
      </c>
    </row>
    <row r="18" spans="1:31">
      <c r="AC18" s="42"/>
    </row>
    <row r="19" spans="1:31">
      <c r="A19" s="66" t="s">
        <v>48</v>
      </c>
      <c r="B19" s="62"/>
      <c r="C19" s="62">
        <f t="shared" ref="C19:P19" si="19">C8</f>
        <v>205634898.40616786</v>
      </c>
      <c r="D19" s="62">
        <f t="shared" si="19"/>
        <v>160470276.49030823</v>
      </c>
      <c r="E19" s="62">
        <f t="shared" si="19"/>
        <v>178221117.59096214</v>
      </c>
      <c r="F19" s="62">
        <f t="shared" si="19"/>
        <v>239415875.34043533</v>
      </c>
      <c r="G19" s="62">
        <f t="shared" si="19"/>
        <v>304215269.57546175</v>
      </c>
      <c r="H19" s="62">
        <f t="shared" si="19"/>
        <v>317720304.29503012</v>
      </c>
      <c r="I19" s="62">
        <f t="shared" si="19"/>
        <v>250529571.26444688</v>
      </c>
      <c r="J19" s="62">
        <f t="shared" si="19"/>
        <v>236155497.60897648</v>
      </c>
      <c r="K19" s="62">
        <f t="shared" si="19"/>
        <v>203935707.04712585</v>
      </c>
      <c r="L19" s="62">
        <f t="shared" si="19"/>
        <v>181246810.52368349</v>
      </c>
      <c r="M19" s="62">
        <f t="shared" si="19"/>
        <v>176156770.87080798</v>
      </c>
      <c r="N19" s="62">
        <f t="shared" si="19"/>
        <v>201643616.1957083</v>
      </c>
      <c r="O19" s="62">
        <f t="shared" si="19"/>
        <v>209605361.14545268</v>
      </c>
      <c r="P19" s="62">
        <f t="shared" si="19"/>
        <v>166823670.30291176</v>
      </c>
      <c r="Q19" s="62">
        <f t="shared" ref="Q19:AB19" si="20">Q8</f>
        <v>182565526.21839392</v>
      </c>
      <c r="R19" s="62">
        <f t="shared" si="20"/>
        <v>236906489.8680743</v>
      </c>
      <c r="S19" s="62">
        <f t="shared" si="20"/>
        <v>305745431.21570128</v>
      </c>
      <c r="T19" s="62">
        <f t="shared" si="20"/>
        <v>322965258.18712705</v>
      </c>
      <c r="U19" s="62">
        <f t="shared" si="20"/>
        <v>254022192.86176497</v>
      </c>
      <c r="V19" s="62">
        <f t="shared" si="20"/>
        <v>240593174.92225111</v>
      </c>
      <c r="W19" s="62">
        <f t="shared" si="20"/>
        <v>207687468.43725601</v>
      </c>
      <c r="X19" s="62">
        <f t="shared" si="20"/>
        <v>184489548.15388849</v>
      </c>
      <c r="Y19" s="62">
        <f t="shared" si="20"/>
        <v>178918029.52419019</v>
      </c>
      <c r="Z19" s="62">
        <f t="shared" si="20"/>
        <v>204568029.31251049</v>
      </c>
      <c r="AA19" s="62">
        <f t="shared" si="20"/>
        <v>214351702.60896197</v>
      </c>
      <c r="AB19" s="62">
        <f t="shared" si="20"/>
        <v>170876902.35992575</v>
      </c>
      <c r="AC19" s="62">
        <f t="shared" ref="AC19" si="21">AC8</f>
        <v>186433164.666733</v>
      </c>
      <c r="AD19" s="62">
        <f>SUM(F19:Q19)</f>
        <v>2670013980.3884344</v>
      </c>
      <c r="AE19" s="62">
        <f>SUM(R19:AC19)</f>
        <v>2707557392.1183844</v>
      </c>
    </row>
    <row r="20" spans="1:31">
      <c r="A20" s="66" t="s">
        <v>55</v>
      </c>
      <c r="B20" s="62"/>
      <c r="C20" s="62">
        <f t="shared" ref="C20:P20" si="22">C9+C10</f>
        <v>57814884.903669126</v>
      </c>
      <c r="D20" s="62">
        <f t="shared" si="22"/>
        <v>50451311.749514848</v>
      </c>
      <c r="E20" s="62">
        <f t="shared" si="22"/>
        <v>52987363.079210304</v>
      </c>
      <c r="F20" s="62">
        <f t="shared" si="22"/>
        <v>60408133.03029301</v>
      </c>
      <c r="G20" s="62">
        <f t="shared" si="22"/>
        <v>67562528.613521278</v>
      </c>
      <c r="H20" s="62">
        <f t="shared" si="22"/>
        <v>69606725.50606297</v>
      </c>
      <c r="I20" s="62">
        <f t="shared" si="22"/>
        <v>57535588.493472874</v>
      </c>
      <c r="J20" s="62">
        <f t="shared" si="22"/>
        <v>57003350.849338159</v>
      </c>
      <c r="K20" s="62">
        <f t="shared" si="22"/>
        <v>51609682.802492373</v>
      </c>
      <c r="L20" s="62">
        <f t="shared" si="22"/>
        <v>49686336.134430811</v>
      </c>
      <c r="M20" s="62">
        <f t="shared" si="22"/>
        <v>50917595.508478455</v>
      </c>
      <c r="N20" s="62">
        <f t="shared" si="22"/>
        <v>58962782.59750028</v>
      </c>
      <c r="O20" s="62">
        <f t="shared" si="22"/>
        <v>58086331.126621775</v>
      </c>
      <c r="P20" s="62">
        <f t="shared" si="22"/>
        <v>50511763.64324934</v>
      </c>
      <c r="Q20" s="62">
        <f t="shared" ref="Q20:AB20" si="23">Q9+Q10</f>
        <v>53363210.112086371</v>
      </c>
      <c r="R20" s="62">
        <f t="shared" si="23"/>
        <v>61243350.789118856</v>
      </c>
      <c r="S20" s="62">
        <f t="shared" si="23"/>
        <v>68443417.465795517</v>
      </c>
      <c r="T20" s="62">
        <f t="shared" si="23"/>
        <v>70492625.034484252</v>
      </c>
      <c r="U20" s="62">
        <f t="shared" si="23"/>
        <v>57903555.95281595</v>
      </c>
      <c r="V20" s="62">
        <f t="shared" si="23"/>
        <v>57682404.857614711</v>
      </c>
      <c r="W20" s="62">
        <f t="shared" si="23"/>
        <v>52041266.828922875</v>
      </c>
      <c r="X20" s="62">
        <f t="shared" si="23"/>
        <v>50054795.063979283</v>
      </c>
      <c r="Y20" s="62">
        <f t="shared" si="23"/>
        <v>51459481.111267313</v>
      </c>
      <c r="Z20" s="62">
        <f t="shared" si="23"/>
        <v>59630140.315470479</v>
      </c>
      <c r="AA20" s="62">
        <f t="shared" si="23"/>
        <v>58906900.531280629</v>
      </c>
      <c r="AB20" s="62">
        <f t="shared" si="23"/>
        <v>50899329.242272384</v>
      </c>
      <c r="AC20" s="62">
        <f t="shared" ref="AC20" si="24">AC9+AC10</f>
        <v>54031294.319208436</v>
      </c>
      <c r="AD20" s="62">
        <f t="shared" ref="AD20:AD25" si="25">SUM(F20:Q20)</f>
        <v>685254028.41754782</v>
      </c>
      <c r="AE20" s="62">
        <f t="shared" ref="AE20:AE25" si="26">SUM(R20:AC20)</f>
        <v>692788561.51223052</v>
      </c>
    </row>
    <row r="21" spans="1:31">
      <c r="A21" s="66" t="s">
        <v>56</v>
      </c>
      <c r="B21" s="62"/>
      <c r="C21" s="62">
        <f t="shared" ref="C21:P21" si="27">C11+C12</f>
        <v>111844379.57713303</v>
      </c>
      <c r="D21" s="62">
        <f t="shared" si="27"/>
        <v>98101999.791076675</v>
      </c>
      <c r="E21" s="62">
        <f t="shared" si="27"/>
        <v>110870412.35417895</v>
      </c>
      <c r="F21" s="62">
        <f t="shared" si="27"/>
        <v>116850113.10916716</v>
      </c>
      <c r="G21" s="62">
        <f t="shared" si="27"/>
        <v>113446906.27745362</v>
      </c>
      <c r="H21" s="62">
        <f t="shared" si="27"/>
        <v>115344021.03092787</v>
      </c>
      <c r="I21" s="62">
        <f t="shared" si="27"/>
        <v>96670471.251404896</v>
      </c>
      <c r="J21" s="62">
        <f t="shared" si="27"/>
        <v>99497450.208621055</v>
      </c>
      <c r="K21" s="62">
        <f t="shared" si="27"/>
        <v>93553779.69869262</v>
      </c>
      <c r="L21" s="62">
        <f t="shared" si="27"/>
        <v>98708186.391825303</v>
      </c>
      <c r="M21" s="62">
        <f t="shared" si="27"/>
        <v>105796575.86149621</v>
      </c>
      <c r="N21" s="62">
        <f t="shared" si="27"/>
        <v>117433240.43037435</v>
      </c>
      <c r="O21" s="62">
        <f t="shared" si="27"/>
        <v>109738716.91898037</v>
      </c>
      <c r="P21" s="62">
        <f t="shared" si="27"/>
        <v>95983675.319351941</v>
      </c>
      <c r="Q21" s="62">
        <f t="shared" ref="Q21:AB21" si="28">Q11+Q12</f>
        <v>108597490.97369963</v>
      </c>
      <c r="R21" s="62">
        <f t="shared" si="28"/>
        <v>115464739.15124923</v>
      </c>
      <c r="S21" s="62">
        <f t="shared" si="28"/>
        <v>112161110.47796534</v>
      </c>
      <c r="T21" s="62">
        <f t="shared" si="28"/>
        <v>114193331.03164843</v>
      </c>
      <c r="U21" s="62">
        <f t="shared" si="28"/>
        <v>95047821.23371017</v>
      </c>
      <c r="V21" s="62">
        <f t="shared" si="28"/>
        <v>97893781.7866956</v>
      </c>
      <c r="W21" s="62">
        <f t="shared" si="28"/>
        <v>92052055.399049237</v>
      </c>
      <c r="X21" s="62">
        <f t="shared" si="28"/>
        <v>96589230.671415135</v>
      </c>
      <c r="Y21" s="62">
        <f t="shared" si="28"/>
        <v>103874339.61218536</v>
      </c>
      <c r="Z21" s="62">
        <f t="shared" si="28"/>
        <v>115731988.12946446</v>
      </c>
      <c r="AA21" s="62">
        <f t="shared" si="28"/>
        <v>108646629.96373312</v>
      </c>
      <c r="AB21" s="62">
        <f t="shared" si="28"/>
        <v>94323736.751544625</v>
      </c>
      <c r="AC21" s="62">
        <f t="shared" ref="AC21" si="29">AC11+AC12</f>
        <v>107029166.00195315</v>
      </c>
      <c r="AD21" s="62">
        <f t="shared" si="25"/>
        <v>1271620627.4719951</v>
      </c>
      <c r="AE21" s="62">
        <f t="shared" si="26"/>
        <v>1253007930.210614</v>
      </c>
    </row>
    <row r="22" spans="1:31">
      <c r="A22" s="66" t="s">
        <v>51</v>
      </c>
      <c r="B22" s="62"/>
      <c r="C22" s="62">
        <f>C13</f>
        <v>60810231.799999997</v>
      </c>
      <c r="D22" s="62">
        <f t="shared" ref="D22:P22" si="30">D13</f>
        <v>53726718.399999999</v>
      </c>
      <c r="E22" s="62">
        <f t="shared" si="30"/>
        <v>51494927</v>
      </c>
      <c r="F22" s="62">
        <f t="shared" si="30"/>
        <v>57667389</v>
      </c>
      <c r="G22" s="62">
        <f t="shared" si="30"/>
        <v>51225808</v>
      </c>
      <c r="H22" s="62">
        <f t="shared" si="30"/>
        <v>62414086.600000001</v>
      </c>
      <c r="I22" s="62">
        <f t="shared" si="30"/>
        <v>53654638</v>
      </c>
      <c r="J22" s="62">
        <f t="shared" si="30"/>
        <v>59464203.200000003</v>
      </c>
      <c r="K22" s="62">
        <f t="shared" si="30"/>
        <v>57152509</v>
      </c>
      <c r="L22" s="62">
        <f t="shared" si="30"/>
        <v>53626372</v>
      </c>
      <c r="M22" s="62">
        <f t="shared" si="30"/>
        <v>55812506</v>
      </c>
      <c r="N22" s="62">
        <f t="shared" si="30"/>
        <v>53691719.399999999</v>
      </c>
      <c r="O22" s="62">
        <f t="shared" si="30"/>
        <v>59263770.799999997</v>
      </c>
      <c r="P22" s="62">
        <f t="shared" si="30"/>
        <v>52462806.399999999</v>
      </c>
      <c r="Q22" s="62">
        <f t="shared" ref="Q22:AB22" si="31">Q13</f>
        <v>51784597</v>
      </c>
      <c r="R22" s="62">
        <f t="shared" si="31"/>
        <v>57826755</v>
      </c>
      <c r="S22" s="62">
        <f t="shared" si="31"/>
        <v>51088095</v>
      </c>
      <c r="T22" s="62">
        <f t="shared" si="31"/>
        <v>59177297.600000001</v>
      </c>
      <c r="U22" s="62">
        <f t="shared" si="31"/>
        <v>54738197</v>
      </c>
      <c r="V22" s="62">
        <f t="shared" si="31"/>
        <v>58654355.200000003</v>
      </c>
      <c r="W22" s="62">
        <f t="shared" si="31"/>
        <v>56074897</v>
      </c>
      <c r="X22" s="62">
        <f t="shared" si="31"/>
        <v>53650301</v>
      </c>
      <c r="Y22" s="62">
        <f t="shared" si="31"/>
        <v>55669600</v>
      </c>
      <c r="Z22" s="62">
        <f t="shared" si="31"/>
        <v>53608978.399999999</v>
      </c>
      <c r="AA22" s="62">
        <f t="shared" si="31"/>
        <v>57730540.799999997</v>
      </c>
      <c r="AB22" s="62">
        <f t="shared" si="31"/>
        <v>52743055.399999999</v>
      </c>
      <c r="AC22" s="62">
        <f t="shared" ref="AC22" si="32">AC13</f>
        <v>51319844</v>
      </c>
      <c r="AD22" s="62">
        <f t="shared" si="25"/>
        <v>668220405.39999998</v>
      </c>
      <c r="AE22" s="62">
        <f t="shared" si="26"/>
        <v>662281916.39999998</v>
      </c>
    </row>
    <row r="23" spans="1:31">
      <c r="A23" s="66" t="s">
        <v>57</v>
      </c>
      <c r="B23" s="62"/>
      <c r="C23" s="62">
        <f t="shared" ref="C23:P23" si="33">C14+C15</f>
        <v>28105522.023448147</v>
      </c>
      <c r="D23" s="62">
        <f t="shared" si="33"/>
        <v>22324393.550125208</v>
      </c>
      <c r="E23" s="62">
        <f t="shared" si="33"/>
        <v>13419792.562130492</v>
      </c>
      <c r="F23" s="62">
        <f t="shared" si="33"/>
        <v>4174411.1539708753</v>
      </c>
      <c r="G23" s="62">
        <f t="shared" si="33"/>
        <v>4054075.2454521544</v>
      </c>
      <c r="H23" s="62">
        <f t="shared" si="33"/>
        <v>4947432.8456137758</v>
      </c>
      <c r="I23" s="62">
        <f t="shared" si="33"/>
        <v>3676780.4901996143</v>
      </c>
      <c r="J23" s="62">
        <f t="shared" si="33"/>
        <v>4634778.6436594399</v>
      </c>
      <c r="K23" s="62">
        <f t="shared" si="33"/>
        <v>5658105.5961744459</v>
      </c>
      <c r="L23" s="62">
        <f t="shared" si="33"/>
        <v>11911444.40331538</v>
      </c>
      <c r="M23" s="62">
        <f t="shared" si="33"/>
        <v>19635700.204555467</v>
      </c>
      <c r="N23" s="62">
        <f t="shared" si="33"/>
        <v>25779620.234738089</v>
      </c>
      <c r="O23" s="62">
        <f t="shared" si="33"/>
        <v>28246465.356704816</v>
      </c>
      <c r="P23" s="62">
        <f t="shared" si="33"/>
        <v>21227831.515596446</v>
      </c>
      <c r="Q23" s="62">
        <f t="shared" ref="Q23:AB23" si="34">Q14+Q15</f>
        <v>12987548.289254133</v>
      </c>
      <c r="R23" s="62">
        <f t="shared" si="34"/>
        <v>4343888.396390927</v>
      </c>
      <c r="S23" s="62">
        <f t="shared" si="34"/>
        <v>3888403.1450000172</v>
      </c>
      <c r="T23" s="62">
        <f t="shared" si="34"/>
        <v>4705284.19707698</v>
      </c>
      <c r="U23" s="62">
        <f t="shared" si="34"/>
        <v>4091240.0675018043</v>
      </c>
      <c r="V23" s="62">
        <f t="shared" si="34"/>
        <v>4860904.8221620247</v>
      </c>
      <c r="W23" s="62">
        <f t="shared" si="34"/>
        <v>5736482.9719429947</v>
      </c>
      <c r="X23" s="62">
        <f t="shared" si="34"/>
        <v>11933718.36752243</v>
      </c>
      <c r="Y23" s="62">
        <f t="shared" si="34"/>
        <v>19684651.551413801</v>
      </c>
      <c r="Z23" s="62">
        <f t="shared" si="34"/>
        <v>25301687.992905255</v>
      </c>
      <c r="AA23" s="62">
        <f t="shared" si="34"/>
        <v>27955724.277574059</v>
      </c>
      <c r="AB23" s="62">
        <f t="shared" si="34"/>
        <v>21474543.34986335</v>
      </c>
      <c r="AC23" s="62">
        <f t="shared" ref="AC23" si="35">AC14+AC15</f>
        <v>13797006.367339142</v>
      </c>
      <c r="AD23" s="62">
        <f t="shared" si="25"/>
        <v>146934193.97923464</v>
      </c>
      <c r="AE23" s="62">
        <f t="shared" si="26"/>
        <v>147773535.5066928</v>
      </c>
    </row>
    <row r="24" spans="1:31">
      <c r="A24" s="67" t="s">
        <v>54</v>
      </c>
      <c r="B24" s="62"/>
      <c r="C24" s="62">
        <f t="shared" ref="C24:P24" si="36">C16</f>
        <v>1334110.298731857</v>
      </c>
      <c r="D24" s="62">
        <f t="shared" si="36"/>
        <v>1302325.5008865951</v>
      </c>
      <c r="E24" s="62">
        <f t="shared" si="36"/>
        <v>1306182.7894858946</v>
      </c>
      <c r="F24" s="62">
        <f t="shared" si="36"/>
        <v>1320266.0382451359</v>
      </c>
      <c r="G24" s="62">
        <f t="shared" si="36"/>
        <v>1319835.5894288972</v>
      </c>
      <c r="H24" s="62">
        <f t="shared" si="36"/>
        <v>1312052.5670342222</v>
      </c>
      <c r="I24" s="62">
        <f t="shared" si="36"/>
        <v>1282781.9397454073</v>
      </c>
      <c r="J24" s="62">
        <f t="shared" si="36"/>
        <v>1346978.8782308577</v>
      </c>
      <c r="K24" s="62">
        <f t="shared" si="36"/>
        <v>1282521.0688841238</v>
      </c>
      <c r="L24" s="62">
        <f t="shared" si="36"/>
        <v>1322804.2761951154</v>
      </c>
      <c r="M24" s="62">
        <f t="shared" si="36"/>
        <v>1311334.1459539002</v>
      </c>
      <c r="N24" s="62">
        <f t="shared" si="36"/>
        <v>1318291.5221090443</v>
      </c>
      <c r="O24" s="62">
        <f t="shared" si="36"/>
        <v>1317500.1690632126</v>
      </c>
      <c r="P24" s="62">
        <f t="shared" si="36"/>
        <v>1269268.4803722838</v>
      </c>
      <c r="Q24" s="62">
        <f t="shared" ref="Q24:AB24" si="37">Q16</f>
        <v>1295238.796120883</v>
      </c>
      <c r="R24" s="62">
        <f t="shared" si="37"/>
        <v>1305931.2342727571</v>
      </c>
      <c r="S24" s="62">
        <f t="shared" si="37"/>
        <v>1304157.7672317254</v>
      </c>
      <c r="T24" s="62">
        <f t="shared" si="37"/>
        <v>1271052.7874755026</v>
      </c>
      <c r="U24" s="62">
        <f t="shared" si="37"/>
        <v>1281690.8657831096</v>
      </c>
      <c r="V24" s="62">
        <f t="shared" si="37"/>
        <v>1330206.771087918</v>
      </c>
      <c r="W24" s="62">
        <f t="shared" si="37"/>
        <v>1265826.8516803812</v>
      </c>
      <c r="X24" s="62">
        <f t="shared" si="37"/>
        <v>1299825.2317412151</v>
      </c>
      <c r="Y24" s="62">
        <f t="shared" si="37"/>
        <v>1293536.9214742235</v>
      </c>
      <c r="Z24" s="62">
        <f t="shared" si="37"/>
        <v>1298088.8774713338</v>
      </c>
      <c r="AA24" s="62">
        <f t="shared" si="37"/>
        <v>1297436.482687983</v>
      </c>
      <c r="AB24" s="62">
        <f t="shared" si="37"/>
        <v>1258388.4828026511</v>
      </c>
      <c r="AC24" s="62">
        <f t="shared" ref="AC24" si="38">AC16</f>
        <v>1273707.2308794528</v>
      </c>
      <c r="AD24" s="62">
        <f t="shared" si="25"/>
        <v>15698873.471383084</v>
      </c>
      <c r="AE24" s="62">
        <f t="shared" si="26"/>
        <v>15479849.504588254</v>
      </c>
    </row>
    <row r="25" spans="1:31">
      <c r="A25" s="67" t="s">
        <v>45</v>
      </c>
      <c r="B25" s="62"/>
      <c r="C25" s="62">
        <f t="shared" ref="C25:AB25" si="39">SUM(C19:C24)</f>
        <v>465544027.00915009</v>
      </c>
      <c r="D25" s="62">
        <f t="shared" si="39"/>
        <v>386377025.48191154</v>
      </c>
      <c r="E25" s="62">
        <f t="shared" si="39"/>
        <v>408299795.3759678</v>
      </c>
      <c r="F25" s="62">
        <f t="shared" si="39"/>
        <v>479836187.67211151</v>
      </c>
      <c r="G25" s="62">
        <f t="shared" si="39"/>
        <v>541824423.30131769</v>
      </c>
      <c r="H25" s="62">
        <f t="shared" si="39"/>
        <v>571344622.84466898</v>
      </c>
      <c r="I25" s="62">
        <f t="shared" si="39"/>
        <v>463349831.43926972</v>
      </c>
      <c r="J25" s="62">
        <f t="shared" si="39"/>
        <v>458102259.38882595</v>
      </c>
      <c r="K25" s="62">
        <f t="shared" si="39"/>
        <v>413192305.21336943</v>
      </c>
      <c r="L25" s="62">
        <f t="shared" si="39"/>
        <v>396501953.72945011</v>
      </c>
      <c r="M25" s="62">
        <f t="shared" si="39"/>
        <v>409630482.59129196</v>
      </c>
      <c r="N25" s="62">
        <f t="shared" si="39"/>
        <v>458829270.3804301</v>
      </c>
      <c r="O25" s="62">
        <f t="shared" si="39"/>
        <v>466258145.51682287</v>
      </c>
      <c r="P25" s="62">
        <f t="shared" si="39"/>
        <v>388279015.6614818</v>
      </c>
      <c r="Q25" s="62">
        <f t="shared" si="39"/>
        <v>410593611.38955492</v>
      </c>
      <c r="R25" s="62">
        <f t="shared" si="39"/>
        <v>477091154.43910611</v>
      </c>
      <c r="S25" s="62">
        <f t="shared" si="39"/>
        <v>542630615.0716939</v>
      </c>
      <c r="T25" s="62">
        <f t="shared" si="39"/>
        <v>572804848.8378123</v>
      </c>
      <c r="U25" s="62">
        <f t="shared" si="39"/>
        <v>467084697.98157597</v>
      </c>
      <c r="V25" s="62">
        <f t="shared" si="39"/>
        <v>461014828.35981137</v>
      </c>
      <c r="W25" s="62">
        <f t="shared" si="39"/>
        <v>414857997.48885155</v>
      </c>
      <c r="X25" s="62">
        <f t="shared" si="39"/>
        <v>398017418.48854655</v>
      </c>
      <c r="Y25" s="62">
        <f t="shared" si="39"/>
        <v>410899638.72053087</v>
      </c>
      <c r="Z25" s="62">
        <f t="shared" si="39"/>
        <v>460138913.02782202</v>
      </c>
      <c r="AA25" s="62">
        <f t="shared" si="39"/>
        <v>468888934.6642378</v>
      </c>
      <c r="AB25" s="62">
        <f t="shared" si="39"/>
        <v>391575955.58640867</v>
      </c>
      <c r="AC25" s="62">
        <f t="shared" ref="AC25" si="40">SUM(AC19:AC24)</f>
        <v>413884182.58611315</v>
      </c>
      <c r="AD25" s="62">
        <f t="shared" si="25"/>
        <v>5457742109.1285954</v>
      </c>
      <c r="AE25" s="62">
        <f t="shared" si="26"/>
        <v>5478889185.2525101</v>
      </c>
    </row>
    <row r="26" spans="1:31">
      <c r="AE26" s="62"/>
    </row>
    <row r="31" spans="1:31">
      <c r="B31" s="62"/>
      <c r="C31" s="217">
        <f t="shared" ref="C31:AC31" si="41">SUM(C32:C44)-C17-C45</f>
        <v>-7.4505805969238281E-8</v>
      </c>
      <c r="D31" s="217">
        <f t="shared" si="41"/>
        <v>0</v>
      </c>
      <c r="E31" s="217">
        <f t="shared" si="41"/>
        <v>0</v>
      </c>
      <c r="F31" s="217">
        <f t="shared" si="41"/>
        <v>0</v>
      </c>
      <c r="G31" s="217">
        <f t="shared" si="41"/>
        <v>0</v>
      </c>
      <c r="H31" s="217">
        <f t="shared" si="41"/>
        <v>0</v>
      </c>
      <c r="I31" s="217">
        <f t="shared" si="41"/>
        <v>0</v>
      </c>
      <c r="J31" s="217">
        <f t="shared" si="41"/>
        <v>0</v>
      </c>
      <c r="K31" s="217">
        <f t="shared" si="41"/>
        <v>0</v>
      </c>
      <c r="L31" s="217">
        <f t="shared" si="41"/>
        <v>0</v>
      </c>
      <c r="M31" s="217">
        <f t="shared" si="41"/>
        <v>5.9604644775390625E-8</v>
      </c>
      <c r="N31" s="217">
        <f t="shared" si="41"/>
        <v>0</v>
      </c>
      <c r="O31" s="217">
        <f t="shared" si="41"/>
        <v>0</v>
      </c>
      <c r="P31" s="217">
        <f t="shared" si="41"/>
        <v>0</v>
      </c>
      <c r="Q31" s="217">
        <f t="shared" si="41"/>
        <v>0</v>
      </c>
      <c r="R31" s="217">
        <f t="shared" si="41"/>
        <v>0</v>
      </c>
      <c r="S31" s="217">
        <f t="shared" si="41"/>
        <v>0</v>
      </c>
      <c r="T31" s="217">
        <f t="shared" si="41"/>
        <v>0</v>
      </c>
      <c r="U31" s="217">
        <f t="shared" si="41"/>
        <v>5.9604644775390625E-8</v>
      </c>
      <c r="V31" s="217">
        <f t="shared" si="41"/>
        <v>0</v>
      </c>
      <c r="W31" s="217">
        <f t="shared" si="41"/>
        <v>0</v>
      </c>
      <c r="X31" s="217">
        <f t="shared" si="41"/>
        <v>0</v>
      </c>
      <c r="Y31" s="217">
        <f t="shared" si="41"/>
        <v>0</v>
      </c>
      <c r="Z31" s="217">
        <f t="shared" si="41"/>
        <v>0</v>
      </c>
      <c r="AA31" s="217">
        <f t="shared" si="41"/>
        <v>0</v>
      </c>
      <c r="AB31" s="217">
        <f t="shared" si="41"/>
        <v>8.1956386566162109E-8</v>
      </c>
      <c r="AC31" s="217">
        <f t="shared" si="41"/>
        <v>-5.9604644775390625E-8</v>
      </c>
    </row>
    <row r="32" spans="1:31">
      <c r="A32" s="143" t="s">
        <v>135</v>
      </c>
      <c r="B32" s="42"/>
      <c r="C32" s="216">
        <v>205634898.40616786</v>
      </c>
      <c r="D32" s="216">
        <v>160470276.49030823</v>
      </c>
      <c r="E32" s="216">
        <v>178221117.59096214</v>
      </c>
      <c r="F32" s="216">
        <v>239415875.34043533</v>
      </c>
      <c r="G32" s="216">
        <v>304215269.57546175</v>
      </c>
      <c r="H32" s="216">
        <v>317720304.29503012</v>
      </c>
      <c r="I32" s="216">
        <v>250529571.26444688</v>
      </c>
      <c r="J32" s="216">
        <v>236155497.60897648</v>
      </c>
      <c r="K32" s="216">
        <v>203935707.04712585</v>
      </c>
      <c r="L32" s="216">
        <v>181246810.52368349</v>
      </c>
      <c r="M32" s="216">
        <v>176156770.87080798</v>
      </c>
      <c r="N32" s="216">
        <v>201643616.1957083</v>
      </c>
      <c r="O32" s="216">
        <v>209605361.14545268</v>
      </c>
      <c r="P32" s="216">
        <v>166823670.30291176</v>
      </c>
      <c r="Q32" s="216">
        <v>182565526.21839392</v>
      </c>
      <c r="R32" s="216">
        <v>236906489.8680743</v>
      </c>
      <c r="S32" s="216">
        <v>305745431.21570128</v>
      </c>
      <c r="T32" s="216">
        <v>322965258.18712705</v>
      </c>
      <c r="U32" s="216">
        <v>254022192.86176497</v>
      </c>
      <c r="V32" s="216">
        <v>240593174.92225111</v>
      </c>
      <c r="W32" s="216">
        <v>207687468.43725601</v>
      </c>
      <c r="X32" s="216">
        <v>184489548.15388849</v>
      </c>
      <c r="Y32" s="216">
        <v>178918029.52419019</v>
      </c>
      <c r="Z32" s="216">
        <v>204568029.31251049</v>
      </c>
      <c r="AA32" s="216">
        <v>214351702.60896197</v>
      </c>
      <c r="AB32" s="216">
        <v>170876902.35992575</v>
      </c>
      <c r="AC32" s="216">
        <v>186433164.666733</v>
      </c>
      <c r="AD32" s="62"/>
      <c r="AE32" s="62"/>
    </row>
    <row r="33" spans="1:31">
      <c r="A33" s="143" t="s">
        <v>136</v>
      </c>
      <c r="B33" s="42"/>
      <c r="C33" s="216">
        <v>0</v>
      </c>
      <c r="D33" s="216">
        <v>0</v>
      </c>
      <c r="E33" s="216">
        <v>0</v>
      </c>
      <c r="F33" s="216">
        <v>0</v>
      </c>
      <c r="G33" s="216">
        <v>0</v>
      </c>
      <c r="H33" s="216">
        <v>0</v>
      </c>
      <c r="I33" s="216">
        <v>0</v>
      </c>
      <c r="J33" s="216">
        <v>0</v>
      </c>
      <c r="K33" s="216">
        <v>0</v>
      </c>
      <c r="L33" s="216">
        <v>0</v>
      </c>
      <c r="M33" s="216">
        <v>0</v>
      </c>
      <c r="N33" s="216">
        <v>0</v>
      </c>
      <c r="O33" s="216">
        <v>0</v>
      </c>
      <c r="P33" s="216">
        <v>0</v>
      </c>
      <c r="Q33" s="216">
        <v>0</v>
      </c>
      <c r="R33" s="216">
        <v>0</v>
      </c>
      <c r="S33" s="216">
        <v>0</v>
      </c>
      <c r="T33" s="216">
        <v>0</v>
      </c>
      <c r="U33" s="216">
        <v>0</v>
      </c>
      <c r="V33" s="216">
        <v>0</v>
      </c>
      <c r="W33" s="216">
        <v>0</v>
      </c>
      <c r="X33" s="216">
        <v>0</v>
      </c>
      <c r="Y33" s="216">
        <v>0</v>
      </c>
      <c r="Z33" s="216">
        <v>0</v>
      </c>
      <c r="AA33" s="216">
        <v>0</v>
      </c>
      <c r="AB33" s="216">
        <v>0</v>
      </c>
      <c r="AC33" s="216">
        <v>0</v>
      </c>
      <c r="AD33" s="62"/>
      <c r="AE33" s="62"/>
    </row>
    <row r="34" spans="1:31">
      <c r="A34" s="143" t="s">
        <v>137</v>
      </c>
      <c r="B34" s="42"/>
      <c r="C34" s="216">
        <v>53099094.660067178</v>
      </c>
      <c r="D34" s="216">
        <v>46215127.360371478</v>
      </c>
      <c r="E34" s="216">
        <v>48089075.840136901</v>
      </c>
      <c r="F34" s="216">
        <v>53678372.729303077</v>
      </c>
      <c r="G34" s="216">
        <v>58796331.265170649</v>
      </c>
      <c r="H34" s="216">
        <v>60533299.262154385</v>
      </c>
      <c r="I34" s="216">
        <v>50494621.579427645</v>
      </c>
      <c r="J34" s="216">
        <v>50041969.479415759</v>
      </c>
      <c r="K34" s="216">
        <v>45995091.468946069</v>
      </c>
      <c r="L34" s="216">
        <v>44802007.039109454</v>
      </c>
      <c r="M34" s="216">
        <v>46495680.324781172</v>
      </c>
      <c r="N34" s="216">
        <v>53963334.934553556</v>
      </c>
      <c r="O34" s="216">
        <v>53312074.950085334</v>
      </c>
      <c r="P34" s="216">
        <v>46228160.209292464</v>
      </c>
      <c r="Q34" s="216">
        <v>48418462.076163419</v>
      </c>
      <c r="R34" s="216">
        <v>54337536.029320002</v>
      </c>
      <c r="S34" s="216">
        <v>59593644.750332333</v>
      </c>
      <c r="T34" s="216">
        <v>61269877.211637095</v>
      </c>
      <c r="U34" s="216">
        <v>50735006.66591496</v>
      </c>
      <c r="V34" s="216">
        <v>50544579.239439614</v>
      </c>
      <c r="W34" s="216">
        <v>46274820.65123564</v>
      </c>
      <c r="X34" s="216">
        <v>45105661.584777817</v>
      </c>
      <c r="Y34" s="216">
        <v>46860495.078032181</v>
      </c>
      <c r="Z34" s="216">
        <v>54443163.564812653</v>
      </c>
      <c r="AA34" s="216">
        <v>53941166.603609033</v>
      </c>
      <c r="AB34" s="216">
        <v>46515265.585685715</v>
      </c>
      <c r="AC34" s="216">
        <v>48914336.278083086</v>
      </c>
      <c r="AD34" s="62"/>
      <c r="AE34" s="62"/>
    </row>
    <row r="35" spans="1:31">
      <c r="A35" s="143" t="s">
        <v>138</v>
      </c>
      <c r="B35" s="42"/>
      <c r="C35" s="216">
        <v>4665999.6681473255</v>
      </c>
      <c r="D35" s="216">
        <v>4182729.1640976425</v>
      </c>
      <c r="E35" s="216">
        <v>4845722.4073872063</v>
      </c>
      <c r="F35" s="216">
        <v>6678503.9665747872</v>
      </c>
      <c r="G35" s="216">
        <v>8717593.9734924361</v>
      </c>
      <c r="H35" s="216">
        <v>9024213.7073765956</v>
      </c>
      <c r="I35" s="216">
        <v>6991060.9599690828</v>
      </c>
      <c r="J35" s="216">
        <v>6910931.2865958875</v>
      </c>
      <c r="K35" s="216">
        <v>5564070.4538342478</v>
      </c>
      <c r="L35" s="216">
        <v>4833802.8986611478</v>
      </c>
      <c r="M35" s="216">
        <v>4371400.9446307262</v>
      </c>
      <c r="N35" s="216">
        <v>4949064.5201433124</v>
      </c>
      <c r="O35" s="216">
        <v>4724031.9416485298</v>
      </c>
      <c r="P35" s="216">
        <v>4233508.6002744138</v>
      </c>
      <c r="Q35" s="216">
        <v>4894553.2063752459</v>
      </c>
      <c r="R35" s="216">
        <v>6855533.9030152652</v>
      </c>
      <c r="S35" s="216">
        <v>8799437.8511863817</v>
      </c>
      <c r="T35" s="216">
        <v>9172395.843592735</v>
      </c>
      <c r="U35" s="216">
        <v>7118212.8549257312</v>
      </c>
      <c r="V35" s="216">
        <v>7087520.1770646293</v>
      </c>
      <c r="W35" s="216">
        <v>5716173.0661054617</v>
      </c>
      <c r="X35" s="216">
        <v>4898872.0775428284</v>
      </c>
      <c r="Y35" s="216">
        <v>4548715.9955888567</v>
      </c>
      <c r="Z35" s="216">
        <v>5136684.0570079992</v>
      </c>
      <c r="AA35" s="216">
        <v>4915431.6135531459</v>
      </c>
      <c r="AB35" s="216">
        <v>4333760.9574906407</v>
      </c>
      <c r="AC35" s="216">
        <v>5066659.6040536007</v>
      </c>
      <c r="AD35" s="62"/>
      <c r="AE35" s="62"/>
    </row>
    <row r="36" spans="1:31">
      <c r="A36" s="143" t="s">
        <v>139</v>
      </c>
      <c r="B36" s="42"/>
      <c r="C36" s="216">
        <v>49790.57545462437</v>
      </c>
      <c r="D36" s="216">
        <v>53455.225045724161</v>
      </c>
      <c r="E36" s="216">
        <v>52564.831686201615</v>
      </c>
      <c r="F36" s="216">
        <v>51256.334415148762</v>
      </c>
      <c r="G36" s="216">
        <v>48603.374858187948</v>
      </c>
      <c r="H36" s="216">
        <v>49212.536531993901</v>
      </c>
      <c r="I36" s="216">
        <v>49905.954076148548</v>
      </c>
      <c r="J36" s="216">
        <v>50450.083326513843</v>
      </c>
      <c r="K36" s="216">
        <v>50520.879712055008</v>
      </c>
      <c r="L36" s="216">
        <v>50526.196660210269</v>
      </c>
      <c r="M36" s="216">
        <v>50514.239066556489</v>
      </c>
      <c r="N36" s="216">
        <v>50383.142803406125</v>
      </c>
      <c r="O36" s="216">
        <v>50224.234887912869</v>
      </c>
      <c r="P36" s="216">
        <v>50094.833682465149</v>
      </c>
      <c r="Q36" s="216">
        <v>50194.829547705282</v>
      </c>
      <c r="R36" s="216">
        <v>50280.856783593656</v>
      </c>
      <c r="S36" s="216">
        <v>50334.864276807006</v>
      </c>
      <c r="T36" s="216">
        <v>50351.979254418424</v>
      </c>
      <c r="U36" s="216">
        <v>50336.431975261599</v>
      </c>
      <c r="V36" s="216">
        <v>50305.441110467618</v>
      </c>
      <c r="W36" s="216">
        <v>50273.111581769866</v>
      </c>
      <c r="X36" s="216">
        <v>50261.401658639617</v>
      </c>
      <c r="Y36" s="216">
        <v>50270.037646278615</v>
      </c>
      <c r="Z36" s="216">
        <v>50292.693649831141</v>
      </c>
      <c r="AA36" s="216">
        <v>50302.314118449009</v>
      </c>
      <c r="AB36" s="216">
        <v>50302.699096033633</v>
      </c>
      <c r="AC36" s="216">
        <v>50298.437071745553</v>
      </c>
      <c r="AD36" s="62"/>
      <c r="AE36" s="62"/>
    </row>
    <row r="37" spans="1:31">
      <c r="A37" s="143" t="s">
        <v>140</v>
      </c>
      <c r="B37" s="42"/>
      <c r="C37" s="216">
        <v>109306039.02196302</v>
      </c>
      <c r="D37" s="216">
        <v>95873890.097042114</v>
      </c>
      <c r="E37" s="216">
        <v>108461736.93674356</v>
      </c>
      <c r="F37" s="216">
        <v>113949708.02844103</v>
      </c>
      <c r="G37" s="216">
        <v>109805872.01555914</v>
      </c>
      <c r="H37" s="216">
        <v>111594167.93137099</v>
      </c>
      <c r="I37" s="216">
        <v>93668413.775678813</v>
      </c>
      <c r="J37" s="216">
        <v>96598636.778421611</v>
      </c>
      <c r="K37" s="216">
        <v>91062246.985419735</v>
      </c>
      <c r="L37" s="216">
        <v>96411752.945413947</v>
      </c>
      <c r="M37" s="216">
        <v>103514721.3110524</v>
      </c>
      <c r="N37" s="216">
        <v>114789414.6522166</v>
      </c>
      <c r="O37" s="216">
        <v>107193314.07852583</v>
      </c>
      <c r="P37" s="216">
        <v>93754205.381488502</v>
      </c>
      <c r="Q37" s="216">
        <v>106141405.08207507</v>
      </c>
      <c r="R37" s="216">
        <v>112535829.66056401</v>
      </c>
      <c r="S37" s="216">
        <v>108567659.10139212</v>
      </c>
      <c r="T37" s="216">
        <v>110456336.24002549</v>
      </c>
      <c r="U37" s="216">
        <v>92065635.160262793</v>
      </c>
      <c r="V37" s="216">
        <v>95013611.640703857</v>
      </c>
      <c r="W37" s="216">
        <v>89554231.811020747</v>
      </c>
      <c r="X37" s="216">
        <v>94287914.505729109</v>
      </c>
      <c r="Y37" s="216">
        <v>101572843.65264413</v>
      </c>
      <c r="Z37" s="216">
        <v>113066682.81474249</v>
      </c>
      <c r="AA37" s="216">
        <v>106066986.61240844</v>
      </c>
      <c r="AB37" s="216">
        <v>92084481.487530887</v>
      </c>
      <c r="AC37" s="216">
        <v>104526607.87923995</v>
      </c>
      <c r="AD37" s="62"/>
      <c r="AE37" s="62"/>
    </row>
    <row r="38" spans="1:31">
      <c r="A38" s="143" t="s">
        <v>141</v>
      </c>
      <c r="B38" s="42"/>
      <c r="C38" s="216">
        <v>2338073.9351445474</v>
      </c>
      <c r="D38" s="216">
        <v>2045020.2564702288</v>
      </c>
      <c r="E38" s="216">
        <v>2226041.8406232931</v>
      </c>
      <c r="F38" s="216">
        <v>2704140.3466250272</v>
      </c>
      <c r="G38" s="216">
        <v>3444693.4813220142</v>
      </c>
      <c r="H38" s="216">
        <v>3553781.3232689267</v>
      </c>
      <c r="I38" s="216">
        <v>2808460.8824171685</v>
      </c>
      <c r="J38" s="216">
        <v>2707222.7637538249</v>
      </c>
      <c r="K38" s="216">
        <v>2299563.105958648</v>
      </c>
      <c r="L38" s="216">
        <v>2104162.927245995</v>
      </c>
      <c r="M38" s="216">
        <v>2089418.4871771177</v>
      </c>
      <c r="N38" s="216">
        <v>2451251.1862399899</v>
      </c>
      <c r="O38" s="216">
        <v>2352687.0353906183</v>
      </c>
      <c r="P38" s="216">
        <v>2036149.5621030494</v>
      </c>
      <c r="Q38" s="216">
        <v>2262991.0784414201</v>
      </c>
      <c r="R38" s="216">
        <v>2736019.5120204729</v>
      </c>
      <c r="S38" s="216">
        <v>3400699.1379533447</v>
      </c>
      <c r="T38" s="216">
        <v>3544315.6703471807</v>
      </c>
      <c r="U38" s="216">
        <v>2789540.5895852372</v>
      </c>
      <c r="V38" s="216">
        <v>2687486.6134706079</v>
      </c>
      <c r="W38" s="216">
        <v>2305064.1944960328</v>
      </c>
      <c r="X38" s="216">
        <v>2108495.9114363776</v>
      </c>
      <c r="Y38" s="216">
        <v>2108637.6251200801</v>
      </c>
      <c r="Z38" s="216">
        <v>2472446.7633673535</v>
      </c>
      <c r="AA38" s="216">
        <v>2386849.2858162671</v>
      </c>
      <c r="AB38" s="216">
        <v>2046488.7978721103</v>
      </c>
      <c r="AC38" s="216">
        <v>2309796.180153158</v>
      </c>
      <c r="AD38" s="62"/>
      <c r="AE38" s="62"/>
    </row>
    <row r="39" spans="1:31">
      <c r="A39" s="143" t="s">
        <v>142</v>
      </c>
      <c r="B39" s="142"/>
      <c r="C39" s="216">
        <v>200266.62002546733</v>
      </c>
      <c r="D39" s="216">
        <v>183089.43756432566</v>
      </c>
      <c r="E39" s="216">
        <v>182633.57681210921</v>
      </c>
      <c r="F39" s="216">
        <v>196264.7341010996</v>
      </c>
      <c r="G39" s="216">
        <v>196340.78057245479</v>
      </c>
      <c r="H39" s="216">
        <v>196071.77628796455</v>
      </c>
      <c r="I39" s="216">
        <v>193596.59330891623</v>
      </c>
      <c r="J39" s="216">
        <v>191590.66644561035</v>
      </c>
      <c r="K39" s="216">
        <v>191969.60731424994</v>
      </c>
      <c r="L39" s="216">
        <v>192270.51916535987</v>
      </c>
      <c r="M39" s="216">
        <v>192436.0632666958</v>
      </c>
      <c r="N39" s="216">
        <v>192574.59191777013</v>
      </c>
      <c r="O39" s="216">
        <v>192715.80506393936</v>
      </c>
      <c r="P39" s="216">
        <v>193320.37576039587</v>
      </c>
      <c r="Q39" s="216">
        <v>193094.81318312828</v>
      </c>
      <c r="R39" s="216">
        <v>192889.97866476115</v>
      </c>
      <c r="S39" s="216">
        <v>192752.23861987508</v>
      </c>
      <c r="T39" s="216">
        <v>192679.12127575383</v>
      </c>
      <c r="U39" s="216">
        <v>192645.48386213806</v>
      </c>
      <c r="V39" s="216">
        <v>192683.5325211281</v>
      </c>
      <c r="W39" s="216">
        <v>192759.39353245281</v>
      </c>
      <c r="X39" s="216">
        <v>192820.25424964691</v>
      </c>
      <c r="Y39" s="216">
        <v>192858.33442116514</v>
      </c>
      <c r="Z39" s="216">
        <v>192858.55135462174</v>
      </c>
      <c r="AA39" s="216">
        <v>192794.06550841473</v>
      </c>
      <c r="AB39" s="216">
        <v>192766.46614162321</v>
      </c>
      <c r="AC39" s="216">
        <v>192761.94256004301</v>
      </c>
      <c r="AD39" s="62"/>
      <c r="AE39" s="62"/>
    </row>
    <row r="40" spans="1:31">
      <c r="A40" s="143" t="s">
        <v>143</v>
      </c>
      <c r="B40" s="142"/>
      <c r="C40" s="216">
        <v>59236945</v>
      </c>
      <c r="D40" s="216">
        <v>49822212</v>
      </c>
      <c r="E40" s="216">
        <v>51363419</v>
      </c>
      <c r="F40" s="216">
        <v>49248530</v>
      </c>
      <c r="G40" s="216">
        <v>49427123</v>
      </c>
      <c r="H40" s="216">
        <v>55614734</v>
      </c>
      <c r="I40" s="216">
        <v>47598641</v>
      </c>
      <c r="J40" s="216">
        <v>53469196</v>
      </c>
      <c r="K40" s="216">
        <v>48593642</v>
      </c>
      <c r="L40" s="216">
        <v>51505608</v>
      </c>
      <c r="M40" s="216">
        <v>52323263</v>
      </c>
      <c r="N40" s="216">
        <v>52611678</v>
      </c>
      <c r="O40" s="216">
        <v>57808452</v>
      </c>
      <c r="P40" s="216">
        <v>50092151</v>
      </c>
      <c r="Q40" s="216">
        <v>50742389</v>
      </c>
      <c r="R40" s="216">
        <v>48860881</v>
      </c>
      <c r="S40" s="216">
        <v>50249792</v>
      </c>
      <c r="T40" s="216">
        <v>54082816</v>
      </c>
      <c r="U40" s="216">
        <v>48080079</v>
      </c>
      <c r="V40" s="216">
        <v>52706000</v>
      </c>
      <c r="W40" s="216">
        <v>48652401</v>
      </c>
      <c r="X40" s="216">
        <v>51329654</v>
      </c>
      <c r="Y40" s="216">
        <v>51829582</v>
      </c>
      <c r="Z40" s="216">
        <v>52681491</v>
      </c>
      <c r="AA40" s="216">
        <v>57050256</v>
      </c>
      <c r="AB40" s="216">
        <v>50251536</v>
      </c>
      <c r="AC40" s="216">
        <v>50165133</v>
      </c>
      <c r="AD40" s="62"/>
      <c r="AE40" s="62"/>
    </row>
    <row r="41" spans="1:31">
      <c r="A41" s="143" t="s">
        <v>144</v>
      </c>
      <c r="B41" s="142"/>
      <c r="C41" s="216">
        <v>26196087.747690693</v>
      </c>
      <c r="D41" s="216">
        <v>21207651.978866506</v>
      </c>
      <c r="E41" s="216">
        <v>12792920.99554177</v>
      </c>
      <c r="F41" s="216">
        <v>3793593.5262851678</v>
      </c>
      <c r="G41" s="216">
        <v>3647457.1208414128</v>
      </c>
      <c r="H41" s="216">
        <v>4466264.7198980711</v>
      </c>
      <c r="I41" s="216">
        <v>3291132.1705674292</v>
      </c>
      <c r="J41" s="216">
        <v>4255008.9684777167</v>
      </c>
      <c r="K41" s="216">
        <v>5234502.3037046641</v>
      </c>
      <c r="L41" s="216">
        <v>11282380.197254535</v>
      </c>
      <c r="M41" s="216">
        <v>18688681.781238146</v>
      </c>
      <c r="N41" s="216">
        <v>24163837.904274181</v>
      </c>
      <c r="O41" s="216">
        <v>26372232.262065466</v>
      </c>
      <c r="P41" s="216">
        <v>20182586.439696096</v>
      </c>
      <c r="Q41" s="216">
        <v>12399183.675410647</v>
      </c>
      <c r="R41" s="216">
        <v>3981034.161403785</v>
      </c>
      <c r="S41" s="216">
        <v>3498245.4765134426</v>
      </c>
      <c r="T41" s="216">
        <v>4264904.3768419828</v>
      </c>
      <c r="U41" s="216">
        <v>3716973.4638001951</v>
      </c>
      <c r="V41" s="216">
        <v>4491574.1265085833</v>
      </c>
      <c r="W41" s="216">
        <v>5309187.544768245</v>
      </c>
      <c r="X41" s="216">
        <v>11264948.29963842</v>
      </c>
      <c r="Y41" s="216">
        <v>18689510.418674566</v>
      </c>
      <c r="Z41" s="216">
        <v>23592757.098632053</v>
      </c>
      <c r="AA41" s="216">
        <v>26081253.646886658</v>
      </c>
      <c r="AB41" s="216">
        <v>20390280.299107887</v>
      </c>
      <c r="AC41" s="216">
        <v>13165983.402111638</v>
      </c>
      <c r="AD41" s="62"/>
      <c r="AE41" s="62"/>
    </row>
    <row r="42" spans="1:31">
      <c r="A42" s="143" t="s">
        <v>145</v>
      </c>
      <c r="B42" s="142"/>
      <c r="C42" s="216">
        <v>1909434.2757574553</v>
      </c>
      <c r="D42" s="216">
        <v>1116741.5712587009</v>
      </c>
      <c r="E42" s="216">
        <v>626871.56658872252</v>
      </c>
      <c r="F42" s="216">
        <v>380817.62768570747</v>
      </c>
      <c r="G42" s="216">
        <v>406618.12461074151</v>
      </c>
      <c r="H42" s="216">
        <v>481168.12571570452</v>
      </c>
      <c r="I42" s="216">
        <v>385648.31963218522</v>
      </c>
      <c r="J42" s="216">
        <v>379769.67518172279</v>
      </c>
      <c r="K42" s="216">
        <v>423603.29246978188</v>
      </c>
      <c r="L42" s="216">
        <v>629064.2060608461</v>
      </c>
      <c r="M42" s="216">
        <v>947018.42331732181</v>
      </c>
      <c r="N42" s="216">
        <v>1615782.330463907</v>
      </c>
      <c r="O42" s="216">
        <v>1874233.0946393479</v>
      </c>
      <c r="P42" s="216">
        <v>1045245.0759003481</v>
      </c>
      <c r="Q42" s="216">
        <v>588364.61384348501</v>
      </c>
      <c r="R42" s="216">
        <v>362854.23498714215</v>
      </c>
      <c r="S42" s="216">
        <v>390157.66848657466</v>
      </c>
      <c r="T42" s="216">
        <v>440379.82023499737</v>
      </c>
      <c r="U42" s="216">
        <v>374266.60370160907</v>
      </c>
      <c r="V42" s="216">
        <v>369330.69565344177</v>
      </c>
      <c r="W42" s="216">
        <v>427295.42717475002</v>
      </c>
      <c r="X42" s="216">
        <v>668770.06788401026</v>
      </c>
      <c r="Y42" s="216">
        <v>995141.13273923495</v>
      </c>
      <c r="Z42" s="216">
        <v>1708930.8942732024</v>
      </c>
      <c r="AA42" s="216">
        <v>1874470.6306873991</v>
      </c>
      <c r="AB42" s="216">
        <v>1084263.0507554628</v>
      </c>
      <c r="AC42" s="216">
        <v>631022.96522750286</v>
      </c>
      <c r="AD42" s="62"/>
      <c r="AE42" s="62"/>
    </row>
    <row r="43" spans="1:31">
      <c r="A43" s="143" t="s">
        <v>146</v>
      </c>
      <c r="B43" s="142"/>
      <c r="C43" s="216">
        <v>1334110.298731857</v>
      </c>
      <c r="D43" s="216">
        <v>1302325.5008865951</v>
      </c>
      <c r="E43" s="216">
        <v>1306182.7894858946</v>
      </c>
      <c r="F43" s="216">
        <v>1320266.0382451359</v>
      </c>
      <c r="G43" s="216">
        <v>1319835.5894288972</v>
      </c>
      <c r="H43" s="216">
        <v>1312052.5670342222</v>
      </c>
      <c r="I43" s="216">
        <v>1282781.9397454073</v>
      </c>
      <c r="J43" s="216">
        <v>1346978.8782308577</v>
      </c>
      <c r="K43" s="216">
        <v>1282521.0688841238</v>
      </c>
      <c r="L43" s="216">
        <v>1322804.2761951154</v>
      </c>
      <c r="M43" s="216">
        <v>1311334.1459539002</v>
      </c>
      <c r="N43" s="216">
        <v>1318291.5221090443</v>
      </c>
      <c r="O43" s="216">
        <v>1317500.1690632126</v>
      </c>
      <c r="P43" s="216">
        <v>1269268.4803722838</v>
      </c>
      <c r="Q43" s="216">
        <v>1295238.796120883</v>
      </c>
      <c r="R43" s="216">
        <v>1305931.2342727571</v>
      </c>
      <c r="S43" s="216">
        <v>1304157.7672317254</v>
      </c>
      <c r="T43" s="216">
        <v>1271052.7874755026</v>
      </c>
      <c r="U43" s="216">
        <v>1281690.8657831096</v>
      </c>
      <c r="V43" s="216">
        <v>1330206.771087918</v>
      </c>
      <c r="W43" s="216">
        <v>1265826.8516803812</v>
      </c>
      <c r="X43" s="216">
        <v>1299825.2317412151</v>
      </c>
      <c r="Y43" s="216">
        <v>1293536.9214742235</v>
      </c>
      <c r="Z43" s="216">
        <v>1298088.8774713338</v>
      </c>
      <c r="AA43" s="216">
        <v>1297436.482687983</v>
      </c>
      <c r="AB43" s="216">
        <v>1258388.4828026511</v>
      </c>
      <c r="AC43" s="216">
        <v>1273707.2308794528</v>
      </c>
      <c r="AD43" s="62"/>
      <c r="AE43" s="62"/>
    </row>
    <row r="44" spans="1:31">
      <c r="A44" s="143" t="s">
        <v>236</v>
      </c>
      <c r="B44" s="142"/>
      <c r="C44" s="216">
        <v>36585435</v>
      </c>
      <c r="D44" s="216">
        <v>37109668</v>
      </c>
      <c r="E44" s="216">
        <v>34770564</v>
      </c>
      <c r="F44" s="216">
        <v>35823113</v>
      </c>
      <c r="G44" s="216">
        <v>36584911</v>
      </c>
      <c r="H44" s="216">
        <v>37391600</v>
      </c>
      <c r="I44" s="216">
        <v>35111801</v>
      </c>
      <c r="J44" s="216">
        <v>36043336</v>
      </c>
      <c r="K44" s="216">
        <v>36841235</v>
      </c>
      <c r="L44" s="216">
        <v>35372228</v>
      </c>
      <c r="M44" s="216">
        <v>35675190</v>
      </c>
      <c r="N44" s="216">
        <v>35874371</v>
      </c>
      <c r="O44" s="216">
        <v>36467467</v>
      </c>
      <c r="P44" s="216">
        <v>35575817</v>
      </c>
      <c r="Q44" s="216">
        <v>35681264</v>
      </c>
      <c r="R44" s="216">
        <v>36370128</v>
      </c>
      <c r="S44" s="216">
        <v>35624529</v>
      </c>
      <c r="T44" s="216">
        <v>35686729</v>
      </c>
      <c r="U44" s="216">
        <v>35713922</v>
      </c>
      <c r="V44" s="216">
        <v>35996684</v>
      </c>
      <c r="W44" s="216">
        <v>35704864</v>
      </c>
      <c r="X44" s="216">
        <v>35572111</v>
      </c>
      <c r="Y44" s="216">
        <v>36025965</v>
      </c>
      <c r="Z44" s="216">
        <v>35721817</v>
      </c>
      <c r="AA44" s="216">
        <v>35692433</v>
      </c>
      <c r="AB44" s="216">
        <v>35696681</v>
      </c>
      <c r="AC44" s="216">
        <v>35793767</v>
      </c>
      <c r="AD44" s="62"/>
      <c r="AE44" s="62"/>
    </row>
    <row r="45" spans="1:31" s="42" customFormat="1">
      <c r="A45" s="143" t="s">
        <v>250</v>
      </c>
      <c r="B45" s="142"/>
      <c r="C45" s="234">
        <v>35012148.200000003</v>
      </c>
      <c r="D45" s="234">
        <v>33205161.600000001</v>
      </c>
      <c r="E45" s="234">
        <v>34639056</v>
      </c>
      <c r="F45" s="234">
        <v>27404254</v>
      </c>
      <c r="G45" s="234">
        <v>34786226</v>
      </c>
      <c r="H45" s="234">
        <v>30592247.399999999</v>
      </c>
      <c r="I45" s="234">
        <v>29055804</v>
      </c>
      <c r="J45" s="234">
        <v>30048328.800000001</v>
      </c>
      <c r="K45" s="234">
        <v>28282368</v>
      </c>
      <c r="L45" s="234">
        <v>33251464</v>
      </c>
      <c r="M45" s="234">
        <v>32185947</v>
      </c>
      <c r="N45" s="234">
        <v>34794329.600000001</v>
      </c>
      <c r="O45" s="234">
        <v>35012148.200000003</v>
      </c>
      <c r="P45" s="234">
        <v>33205161.600000001</v>
      </c>
      <c r="Q45" s="234">
        <v>34639056</v>
      </c>
      <c r="R45" s="234">
        <v>27404254</v>
      </c>
      <c r="S45" s="234">
        <v>34786226</v>
      </c>
      <c r="T45" s="234">
        <v>30592247.399999999</v>
      </c>
      <c r="U45" s="234">
        <v>29055804</v>
      </c>
      <c r="V45" s="234">
        <v>30048328.800000001</v>
      </c>
      <c r="W45" s="234">
        <v>28282368</v>
      </c>
      <c r="X45" s="234">
        <v>33251464</v>
      </c>
      <c r="Y45" s="234">
        <v>32185947</v>
      </c>
      <c r="Z45" s="234">
        <v>34794329.600000001</v>
      </c>
      <c r="AA45" s="234">
        <v>35012148.200000003</v>
      </c>
      <c r="AB45" s="234">
        <v>33205161.600000001</v>
      </c>
      <c r="AC45" s="234">
        <v>34639056</v>
      </c>
      <c r="AD45" s="62"/>
      <c r="AE45" s="62"/>
    </row>
    <row r="46" spans="1:31">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row>
    <row r="47" spans="1:31">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row>
    <row r="48" spans="1:31">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row>
    <row r="49" spans="3:28">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row>
  </sheetData>
  <pageMargins left="0.7" right="0.7" top="0.75" bottom="0.75" header="0.3" footer="0.3"/>
  <pageSetup scale="93" fitToWidth="5" orientation="portrait" r:id="rId1"/>
  <headerFooter>
    <oddHeader>&amp;CAvista Utilities
Schedule 92 LIRAP</oddHeader>
    <oddFooter>&amp;L&amp;A&amp;RPage &amp;P of &amp;N</oddFooter>
  </headerFooter>
  <colBreaks count="1" manualBreakCount="1">
    <brk id="23" max="44" man="1"/>
  </colBreaks>
  <customProperties>
    <customPr name="xxe4aP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O68"/>
  <sheetViews>
    <sheetView view="pageBreakPreview" zoomScaleNormal="100" zoomScaleSheetLayoutView="100" workbookViewId="0"/>
  </sheetViews>
  <sheetFormatPr defaultColWidth="9.1796875" defaultRowHeight="13"/>
  <cols>
    <col min="1" max="1" width="11.54296875" style="19" customWidth="1"/>
    <col min="2" max="2" width="9.1796875" style="19"/>
    <col min="3" max="3" width="42" style="19" customWidth="1"/>
    <col min="4" max="4" width="5.81640625" style="19" customWidth="1"/>
    <col min="5" max="5" width="20.1796875" style="22" customWidth="1"/>
    <col min="6" max="6" width="19.81640625" style="19" bestFit="1" customWidth="1"/>
    <col min="7" max="15" width="9.1796875" style="19"/>
    <col min="16" max="16" width="9.1796875" style="21"/>
    <col min="17" max="50" width="9.1796875" style="19"/>
    <col min="51" max="51" width="11.453125" style="19" customWidth="1"/>
    <col min="52" max="16384" width="9.1796875" style="19"/>
  </cols>
  <sheetData>
    <row r="1" spans="1:41" ht="13.5" customHeight="1">
      <c r="A1" s="198" t="s">
        <v>26</v>
      </c>
      <c r="B1" s="198"/>
      <c r="C1" s="198"/>
      <c r="D1" s="198"/>
      <c r="E1" s="199"/>
      <c r="G1" s="20"/>
    </row>
    <row r="2" spans="1:41" ht="13.5" customHeight="1">
      <c r="A2" s="302" t="s">
        <v>39</v>
      </c>
      <c r="B2" s="302"/>
      <c r="C2" s="302"/>
      <c r="D2" s="302"/>
      <c r="E2" s="302"/>
      <c r="G2" s="20"/>
    </row>
    <row r="3" spans="1:41" ht="13.5" customHeight="1">
      <c r="A3" s="300" t="s">
        <v>112</v>
      </c>
      <c r="B3" s="300"/>
      <c r="C3" s="300"/>
      <c r="D3" s="300"/>
      <c r="E3" s="300"/>
      <c r="G3" s="20"/>
    </row>
    <row r="4" spans="1:41" ht="13.5" customHeight="1">
      <c r="A4" s="198" t="s">
        <v>200</v>
      </c>
      <c r="B4" s="198"/>
      <c r="C4" s="198"/>
      <c r="D4" s="198"/>
      <c r="E4" s="199"/>
      <c r="G4" s="20"/>
    </row>
    <row r="5" spans="1:41">
      <c r="A5" s="48"/>
      <c r="B5" s="48"/>
      <c r="C5" s="48"/>
      <c r="D5" s="48"/>
      <c r="E5" s="48"/>
      <c r="G5" s="20"/>
    </row>
    <row r="6" spans="1:41" s="23" customFormat="1" ht="13.5">
      <c r="A6" s="49" t="s">
        <v>27</v>
      </c>
      <c r="B6" s="49"/>
      <c r="C6" s="49"/>
      <c r="D6" s="49"/>
      <c r="E6" s="57"/>
      <c r="G6" s="24"/>
      <c r="P6" s="25"/>
    </row>
    <row r="7" spans="1:41" s="23" customFormat="1" ht="13.5">
      <c r="A7" s="55" t="s">
        <v>28</v>
      </c>
      <c r="B7" s="49"/>
      <c r="C7" s="55" t="s">
        <v>29</v>
      </c>
      <c r="D7" s="50"/>
      <c r="E7" s="58" t="s">
        <v>30</v>
      </c>
      <c r="G7" s="24"/>
      <c r="P7" s="25"/>
    </row>
    <row r="8" spans="1:41">
      <c r="A8" s="48"/>
      <c r="B8" s="48"/>
      <c r="C8" s="48"/>
      <c r="D8" s="48"/>
      <c r="E8" s="48"/>
      <c r="G8" s="20"/>
    </row>
    <row r="9" spans="1:41">
      <c r="A9" s="51">
        <v>1</v>
      </c>
      <c r="B9" s="48"/>
      <c r="C9" s="56" t="s">
        <v>31</v>
      </c>
      <c r="D9" s="48"/>
      <c r="E9" s="59">
        <v>1</v>
      </c>
    </row>
    <row r="10" spans="1:41">
      <c r="A10" s="51"/>
      <c r="B10" s="48"/>
      <c r="C10" s="48"/>
      <c r="D10" s="48"/>
      <c r="E10" s="59"/>
    </row>
    <row r="11" spans="1:41">
      <c r="A11" s="51"/>
      <c r="B11" s="48"/>
      <c r="C11" s="52" t="s">
        <v>32</v>
      </c>
      <c r="D11" s="53"/>
      <c r="E11" s="60"/>
    </row>
    <row r="12" spans="1:41">
      <c r="A12" s="51">
        <v>2</v>
      </c>
      <c r="B12" s="48"/>
      <c r="C12" s="53" t="s">
        <v>33</v>
      </c>
      <c r="D12" s="53"/>
      <c r="E12" s="60">
        <v>3.3262885794710221E-3</v>
      </c>
    </row>
    <row r="13" spans="1:41">
      <c r="A13" s="51"/>
      <c r="B13" s="48"/>
      <c r="C13" s="53"/>
      <c r="D13" s="53"/>
      <c r="E13" s="60"/>
    </row>
    <row r="14" spans="1:41">
      <c r="A14" s="51">
        <v>3</v>
      </c>
      <c r="B14" s="48"/>
      <c r="C14" s="53" t="s">
        <v>34</v>
      </c>
      <c r="D14" s="53"/>
      <c r="E14" s="60">
        <v>2E-3</v>
      </c>
    </row>
    <row r="15" spans="1:41">
      <c r="A15" s="51"/>
      <c r="B15" s="48"/>
      <c r="C15" s="53"/>
      <c r="D15" s="53"/>
      <c r="E15" s="60"/>
      <c r="AO15" s="26"/>
    </row>
    <row r="16" spans="1:41">
      <c r="A16" s="51">
        <v>4</v>
      </c>
      <c r="B16" s="48"/>
      <c r="C16" s="53" t="s">
        <v>35</v>
      </c>
      <c r="D16" s="53"/>
      <c r="E16" s="60">
        <v>3.8605159538162764E-2</v>
      </c>
    </row>
    <row r="17" spans="1:41">
      <c r="A17" s="51"/>
      <c r="B17" s="48"/>
      <c r="C17" s="53"/>
      <c r="D17" s="53"/>
      <c r="E17" s="59"/>
    </row>
    <row r="18" spans="1:41">
      <c r="A18" s="51">
        <v>5</v>
      </c>
      <c r="B18" s="48"/>
      <c r="C18" s="53" t="s">
        <v>36</v>
      </c>
      <c r="D18" s="53"/>
      <c r="E18" s="60">
        <v>0</v>
      </c>
    </row>
    <row r="19" spans="1:41">
      <c r="A19" s="51"/>
      <c r="B19" s="48"/>
      <c r="C19" s="53"/>
      <c r="D19" s="53"/>
      <c r="E19" s="60"/>
    </row>
    <row r="20" spans="1:41">
      <c r="A20" s="51">
        <v>6</v>
      </c>
      <c r="B20" s="48"/>
      <c r="C20" s="53" t="s">
        <v>37</v>
      </c>
      <c r="D20" s="53"/>
      <c r="E20" s="61">
        <f>E12+E14+E16+E18</f>
        <v>4.393144811763379E-2</v>
      </c>
    </row>
    <row r="21" spans="1:41">
      <c r="A21" s="48"/>
      <c r="B21" s="48"/>
      <c r="C21" s="53"/>
      <c r="D21" s="53"/>
      <c r="E21" s="60"/>
    </row>
    <row r="22" spans="1:41">
      <c r="A22" s="51">
        <v>7</v>
      </c>
      <c r="B22" s="48"/>
      <c r="C22" s="53" t="s">
        <v>38</v>
      </c>
      <c r="D22" s="53"/>
      <c r="E22" s="60">
        <f>E9-E20</f>
        <v>0.95606855188236617</v>
      </c>
      <c r="AO22" s="26"/>
    </row>
    <row r="23" spans="1:41">
      <c r="A23" s="48"/>
      <c r="B23" s="48"/>
      <c r="C23" s="53"/>
      <c r="D23" s="53"/>
      <c r="E23" s="60"/>
    </row>
    <row r="24" spans="1:41">
      <c r="A24" s="51">
        <v>8</v>
      </c>
      <c r="B24" s="48"/>
      <c r="C24" s="53" t="s">
        <v>116</v>
      </c>
      <c r="D24" s="54"/>
      <c r="E24" s="200">
        <v>0.20077439589529689</v>
      </c>
      <c r="G24" s="20"/>
    </row>
    <row r="25" spans="1:41">
      <c r="A25" s="48"/>
      <c r="B25" s="48"/>
      <c r="C25" s="53"/>
      <c r="D25" s="53"/>
      <c r="E25" s="60"/>
      <c r="G25" s="20"/>
    </row>
    <row r="26" spans="1:41" ht="13.5" thickBot="1">
      <c r="A26" s="51">
        <v>9</v>
      </c>
      <c r="B26" s="48"/>
      <c r="C26" s="52" t="s">
        <v>39</v>
      </c>
      <c r="D26" s="53"/>
      <c r="E26" s="124">
        <f>E22-E24</f>
        <v>0.75529415598706928</v>
      </c>
    </row>
    <row r="27" spans="1:41" ht="13.5" thickTop="1"/>
    <row r="29" spans="1:41" ht="18">
      <c r="A29" s="46" t="s">
        <v>201</v>
      </c>
    </row>
    <row r="32" spans="1:41">
      <c r="A32" s="300"/>
      <c r="B32" s="300"/>
      <c r="C32" s="300"/>
      <c r="D32" s="300"/>
      <c r="E32" s="300"/>
    </row>
    <row r="33" spans="1:41" s="28" customFormat="1">
      <c r="A33" s="301"/>
      <c r="B33" s="301"/>
      <c r="C33" s="301"/>
      <c r="D33" s="301"/>
      <c r="E33" s="301"/>
      <c r="P33" s="29"/>
    </row>
    <row r="34" spans="1:41" s="28" customFormat="1">
      <c r="A34" s="301"/>
      <c r="B34" s="301"/>
      <c r="C34" s="301"/>
      <c r="D34" s="301"/>
      <c r="E34" s="301"/>
      <c r="P34" s="29"/>
    </row>
    <row r="35" spans="1:41" s="28" customFormat="1">
      <c r="E35" s="30"/>
      <c r="P35" s="29"/>
    </row>
    <row r="36" spans="1:41" s="28" customFormat="1">
      <c r="E36" s="30"/>
      <c r="P36" s="29"/>
    </row>
    <row r="37" spans="1:41" s="28" customFormat="1">
      <c r="E37" s="30"/>
      <c r="P37" s="29"/>
    </row>
    <row r="38" spans="1:41" s="28" customFormat="1">
      <c r="E38" s="27"/>
      <c r="P38" s="29"/>
    </row>
    <row r="39" spans="1:41" s="28" customFormat="1">
      <c r="E39" s="27"/>
      <c r="P39" s="29"/>
    </row>
    <row r="40" spans="1:41" s="28" customFormat="1">
      <c r="E40" s="27"/>
      <c r="P40" s="29"/>
    </row>
    <row r="41" spans="1:41" s="28" customFormat="1">
      <c r="E41" s="27"/>
      <c r="P41" s="29"/>
    </row>
    <row r="42" spans="1:41" s="28" customFormat="1">
      <c r="E42" s="27"/>
      <c r="P42" s="29"/>
    </row>
    <row r="43" spans="1:41" s="28" customFormat="1">
      <c r="E43" s="27"/>
      <c r="F43" s="27"/>
      <c r="P43" s="29"/>
    </row>
    <row r="44" spans="1:41" s="28" customFormat="1">
      <c r="P44" s="29"/>
    </row>
    <row r="45" spans="1:41" s="28" customFormat="1">
      <c r="E45" s="27"/>
      <c r="P45" s="29"/>
    </row>
    <row r="46" spans="1:41" s="28" customFormat="1">
      <c r="E46" s="27"/>
      <c r="P46" s="29"/>
    </row>
    <row r="47" spans="1:41" s="28" customFormat="1">
      <c r="E47" s="27"/>
      <c r="P47" s="29"/>
    </row>
    <row r="48" spans="1:41" s="28" customFormat="1">
      <c r="E48" s="31"/>
      <c r="P48" s="29"/>
      <c r="AO48" s="32"/>
    </row>
    <row r="49" spans="5:41" s="28" customFormat="1">
      <c r="E49" s="27"/>
      <c r="P49" s="29"/>
    </row>
    <row r="50" spans="5:41" s="28" customFormat="1">
      <c r="E50" s="27"/>
      <c r="P50" s="29"/>
    </row>
    <row r="51" spans="5:41" s="28" customFormat="1">
      <c r="E51" s="27"/>
      <c r="P51" s="29"/>
    </row>
    <row r="52" spans="5:41" s="28" customFormat="1">
      <c r="E52" s="27"/>
      <c r="P52" s="29"/>
    </row>
    <row r="53" spans="5:41" s="28" customFormat="1">
      <c r="E53" s="27"/>
      <c r="P53" s="29"/>
    </row>
    <row r="54" spans="5:41" s="28" customFormat="1">
      <c r="E54" s="31"/>
      <c r="P54" s="29"/>
    </row>
    <row r="55" spans="5:41" s="28" customFormat="1">
      <c r="E55" s="30"/>
      <c r="P55" s="29"/>
    </row>
    <row r="58" spans="5:41">
      <c r="AO58" s="33"/>
    </row>
    <row r="63" spans="5:41">
      <c r="AO63" s="33"/>
    </row>
    <row r="68" spans="41:41">
      <c r="AO68" s="33"/>
    </row>
  </sheetData>
  <mergeCells count="5">
    <mergeCell ref="A32:E32"/>
    <mergeCell ref="A33:E33"/>
    <mergeCell ref="A34:E34"/>
    <mergeCell ref="A2:E2"/>
    <mergeCell ref="A3:E3"/>
  </mergeCells>
  <pageMargins left="0.7" right="0.7" top="0.75" bottom="0.75" header="0.3" footer="0.3"/>
  <pageSetup orientation="portrait" r:id="rId1"/>
  <headerFooter>
    <oddHeader>&amp;CAvista Utilities
Schedule 92 LIRAP</oddHeader>
    <oddFooter>&amp;L&amp;A&amp;RPage &amp;P of &amp;N</oddFooter>
  </headerFooter>
  <customProperties>
    <customPr name="xxe4aP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V50"/>
  <sheetViews>
    <sheetView showGridLines="0" view="pageBreakPreview" zoomScale="85" zoomScaleNormal="100" zoomScaleSheetLayoutView="85" workbookViewId="0">
      <selection sqref="A1:O1"/>
    </sheetView>
  </sheetViews>
  <sheetFormatPr defaultColWidth="11.453125" defaultRowHeight="13"/>
  <cols>
    <col min="1" max="1" width="5" style="83" customWidth="1"/>
    <col min="2" max="2" width="23.81640625" style="82" customWidth="1"/>
    <col min="3" max="3" width="8.81640625" style="83" customWidth="1"/>
    <col min="4" max="4" width="12.453125" style="93" customWidth="1"/>
    <col min="5" max="5" width="9.7265625" style="93" customWidth="1"/>
    <col min="6" max="6" width="15" style="93" bestFit="1" customWidth="1"/>
    <col min="7" max="7" width="10.453125" style="94" bestFit="1" customWidth="1"/>
    <col min="8" max="8" width="12.26953125" style="82" customWidth="1"/>
    <col min="9" max="9" width="13.26953125" style="82" bestFit="1" customWidth="1"/>
    <col min="10" max="10" width="12.453125" style="82" customWidth="1"/>
    <col min="11" max="11" width="12.1796875" style="82" customWidth="1"/>
    <col min="12" max="12" width="8.1796875" style="82" customWidth="1"/>
    <col min="13" max="13" width="10.81640625" style="95" customWidth="1"/>
    <col min="14" max="14" width="9.26953125" style="82" customWidth="1"/>
    <col min="15" max="15" width="12.54296875" style="82" bestFit="1" customWidth="1"/>
    <col min="16" max="16384" width="11.453125" style="82"/>
  </cols>
  <sheetData>
    <row r="1" spans="1:22" s="83" customFormat="1">
      <c r="A1" s="303" t="s">
        <v>26</v>
      </c>
      <c r="B1" s="303"/>
      <c r="C1" s="303"/>
      <c r="D1" s="303"/>
      <c r="E1" s="303"/>
      <c r="F1" s="303"/>
      <c r="G1" s="303"/>
      <c r="H1" s="303"/>
      <c r="I1" s="303"/>
      <c r="J1" s="303"/>
      <c r="K1" s="303"/>
      <c r="L1" s="303"/>
      <c r="M1" s="303"/>
      <c r="N1" s="303"/>
      <c r="O1" s="303"/>
    </row>
    <row r="2" spans="1:22" s="83" customFormat="1">
      <c r="A2" s="303" t="s">
        <v>112</v>
      </c>
      <c r="B2" s="303"/>
      <c r="C2" s="303"/>
      <c r="D2" s="303"/>
      <c r="E2" s="303"/>
      <c r="F2" s="303"/>
      <c r="G2" s="303"/>
      <c r="H2" s="303"/>
      <c r="I2" s="303"/>
      <c r="J2" s="303"/>
      <c r="K2" s="303"/>
      <c r="L2" s="303"/>
      <c r="M2" s="303"/>
      <c r="N2" s="303"/>
      <c r="O2" s="303"/>
    </row>
    <row r="3" spans="1:22" s="83" customFormat="1">
      <c r="A3" s="303" t="s">
        <v>111</v>
      </c>
      <c r="B3" s="303"/>
      <c r="C3" s="303"/>
      <c r="D3" s="303"/>
      <c r="E3" s="303"/>
      <c r="F3" s="303"/>
      <c r="G3" s="303"/>
      <c r="H3" s="303"/>
      <c r="I3" s="303"/>
      <c r="J3" s="303"/>
      <c r="K3" s="303"/>
      <c r="L3" s="303"/>
      <c r="M3" s="303"/>
      <c r="N3" s="303"/>
      <c r="O3" s="303"/>
    </row>
    <row r="4" spans="1:22" s="83" customFormat="1">
      <c r="A4" s="303" t="s">
        <v>210</v>
      </c>
      <c r="B4" s="303"/>
      <c r="C4" s="303"/>
      <c r="D4" s="303"/>
      <c r="E4" s="303"/>
      <c r="F4" s="303"/>
      <c r="G4" s="303"/>
      <c r="H4" s="303"/>
      <c r="I4" s="303"/>
      <c r="J4" s="303"/>
      <c r="K4" s="303"/>
      <c r="L4" s="303"/>
      <c r="M4" s="303"/>
      <c r="N4" s="303"/>
      <c r="O4" s="303"/>
    </row>
    <row r="5" spans="1:22" s="83" customFormat="1">
      <c r="A5" s="303" t="s">
        <v>110</v>
      </c>
      <c r="B5" s="303"/>
      <c r="C5" s="303"/>
      <c r="D5" s="303"/>
      <c r="E5" s="303"/>
      <c r="F5" s="303"/>
      <c r="G5" s="303"/>
      <c r="H5" s="303"/>
      <c r="I5" s="303"/>
      <c r="J5" s="303"/>
      <c r="K5" s="303"/>
      <c r="L5" s="303"/>
      <c r="M5" s="303"/>
      <c r="N5" s="303"/>
      <c r="O5" s="303"/>
    </row>
    <row r="6" spans="1:22" s="83" customFormat="1">
      <c r="A6" s="117" t="s">
        <v>251</v>
      </c>
      <c r="C6" s="82"/>
      <c r="D6" s="84"/>
      <c r="E6" s="85"/>
      <c r="F6" s="85"/>
      <c r="G6" s="86"/>
      <c r="N6" s="87"/>
      <c r="O6" s="82"/>
    </row>
    <row r="7" spans="1:22" s="83" customFormat="1">
      <c r="C7" s="82"/>
      <c r="D7" s="84"/>
      <c r="E7" s="85"/>
      <c r="F7" s="85"/>
      <c r="G7" s="86"/>
      <c r="N7" s="87"/>
      <c r="O7" s="82"/>
    </row>
    <row r="8" spans="1:22" s="83" customFormat="1">
      <c r="D8" s="84" t="s">
        <v>109</v>
      </c>
      <c r="E8" s="84"/>
      <c r="F8" s="84" t="s">
        <v>109</v>
      </c>
      <c r="G8" s="86" t="s">
        <v>107</v>
      </c>
      <c r="H8" s="86" t="s">
        <v>109</v>
      </c>
      <c r="I8" s="83" t="s">
        <v>108</v>
      </c>
      <c r="K8" s="83" t="s">
        <v>123</v>
      </c>
      <c r="L8" s="84" t="s">
        <v>124</v>
      </c>
      <c r="M8" s="83" t="s">
        <v>211</v>
      </c>
      <c r="O8" s="87" t="s">
        <v>101</v>
      </c>
      <c r="Q8" s="87"/>
      <c r="R8" s="87"/>
      <c r="S8" s="83" t="s">
        <v>212</v>
      </c>
    </row>
    <row r="9" spans="1:22" s="83" customFormat="1">
      <c r="D9" s="83" t="s">
        <v>93</v>
      </c>
      <c r="E9" s="84" t="s">
        <v>67</v>
      </c>
      <c r="F9" s="83" t="s">
        <v>93</v>
      </c>
      <c r="G9" s="87" t="s">
        <v>106</v>
      </c>
      <c r="H9" s="86" t="s">
        <v>101</v>
      </c>
      <c r="I9" s="83" t="s">
        <v>93</v>
      </c>
      <c r="J9" s="83" t="s">
        <v>125</v>
      </c>
      <c r="K9" s="83" t="s">
        <v>93</v>
      </c>
      <c r="L9" s="84" t="s">
        <v>126</v>
      </c>
      <c r="M9" s="84" t="s">
        <v>213</v>
      </c>
      <c r="N9" s="144" t="s">
        <v>45</v>
      </c>
      <c r="O9" s="87" t="s">
        <v>94</v>
      </c>
      <c r="P9" s="84"/>
      <c r="Q9" s="87"/>
      <c r="R9" s="87" t="s">
        <v>67</v>
      </c>
      <c r="S9" s="83" t="s">
        <v>94</v>
      </c>
    </row>
    <row r="10" spans="1:22" s="83" customFormat="1">
      <c r="B10" s="83" t="s">
        <v>105</v>
      </c>
      <c r="C10" s="83" t="s">
        <v>104</v>
      </c>
      <c r="D10" s="84" t="s">
        <v>103</v>
      </c>
      <c r="E10" s="84" t="s">
        <v>99</v>
      </c>
      <c r="F10" s="84" t="s">
        <v>102</v>
      </c>
      <c r="G10" s="86" t="s">
        <v>101</v>
      </c>
      <c r="H10" s="86" t="s">
        <v>68</v>
      </c>
      <c r="I10" s="83" t="s">
        <v>100</v>
      </c>
      <c r="J10" s="83" t="s">
        <v>127</v>
      </c>
      <c r="K10" s="83" t="s">
        <v>100</v>
      </c>
      <c r="L10" s="84" t="s">
        <v>99</v>
      </c>
      <c r="M10" s="84" t="s">
        <v>128</v>
      </c>
      <c r="N10" s="144" t="s">
        <v>129</v>
      </c>
      <c r="O10" s="87" t="s">
        <v>98</v>
      </c>
      <c r="P10" s="84"/>
      <c r="Q10" s="87"/>
      <c r="R10" s="87" t="s">
        <v>99</v>
      </c>
      <c r="S10" s="83" t="s">
        <v>98</v>
      </c>
    </row>
    <row r="11" spans="1:22" s="83" customFormat="1">
      <c r="A11" s="88" t="s">
        <v>28</v>
      </c>
      <c r="B11" s="88" t="s">
        <v>97</v>
      </c>
      <c r="C11" s="88" t="s">
        <v>96</v>
      </c>
      <c r="D11" s="89" t="s">
        <v>95</v>
      </c>
      <c r="E11" s="89" t="s">
        <v>94</v>
      </c>
      <c r="F11" s="89" t="s">
        <v>95</v>
      </c>
      <c r="G11" s="90" t="s">
        <v>94</v>
      </c>
      <c r="H11" s="90" t="s">
        <v>214</v>
      </c>
      <c r="I11" s="88" t="s">
        <v>92</v>
      </c>
      <c r="J11" s="88" t="s">
        <v>68</v>
      </c>
      <c r="K11" s="88" t="s">
        <v>92</v>
      </c>
      <c r="L11" s="89" t="s">
        <v>94</v>
      </c>
      <c r="M11" s="89" t="s">
        <v>215</v>
      </c>
      <c r="N11" s="128" t="s">
        <v>72</v>
      </c>
      <c r="O11" s="91" t="s">
        <v>93</v>
      </c>
      <c r="P11" s="88"/>
      <c r="Q11" s="91"/>
      <c r="R11" s="91" t="s">
        <v>94</v>
      </c>
      <c r="S11" s="88" t="s">
        <v>93</v>
      </c>
    </row>
    <row r="12" spans="1:22" s="83" customFormat="1">
      <c r="B12" s="83" t="s">
        <v>91</v>
      </c>
      <c r="C12" s="83" t="s">
        <v>90</v>
      </c>
      <c r="D12" s="84" t="s">
        <v>89</v>
      </c>
      <c r="E12" s="83" t="s">
        <v>88</v>
      </c>
      <c r="F12" s="83" t="s">
        <v>87</v>
      </c>
      <c r="G12" s="86" t="s">
        <v>86</v>
      </c>
      <c r="H12" s="83" t="s">
        <v>130</v>
      </c>
      <c r="I12" s="83" t="s">
        <v>85</v>
      </c>
      <c r="J12" s="83" t="s">
        <v>84</v>
      </c>
      <c r="K12" s="83" t="s">
        <v>84</v>
      </c>
      <c r="L12" s="83" t="s">
        <v>84</v>
      </c>
      <c r="M12" s="83" t="s">
        <v>130</v>
      </c>
      <c r="N12" s="87" t="s">
        <v>83</v>
      </c>
      <c r="O12" s="87" t="s">
        <v>82</v>
      </c>
      <c r="Q12" s="87"/>
      <c r="R12" s="83" t="s">
        <v>83</v>
      </c>
      <c r="S12" s="83" t="s">
        <v>82</v>
      </c>
    </row>
    <row r="13" spans="1:22">
      <c r="D13" s="92" t="s">
        <v>0</v>
      </c>
      <c r="E13" s="94"/>
      <c r="H13" s="94"/>
      <c r="M13" s="82"/>
      <c r="N13" s="95"/>
      <c r="Q13" s="95"/>
    </row>
    <row r="14" spans="1:22">
      <c r="A14" s="83">
        <v>1</v>
      </c>
      <c r="B14" s="82" t="s">
        <v>81</v>
      </c>
      <c r="C14" s="99" t="s">
        <v>131</v>
      </c>
      <c r="D14" s="84">
        <v>279484.40594999999</v>
      </c>
      <c r="E14" s="84">
        <v>6317.5236700000169</v>
      </c>
      <c r="F14" s="84">
        <v>285801.92962000001</v>
      </c>
      <c r="G14" s="96">
        <v>2.2604208089986342E-2</v>
      </c>
      <c r="H14" s="96">
        <v>2.2104552192491304E-2</v>
      </c>
      <c r="I14" s="84">
        <v>253325.06171977357</v>
      </c>
      <c r="J14" s="129">
        <v>0</v>
      </c>
      <c r="K14" s="84">
        <v>253325.06171977357</v>
      </c>
      <c r="L14" s="129">
        <v>6317.5236700000169</v>
      </c>
      <c r="M14" s="129">
        <v>0</v>
      </c>
      <c r="N14" s="130">
        <v>6317.5236700000169</v>
      </c>
      <c r="O14" s="97">
        <v>2.4938407700807817E-2</v>
      </c>
      <c r="P14" s="84"/>
      <c r="Q14" s="202"/>
      <c r="R14" s="130">
        <v>6317.5236700000169</v>
      </c>
      <c r="S14" s="202">
        <v>2.4938407700807817E-2</v>
      </c>
    </row>
    <row r="15" spans="1:22">
      <c r="D15" s="84"/>
      <c r="E15" s="84"/>
      <c r="F15" s="84"/>
      <c r="G15" s="96"/>
      <c r="H15" s="96"/>
      <c r="I15" s="84"/>
      <c r="J15" s="129"/>
      <c r="K15" s="84"/>
      <c r="L15" s="129"/>
      <c r="M15" s="129"/>
      <c r="N15" s="130"/>
      <c r="O15" s="97"/>
      <c r="P15" s="84"/>
      <c r="Q15" s="202"/>
      <c r="R15" s="202"/>
      <c r="S15" s="93"/>
      <c r="U15" s="202"/>
      <c r="V15" s="93"/>
    </row>
    <row r="16" spans="1:22">
      <c r="A16" s="83">
        <v>2</v>
      </c>
      <c r="B16" s="82" t="s">
        <v>80</v>
      </c>
      <c r="C16" s="99" t="s">
        <v>79</v>
      </c>
      <c r="D16" s="84">
        <v>84834.239706153836</v>
      </c>
      <c r="E16" s="84">
        <v>1919.3036038461626</v>
      </c>
      <c r="F16" s="84">
        <v>86753.343309999997</v>
      </c>
      <c r="G16" s="96">
        <v>2.2624162254464539E-2</v>
      </c>
      <c r="H16" s="96">
        <v>2.212368458225086E-2</v>
      </c>
      <c r="I16" s="84">
        <v>90670.354211253478</v>
      </c>
      <c r="J16" s="129">
        <v>0</v>
      </c>
      <c r="K16" s="84">
        <v>90670.354211253478</v>
      </c>
      <c r="L16" s="129">
        <v>1919.3036038461626</v>
      </c>
      <c r="M16" s="129">
        <v>0</v>
      </c>
      <c r="N16" s="130">
        <v>1919.3036038461626</v>
      </c>
      <c r="O16" s="97">
        <v>2.1167928817994511E-2</v>
      </c>
      <c r="P16" s="84"/>
      <c r="Q16" s="202"/>
      <c r="R16" s="130">
        <v>1919.3036038461626</v>
      </c>
      <c r="S16" s="202">
        <v>2.1167928817994511E-2</v>
      </c>
      <c r="U16" s="202"/>
      <c r="V16" s="93"/>
    </row>
    <row r="17" spans="1:22">
      <c r="C17" s="99"/>
      <c r="D17" s="84"/>
      <c r="E17" s="84"/>
      <c r="F17" s="84"/>
      <c r="G17" s="96"/>
      <c r="H17" s="96"/>
      <c r="I17" s="84"/>
      <c r="J17" s="129"/>
      <c r="K17" s="84"/>
      <c r="L17" s="129"/>
      <c r="M17" s="129"/>
      <c r="N17" s="130"/>
      <c r="O17" s="97"/>
      <c r="P17" s="84"/>
      <c r="Q17" s="202"/>
      <c r="R17" s="202"/>
      <c r="S17" s="93"/>
      <c r="U17" s="202"/>
      <c r="V17" s="93"/>
    </row>
    <row r="18" spans="1:22">
      <c r="A18" s="83">
        <v>3</v>
      </c>
      <c r="B18" s="82" t="s">
        <v>78</v>
      </c>
      <c r="C18" s="100" t="s">
        <v>77</v>
      </c>
      <c r="D18" s="84">
        <v>136399.73128384617</v>
      </c>
      <c r="E18" s="84">
        <v>3087.1076561538575</v>
      </c>
      <c r="F18" s="84">
        <v>139487.03894000003</v>
      </c>
      <c r="G18" s="96">
        <v>2.2632798665340657E-2</v>
      </c>
      <c r="H18" s="96">
        <v>2.2131860276149159E-2</v>
      </c>
      <c r="I18" s="84">
        <v>148055.55157677952</v>
      </c>
      <c r="J18" s="129">
        <v>0</v>
      </c>
      <c r="K18" s="84">
        <v>148055.55157677952</v>
      </c>
      <c r="L18" s="129">
        <v>3087.1076561538575</v>
      </c>
      <c r="M18" s="129">
        <v>0</v>
      </c>
      <c r="N18" s="130">
        <v>3087.1076561538575</v>
      </c>
      <c r="O18" s="97">
        <v>2.0851009119728463E-2</v>
      </c>
      <c r="P18" s="84"/>
      <c r="Q18" s="202"/>
      <c r="R18" s="130">
        <v>3087.1076561538575</v>
      </c>
      <c r="S18" s="202">
        <v>2.0851009119728463E-2</v>
      </c>
      <c r="U18" s="202"/>
      <c r="V18" s="93"/>
    </row>
    <row r="19" spans="1:22">
      <c r="D19" s="84"/>
      <c r="E19" s="84"/>
      <c r="F19" s="84"/>
      <c r="G19" s="96"/>
      <c r="H19" s="96"/>
      <c r="I19" s="84"/>
      <c r="J19" s="129"/>
      <c r="K19" s="84"/>
      <c r="L19" s="129"/>
      <c r="M19" s="129"/>
      <c r="N19" s="130"/>
      <c r="O19" s="97"/>
      <c r="P19" s="84"/>
      <c r="Q19" s="202"/>
      <c r="R19" s="202"/>
      <c r="S19" s="93"/>
      <c r="U19" s="202"/>
      <c r="V19" s="93"/>
    </row>
    <row r="20" spans="1:22">
      <c r="A20" s="83">
        <v>4</v>
      </c>
      <c r="B20" s="82" t="s">
        <v>76</v>
      </c>
      <c r="C20" s="83">
        <v>25</v>
      </c>
      <c r="D20" s="84">
        <v>42040.705592999999</v>
      </c>
      <c r="E20" s="84">
        <v>419.94705440000445</v>
      </c>
      <c r="F20" s="84">
        <v>42460.852647400003</v>
      </c>
      <c r="G20" s="96">
        <v>9.9890581872138662E-3</v>
      </c>
      <c r="H20" s="96">
        <v>9.8902171816306894E-3</v>
      </c>
      <c r="I20" s="84">
        <v>42245.100557400001</v>
      </c>
      <c r="J20" s="129">
        <v>0</v>
      </c>
      <c r="K20" s="84">
        <v>42245.100557400001</v>
      </c>
      <c r="L20" s="129">
        <v>419.94705440000445</v>
      </c>
      <c r="M20" s="129">
        <v>0</v>
      </c>
      <c r="N20" s="130">
        <v>419.94705440000445</v>
      </c>
      <c r="O20" s="97">
        <v>9.9407280100897531E-3</v>
      </c>
      <c r="P20" s="84"/>
      <c r="Q20" s="202"/>
      <c r="R20" s="130">
        <v>419.94705440000445</v>
      </c>
      <c r="S20" s="202">
        <v>9.9407280100897531E-3</v>
      </c>
      <c r="U20" s="202"/>
      <c r="V20" s="93"/>
    </row>
    <row r="21" spans="1:22">
      <c r="D21" s="84"/>
      <c r="E21" s="84"/>
      <c r="F21" s="84"/>
      <c r="G21" s="96"/>
      <c r="H21" s="96"/>
      <c r="I21" s="84"/>
      <c r="J21" s="129"/>
      <c r="K21" s="84"/>
      <c r="L21" s="129"/>
      <c r="M21" s="129"/>
      <c r="N21" s="130"/>
      <c r="O21" s="97"/>
      <c r="P21" s="84"/>
      <c r="Q21" s="202"/>
      <c r="R21" s="202"/>
      <c r="S21" s="93"/>
      <c r="U21" s="202"/>
      <c r="V21" s="93"/>
    </row>
    <row r="22" spans="1:22">
      <c r="A22" s="83">
        <v>5</v>
      </c>
      <c r="B22" s="82" t="s">
        <v>216</v>
      </c>
      <c r="C22" s="83" t="s">
        <v>217</v>
      </c>
      <c r="D22" s="84">
        <v>22208.111511399999</v>
      </c>
      <c r="E22" s="84">
        <v>221.59691700000317</v>
      </c>
      <c r="F22" s="84">
        <v>22429.908428400002</v>
      </c>
      <c r="G22" s="96">
        <v>9.9781972405106004E-3</v>
      </c>
      <c r="H22" s="96">
        <v>9.8795283853867436E-3</v>
      </c>
      <c r="I22" s="84">
        <v>22880.4967884</v>
      </c>
      <c r="J22" s="129">
        <v>0</v>
      </c>
      <c r="K22" s="84">
        <v>22880.4967884</v>
      </c>
      <c r="L22" s="129">
        <v>221.59691700000317</v>
      </c>
      <c r="M22" s="129">
        <v>0</v>
      </c>
      <c r="N22" s="130">
        <v>221.59691700000317</v>
      </c>
      <c r="O22" s="97">
        <v>9.6849696511986938E-3</v>
      </c>
      <c r="P22" s="84"/>
      <c r="Q22" s="202"/>
      <c r="R22" s="130">
        <v>221.59691700000317</v>
      </c>
      <c r="S22" s="202">
        <v>9.6849696511986938E-3</v>
      </c>
      <c r="U22" s="202"/>
      <c r="V22" s="93"/>
    </row>
    <row r="23" spans="1:22">
      <c r="D23" s="84"/>
      <c r="E23" s="84"/>
      <c r="F23" s="84"/>
      <c r="G23" s="96"/>
      <c r="H23" s="96"/>
      <c r="I23" s="84"/>
      <c r="J23" s="129"/>
      <c r="K23" s="84"/>
      <c r="L23" s="129"/>
      <c r="M23" s="129"/>
      <c r="N23" s="130"/>
      <c r="O23" s="97"/>
      <c r="P23" s="84"/>
      <c r="Q23" s="202"/>
      <c r="R23" s="202"/>
      <c r="S23" s="93"/>
      <c r="U23" s="202"/>
      <c r="V23" s="93"/>
    </row>
    <row r="24" spans="1:22">
      <c r="A24" s="83">
        <v>6</v>
      </c>
      <c r="B24" s="82" t="s">
        <v>75</v>
      </c>
      <c r="C24" s="100" t="s">
        <v>74</v>
      </c>
      <c r="D24" s="84">
        <v>16075.57279</v>
      </c>
      <c r="E24" s="84">
        <v>362.1031599999983</v>
      </c>
      <c r="F24" s="84">
        <v>16437.675949999997</v>
      </c>
      <c r="G24" s="96">
        <v>2.2525054922164195E-2</v>
      </c>
      <c r="H24" s="96">
        <v>2.2028853780877603E-2</v>
      </c>
      <c r="I24" s="84">
        <v>16509.926763805823</v>
      </c>
      <c r="J24" s="129">
        <v>0</v>
      </c>
      <c r="K24" s="84">
        <v>16509.926763805823</v>
      </c>
      <c r="L24" s="129">
        <v>362.1031599999983</v>
      </c>
      <c r="M24" s="129">
        <v>0</v>
      </c>
      <c r="N24" s="130">
        <v>362.1031599999983</v>
      </c>
      <c r="O24" s="97">
        <v>2.1932451014490588E-2</v>
      </c>
      <c r="P24" s="84"/>
      <c r="Q24" s="202"/>
      <c r="R24" s="130">
        <v>362.1031599999983</v>
      </c>
      <c r="S24" s="202">
        <v>2.1932451014490588E-2</v>
      </c>
      <c r="U24" s="202"/>
      <c r="V24" s="93"/>
    </row>
    <row r="25" spans="1:22">
      <c r="D25" s="84"/>
      <c r="E25" s="84"/>
      <c r="F25" s="84"/>
      <c r="G25" s="96"/>
      <c r="H25" s="96"/>
      <c r="I25" s="84"/>
      <c r="J25" s="129"/>
      <c r="K25" s="84"/>
      <c r="L25" s="129"/>
      <c r="M25" s="129"/>
      <c r="N25" s="130"/>
      <c r="O25" s="97"/>
      <c r="P25" s="84"/>
      <c r="Q25" s="202"/>
      <c r="R25" s="202"/>
      <c r="S25" s="93"/>
      <c r="U25" s="202"/>
      <c r="V25" s="93"/>
    </row>
    <row r="26" spans="1:22">
      <c r="A26" s="83">
        <v>7</v>
      </c>
      <c r="B26" s="82" t="s">
        <v>73</v>
      </c>
      <c r="C26" s="83" t="s">
        <v>71</v>
      </c>
      <c r="D26" s="101">
        <v>7163.7024823279999</v>
      </c>
      <c r="E26" s="101">
        <v>172.89415999999923</v>
      </c>
      <c r="F26" s="101">
        <v>7336.5966423279988</v>
      </c>
      <c r="G26" s="203">
        <v>2.4134748815505463E-2</v>
      </c>
      <c r="H26" s="96">
        <v>2.3565989576488103E-2</v>
      </c>
      <c r="I26" s="101">
        <v>7460.572619997999</v>
      </c>
      <c r="J26" s="131">
        <v>0</v>
      </c>
      <c r="K26" s="101">
        <v>7460.572619997999</v>
      </c>
      <c r="L26" s="131">
        <v>172.89415999999923</v>
      </c>
      <c r="M26" s="131">
        <v>0</v>
      </c>
      <c r="N26" s="204">
        <v>172.89415999999923</v>
      </c>
      <c r="O26" s="205">
        <v>2.3174382022173198E-2</v>
      </c>
      <c r="P26" s="84"/>
      <c r="Q26" s="202"/>
      <c r="R26" s="130">
        <v>172.89415999999923</v>
      </c>
      <c r="S26" s="202">
        <v>2.3174382022173198E-2</v>
      </c>
      <c r="U26" s="202"/>
      <c r="V26" s="93"/>
    </row>
    <row r="27" spans="1:22">
      <c r="D27" s="84"/>
      <c r="E27" s="98"/>
      <c r="F27" s="84"/>
      <c r="G27" s="96"/>
      <c r="H27" s="98"/>
      <c r="I27" s="98"/>
      <c r="J27" s="129"/>
      <c r="K27" s="84"/>
      <c r="L27" s="129"/>
      <c r="M27" s="129"/>
      <c r="N27" s="130"/>
      <c r="O27" s="97"/>
      <c r="P27" s="84"/>
      <c r="Q27" s="202"/>
      <c r="R27" s="202"/>
      <c r="S27" s="93"/>
      <c r="U27" s="202"/>
      <c r="V27" s="93"/>
    </row>
    <row r="28" spans="1:22">
      <c r="A28" s="83">
        <v>8</v>
      </c>
      <c r="B28" s="102" t="s">
        <v>45</v>
      </c>
      <c r="D28" s="84">
        <v>588206.16931672802</v>
      </c>
      <c r="E28" s="84">
        <v>12500.476221400044</v>
      </c>
      <c r="F28" s="84">
        <v>600706.94553812791</v>
      </c>
      <c r="G28" s="96">
        <v>2.1251861801995117E-2</v>
      </c>
      <c r="H28" s="96"/>
      <c r="I28" s="84">
        <v>581147.06423741032</v>
      </c>
      <c r="J28" s="129">
        <v>0</v>
      </c>
      <c r="K28" s="84">
        <v>581147.06423741032</v>
      </c>
      <c r="L28" s="129">
        <v>12500.476221400044</v>
      </c>
      <c r="M28" s="129">
        <v>0</v>
      </c>
      <c r="N28" s="130">
        <v>12500.476221400044</v>
      </c>
      <c r="O28" s="97">
        <v>2.151000493791249E-2</v>
      </c>
      <c r="P28" s="84"/>
      <c r="Q28" s="202"/>
      <c r="R28" s="130">
        <v>12500.476221400044</v>
      </c>
      <c r="S28" s="202">
        <v>2.151000493791249E-2</v>
      </c>
      <c r="U28" s="202"/>
      <c r="V28" s="93"/>
    </row>
    <row r="29" spans="1:22">
      <c r="B29" s="83"/>
      <c r="D29" s="103">
        <v>0</v>
      </c>
      <c r="E29" s="94"/>
      <c r="F29" s="103"/>
      <c r="H29" s="94"/>
      <c r="I29" s="104"/>
      <c r="J29" s="104"/>
      <c r="K29" s="104"/>
      <c r="L29" s="104"/>
      <c r="M29" s="104"/>
      <c r="N29" s="104"/>
      <c r="P29" s="104"/>
      <c r="Q29" s="104"/>
    </row>
    <row r="30" spans="1:22">
      <c r="B30" s="83"/>
      <c r="D30" s="206"/>
      <c r="E30" s="206"/>
      <c r="G30" s="207"/>
      <c r="H30" s="94"/>
      <c r="M30" s="82"/>
      <c r="P30" s="104"/>
      <c r="Q30" s="95"/>
    </row>
    <row r="31" spans="1:22">
      <c r="A31" s="82"/>
      <c r="H31" s="94"/>
      <c r="I31" s="208"/>
      <c r="M31" s="82"/>
      <c r="P31" s="132"/>
      <c r="Q31" s="132"/>
    </row>
    <row r="32" spans="1:22">
      <c r="H32" s="94"/>
      <c r="M32" s="82"/>
      <c r="P32" s="95"/>
    </row>
    <row r="33" spans="1:16">
      <c r="A33" s="82" t="s">
        <v>218</v>
      </c>
      <c r="H33" s="94"/>
      <c r="M33" s="82"/>
      <c r="P33" s="95"/>
    </row>
    <row r="34" spans="1:16">
      <c r="A34" s="105" t="s">
        <v>219</v>
      </c>
      <c r="H34" s="94"/>
      <c r="M34" s="82"/>
      <c r="P34" s="95"/>
    </row>
    <row r="35" spans="1:16">
      <c r="A35" s="105"/>
      <c r="H35" s="94"/>
      <c r="M35" s="82"/>
      <c r="P35" s="95"/>
    </row>
    <row r="36" spans="1:16">
      <c r="A36" s="82" t="s">
        <v>220</v>
      </c>
      <c r="H36" s="94"/>
      <c r="M36" s="82"/>
      <c r="P36" s="95"/>
    </row>
    <row r="37" spans="1:16">
      <c r="A37" s="105" t="s">
        <v>219</v>
      </c>
      <c r="H37" s="94"/>
      <c r="M37" s="82"/>
      <c r="P37" s="95"/>
    </row>
    <row r="38" spans="1:16">
      <c r="B38" s="106"/>
      <c r="F38" s="107"/>
      <c r="G38" s="82"/>
      <c r="H38" s="108"/>
      <c r="I38" s="109"/>
      <c r="J38" s="95"/>
      <c r="K38" s="95"/>
      <c r="M38" s="82"/>
    </row>
    <row r="39" spans="1:16">
      <c r="B39" s="106"/>
      <c r="F39" s="110"/>
      <c r="G39" s="111"/>
      <c r="H39" s="108"/>
      <c r="I39" s="112"/>
      <c r="J39" s="95"/>
      <c r="K39" s="95"/>
      <c r="M39" s="82"/>
    </row>
    <row r="40" spans="1:16">
      <c r="B40" s="106"/>
      <c r="F40" s="110"/>
      <c r="G40" s="82"/>
      <c r="H40" s="108"/>
      <c r="I40" s="112"/>
      <c r="J40" s="95"/>
      <c r="K40" s="95"/>
      <c r="M40" s="82"/>
    </row>
    <row r="41" spans="1:16">
      <c r="B41" s="106"/>
      <c r="C41" s="82"/>
      <c r="D41" s="82"/>
      <c r="E41" s="82"/>
      <c r="F41" s="80"/>
      <c r="I41" s="113"/>
      <c r="M41" s="82"/>
    </row>
    <row r="42" spans="1:16">
      <c r="J42" s="95"/>
      <c r="K42" s="95"/>
      <c r="M42" s="82"/>
    </row>
    <row r="44" spans="1:16">
      <c r="L44" s="114"/>
      <c r="N44" s="115"/>
    </row>
    <row r="45" spans="1:16">
      <c r="L45" s="79"/>
      <c r="N45" s="115"/>
    </row>
    <row r="46" spans="1:16">
      <c r="N46" s="115"/>
    </row>
    <row r="47" spans="1:16">
      <c r="N47" s="115"/>
    </row>
    <row r="48" spans="1:16">
      <c r="N48" s="115"/>
    </row>
    <row r="49" spans="13:14">
      <c r="M49" s="116"/>
      <c r="N49" s="115"/>
    </row>
    <row r="50" spans="13:14">
      <c r="N50" s="115"/>
    </row>
  </sheetData>
  <mergeCells count="5">
    <mergeCell ref="A1:O1"/>
    <mergeCell ref="A2:O2"/>
    <mergeCell ref="A3:O3"/>
    <mergeCell ref="A4:O4"/>
    <mergeCell ref="A5:O5"/>
  </mergeCells>
  <conditionalFormatting sqref="D29:F29">
    <cfRule type="cellIs" dxfId="0" priority="1" stopIfTrue="1" operator="notEqual">
      <formula>0</formula>
    </cfRule>
  </conditionalFormatting>
  <pageMargins left="0.5" right="0.5" top="1" bottom="1" header="0.5" footer="0.5"/>
  <pageSetup scale="72" orientation="landscape" r:id="rId1"/>
  <headerFooter alignWithMargins="0"/>
  <customProperties>
    <customPr name="xxe4aP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xxe4awand xmlns="http://www.excel4apps.com"><![CDATA[rO0ABXf8CMCtii8CBwIDAh4AAERjb20uZXhjZWw0YXBwcy53YW5kLm9yYWNsZS5n
bHdhbmQuY2FsY3VsYXRpb25zLmdldGJhbGFuY2UuR2V0QmFsYW5jZQIBACxbTkVX
LUFWQS1FTEVDLVdQLTA5LTAxLTIzLnhsc21dTElSQVAgQmFsYW5jZQICAAEwAgMA
BjIwMjMwNQIEAANZVEQCBQADVVNEAgYABVRvdGFsAgcAAUECCAAAAgkAAzAwMQIK
AAYyNDI3NzACCwACRUQCDAACV0ECDQACREwCCAIIAggCCAIIAggCCAIIAggCCAII
AggCCAIIAggCCAIIAgECAwIOc3ICDwAUamF2YS5tYXRoLkJpZ0RlY2ltYWxUxxVX
+YEoTwMAAkkCEAAFc2NhbGVMAhEABmludFZhbHQAFkxqYXZhL21hdGgvQmlnSW50
ZWdlcjt4cgISABBqYXZhLmxhbmcuTnVtYmVyhqyVHQuU4IsCAAB4cAAAAAJzcgIT
ABRqYXZhLm1hdGguQmlnSW50ZWdlcoz8nx+pO/sdAwAGSQIUAAhiaXRDb3VudEkC
FQAJYml0TGVuZ3RoSQIWABNmaXJzdE5vbnplcm9CeXRlTnVtSQIXAAxsb3dlc3RT
ZXRCaXRJAhgABnNpZ251bVsCGQAJbWFnbml0dWRldAACW0J4cQB+AAL/////////
//////7////+/////3VyAhoAAltCrPMX+AYIVOACAAB4cAAAAAQYXh41eHh3TQIeAAIBAgICGwAGMjAyMzA2AgQCBQIGAgcCCAIJAgoCCwIMAg0CCAIIAggCCAIIAggCCAIIAggCCAIIAggCCAIIAggCCAIIAgECAwIcc3EAfgAAAAAAAnNxAH4ABP///////////////v////7/////dXEAfgAHAAAABBbbhUV4eHdNAh4AAgECAgIdAAYyMDIzMDcCBAIFAgYCBwIIAgkCCgILAgwCDQIIAggCCAIIAggCCAIIAggCCAIIAggCCAIIAggCCAIIAggCAQIDAh5zcQB+AAAAAAACc3EAfgAE///////////////+/////v////91cQB+AAcAAAAEGQmVRXh4]]></xxe4awand>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4A0A1DD479BF84E9EF3A1B197BFC6A8" ma:contentTypeVersion="16" ma:contentTypeDescription="" ma:contentTypeScope="" ma:versionID="152cc51f10752e8861b85e5d10c422f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2024-08-30T07:00:00+00:00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240651</DocketNumber>
    <DelegatedOrder xmlns="dc463f71-b30c-4ab2-9473-d307f9d35888">false</DelegatedOrder>
  </documentManagement>
</p:properties>
</file>

<file path=customXml/itemProps1.xml><?xml version="1.0" encoding="utf-8"?>
<ds:datastoreItem xmlns:ds="http://schemas.openxmlformats.org/officeDocument/2006/customXml" ds:itemID="{DBD928BD-A013-45D7-8332-436C9F782F1A}">
  <ds:schemaRefs>
    <ds:schemaRef ds:uri="http://www.excel4apps.com"/>
  </ds:schemaRefs>
</ds:datastoreItem>
</file>

<file path=customXml/itemProps2.xml><?xml version="1.0" encoding="utf-8"?>
<ds:datastoreItem xmlns:ds="http://schemas.openxmlformats.org/officeDocument/2006/customXml" ds:itemID="{EDE92650-2A54-49D6-B5BA-B6980E61C480}"/>
</file>

<file path=customXml/itemProps3.xml><?xml version="1.0" encoding="utf-8"?>
<ds:datastoreItem xmlns:ds="http://schemas.openxmlformats.org/officeDocument/2006/customXml" ds:itemID="{FDBE455E-24FD-400D-A792-339EED193B6A}"/>
</file>

<file path=customXml/itemProps4.xml><?xml version="1.0" encoding="utf-8"?>
<ds:datastoreItem xmlns:ds="http://schemas.openxmlformats.org/officeDocument/2006/customXml" ds:itemID="{835F1D36-AAAC-4A1E-8424-81EAD4989FD3}"/>
</file>

<file path=customXml/itemProps5.xml><?xml version="1.0" encoding="utf-8"?>
<ds:datastoreItem xmlns:ds="http://schemas.openxmlformats.org/officeDocument/2006/customXml" ds:itemID="{96524549-CC45-4125-8A0A-FF9DA98960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WA Electric - Sched 92</vt:lpstr>
      <vt:lpstr>LIRAP Balance</vt:lpstr>
      <vt:lpstr>LIRAP Expense Summary</vt:lpstr>
      <vt:lpstr>Revenue By Month</vt:lpstr>
      <vt:lpstr>Billing Determinants</vt:lpstr>
      <vt:lpstr>Rev Conv Factor</vt:lpstr>
      <vt:lpstr>Base Revenue</vt:lpstr>
      <vt:lpstr>'Base Revenue'!Print_Area</vt:lpstr>
      <vt:lpstr>'Billing Determinants'!Print_Area</vt:lpstr>
      <vt:lpstr>'LIRAP Balance'!Print_Area</vt:lpstr>
      <vt:lpstr>'LIRAP Expense Summary'!Print_Area</vt:lpstr>
      <vt:lpstr>'Rev Conv Factor'!Print_Area</vt:lpstr>
      <vt:lpstr>'Revenue By Month'!Print_Area</vt:lpstr>
      <vt:lpstr>'WA Electric - Sched 92'!Print_Area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Miller</dc:creator>
  <cp:lastModifiedBy>Kimball, Paul</cp:lastModifiedBy>
  <cp:lastPrinted>2023-08-23T23:53:50Z</cp:lastPrinted>
  <dcterms:created xsi:type="dcterms:W3CDTF">2011-04-12T19:30:53Z</dcterms:created>
  <dcterms:modified xsi:type="dcterms:W3CDTF">2024-08-30T17:15:04Z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0x0101006E56B4D1795A2E4DB2F0B01679ED314A0054A0A1DD479BF84E9EF3A1B197BFC6A8</vt:lpwstr>
  </property>
  <property fmtid="{D5CDD505-2E9C-101B-9397-08002B2CF9AE}" pid="3" name="_docset_NoMedatataSyncRequired">
    <vt:lpwstr>False</vt:lpwstr>
  </property>
</Properties>
</file>