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LeMay\Fuel Surcharge\Grays Harbor\2024\June\"/>
    </mc:Choice>
  </mc:AlternateContent>
  <xr:revisionPtr revIDLastSave="0" documentId="13_ncr:1_{E575B931-D6B7-4A2A-9A60-3728B1560114}"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<sst xmlns="http://schemas.openxmlformats.org/spreadsheetml/2006/main" count="609" uniqueCount="293">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</sst>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8" sqref="I1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188</v>
      </c>
      <c r="E2" s="236"/>
      <c r="F2" s="236"/>
    </row>
    <row r="3" spans="1:6" ht="5.25" customHeight="1" x14ac:dyDescent="0.2">
      <c r="A3" s="241"/>
      <c r="B3" s="242"/>
      <c r="C3" s="59"/>
      <c r="D3" s="59"/>
      <c r="F3" s="59"/>
    </row>
    <row r="4" spans="1:6" x14ac:dyDescent="0.2">
      <c r="A4" s="241"/>
      <c r="B4" s="242"/>
      <c r="C4" s="60" t="s">
        <v>4</v>
      </c>
      <c r="D4" s="238">
        <v>45444</v>
      </c>
      <c r="E4" s="238"/>
      <c r="F4" s="238"/>
    </row>
    <row r="5" spans="1:6" ht="5.25" customHeight="1" x14ac:dyDescent="0.2">
      <c r="A5" s="241"/>
      <c r="B5" s="242"/>
      <c r="C5" s="59"/>
      <c r="D5" s="59"/>
      <c r="F5" s="59"/>
    </row>
    <row r="6" spans="1:6" x14ac:dyDescent="0.2">
      <c r="A6" s="241"/>
      <c r="B6" s="242"/>
      <c r="C6" s="60" t="s">
        <v>5</v>
      </c>
      <c r="D6" s="249">
        <v>6092288</v>
      </c>
      <c r="E6" s="249"/>
      <c r="F6" s="249"/>
    </row>
    <row r="7" spans="1:6" x14ac:dyDescent="0.2">
      <c r="A7" s="243"/>
      <c r="B7" s="243"/>
      <c r="C7" s="243"/>
      <c r="D7" s="243"/>
      <c r="E7" s="243"/>
      <c r="F7" s="243"/>
    </row>
    <row r="8" spans="1:6" ht="28.5" customHeight="1" x14ac:dyDescent="0.2">
      <c r="A8" s="239" t="s">
        <v>6</v>
      </c>
      <c r="B8" s="240"/>
      <c r="C8" s="61" t="s">
        <v>7</v>
      </c>
      <c r="D8" s="251">
        <f>IF(AND(D2&gt;"", D4&gt;0, D6&gt;0), F45, 0)</f>
        <v>1.4885139999999996E-2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2.4595079877806122E-3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4870249</v>
      </c>
    </row>
    <row r="17" spans="1:8" x14ac:dyDescent="0.2">
      <c r="A17" s="59">
        <v>3</v>
      </c>
      <c r="C17" s="57" t="s">
        <v>12</v>
      </c>
      <c r="F17" s="67">
        <f>IF(D2="","",VLOOKUP(D2,CompanyInfo,4, FALSE))</f>
        <v>228218</v>
      </c>
      <c r="H17" s="212"/>
    </row>
    <row r="18" spans="1:8" x14ac:dyDescent="0.2">
      <c r="A18" s="59">
        <v>4</v>
      </c>
      <c r="C18" s="57" t="s">
        <v>13</v>
      </c>
      <c r="F18" s="68">
        <f>IF(D4="","",VLOOKUP(D2,CompanyInfo,5, FALSE))</f>
        <v>44286</v>
      </c>
    </row>
    <row r="19" spans="1:8" x14ac:dyDescent="0.2">
      <c r="A19" s="59">
        <v>5</v>
      </c>
      <c r="C19" s="57" t="s">
        <v>14</v>
      </c>
      <c r="F19" s="68">
        <f>IF(D4="","",VLOOKUP(D2,CompanyInfo,6,FALSE ))</f>
        <v>44409</v>
      </c>
    </row>
    <row r="20" spans="1:8" x14ac:dyDescent="0.2">
      <c r="A20" s="59">
        <v>6</v>
      </c>
      <c r="C20" s="60" t="s">
        <v>15</v>
      </c>
      <c r="F20" s="215">
        <f>IF(D2="","",VLOOKUP(D2,CompanyInfo,2, FALSE))</f>
        <v>2</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5713098</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228218</v>
      </c>
    </row>
    <row r="26" spans="1:8" x14ac:dyDescent="0.2">
      <c r="A26" s="59">
        <v>12</v>
      </c>
      <c r="C26" s="69" t="s">
        <v>20</v>
      </c>
      <c r="E26" s="59" t="s">
        <v>21</v>
      </c>
      <c r="F26" s="70">
        <f>+F16</f>
        <v>4870249</v>
      </c>
    </row>
    <row r="27" spans="1:8" x14ac:dyDescent="0.2">
      <c r="A27" s="59">
        <v>13</v>
      </c>
      <c r="C27" s="57" t="s">
        <v>22</v>
      </c>
      <c r="E27" s="59" t="s">
        <v>23</v>
      </c>
      <c r="F27" s="71">
        <f>F17/F16</f>
        <v>4.6859616417969596E-2</v>
      </c>
    </row>
    <row r="28" spans="1:8" x14ac:dyDescent="0.2">
      <c r="A28" s="59">
        <v>14</v>
      </c>
      <c r="C28" s="57" t="s">
        <v>24</v>
      </c>
      <c r="E28" s="59" t="s">
        <v>25</v>
      </c>
      <c r="F28" s="72">
        <v>100</v>
      </c>
    </row>
    <row r="29" spans="1:8" x14ac:dyDescent="0.2">
      <c r="A29" s="59">
        <v>15</v>
      </c>
      <c r="C29" s="57" t="s">
        <v>26</v>
      </c>
      <c r="E29" s="59" t="s">
        <v>23</v>
      </c>
      <c r="F29" s="73">
        <f>ROUND(F27,4)</f>
        <v>4.6899999999999997E-2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4.1434999999999995</v>
      </c>
    </row>
    <row r="33" spans="1:6" x14ac:dyDescent="0.2">
      <c r="A33" s="59">
        <v>19</v>
      </c>
      <c r="C33" s="69" t="s">
        <v>30</v>
      </c>
      <c r="E33" s="59" t="s">
        <v>31</v>
      </c>
      <c r="F33" s="75">
        <f>+IF(F21="West",(+VLOOKUP(F18,'Weekly OPIS Averages'!B15:J323,9,FALSE)),(+VLOOKUP(F18,'Weekly OPIS Averages'!M15:U323,9,FALSE)))</f>
        <v>2.7070833333333333</v>
      </c>
    </row>
    <row r="34" spans="1:6" x14ac:dyDescent="0.2">
      <c r="A34" s="59">
        <v>20</v>
      </c>
      <c r="C34" s="57" t="s">
        <v>32</v>
      </c>
      <c r="E34" s="59" t="s">
        <v>23</v>
      </c>
      <c r="F34" s="76">
        <f>+F32-F33</f>
        <v>1.4364166666666662</v>
      </c>
    </row>
    <row r="35" spans="1:6" x14ac:dyDescent="0.2">
      <c r="A35" s="59">
        <v>21</v>
      </c>
      <c r="C35" s="69" t="s">
        <v>33</v>
      </c>
      <c r="E35" s="59" t="s">
        <v>21</v>
      </c>
      <c r="F35" s="77">
        <f>+F33</f>
        <v>2.7070833333333333</v>
      </c>
    </row>
    <row r="36" spans="1:6" x14ac:dyDescent="0.2">
      <c r="A36" s="59">
        <v>22</v>
      </c>
      <c r="C36" s="57" t="s">
        <v>34</v>
      </c>
      <c r="E36" s="59" t="s">
        <v>23</v>
      </c>
      <c r="F36" s="71">
        <f>F34/F35</f>
        <v>0.53061412959827603</v>
      </c>
    </row>
    <row r="37" spans="1:6" x14ac:dyDescent="0.2">
      <c r="A37" s="59">
        <v>23</v>
      </c>
      <c r="C37" s="57" t="s">
        <v>24</v>
      </c>
      <c r="E37" s="59" t="s">
        <v>25</v>
      </c>
      <c r="F37" s="72">
        <v>100</v>
      </c>
    </row>
    <row r="38" spans="1:6" x14ac:dyDescent="0.2">
      <c r="A38" s="59">
        <v>24</v>
      </c>
      <c r="C38" s="57" t="s">
        <v>35</v>
      </c>
      <c r="E38" s="59" t="s">
        <v>23</v>
      </c>
      <c r="F38" s="73">
        <f>ROUND(F36,4)</f>
        <v>0.53059999999999996</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4.6899999999999997E-2</v>
      </c>
    </row>
    <row r="42" spans="1:6" x14ac:dyDescent="0.2">
      <c r="A42" s="59">
        <v>28</v>
      </c>
      <c r="C42" s="69" t="s">
        <v>38</v>
      </c>
      <c r="E42" s="59" t="s">
        <v>25</v>
      </c>
      <c r="F42" s="80">
        <f>F38</f>
        <v>0.53059999999999996</v>
      </c>
    </row>
    <row r="43" spans="1:6" x14ac:dyDescent="0.2">
      <c r="A43" s="59">
        <v>29</v>
      </c>
      <c r="B43" s="57" t="s">
        <v>39</v>
      </c>
      <c r="C43" s="57" t="s">
        <v>40</v>
      </c>
      <c r="E43" s="59" t="s">
        <v>23</v>
      </c>
      <c r="F43" s="79">
        <f>F42*F41</f>
        <v>2.4885139999999997E-2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1.4885139999999996E-2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1.4885139999999996E-2</v>
      </c>
    </row>
    <row r="49" spans="1:7" x14ac:dyDescent="0.2">
      <c r="A49" s="59">
        <v>35</v>
      </c>
      <c r="C49" s="57" t="s">
        <v>45</v>
      </c>
      <c r="E49" s="59" t="s">
        <v>25</v>
      </c>
      <c r="F49" s="70">
        <f>F16</f>
        <v>4870249</v>
      </c>
    </row>
    <row r="50" spans="1:7" x14ac:dyDescent="0.2">
      <c r="A50" s="59">
        <v>36</v>
      </c>
      <c r="C50" s="57" t="s">
        <v>46</v>
      </c>
      <c r="E50" s="59" t="s">
        <v>23</v>
      </c>
      <c r="F50" s="67">
        <f>F49*F48</f>
        <v>72494.33819985998</v>
      </c>
    </row>
    <row r="51" spans="1:7" x14ac:dyDescent="0.2">
      <c r="A51" s="59">
        <v>37</v>
      </c>
    </row>
    <row r="52" spans="1:7" x14ac:dyDescent="0.2">
      <c r="A52" s="59">
        <v>38</v>
      </c>
      <c r="C52" s="57" t="s">
        <v>47</v>
      </c>
      <c r="F52" s="79">
        <f>F29</f>
        <v>4.6899999999999997E-2</v>
      </c>
    </row>
    <row r="53" spans="1:7" x14ac:dyDescent="0.2">
      <c r="A53" s="59">
        <v>39</v>
      </c>
      <c r="C53" s="57" t="s">
        <v>48</v>
      </c>
      <c r="E53" s="59" t="s">
        <v>25</v>
      </c>
      <c r="F53" s="70">
        <f>IF(D6&gt;F22, D6, F22)</f>
        <v>6092288</v>
      </c>
    </row>
    <row r="54" spans="1:7" x14ac:dyDescent="0.2">
      <c r="A54" s="59">
        <v>40</v>
      </c>
      <c r="C54" s="57" t="s">
        <v>49</v>
      </c>
      <c r="E54" s="59" t="s">
        <v>23</v>
      </c>
      <c r="F54" s="67">
        <f>F53*F52</f>
        <v>285728.30719999998</v>
      </c>
    </row>
    <row r="55" spans="1:7" x14ac:dyDescent="0.2">
      <c r="A55" s="59">
        <v>41</v>
      </c>
      <c r="F55" s="67"/>
    </row>
    <row r="56" spans="1:7" x14ac:dyDescent="0.2">
      <c r="A56" s="59">
        <v>42</v>
      </c>
      <c r="C56" s="57" t="s">
        <v>50</v>
      </c>
      <c r="F56" s="67">
        <f>F17</f>
        <v>228218</v>
      </c>
    </row>
    <row r="57" spans="1:7" x14ac:dyDescent="0.2">
      <c r="A57" s="59">
        <v>43</v>
      </c>
      <c r="C57" s="57" t="s">
        <v>51</v>
      </c>
      <c r="E57" s="59" t="s">
        <v>52</v>
      </c>
      <c r="F57" s="67">
        <f>F50</f>
        <v>72494.33819985998</v>
      </c>
    </row>
    <row r="58" spans="1:7" x14ac:dyDescent="0.2">
      <c r="A58" s="59">
        <v>44</v>
      </c>
      <c r="C58" s="57" t="s">
        <v>53</v>
      </c>
      <c r="E58" s="59" t="s">
        <v>31</v>
      </c>
      <c r="F58" s="70">
        <f>F54</f>
        <v>285728.30719999998</v>
      </c>
    </row>
    <row r="59" spans="1:7" x14ac:dyDescent="0.2">
      <c r="A59" s="59">
        <v>45</v>
      </c>
      <c r="C59" s="57" t="s">
        <v>54</v>
      </c>
      <c r="E59" s="59" t="s">
        <v>23</v>
      </c>
      <c r="F59" s="67">
        <f>F56+F57-F58</f>
        <v>14984.03099985997</v>
      </c>
    </row>
    <row r="60" spans="1:7" x14ac:dyDescent="0.2">
      <c r="A60" s="59">
        <v>46</v>
      </c>
      <c r="C60" s="57" t="s">
        <v>55</v>
      </c>
      <c r="E60" s="59" t="s">
        <v>21</v>
      </c>
      <c r="F60" s="83">
        <f>F53</f>
        <v>6092288</v>
      </c>
    </row>
    <row r="61" spans="1:7" ht="13.5" thickBot="1" x14ac:dyDescent="0.25">
      <c r="A61" s="59">
        <v>47</v>
      </c>
      <c r="C61" s="84" t="s">
        <v>56</v>
      </c>
      <c r="E61" s="59" t="s">
        <v>23</v>
      </c>
      <c r="F61" s="82">
        <f>IF(AND(D2&gt;"", D4&gt;0, D6&gt;0), IF(F60=0, 0, F59/F60), 0)</f>
        <v>2.4595079877806122E-3</v>
      </c>
    </row>
    <row r="62" spans="1:7" ht="13.5" thickTop="1" x14ac:dyDescent="0.2"/>
    <row r="63" spans="1:7" x14ac:dyDescent="0.2">
      <c r="A63" s="244">
        <f ca="1">NOW()</f>
        <v>45418.528244444446</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7" sqref="D24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F6C4B113B69994A9A445006A00A2F7C" ma:contentTypeVersion="16" ma:contentTypeDescription="" ma:contentTypeScope="" ma:versionID="8fc9706c09b0a24208ab44bd432aee8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2024-05-09T07:00:00+00:00</OpenedDate>
    <SignificantOrder xmlns="dc463f71-b30c-4ab2-9473-d307f9d35888">false</SignificantOrder>
    <Date1 xmlns="dc463f71-b30c-4ab2-9473-d307f9d35888">2024-05-06T07:00:00+00:00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240325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2FA435DC-D74F-4E2F-8BF0-1DCD77035A85}"/>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5EF4DE5F-6670-4C29-920E-E4639DE17EA0}"/>
</file>

<file path=customXml/itemProps5.xml><?xml version="1.0" encoding="utf-8"?>
<ds:datastoreItem xmlns:ds="http://schemas.openxmlformats.org/officeDocument/2006/customXml" ds:itemID="{07BE300A-4873-4369-82AF-892B622DB2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2024-05-06T19:40:52Z</cp:lastPrinted>
  <dcterms:created xsi:type="dcterms:W3CDTF">2005-10-11T17:22:03Z</dcterms:created>
  <dcterms:modified xsi:type="dcterms:W3CDTF">2024-05-06T19:51:25Z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0x0101006E56B4D1795A2E4DB2F0B01679ED314A008F6C4B113B69994A9A445006A00A2F7C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