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externalLinks/externalLink2.xml" ContentType="application/vnd.openxmlformats-officedocument.spreadsheetml.externalLink+xml"/>
  <Override PartName="/xl/printerSettings/printerSettings4.bin" ContentType="application/vnd.openxmlformats-officedocument.spreadsheetml.printerSettings"/>
  <Override PartName="/xl/printerSettings/printerSettings6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printerSettings/printerSettings5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Schedules\Schedule 141PFG\2023\"/>
    </mc:Choice>
  </mc:AlternateContent>
  <bookViews>
    <workbookView xWindow="0" yWindow="0" windowWidth="15615" windowHeight="6750" tabRatio="795" firstSheet="1" activeTab="1"/>
  </bookViews>
  <sheets>
    <sheet name="_com.sap.ip.bi.xl.hiddensheet" sheetId="6" state="veryHidden" r:id="rId1"/>
    <sheet name="Revenue Requirement" sheetId="16" r:id="rId2"/>
    <sheet name="Int Rt Reg Fee Jan" sheetId="21" r:id="rId3"/>
    <sheet name="Int Rt Reg Fee Jun" sheetId="20" r:id="rId4"/>
    <sheet name="conversion factors " sheetId="18" r:id="rId5"/>
    <sheet name="Summary all pmts" sheetId="19" r:id="rId6"/>
    <sheet name="GRC_220066" sheetId="12" r:id="rId7"/>
    <sheet name="CEIP_210795" sheetId="15" r:id="rId8"/>
    <sheet name="Billed E" sheetId="5" r:id="rId9"/>
    <sheet name="Billed G" sheetId="11" r:id="rId10"/>
    <sheet name="KOB1 0123-0124" sheetId="14" r:id="rId11"/>
  </sheets>
  <externalReferences>
    <externalReference r:id="rId12"/>
    <externalReference r:id="rId13"/>
  </externalReferences>
  <definedNames>
    <definedName name="__________________six6" localSheetId="2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_www1" localSheetId="2" hidden="1">{#N/A,#N/A,FALSE,"schA"}</definedName>
    <definedName name="__________________www1" hidden="1">{#N/A,#N/A,FALSE,"schA"}</definedName>
    <definedName name="_________________six6" localSheetId="2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_www1" localSheetId="2" hidden="1">{#N/A,#N/A,FALSE,"schA"}</definedName>
    <definedName name="_________________www1" hidden="1">{#N/A,#N/A,FALSE,"schA"}</definedName>
    <definedName name="________________six6" localSheetId="2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localSheetId="2" hidden="1">{#N/A,#N/A,FALSE,"schA"}</definedName>
    <definedName name="________________www1" hidden="1">{#N/A,#N/A,FALSE,"schA"}</definedName>
    <definedName name="_______________six6" localSheetId="2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_www1" localSheetId="2" hidden="1">{#N/A,#N/A,FALSE,"schA"}</definedName>
    <definedName name="_______________www1" hidden="1">{#N/A,#N/A,FALSE,"schA"}</definedName>
    <definedName name="______________six6" localSheetId="2" hidden="1">{#N/A,#N/A,FALSE,"CRPT";#N/A,#N/A,FALSE,"TREND";#N/A,#N/A,FALSE,"%Curve"}</definedName>
    <definedName name="______________six6" hidden="1">{#N/A,#N/A,FALSE,"CRPT";#N/A,#N/A,FALSE,"TREND";#N/A,#N/A,FALSE,"%Curve"}</definedName>
    <definedName name="______________www1" localSheetId="2" hidden="1">{#N/A,#N/A,FALSE,"schA"}</definedName>
    <definedName name="______________www1" hidden="1">{#N/A,#N/A,FALSE,"schA"}</definedName>
    <definedName name="_____________six6" localSheetId="2" hidden="1">{#N/A,#N/A,FALSE,"CRPT";#N/A,#N/A,FALSE,"TREND";#N/A,#N/A,FALSE,"%Curve"}</definedName>
    <definedName name="_____________six6" hidden="1">{#N/A,#N/A,FALSE,"CRPT";#N/A,#N/A,FALSE,"TREND";#N/A,#N/A,FALSE,"%Curve"}</definedName>
    <definedName name="_____________www1" localSheetId="2" hidden="1">{#N/A,#N/A,FALSE,"schA"}</definedName>
    <definedName name="_____________www1" hidden="1">{#N/A,#N/A,FALSE,"schA"}</definedName>
    <definedName name="____________six6" localSheetId="2" hidden="1">{#N/A,#N/A,FALSE,"CRPT";#N/A,#N/A,FALSE,"TREND";#N/A,#N/A,FALSE,"%Curve"}</definedName>
    <definedName name="____________six6" hidden="1">{#N/A,#N/A,FALSE,"CRPT";#N/A,#N/A,FALSE,"TREND";#N/A,#N/A,FALSE,"%Curve"}</definedName>
    <definedName name="____________www1" localSheetId="2" hidden="1">{#N/A,#N/A,FALSE,"schA"}</definedName>
    <definedName name="____________www1" hidden="1">{#N/A,#N/A,FALSE,"schA"}</definedName>
    <definedName name="___________six6" localSheetId="2" hidden="1">{#N/A,#N/A,FALSE,"CRPT";#N/A,#N/A,FALSE,"TREND";#N/A,#N/A,FALSE,"%Curve"}</definedName>
    <definedName name="___________six6" hidden="1">{#N/A,#N/A,FALSE,"CRPT";#N/A,#N/A,FALSE,"TREND";#N/A,#N/A,FALSE,"%Curve"}</definedName>
    <definedName name="___________www1" localSheetId="2" hidden="1">{#N/A,#N/A,FALSE,"schA"}</definedName>
    <definedName name="___________www1" hidden="1">{#N/A,#N/A,FALSE,"schA"}</definedName>
    <definedName name="__________six6" localSheetId="2" hidden="1">{#N/A,#N/A,FALSE,"CRPT";#N/A,#N/A,FALSE,"TREND";#N/A,#N/A,FALSE,"%Curve"}</definedName>
    <definedName name="__________six6" hidden="1">{#N/A,#N/A,FALSE,"CRPT";#N/A,#N/A,FALSE,"TREND";#N/A,#N/A,FALSE,"%Curve"}</definedName>
    <definedName name="__________www1" localSheetId="2" hidden="1">{#N/A,#N/A,FALSE,"schA"}</definedName>
    <definedName name="__________www1" hidden="1">{#N/A,#N/A,FALSE,"schA"}</definedName>
    <definedName name="_________six6" localSheetId="2" hidden="1">{#N/A,#N/A,FALSE,"CRPT";#N/A,#N/A,FALSE,"TREND";#N/A,#N/A,FALSE,"%Curve"}</definedName>
    <definedName name="_________six6" hidden="1">{#N/A,#N/A,FALSE,"CRPT";#N/A,#N/A,FALSE,"TREND";#N/A,#N/A,FALSE,"%Curve"}</definedName>
    <definedName name="_________www1" localSheetId="2" hidden="1">{#N/A,#N/A,FALSE,"schA"}</definedName>
    <definedName name="_________www1" hidden="1">{#N/A,#N/A,FALSE,"schA"}</definedName>
    <definedName name="________six6" localSheetId="2" hidden="1">{#N/A,#N/A,FALSE,"CRPT";#N/A,#N/A,FALSE,"TREND";#N/A,#N/A,FALSE,"%Curve"}</definedName>
    <definedName name="________six6" hidden="1">{#N/A,#N/A,FALSE,"CRPT";#N/A,#N/A,FALSE,"TREND";#N/A,#N/A,FALSE,"%Curve"}</definedName>
    <definedName name="________www1" localSheetId="2" hidden="1">{#N/A,#N/A,FALSE,"schA"}</definedName>
    <definedName name="________www1" hidden="1">{#N/A,#N/A,FALSE,"schA"}</definedName>
    <definedName name="_______six6" localSheetId="2" hidden="1">{#N/A,#N/A,FALSE,"CRPT";#N/A,#N/A,FALSE,"TREND";#N/A,#N/A,FALSE,"%Curve"}</definedName>
    <definedName name="_______six6" hidden="1">{#N/A,#N/A,FALSE,"CRPT";#N/A,#N/A,FALSE,"TREND";#N/A,#N/A,FALSE,"%Curve"}</definedName>
    <definedName name="_______www1" localSheetId="2" hidden="1">{#N/A,#N/A,FALSE,"schA"}</definedName>
    <definedName name="_______www1" hidden="1">{#N/A,#N/A,FALSE,"schA"}</definedName>
    <definedName name="______six6" localSheetId="2" hidden="1">{#N/A,#N/A,FALSE,"CRPT";#N/A,#N/A,FALSE,"TREND";#N/A,#N/A,FALSE,"%Curve"}</definedName>
    <definedName name="______six6" hidden="1">{#N/A,#N/A,FALSE,"CRPT";#N/A,#N/A,FALSE,"TREND";#N/A,#N/A,FALSE,"%Curve"}</definedName>
    <definedName name="______www1" localSheetId="2" hidden="1">{#N/A,#N/A,FALSE,"schA"}</definedName>
    <definedName name="______www1" hidden="1">{#N/A,#N/A,FALSE,"schA"}</definedName>
    <definedName name="_____six6" localSheetId="2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2" hidden="1">{#N/A,#N/A,FALSE,"schA"}</definedName>
    <definedName name="_____www1" hidden="1">{#N/A,#N/A,FALSE,"schA"}</definedName>
    <definedName name="____six6" localSheetId="2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2" hidden="1">{#N/A,#N/A,FALSE,"schA"}</definedName>
    <definedName name="____www1" hidden="1">{#N/A,#N/A,FALSE,"schA"}</definedName>
    <definedName name="___six6" localSheetId="2" hidden="1">{#N/A,#N/A,FALSE,"CRPT";#N/A,#N/A,FALSE,"TREND";#N/A,#N/A,FALSE,"%Curve"}</definedName>
    <definedName name="___six6" hidden="1">{#N/A,#N/A,FALSE,"CRPT";#N/A,#N/A,FALSE,"TREND";#N/A,#N/A,FALSE,"%Curve"}</definedName>
    <definedName name="___www1" localSheetId="2" hidden="1">{#N/A,#N/A,FALSE,"schA"}</definedName>
    <definedName name="___www1" hidden="1">{#N/A,#N/A,FALSE,"schA"}</definedName>
    <definedName name="__123Graph_D" localSheetId="3" hidden="1">#REF!</definedName>
    <definedName name="__123Graph_D" hidden="1">#REF!</definedName>
    <definedName name="__123Graph_ECURRENT" localSheetId="3" hidden="1">[1]ConsolidatingPL!#REF!</definedName>
    <definedName name="__123Graph_ECURRENT" hidden="1">[1]ConsolidatingPL!#REF!</definedName>
    <definedName name="__six6" localSheetId="2" hidden="1">{#N/A,#N/A,FALSE,"CRPT";#N/A,#N/A,FALSE,"TREND";#N/A,#N/A,FALSE,"%Curve"}</definedName>
    <definedName name="__six6" hidden="1">{#N/A,#N/A,FALSE,"CRPT";#N/A,#N/A,FALSE,"TREND";#N/A,#N/A,FALSE,"%Curve"}</definedName>
    <definedName name="__www1" localSheetId="2" hidden="1">{#N/A,#N/A,FALSE,"schA"}</definedName>
    <definedName name="__www1" hidden="1">{#N/A,#N/A,FALSE,"schA"}</definedName>
    <definedName name="_ex1" localSheetId="2" hidden="1">{#N/A,#N/A,FALSE,"Summ";#N/A,#N/A,FALSE,"General"}</definedName>
    <definedName name="_ex1" hidden="1">{#N/A,#N/A,FALSE,"Summ";#N/A,#N/A,FALSE,"General"}</definedName>
    <definedName name="_Fill" localSheetId="3" hidden="1">#REF!</definedName>
    <definedName name="_Fill" hidden="1">#REF!</definedName>
    <definedName name="_Key1" localSheetId="3" hidden="1">#REF!</definedName>
    <definedName name="_Key1" hidden="1">#REF!</definedName>
    <definedName name="_Key2" localSheetId="3" hidden="1">#REF!</definedName>
    <definedName name="_Key2" hidden="1">#REF!</definedName>
    <definedName name="_new1" localSheetId="2" hidden="1">{#N/A,#N/A,FALSE,"Summ";#N/A,#N/A,FALSE,"General"}</definedName>
    <definedName name="_new1" hidden="1">{#N/A,#N/A,FALSE,"Summ";#N/A,#N/A,FALSE,"General"}</definedName>
    <definedName name="_six6" localSheetId="2" hidden="1">{#N/A,#N/A,FALSE,"CRPT";#N/A,#N/A,FALSE,"TREND";#N/A,#N/A,FALSE,"%Curve"}</definedName>
    <definedName name="_six6" hidden="1">{#N/A,#N/A,FALSE,"CRPT";#N/A,#N/A,FALSE,"TREND";#N/A,#N/A,FALSE,"%Curve"}</definedName>
    <definedName name="_Sort" localSheetId="3" hidden="1">#REF!</definedName>
    <definedName name="_Sort" hidden="1">#REF!</definedName>
    <definedName name="_www1" localSheetId="2" hidden="1">{#N/A,#N/A,FALSE,"schA"}</definedName>
    <definedName name="_www1" hidden="1">{#N/A,#N/A,FALSE,"schA"}</definedName>
    <definedName name="a" localSheetId="2" hidden="1">{#N/A,#N/A,FALSE,"Coversheet";#N/A,#N/A,FALSE,"QA"}</definedName>
    <definedName name="a" hidden="1">{#N/A,#N/A,FALSE,"Coversheet";#N/A,#N/A,FALSE,"QA"}</definedName>
    <definedName name="abc" localSheetId="2" hidden="1">{#N/A,#N/A,FALSE,"Coversheet";#N/A,#N/A,FALSE,"QA"}</definedName>
    <definedName name="abc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BEm" localSheetId="3" hidden="1">#REF!</definedName>
    <definedName name="BEm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3" hidden="1">#REF!</definedName>
    <definedName name="BEx3L7D0PI38HWZ7VADU16C9E33D" hidden="1">#REF!</definedName>
    <definedName name="BEx3LANPY1HT49TAH98H4B9RC1D4" localSheetId="3" hidden="1">#REF!</definedName>
    <definedName name="BEx3LANPY1HT49TAH98H4B9RC1D4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3" hidden="1">[2]ZZCOOM_M03_Q004!#REF!</definedName>
    <definedName name="BEx3O85IKWARA6NCJOLRBRJFMEWW" hidden="1">[2]ZZCOOM_M03_Q004!#REF!</definedName>
    <definedName name="BEx3OJZSCGFRW7SVGBFI0X9DNVMM" localSheetId="3" hidden="1">#REF!</definedName>
    <definedName name="BEx3OJZSCGFRW7SVGBFI0X9DNVMM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3" hidden="1">#REF!</definedName>
    <definedName name="BEx3UKOCOQG7S1YQ436S997K1KWV" hidden="1">#REF!</definedName>
    <definedName name="BEx3UNISOEXF3OFHT2BUA6P9RBIJ" localSheetId="3" hidden="1">#REF!</definedName>
    <definedName name="BEx3UNISOEXF3OFHT2BUA6P9RBIJ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3" hidden="1">[2]ZZCOOM_M03_Q004!#REF!</definedName>
    <definedName name="BEx5MLQZM68YQSKARVWTTPINFQ2C" hidden="1">[2]ZZCOOM_M03_Q004!#REF!</definedName>
    <definedName name="BEx5MMCJMU7FOOWUCW9EA13B7V5F" localSheetId="3" hidden="1">#REF!</definedName>
    <definedName name="BEx5MMCJMU7FOOWUCW9EA13B7V5F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3" hidden="1">#REF!</definedName>
    <definedName name="BEx9EG9KBJ77M8LEOR9ITOKN5KXY" hidden="1">#REF!</definedName>
    <definedName name="BEx9EL27NGDBCTVPW97K42QANS5K" localSheetId="3" hidden="1">#REF!</definedName>
    <definedName name="BEx9EL27NGDBCTVPW97K42QANS5K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3" hidden="1">#REF!</definedName>
    <definedName name="BExBCK9SCAABKOT9IP6TEPRR7YDT" hidden="1">#REF!</definedName>
    <definedName name="BExBCKKJFFT2RP50WNPKBT7X8PJ3" localSheetId="3" hidden="1">#REF!</definedName>
    <definedName name="BExBCKKJFFT2RP50WNPKBT7X8PJ3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3" hidden="1">#REF!</definedName>
    <definedName name="BExDCP3UZ3C2O4C1F7KMU0Z9U32N" hidden="1">#REF!</definedName>
    <definedName name="BExENU8ISP26W97JG63CN1XT9KB4" localSheetId="3" hidden="1">#REF!</definedName>
    <definedName name="BExENU8ISP26W97JG63CN1XT9KB4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3" hidden="1">[2]ZZCOOM_M03_Q004!#REF!</definedName>
    <definedName name="BExERWCEBKQRYWRQLYJ4UCMMKTHG" hidden="1">[2]ZZCOOM_M03_Q004!#REF!</definedName>
    <definedName name="BExERXE1QW042A2T25RI4DVUU59O" localSheetId="3" hidden="1">#REF!</definedName>
    <definedName name="BExERXE1QW042A2T25RI4DVUU59O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3" hidden="1">#REF!</definedName>
    <definedName name="BExEUNU7FYVTR4DD1D31SS7PNXX2" hidden="1">#REF!</definedName>
    <definedName name="BExEUOAHB0OT3BACAHNZ3B905C0P" localSheetId="3" hidden="1">#REF!</definedName>
    <definedName name="BExEUOAHB0OT3BACAHNZ3B905C0P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3" hidden="1">#REF!</definedName>
    <definedName name="BExIPKNFUDPDKOSH5GHDVNA8D66S" hidden="1">#REF!</definedName>
    <definedName name="BExIPVL5VEVK9Q7AYB7EC2VZWBEZ" localSheetId="3" hidden="1">#REF!</definedName>
    <definedName name="BExIPVL5VEVK9Q7AYB7EC2VZWBEZ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3" hidden="1">#REF!</definedName>
    <definedName name="BExKGNK5YGKP0YHHTAAOV17Z9EIM" hidden="1">#REF!</definedName>
    <definedName name="BExKGQ3T3TWGZUSNVWJE1XWXHGRQ" localSheetId="3" hidden="1">#REF!</definedName>
    <definedName name="BExKGQ3T3TWGZUSNVWJE1XWXHGRQ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3" hidden="1">#REF!</definedName>
    <definedName name="BExKPFFSVTL757PNITV8R9RN4452" hidden="1">#REF!</definedName>
    <definedName name="BExKPIL5ZWOXQAENH3VP3ZHA2N7N" localSheetId="3" hidden="1">#REF!</definedName>
    <definedName name="BExKPIL5ZWOXQAENH3VP3ZHA2N7N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3" hidden="1">[2]ZZCOOM_M03_Q004!#REF!</definedName>
    <definedName name="BExMBYPQDG9AYDQ5E8IECVFREPO6" hidden="1">[2]ZZCOOM_M03_Q004!#REF!</definedName>
    <definedName name="BExMC7PESEESXVMDCGGIP5LPMUGY" localSheetId="3" hidden="1">#REF!</definedName>
    <definedName name="BExMC7PESEESXVMDCGGIP5LPMUGY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3" hidden="1">#REF!</definedName>
    <definedName name="BExMKP92JGBM5BJO174H9A4HQIB9" hidden="1">#REF!</definedName>
    <definedName name="BExMKPEDT6IOYLLC3KJKRZOETC3Y" localSheetId="3" hidden="1">#REF!</definedName>
    <definedName name="BExMKPEDT6IOYLLC3KJKRZOETC3Y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3" hidden="1">[2]ZZCOOM_M03_Q004!#REF!</definedName>
    <definedName name="BExQ9ZLYHWABXAA9NJDW8ZS0UQ9P" hidden="1">[2]ZZCOOM_M03_Q004!#REF!</definedName>
    <definedName name="BExQ9ZWQ19KSRZNZNPY6ZNWEST1J" localSheetId="3" hidden="1">#REF!</definedName>
    <definedName name="BExQ9ZWQ19KSRZNZNPY6ZNWEST1J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3" hidden="1">#REF!</definedName>
    <definedName name="BExQG8TYRD2G42UA5ZPCRLNKUDMX" hidden="1">#REF!</definedName>
    <definedName name="BExQG9A8OZ31BDN5QEGQGWG59A43" localSheetId="3" hidden="1">#REF!</definedName>
    <definedName name="BExQG9A8OZ31BDN5QEGQGWG59A43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3" hidden="1">#REF!</definedName>
    <definedName name="BExQL2NSE8OYZFXQH8A23RMVMFW7" hidden="1">#REF!</definedName>
    <definedName name="BExQL4GJ3LZJL6JDEHT7UDXW90TV" localSheetId="3" hidden="1">#REF!</definedName>
    <definedName name="BExQL4GJ3LZJL6JDEHT7UDXW90TV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3" hidden="1">[2]ZZCOOM_M03_Q004!#REF!</definedName>
    <definedName name="BExTUY9WNSJ91GV8CP0SKJTEIV82" hidden="1">[2]ZZCOOM_M03_Q004!#REF!</definedName>
    <definedName name="BExTV67VIM8PV6KO253M4DUBJQLC" localSheetId="3" hidden="1">#REF!</definedName>
    <definedName name="BExTV67VIM8PV6KO253M4DUBJQLC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3" hidden="1">#REF!</definedName>
    <definedName name="BExUAMWQODKBXMRH1QCMJLJBF8M7" hidden="1">#REF!</definedName>
    <definedName name="BExUAPR6Y32097JKJCTGC4C6EGE9" localSheetId="3" hidden="1">#REF!</definedName>
    <definedName name="BExUAPR6Y32097JKJCTGC4C6EGE9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3" hidden="1">#REF!</definedName>
    <definedName name="BExW1U0JLKQ094DW5MMOI8UHO09V" hidden="1">#REF!</definedName>
    <definedName name="BExW1VNZHNB5P9V6232N0DQCE0WE" localSheetId="3" hidden="1">#REF!</definedName>
    <definedName name="BExW1VNZHNB5P9V6232N0DQCE0WE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3" hidden="1">#REF!</definedName>
    <definedName name="BExXO278QHQN8JDK5425EJ615ECC" hidden="1">#REF!</definedName>
    <definedName name="BExXO4QVV7YZ6L5A7WZEMIA5AZOV" localSheetId="3" hidden="1">#REF!</definedName>
    <definedName name="BExXO4QVV7YZ6L5A7WZEMIA5AZOV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3" hidden="1">#REF!</definedName>
    <definedName name="BExZSTNUWCRNCL22SMKXKFSLCJ0O" hidden="1">#REF!</definedName>
    <definedName name="BExZSYRA4NR7K6RLC3I81QSG5SQR" localSheetId="3" hidden="1">#REF!</definedName>
    <definedName name="BExZSYRA4NR7K6RLC3I81QSG5SQR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3" hidden="1">#REF!</definedName>
    <definedName name="BExZZZEMIIFKMLLV4DJKX5TB9R5V" hidden="1">#REF!</definedName>
    <definedName name="Bum" localSheetId="3" hidden="1">#REF!</definedName>
    <definedName name="Bum" hidden="1">#REF!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rror" localSheetId="2" hidden="1">{#N/A,#N/A,FALSE,"Coversheet";#N/A,#N/A,FALSE,"QA"}</definedName>
    <definedName name="error" hidden="1">{#N/A,#N/A,FALSE,"Coversheet";#N/A,#N/A,FALSE,"QA"}</definedName>
    <definedName name="Estimate" localSheetId="2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hidden="1">{#N/A,#N/A,FALSE,"Summ";#N/A,#N/A,FALSE,"General"}</definedName>
    <definedName name="F" localSheetId="3" hidden="1">#REF!</definedName>
    <definedName name="F" hidden="1">#REF!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ff" localSheetId="2" hidden="1">{#N/A,#N/A,FALSE,"Coversheet";#N/A,#N/A,FALSE,"QA"}</definedName>
    <definedName name="ffff" hidden="1">{#N/A,#N/A,FALSE,"Coversheet";#N/A,#N/A,FALSE,"QA"}</definedName>
    <definedName name="fffgf" localSheetId="2" hidden="1">{#N/A,#N/A,FALSE,"Coversheet";#N/A,#N/A,FALSE,"QA"}</definedName>
    <definedName name="fffgf" hidden="1">{#N/A,#N/A,FALSE,"Coversheet";#N/A,#N/A,FALSE,"QA"}</definedName>
    <definedName name="helllo" localSheetId="2" hidden="1">{#N/A,#N/A,FALSE,"Pg 6b CustCount_Gas";#N/A,#N/A,FALSE,"QA";#N/A,#N/A,FALSE,"Report";#N/A,#N/A,FALSE,"forecast"}</definedName>
    <definedName name="helllo" hidden="1">{#N/A,#N/A,FALSE,"Pg 6b CustCount_Gas";#N/A,#N/A,FALSE,"QA";#N/A,#N/A,FALSE,"Report";#N/A,#N/A,FALSE,"forecast"}</definedName>
    <definedName name="Hello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2" hidden="1">{#N/A,#N/A,FALSE,"Coversheet";#N/A,#N/A,FALSE,"QA"}</definedName>
    <definedName name="HELP" hidden="1">{#N/A,#N/A,FALSE,"Coversheet";#N/A,#N/A,FALSE,"QA"}</definedName>
    <definedName name="income_satement_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2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localSheetId="2" hidden="1">{#N/A,#N/A,FALSE,"Summ";#N/A,#N/A,FALSE,"General"}</definedName>
    <definedName name="jfkljsdkljiejgr" hidden="1">{#N/A,#N/A,FALSE,"Summ";#N/A,#N/A,FALSE,"General"}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2" hidden="1">{#N/A,#N/A,FALSE,"Coversheet";#N/A,#N/A,FALSE,"QA"}</definedName>
    <definedName name="lookup" hidden="1">{#N/A,#N/A,FALSE,"Coversheet";#N/A,#N/A,FALSE,"QA"}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2" hidden="1">{#N/A,#N/A,FALSE,"Coversheet";#N/A,#N/A,FALSE,"QA"}</definedName>
    <definedName name="q" hidden="1">{#N/A,#N/A,FALSE,"Coversheet";#N/A,#N/A,FALSE,"QA"}</definedName>
    <definedName name="qqq" localSheetId="2" hidden="1">{#N/A,#N/A,FALSE,"schA"}</definedName>
    <definedName name="qqq" hidden="1">{#N/A,#N/A,FALSE,"schA"}</definedName>
    <definedName name="SAPCrosstab1">'Billed E'!$A$1:$E$40</definedName>
    <definedName name="SAPCrosstab2">#REF!</definedName>
    <definedName name="sdlfhsdlhfkl" localSheetId="2" hidden="1">{#N/A,#N/A,FALSE,"Summ";#N/A,#N/A,FALSE,"General"}</definedName>
    <definedName name="sdlfhsdlhfkl" hidden="1">{#N/A,#N/A,FALSE,"Summ";#N/A,#N/A,FALSE,"General"}</definedName>
    <definedName name="seven" localSheetId="2" hidden="1">{#N/A,#N/A,FALSE,"CRPT";#N/A,#N/A,FALSE,"TREND";#N/A,#N/A,FALSE,"%Curve"}</definedName>
    <definedName name="seven" hidden="1">{#N/A,#N/A,FALSE,"CRPT";#N/A,#N/A,FALSE,"TREND";#N/A,#N/A,FALSE,"%Curve"}</definedName>
    <definedName name="six" localSheetId="2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2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localSheetId="2" hidden="1">{#N/A,#N/A,FALSE,"Summ";#N/A,#N/A,FALSE,"General"}</definedName>
    <definedName name="tem" hidden="1">{#N/A,#N/A,FALSE,"Summ";#N/A,#N/A,FALSE,"General"}</definedName>
    <definedName name="tem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Temp1" localSheetId="2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localSheetId="2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localSheetId="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3" hidden="1">#REF!</definedName>
    <definedName name="Transfer" hidden="1">#REF!</definedName>
    <definedName name="Transfers" localSheetId="3" hidden="1">#REF!</definedName>
    <definedName name="Transfers" hidden="1">#REF!</definedName>
    <definedName name="u" localSheetId="2" hidden="1">{#N/A,#N/A,FALSE,"Summ";#N/A,#N/A,FALSE,"General"}</definedName>
    <definedName name="u" hidden="1">{#N/A,#N/A,FALSE,"Summ";#N/A,#N/A,FALSE,"General"}</definedName>
    <definedName name="v" localSheetId="2" hidden="1">{#N/A,#N/A,FALSE,"Coversheet";#N/A,#N/A,FALSE,"QA"}</definedName>
    <definedName name="v" hidden="1">{#N/A,#N/A,FALSE,"Coversheet";#N/A,#N/A,FALSE,"QA"}</definedName>
    <definedName name="Value" localSheetId="2" hidden="1">{#N/A,#N/A,FALSE,"Summ";#N/A,#N/A,FALSE,"General"}</definedName>
    <definedName name="Value" hidden="1">{#N/A,#N/A,FALSE,"Summ";#N/A,#N/A,FALSE,"General"}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2" hidden="1">{#N/A,#N/A,FALSE,"Coversheet";#N/A,#N/A,FALSE,"QA"}</definedName>
    <definedName name="WH" hidden="1">{#N/A,#N/A,FALSE,"Coversheet";#N/A,#N/A,FALSE,"QA"}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2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2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2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2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2" hidden="1">{#N/A,#N/A,FALSE,"schA"}</definedName>
    <definedName name="www" hidden="1">{#N/A,#N/A,FALSE,"schA"}</definedName>
    <definedName name="x" localSheetId="2" hidden="1">{#N/A,#N/A,FALSE,"Coversheet";#N/A,#N/A,FALSE,"QA"}</definedName>
    <definedName name="x" hidden="1">{#N/A,#N/A,FALSE,"Coversheet";#N/A,#N/A,FALSE,"QA"}</definedName>
    <definedName name="xx" localSheetId="2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localSheetId="2" hidden="1">{#N/A,#N/A,FALSE,"Summ";#N/A,#N/A,FALSE,"General"}</definedName>
    <definedName name="yuf" hidden="1">{#N/A,#N/A,FALSE,"Summ";#N/A,#N/A,FALSE,"General"}</definedName>
    <definedName name="z" localSheetId="2" hidden="1">{#N/A,#N/A,FALSE,"Coversheet";#N/A,#N/A,FALSE,"QA"}</definedName>
    <definedName name="z" hidden="1">{#N/A,#N/A,FALSE,"Coversheet";#N/A,#N/A,FALSE,"QA"}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6" l="1"/>
  <c r="K2" i="16" l="1"/>
  <c r="L2" i="16"/>
  <c r="J2" i="16"/>
  <c r="F2" i="16"/>
  <c r="G2" i="16"/>
  <c r="E2" i="16"/>
  <c r="A3" i="16"/>
  <c r="C26" i="21"/>
  <c r="C30" i="21"/>
  <c r="D14" i="21" s="1"/>
  <c r="F14" i="21" s="1"/>
  <c r="A9" i="21"/>
  <c r="A10" i="21" s="1"/>
  <c r="A11" i="21" s="1"/>
  <c r="A12" i="21" s="1"/>
  <c r="A13" i="21" s="1"/>
  <c r="A14" i="21" s="1"/>
  <c r="A15" i="21" s="1"/>
  <c r="A16" i="21" s="1"/>
  <c r="A17" i="21" s="1"/>
  <c r="C30" i="20"/>
  <c r="D18" i="20" s="1"/>
  <c r="D30" i="20" s="1"/>
  <c r="F28" i="20"/>
  <c r="F16" i="20"/>
  <c r="F18" i="20" s="1"/>
  <c r="F26" i="20" s="1"/>
  <c r="F14" i="20"/>
  <c r="A9" i="20"/>
  <c r="A10" i="20"/>
  <c r="A11" i="20"/>
  <c r="A12" i="20" s="1"/>
  <c r="A13" i="20" s="1"/>
  <c r="A14" i="20" s="1"/>
  <c r="A15" i="20" s="1"/>
  <c r="A16" i="20" s="1"/>
  <c r="A17" i="20" s="1"/>
  <c r="D28" i="21"/>
  <c r="F28" i="21" s="1"/>
  <c r="L17" i="16"/>
  <c r="L5" i="16"/>
  <c r="K5" i="16"/>
  <c r="J5" i="16"/>
  <c r="G5" i="16"/>
  <c r="G17" i="16"/>
  <c r="F5" i="16"/>
  <c r="E5" i="16"/>
  <c r="J18" i="19"/>
  <c r="K18" i="19"/>
  <c r="K21" i="19"/>
  <c r="L18" i="19"/>
  <c r="M18" i="19"/>
  <c r="N18" i="19"/>
  <c r="N21" i="19"/>
  <c r="N26" i="19"/>
  <c r="O18" i="19"/>
  <c r="P18" i="19"/>
  <c r="Q18" i="19"/>
  <c r="R18" i="19"/>
  <c r="S18" i="19"/>
  <c r="S21" i="19"/>
  <c r="T18" i="19"/>
  <c r="J19" i="19"/>
  <c r="K19" i="19"/>
  <c r="L19" i="19"/>
  <c r="M19" i="19"/>
  <c r="N19" i="19"/>
  <c r="O19" i="19"/>
  <c r="O21" i="19"/>
  <c r="O26" i="19"/>
  <c r="P19" i="19"/>
  <c r="P21" i="19"/>
  <c r="Q19" i="19"/>
  <c r="R19" i="19"/>
  <c r="S19" i="19"/>
  <c r="T19" i="19"/>
  <c r="J20" i="19"/>
  <c r="K20" i="19"/>
  <c r="L20" i="19"/>
  <c r="L21" i="19"/>
  <c r="L26" i="19"/>
  <c r="M20" i="19"/>
  <c r="N20" i="19"/>
  <c r="O20" i="19"/>
  <c r="P20" i="19"/>
  <c r="Q20" i="19"/>
  <c r="R20" i="19"/>
  <c r="S20" i="19"/>
  <c r="T20" i="19"/>
  <c r="T21" i="19"/>
  <c r="T26" i="19"/>
  <c r="J21" i="19"/>
  <c r="J26" i="19"/>
  <c r="M21" i="19"/>
  <c r="M26" i="19"/>
  <c r="Q21" i="19"/>
  <c r="Q26" i="19"/>
  <c r="R21" i="19"/>
  <c r="J22" i="19"/>
  <c r="J25" i="19"/>
  <c r="K22" i="19"/>
  <c r="L22" i="19"/>
  <c r="M22" i="19"/>
  <c r="N22" i="19"/>
  <c r="O22" i="19"/>
  <c r="O25" i="19"/>
  <c r="P22" i="19"/>
  <c r="Q22" i="19"/>
  <c r="R22" i="19"/>
  <c r="R25" i="19"/>
  <c r="S22" i="19"/>
  <c r="T22" i="19"/>
  <c r="J23" i="19"/>
  <c r="K23" i="19"/>
  <c r="K25" i="19"/>
  <c r="L23" i="19"/>
  <c r="L25" i="19"/>
  <c r="M23" i="19"/>
  <c r="N23" i="19"/>
  <c r="O23" i="19"/>
  <c r="P23" i="19"/>
  <c r="Q23" i="19"/>
  <c r="R23" i="19"/>
  <c r="S23" i="19"/>
  <c r="S25" i="19"/>
  <c r="T23" i="19"/>
  <c r="T25" i="19"/>
  <c r="J24" i="19"/>
  <c r="K24" i="19"/>
  <c r="L24" i="19"/>
  <c r="M24" i="19"/>
  <c r="N24" i="19"/>
  <c r="O24" i="19"/>
  <c r="P24" i="19"/>
  <c r="P25" i="19"/>
  <c r="Q24" i="19"/>
  <c r="R24" i="19"/>
  <c r="S24" i="19"/>
  <c r="T24" i="19"/>
  <c r="M25" i="19"/>
  <c r="N25" i="19"/>
  <c r="Q25" i="19"/>
  <c r="D18" i="19"/>
  <c r="E18" i="19"/>
  <c r="E21" i="19"/>
  <c r="E26" i="19"/>
  <c r="F18" i="19"/>
  <c r="G18" i="19"/>
  <c r="H18" i="19"/>
  <c r="I18" i="19"/>
  <c r="I21" i="19"/>
  <c r="D19" i="19"/>
  <c r="D21" i="19"/>
  <c r="D26" i="19"/>
  <c r="E19" i="19"/>
  <c r="F19" i="19"/>
  <c r="G19" i="19"/>
  <c r="H19" i="19"/>
  <c r="I19" i="19"/>
  <c r="D20" i="19"/>
  <c r="E20" i="19"/>
  <c r="F20" i="19"/>
  <c r="F21" i="19"/>
  <c r="F26" i="19"/>
  <c r="G20" i="19"/>
  <c r="H20" i="19"/>
  <c r="I20" i="19"/>
  <c r="G21" i="19"/>
  <c r="G26" i="19"/>
  <c r="H21" i="19"/>
  <c r="H26" i="19"/>
  <c r="D22" i="19"/>
  <c r="E22" i="19"/>
  <c r="E25" i="19"/>
  <c r="F22" i="19"/>
  <c r="G22" i="19"/>
  <c r="H22" i="19"/>
  <c r="I22" i="19"/>
  <c r="I25" i="19"/>
  <c r="D23" i="19"/>
  <c r="D25" i="19"/>
  <c r="E23" i="19"/>
  <c r="F23" i="19"/>
  <c r="G23" i="19"/>
  <c r="H23" i="19"/>
  <c r="I23" i="19"/>
  <c r="D24" i="19"/>
  <c r="E24" i="19"/>
  <c r="F24" i="19"/>
  <c r="F25" i="19"/>
  <c r="G24" i="19"/>
  <c r="H24" i="19"/>
  <c r="I24" i="19"/>
  <c r="G25" i="19"/>
  <c r="H25" i="19"/>
  <c r="C26" i="19"/>
  <c r="C25" i="19"/>
  <c r="C24" i="19"/>
  <c r="C23" i="19"/>
  <c r="C22" i="19"/>
  <c r="C21" i="19"/>
  <c r="C20" i="19"/>
  <c r="C19" i="19"/>
  <c r="C18" i="19"/>
  <c r="I4" i="19"/>
  <c r="K4" i="19"/>
  <c r="M4" i="19"/>
  <c r="N4" i="19"/>
  <c r="T4" i="19"/>
  <c r="O4" i="19"/>
  <c r="P4" i="19"/>
  <c r="Q4" i="19"/>
  <c r="R4" i="19"/>
  <c r="S4" i="19"/>
  <c r="D5" i="19"/>
  <c r="D9" i="19"/>
  <c r="I5" i="19"/>
  <c r="J5" i="19"/>
  <c r="L5" i="19"/>
  <c r="S5" i="19"/>
  <c r="M5" i="19"/>
  <c r="N5" i="19"/>
  <c r="T5" i="19"/>
  <c r="O5" i="19"/>
  <c r="P5" i="19"/>
  <c r="Q5" i="19"/>
  <c r="R5" i="19"/>
  <c r="E10" i="19"/>
  <c r="I10" i="19"/>
  <c r="M10" i="19"/>
  <c r="N10" i="19"/>
  <c r="O10" i="19"/>
  <c r="Q10" i="19"/>
  <c r="R10" i="19"/>
  <c r="S10" i="19"/>
  <c r="L9" i="19"/>
  <c r="K9" i="19"/>
  <c r="J9" i="19"/>
  <c r="E9" i="19"/>
  <c r="E16" i="12"/>
  <c r="C12" i="19"/>
  <c r="I12" i="19"/>
  <c r="E47" i="12"/>
  <c r="E39" i="12"/>
  <c r="F13" i="19"/>
  <c r="Q13" i="19"/>
  <c r="R13" i="19"/>
  <c r="S12" i="19"/>
  <c r="R12" i="19"/>
  <c r="Q12" i="19"/>
  <c r="S11" i="19"/>
  <c r="Q11" i="19"/>
  <c r="R8" i="19"/>
  <c r="S7" i="19"/>
  <c r="R7" i="19"/>
  <c r="Q7" i="19"/>
  <c r="S6" i="19"/>
  <c r="Q6" i="19"/>
  <c r="P13" i="19"/>
  <c r="O13" i="19"/>
  <c r="N13" i="19"/>
  <c r="P12" i="19"/>
  <c r="O12" i="19"/>
  <c r="P11" i="19"/>
  <c r="O11" i="19"/>
  <c r="N11" i="19"/>
  <c r="P8" i="19"/>
  <c r="O8" i="19"/>
  <c r="N8" i="19"/>
  <c r="P7" i="19"/>
  <c r="O7" i="19"/>
  <c r="P6" i="19"/>
  <c r="O6" i="19"/>
  <c r="N6" i="19"/>
  <c r="H8" i="19"/>
  <c r="S8" i="19"/>
  <c r="H13" i="19"/>
  <c r="S13" i="19"/>
  <c r="M11" i="19"/>
  <c r="G11" i="19"/>
  <c r="R11" i="19"/>
  <c r="G6" i="19"/>
  <c r="I6" i="19"/>
  <c r="M13" i="19"/>
  <c r="L14" i="19"/>
  <c r="K14" i="19"/>
  <c r="J14" i="19"/>
  <c r="D14" i="19"/>
  <c r="M12" i="19"/>
  <c r="F8" i="19"/>
  <c r="Q8" i="19"/>
  <c r="M7" i="19"/>
  <c r="M6" i="19"/>
  <c r="M8" i="19"/>
  <c r="C7" i="19"/>
  <c r="N7" i="19"/>
  <c r="M5" i="16"/>
  <c r="H17" i="16"/>
  <c r="M17" i="16"/>
  <c r="H5" i="16"/>
  <c r="S26" i="19"/>
  <c r="K26" i="19"/>
  <c r="R26" i="19"/>
  <c r="P26" i="19"/>
  <c r="I26" i="19"/>
  <c r="E14" i="19"/>
  <c r="P10" i="19"/>
  <c r="T10" i="19"/>
  <c r="P9" i="19"/>
  <c r="N9" i="19"/>
  <c r="O9" i="19"/>
  <c r="F9" i="19"/>
  <c r="G9" i="19"/>
  <c r="H9" i="19"/>
  <c r="C9" i="19"/>
  <c r="M9" i="19"/>
  <c r="S9" i="19"/>
  <c r="R6" i="19"/>
  <c r="T6" i="19"/>
  <c r="H14" i="19"/>
  <c r="Q14" i="19"/>
  <c r="Q9" i="19"/>
  <c r="J15" i="19"/>
  <c r="N12" i="19"/>
  <c r="G14" i="19"/>
  <c r="S14" i="19"/>
  <c r="I11" i="19"/>
  <c r="T11" i="19"/>
  <c r="O14" i="19"/>
  <c r="T7" i="19"/>
  <c r="I13" i="19"/>
  <c r="T13" i="19"/>
  <c r="T8" i="19"/>
  <c r="R14" i="19"/>
  <c r="D15" i="19"/>
  <c r="M14" i="19"/>
  <c r="C14" i="19"/>
  <c r="F14" i="19"/>
  <c r="K15" i="19"/>
  <c r="L15" i="19"/>
  <c r="I8" i="19"/>
  <c r="E15" i="19"/>
  <c r="I7" i="19"/>
  <c r="A37" i="16"/>
  <c r="A38" i="16"/>
  <c r="A39" i="16"/>
  <c r="O17" i="16"/>
  <c r="Q17" i="16"/>
  <c r="S17" i="16"/>
  <c r="O5" i="16"/>
  <c r="F15" i="19"/>
  <c r="H15" i="19"/>
  <c r="I9" i="19"/>
  <c r="P14" i="19"/>
  <c r="P15" i="19"/>
  <c r="R9" i="19"/>
  <c r="R15" i="19"/>
  <c r="G15" i="19"/>
  <c r="I14" i="19"/>
  <c r="Q15" i="19"/>
  <c r="S15" i="19"/>
  <c r="O15" i="19"/>
  <c r="T12" i="19"/>
  <c r="T14" i="19"/>
  <c r="N14" i="19"/>
  <c r="N15" i="19"/>
  <c r="M15" i="19"/>
  <c r="M16" i="19"/>
  <c r="C15" i="19"/>
  <c r="B5" i="15"/>
  <c r="A27" i="16"/>
  <c r="A28" i="16"/>
  <c r="A29" i="16"/>
  <c r="A36" i="16"/>
  <c r="A35" i="16"/>
  <c r="A34" i="16"/>
  <c r="A33" i="16"/>
  <c r="A32" i="16"/>
  <c r="A31" i="16"/>
  <c r="A30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4" i="16"/>
  <c r="D16" i="12"/>
  <c r="D39" i="12"/>
  <c r="E13" i="15"/>
  <c r="J31" i="16"/>
  <c r="D13" i="15"/>
  <c r="E31" i="16"/>
  <c r="E20" i="15"/>
  <c r="D20" i="15"/>
  <c r="F20" i="15"/>
  <c r="E26" i="15"/>
  <c r="E28" i="15"/>
  <c r="D26" i="15"/>
  <c r="D28" i="15"/>
  <c r="F28" i="15"/>
  <c r="D54" i="12"/>
  <c r="E54" i="12"/>
  <c r="E18" i="15"/>
  <c r="D18" i="15"/>
  <c r="E37" i="12"/>
  <c r="D37" i="12"/>
  <c r="E11" i="15"/>
  <c r="D11" i="15"/>
  <c r="E45" i="12"/>
  <c r="D45" i="12"/>
  <c r="E31" i="12"/>
  <c r="F23" i="12"/>
  <c r="F31" i="12"/>
  <c r="E28" i="5"/>
  <c r="E14" i="12"/>
  <c r="D14" i="12"/>
  <c r="B8" i="12"/>
  <c r="H3" i="5"/>
  <c r="H29" i="5"/>
  <c r="H4" i="5"/>
  <c r="H7" i="5"/>
  <c r="H8" i="5"/>
  <c r="H9" i="5"/>
  <c r="H10" i="5"/>
  <c r="H30" i="5"/>
  <c r="H11" i="5"/>
  <c r="H12" i="5"/>
  <c r="H13" i="5"/>
  <c r="H14" i="5"/>
  <c r="H15" i="5"/>
  <c r="H18" i="5"/>
  <c r="H19" i="5"/>
  <c r="H21" i="5"/>
  <c r="J21" i="5"/>
  <c r="H23" i="5"/>
  <c r="H16" i="5"/>
  <c r="H17" i="5"/>
  <c r="H31" i="5"/>
  <c r="H25" i="5"/>
  <c r="H32" i="5"/>
  <c r="I5" i="5"/>
  <c r="I20" i="5"/>
  <c r="I22" i="5"/>
  <c r="J22" i="5"/>
  <c r="I26" i="5"/>
  <c r="I27" i="5"/>
  <c r="J20" i="5"/>
  <c r="J26" i="5"/>
  <c r="J24" i="5"/>
  <c r="J23" i="5"/>
  <c r="J15" i="5"/>
  <c r="J14" i="5"/>
  <c r="J13" i="5"/>
  <c r="J7" i="5"/>
  <c r="J5" i="5"/>
  <c r="J4" i="5"/>
  <c r="J8" i="5"/>
  <c r="J9" i="5"/>
  <c r="J12" i="5"/>
  <c r="J16" i="5"/>
  <c r="J17" i="5"/>
  <c r="J18" i="5"/>
  <c r="J19" i="5"/>
  <c r="J25" i="5"/>
  <c r="J3" i="5"/>
  <c r="J11" i="5"/>
  <c r="H33" i="5"/>
  <c r="H27" i="5"/>
  <c r="J10" i="5"/>
  <c r="J27" i="5"/>
  <c r="E15" i="12"/>
  <c r="E46" i="12"/>
  <c r="D46" i="12"/>
  <c r="D47" i="12"/>
  <c r="D15" i="12"/>
  <c r="F16" i="12"/>
  <c r="E55" i="12"/>
  <c r="E56" i="12"/>
  <c r="D55" i="12"/>
  <c r="D56" i="12"/>
  <c r="F56" i="12"/>
  <c r="E38" i="12"/>
  <c r="D38" i="12"/>
  <c r="F39" i="12"/>
  <c r="F47" i="12"/>
  <c r="T9" i="19"/>
  <c r="T15" i="19"/>
  <c r="I15" i="19"/>
  <c r="I16" i="19"/>
  <c r="L31" i="16"/>
  <c r="G31" i="16"/>
  <c r="H31" i="16"/>
  <c r="F13" i="15"/>
  <c r="M31" i="16"/>
  <c r="O26" i="16"/>
  <c r="Q5" i="16"/>
  <c r="S5" i="16"/>
  <c r="T16" i="19"/>
  <c r="O31" i="16"/>
  <c r="O36" i="16"/>
  <c r="O38" i="16"/>
  <c r="Q31" i="16"/>
  <c r="S31" i="16"/>
  <c r="C4" i="16" l="1"/>
  <c r="B4" i="16"/>
  <c r="F30" i="20"/>
  <c r="F30" i="21"/>
  <c r="D18" i="21"/>
  <c r="D26" i="21" s="1"/>
  <c r="D16" i="21"/>
  <c r="F16" i="21" s="1"/>
  <c r="F18" i="21" s="1"/>
  <c r="F26" i="21" s="1"/>
  <c r="D30" i="21"/>
  <c r="F32" i="16" l="1"/>
  <c r="K33" i="16"/>
  <c r="F34" i="16"/>
  <c r="K25" i="16"/>
  <c r="L22" i="16"/>
  <c r="E25" i="16"/>
  <c r="F22" i="16"/>
  <c r="G15" i="16"/>
  <c r="E14" i="16"/>
  <c r="H14" i="16" s="1"/>
  <c r="K12" i="16"/>
  <c r="G11" i="16"/>
  <c r="G33" i="16"/>
  <c r="L21" i="16"/>
  <c r="L14" i="16"/>
  <c r="L34" i="16"/>
  <c r="J24" i="16"/>
  <c r="E21" i="16"/>
  <c r="E12" i="16"/>
  <c r="G14" i="16"/>
  <c r="K32" i="16"/>
  <c r="F25" i="16"/>
  <c r="L35" i="16"/>
  <c r="J33" i="16"/>
  <c r="E34" i="16"/>
  <c r="J25" i="16"/>
  <c r="K22" i="16"/>
  <c r="G24" i="16"/>
  <c r="E22" i="16"/>
  <c r="F15" i="16"/>
  <c r="L13" i="16"/>
  <c r="J12" i="16"/>
  <c r="F11" i="16"/>
  <c r="J32" i="16"/>
  <c r="E24" i="16"/>
  <c r="H24" i="16" s="1"/>
  <c r="J13" i="16"/>
  <c r="G35" i="16"/>
  <c r="K21" i="16"/>
  <c r="K14" i="16"/>
  <c r="K23" i="16"/>
  <c r="K15" i="16"/>
  <c r="L33" i="16"/>
  <c r="J23" i="16"/>
  <c r="M23" i="16" s="1"/>
  <c r="F14" i="16"/>
  <c r="K35" i="16"/>
  <c r="L32" i="16"/>
  <c r="F33" i="16"/>
  <c r="L24" i="16"/>
  <c r="J22" i="16"/>
  <c r="F24" i="16"/>
  <c r="F21" i="16"/>
  <c r="E15" i="16"/>
  <c r="K13" i="16"/>
  <c r="G12" i="16"/>
  <c r="E11" i="16"/>
  <c r="J35" i="16"/>
  <c r="M35" i="16" s="1"/>
  <c r="K24" i="16"/>
  <c r="G21" i="16"/>
  <c r="F12" i="16"/>
  <c r="E33" i="16"/>
  <c r="G23" i="16"/>
  <c r="G13" i="16"/>
  <c r="G25" i="16"/>
  <c r="E13" i="16"/>
  <c r="H13" i="16" s="1"/>
  <c r="G34" i="16"/>
  <c r="J15" i="16"/>
  <c r="J11" i="16"/>
  <c r="M11" i="16" s="1"/>
  <c r="K34" i="16"/>
  <c r="F35" i="16"/>
  <c r="E32" i="16"/>
  <c r="L23" i="16"/>
  <c r="J21" i="16"/>
  <c r="M21" i="16" s="1"/>
  <c r="F23" i="16"/>
  <c r="L15" i="16"/>
  <c r="J14" i="16"/>
  <c r="M14" i="16" s="1"/>
  <c r="F13" i="16"/>
  <c r="L11" i="16"/>
  <c r="J34" i="16"/>
  <c r="E35" i="16"/>
  <c r="H35" i="16" s="1"/>
  <c r="G32" i="16"/>
  <c r="G36" i="16" s="1"/>
  <c r="E23" i="16"/>
  <c r="H23" i="16" s="1"/>
  <c r="K11" i="16"/>
  <c r="L25" i="16"/>
  <c r="G22" i="16"/>
  <c r="L12" i="16"/>
  <c r="C3" i="16"/>
  <c r="E26" i="21"/>
  <c r="B3" i="16"/>
  <c r="P23" i="16" l="1"/>
  <c r="Q23" i="16" s="1"/>
  <c r="S23" i="16" s="1"/>
  <c r="M22" i="16"/>
  <c r="H34" i="16"/>
  <c r="M24" i="16"/>
  <c r="P24" i="16"/>
  <c r="Q24" i="16" s="1"/>
  <c r="S24" i="16" s="1"/>
  <c r="M12" i="16"/>
  <c r="M33" i="16"/>
  <c r="H12" i="16"/>
  <c r="H25" i="16"/>
  <c r="P25" i="16" s="1"/>
  <c r="Q25" i="16" s="1"/>
  <c r="S25" i="16" s="1"/>
  <c r="H32" i="16"/>
  <c r="P32" i="16" s="1"/>
  <c r="E36" i="16"/>
  <c r="L36" i="16"/>
  <c r="H22" i="16"/>
  <c r="K36" i="16"/>
  <c r="P35" i="16"/>
  <c r="Q35" i="16" s="1"/>
  <c r="S35" i="16" s="1"/>
  <c r="H11" i="16"/>
  <c r="P11" i="16" s="1"/>
  <c r="Q11" i="16" s="1"/>
  <c r="S11" i="16" s="1"/>
  <c r="M34" i="16"/>
  <c r="H33" i="16"/>
  <c r="P33" i="16" s="1"/>
  <c r="Q33" i="16" s="1"/>
  <c r="S33" i="16" s="1"/>
  <c r="H15" i="16"/>
  <c r="M13" i="16"/>
  <c r="P13" i="16" s="1"/>
  <c r="Q13" i="16" s="1"/>
  <c r="S13" i="16" s="1"/>
  <c r="M15" i="16"/>
  <c r="M32" i="16"/>
  <c r="J36" i="16"/>
  <c r="M36" i="16" s="1"/>
  <c r="M25" i="16"/>
  <c r="H21" i="16"/>
  <c r="P21" i="16" s="1"/>
  <c r="Q21" i="16" s="1"/>
  <c r="S21" i="16" s="1"/>
  <c r="P14" i="16"/>
  <c r="Q14" i="16" s="1"/>
  <c r="S14" i="16" s="1"/>
  <c r="F36" i="16"/>
  <c r="G19" i="16"/>
  <c r="K18" i="16"/>
  <c r="G18" i="16"/>
  <c r="L10" i="16"/>
  <c r="G8" i="16"/>
  <c r="K9" i="16"/>
  <c r="F7" i="16"/>
  <c r="E9" i="16"/>
  <c r="H9" i="16" s="1"/>
  <c r="P9" i="16" s="1"/>
  <c r="Q9" i="16" s="1"/>
  <c r="S9" i="16" s="1"/>
  <c r="G7" i="16"/>
  <c r="G20" i="16"/>
  <c r="F9" i="16"/>
  <c r="F6" i="16"/>
  <c r="K6" i="16"/>
  <c r="L18" i="16"/>
  <c r="F8" i="16"/>
  <c r="L20" i="16"/>
  <c r="J18" i="16"/>
  <c r="F20" i="16"/>
  <c r="K10" i="16"/>
  <c r="L9" i="16"/>
  <c r="J10" i="16"/>
  <c r="M10" i="16" s="1"/>
  <c r="L7" i="16"/>
  <c r="J19" i="16"/>
  <c r="K20" i="16"/>
  <c r="L8" i="16"/>
  <c r="J20" i="16"/>
  <c r="E20" i="16"/>
  <c r="H20" i="16" s="1"/>
  <c r="F10" i="16"/>
  <c r="G9" i="16"/>
  <c r="K7" i="16"/>
  <c r="G6" i="16"/>
  <c r="G10" i="16"/>
  <c r="J7" i="16"/>
  <c r="E7" i="16"/>
  <c r="E19" i="16"/>
  <c r="H19" i="16" s="1"/>
  <c r="K8" i="16"/>
  <c r="L6" i="16"/>
  <c r="E18" i="16"/>
  <c r="H18" i="16" s="1"/>
  <c r="J9" i="16"/>
  <c r="M9" i="16" s="1"/>
  <c r="L19" i="16"/>
  <c r="F19" i="16"/>
  <c r="J8" i="16"/>
  <c r="E10" i="16"/>
  <c r="E8" i="16"/>
  <c r="F18" i="16"/>
  <c r="K19" i="16"/>
  <c r="J6" i="16"/>
  <c r="E6" i="16"/>
  <c r="P22" i="16" l="1"/>
  <c r="Q22" i="16" s="1"/>
  <c r="S22" i="16" s="1"/>
  <c r="P36" i="16"/>
  <c r="Q32" i="16"/>
  <c r="P12" i="16"/>
  <c r="Q12" i="16" s="1"/>
  <c r="S12" i="16" s="1"/>
  <c r="P15" i="16"/>
  <c r="Q15" i="16" s="1"/>
  <c r="S15" i="16" s="1"/>
  <c r="H36" i="16"/>
  <c r="P34" i="16"/>
  <c r="Q34" i="16" s="1"/>
  <c r="S34" i="16" s="1"/>
  <c r="H6" i="16"/>
  <c r="E26" i="16"/>
  <c r="L26" i="16"/>
  <c r="L38" i="16" s="1"/>
  <c r="L39" i="16" s="1"/>
  <c r="H8" i="16"/>
  <c r="P8" i="16" s="1"/>
  <c r="Q8" i="16" s="1"/>
  <c r="S8" i="16" s="1"/>
  <c r="G26" i="16"/>
  <c r="G38" i="16" s="1"/>
  <c r="G39" i="16" s="1"/>
  <c r="H10" i="16"/>
  <c r="P10" i="16" s="1"/>
  <c r="Q10" i="16" s="1"/>
  <c r="S10" i="16" s="1"/>
  <c r="P20" i="16"/>
  <c r="Q20" i="16" s="1"/>
  <c r="S20" i="16" s="1"/>
  <c r="M19" i="16"/>
  <c r="P19" i="16" s="1"/>
  <c r="Q19" i="16" s="1"/>
  <c r="S19" i="16" s="1"/>
  <c r="K26" i="16"/>
  <c r="K38" i="16" s="1"/>
  <c r="K39" i="16" s="1"/>
  <c r="M8" i="16"/>
  <c r="H7" i="16"/>
  <c r="P7" i="16" s="1"/>
  <c r="Q7" i="16" s="1"/>
  <c r="S7" i="16" s="1"/>
  <c r="M20" i="16"/>
  <c r="M6" i="16"/>
  <c r="J26" i="16"/>
  <c r="P18" i="16"/>
  <c r="Q18" i="16" s="1"/>
  <c r="S18" i="16" s="1"/>
  <c r="F26" i="16"/>
  <c r="F38" i="16" s="1"/>
  <c r="F39" i="16" s="1"/>
  <c r="M7" i="16"/>
  <c r="M18" i="16"/>
  <c r="Q36" i="16" l="1"/>
  <c r="S36" i="16" s="1"/>
  <c r="S32" i="16"/>
  <c r="J38" i="16"/>
  <c r="M26" i="16"/>
  <c r="H26" i="16"/>
  <c r="E38" i="16"/>
  <c r="P6" i="16"/>
  <c r="J39" i="16" l="1"/>
  <c r="M38" i="16"/>
  <c r="M39" i="16" s="1"/>
  <c r="Q6" i="16"/>
  <c r="S6" i="16" s="1"/>
  <c r="P26" i="16"/>
  <c r="E39" i="16"/>
  <c r="H38" i="16"/>
  <c r="H39" i="16" s="1"/>
  <c r="P38" i="16" l="1"/>
  <c r="Q26" i="16"/>
  <c r="S26" i="16" l="1"/>
  <c r="Q38" i="16"/>
  <c r="S38" i="16" l="1"/>
</calcChain>
</file>

<file path=xl/sharedStrings.xml><?xml version="1.0" encoding="utf-8"?>
<sst xmlns="http://schemas.openxmlformats.org/spreadsheetml/2006/main" count="670" uniqueCount="233">
  <si>
    <t>Payee/Intervenor</t>
  </si>
  <si>
    <t>Amount</t>
  </si>
  <si>
    <t>AWEC</t>
  </si>
  <si>
    <t>CENSE</t>
  </si>
  <si>
    <t>Puyallup Tribe</t>
  </si>
  <si>
    <t>NWEC</t>
  </si>
  <si>
    <t>TEP</t>
  </si>
  <si>
    <t>Utility</t>
  </si>
  <si>
    <t>Electric and Gas</t>
  </si>
  <si>
    <t>total billed revenue</t>
  </si>
  <si>
    <t>Customer Class</t>
  </si>
  <si>
    <t>Electric</t>
  </si>
  <si>
    <t>All</t>
  </si>
  <si>
    <t>Gas</t>
  </si>
  <si>
    <t>Industrial</t>
  </si>
  <si>
    <t>Residential</t>
  </si>
  <si>
    <t>How split E/G</t>
  </si>
  <si>
    <t/>
  </si>
  <si>
    <t>101800</t>
  </si>
  <si>
    <t>PUYALLUP TRIBE OF INDIANS</t>
  </si>
  <si>
    <t>101212</t>
  </si>
  <si>
    <t>OPPORTUNITY COUNCIL</t>
  </si>
  <si>
    <t>102137</t>
  </si>
  <si>
    <t>NORTHWEST ENERGY COALITION</t>
  </si>
  <si>
    <t>FERC Amount</t>
  </si>
  <si>
    <t>$</t>
  </si>
  <si>
    <t>Receiving Regulatory</t>
  </si>
  <si>
    <t>4400</t>
  </si>
  <si>
    <t>CO Order</t>
  </si>
  <si>
    <t>44000005</t>
  </si>
  <si>
    <t>Residential - Electric Service</t>
  </si>
  <si>
    <t>44000121</t>
  </si>
  <si>
    <t>EV Happy hour credit billing-Residential</t>
  </si>
  <si>
    <t>44000301</t>
  </si>
  <si>
    <t>Residential Unbilled Revenue</t>
  </si>
  <si>
    <t>Result</t>
  </si>
  <si>
    <t>Total</t>
  </si>
  <si>
    <t>4420</t>
  </si>
  <si>
    <t>4440</t>
  </si>
  <si>
    <t>44200005</t>
  </si>
  <si>
    <t>Commercial - Electric Service</t>
  </si>
  <si>
    <t>44200193</t>
  </si>
  <si>
    <t>MSFT Customer Charge - Primary</t>
  </si>
  <si>
    <t>44200194</t>
  </si>
  <si>
    <t>MSFT Customer Charge - Secondary</t>
  </si>
  <si>
    <t>44200195</t>
  </si>
  <si>
    <t>MSFT Distribution Charge</t>
  </si>
  <si>
    <t>44200196</t>
  </si>
  <si>
    <t>MSFT Consrv Prgrm Chrg - Custm Contracts</t>
  </si>
  <si>
    <t>44200197</t>
  </si>
  <si>
    <t>MSFT Low Income Program</t>
  </si>
  <si>
    <t>44200198</t>
  </si>
  <si>
    <t>MSFT Rider Surcharge</t>
  </si>
  <si>
    <t>44200199</t>
  </si>
  <si>
    <t>MSFT Franchise Fee - C&amp;I</t>
  </si>
  <si>
    <t>44200205</t>
  </si>
  <si>
    <t>Commercial - Electric Transportation Svc</t>
  </si>
  <si>
    <t>44200305</t>
  </si>
  <si>
    <t>Industrial - Electric Service</t>
  </si>
  <si>
    <t>44200385</t>
  </si>
  <si>
    <t>Industrial - Electric Transportation Svc</t>
  </si>
  <si>
    <t>44200551</t>
  </si>
  <si>
    <t>Commercial-Green Power Certificates</t>
  </si>
  <si>
    <t>44200552</t>
  </si>
  <si>
    <t>Commercial - Clear Green Power PSE Facil</t>
  </si>
  <si>
    <t>44200621</t>
  </si>
  <si>
    <t>Commercial Unbilled Revenue</t>
  </si>
  <si>
    <t>44200631</t>
  </si>
  <si>
    <t>Commercial Transportation Unbilled Rev</t>
  </si>
  <si>
    <t>44200641</t>
  </si>
  <si>
    <t>Industrial Unbilled Revenue</t>
  </si>
  <si>
    <t>44200651</t>
  </si>
  <si>
    <t>Industrial Transportation Unbilled Rev</t>
  </si>
  <si>
    <t>44400005</t>
  </si>
  <si>
    <t>Public Street and Highway Lighting</t>
  </si>
  <si>
    <t>44400301</t>
  </si>
  <si>
    <t>Lighting Unbilled Revenue</t>
  </si>
  <si>
    <t>Electric Residential Sales</t>
  </si>
  <si>
    <t>Electric Commercial and Industrial Sales</t>
  </si>
  <si>
    <t>Billed</t>
  </si>
  <si>
    <t>Unbilled</t>
  </si>
  <si>
    <t>Puget Sound Energy</t>
  </si>
  <si>
    <t>Electric Sales</t>
  </si>
  <si>
    <t>Transportation</t>
  </si>
  <si>
    <t>Natural Gas Operations</t>
  </si>
  <si>
    <t>Test Year Ended June 30, 2021</t>
  </si>
  <si>
    <t>Rate Schedule</t>
  </si>
  <si>
    <t>Billed Revenue</t>
  </si>
  <si>
    <t>31T</t>
  </si>
  <si>
    <t>41T</t>
  </si>
  <si>
    <t>85T</t>
  </si>
  <si>
    <t>86T</t>
  </si>
  <si>
    <t>87T</t>
  </si>
  <si>
    <t>Check</t>
  </si>
  <si>
    <t>SALES TO CUSTOMER</t>
  </si>
  <si>
    <t>Commercial</t>
  </si>
  <si>
    <t>Total Gas Sales</t>
  </si>
  <si>
    <t>check</t>
  </si>
  <si>
    <t>Total Gas Revenue</t>
  </si>
  <si>
    <t>Lighting</t>
  </si>
  <si>
    <t>Industrial-E</t>
  </si>
  <si>
    <t>Industrial-G</t>
  </si>
  <si>
    <t>Residential-E</t>
  </si>
  <si>
    <t>Residential-G</t>
  </si>
  <si>
    <t>All Classes-G</t>
  </si>
  <si>
    <t>All Classes-E</t>
  </si>
  <si>
    <t>Front and Centered</t>
  </si>
  <si>
    <t>FrontandCentered</t>
  </si>
  <si>
    <t>UE-220066 et al - Order 27-13 Approving Payments - PSE GRC.pdf</t>
  </si>
  <si>
    <t>UE-220066 et al - Order 27-14 Approving Payments - PSE GRC.pdf</t>
  </si>
  <si>
    <t>92800302</t>
  </si>
  <si>
    <t>Regulatory Commission Expenses</t>
  </si>
  <si>
    <t>9280</t>
  </si>
  <si>
    <t>Utility Oper. &amp; Maint.</t>
  </si>
  <si>
    <t>2060</t>
  </si>
  <si>
    <t>2</t>
  </si>
  <si>
    <t>5</t>
  </si>
  <si>
    <t>200096 -NON REPORTABLE PAYMENTS</t>
  </si>
  <si>
    <t>NON REPORTABLE PAYMENTS</t>
  </si>
  <si>
    <t>200096</t>
  </si>
  <si>
    <t>Miscellaneous</t>
  </si>
  <si>
    <t>63000090</t>
  </si>
  <si>
    <t>3</t>
  </si>
  <si>
    <t>148193 -DAVISON VAN CLEVE PC</t>
  </si>
  <si>
    <t>DAVISON VAN CLEVE PC</t>
  </si>
  <si>
    <t>148193</t>
  </si>
  <si>
    <t>101212 -OPPORTUNITY COUNCIL</t>
  </si>
  <si>
    <t>102137 -NORTHWEST ENERGY COALITION</t>
  </si>
  <si>
    <t>101800 -PUYALLUP TRIBE OF INDIANS</t>
  </si>
  <si>
    <t>92800003</t>
  </si>
  <si>
    <t>1</t>
  </si>
  <si>
    <t>148215 -COALITION OF EASTSIDE NEIGHBORHOODS</t>
  </si>
  <si>
    <t>COALITION OF EASTSIDE NEIGHBORHOODS</t>
  </si>
  <si>
    <t>148215</t>
  </si>
  <si>
    <t>Posting Date</t>
  </si>
  <si>
    <t>FERC Text</t>
  </si>
  <si>
    <t>FERC</t>
  </si>
  <si>
    <t>Func. Area Text</t>
  </si>
  <si>
    <t>Functional Area</t>
  </si>
  <si>
    <t>Proc. Grp. Text</t>
  </si>
  <si>
    <t>Processing  Group</t>
  </si>
  <si>
    <t>Period</t>
  </si>
  <si>
    <t>Name</t>
  </si>
  <si>
    <t>Name of offsetting account</t>
  </si>
  <si>
    <t>Offsetting acct no.</t>
  </si>
  <si>
    <t>Val.in rep.cur.</t>
  </si>
  <si>
    <t>Cost element name</t>
  </si>
  <si>
    <t>Cost Element</t>
  </si>
  <si>
    <t>Order</t>
  </si>
  <si>
    <t>UE-210795 - Order 10 Approving Payments - PSE CEIP.pdf</t>
  </si>
  <si>
    <t>Line</t>
  </si>
  <si>
    <t>DESCRIPTION</t>
  </si>
  <si>
    <t>TOTAL</t>
  </si>
  <si>
    <t>Interest</t>
  </si>
  <si>
    <t>ALL Classes</t>
  </si>
  <si>
    <t>F&amp;C payment</t>
  </si>
  <si>
    <t>Payments</t>
  </si>
  <si>
    <t>PUGET SOUND ENERGY-ELECTRIC</t>
  </si>
  <si>
    <t>CONVERSION FACTOR</t>
  </si>
  <si>
    <t>FOR THE TWELVE MONTHS ENDED JUNE 30, 2021</t>
  </si>
  <si>
    <t>2022 GENERAL RATE CASE</t>
  </si>
  <si>
    <t>LINE</t>
  </si>
  <si>
    <t>NO.</t>
  </si>
  <si>
    <t>%'s</t>
  </si>
  <si>
    <t>RATE</t>
  </si>
  <si>
    <t>BAD DEBTS</t>
  </si>
  <si>
    <t>ANNUAL FILING FEE</t>
  </si>
  <si>
    <t>STATE UTILITY TAX - NET OF BAD DEBTS ( 3.8734% - ( LINE 1 * 3.8734%) )</t>
  </si>
  <si>
    <t>SUM OF TAXES OTHER</t>
  </si>
  <si>
    <t>CONVERSION FACTOR EXCLUDING FEDERAL INCOME TAX ( 1 - LINE 5)</t>
  </si>
  <si>
    <t>FEDERAL INCOME TAX</t>
  </si>
  <si>
    <t xml:space="preserve">CONVERSION FACTOR INCL FEDERAL INCOME TAX ( LINE 5 + LINE 8 ) </t>
  </si>
  <si>
    <t>PUGET SOUND ENERGY-GAS</t>
  </si>
  <si>
    <t>STATE UTILITY TAX - NET OF BAD DEBTS ( 3.852% - ( LINE 1 * 3.852%) )</t>
  </si>
  <si>
    <t xml:space="preserve">FEDERAL INCOME TAX </t>
  </si>
  <si>
    <t>Electric-Direct-All Classes</t>
  </si>
  <si>
    <t>Gas-Direct-All Classes</t>
  </si>
  <si>
    <t>Electric-Billed-Revenue-All Classes</t>
  </si>
  <si>
    <t>Electric-Billed-Revenue-Industrial</t>
  </si>
  <si>
    <t>Electric-Billed-Revenue-Residential</t>
  </si>
  <si>
    <t>Assignment</t>
  </si>
  <si>
    <t>F&amp;C</t>
  </si>
  <si>
    <t>GRC</t>
  </si>
  <si>
    <t>CEIP</t>
  </si>
  <si>
    <t>Total Electric</t>
  </si>
  <si>
    <t>Total Gas</t>
  </si>
  <si>
    <t>Total Combined</t>
  </si>
  <si>
    <t>Gas-Billed-Revenue-Industrial</t>
  </si>
  <si>
    <t>Gas-Billed-Revenue-All Classes</t>
  </si>
  <si>
    <t>Gas-Billed-Revenue-Residential</t>
  </si>
  <si>
    <t>Electric-Direct-Residential</t>
  </si>
  <si>
    <t>Electric Residential</t>
  </si>
  <si>
    <t>Electric Industrial</t>
  </si>
  <si>
    <t>Electric All Classes</t>
  </si>
  <si>
    <t>Gas Residential</t>
  </si>
  <si>
    <t>Gas Industrial</t>
  </si>
  <si>
    <t>Gas All Classes</t>
  </si>
  <si>
    <t>UE-220066/UG-220067</t>
  </si>
  <si>
    <t>UE-210795</t>
  </si>
  <si>
    <t>REVENUE REQUIREMENT</t>
  </si>
  <si>
    <t>Conv Fctr</t>
  </si>
  <si>
    <t>PUGET SOUND ENERGY, INC.</t>
  </si>
  <si>
    <t>Utility Capital Structure</t>
  </si>
  <si>
    <t>Cost of Capital and Rate of Return</t>
  </si>
  <si>
    <t>For The 12 Months Ending June 30, 2023</t>
  </si>
  <si>
    <t>(A)</t>
  </si>
  <si>
    <t>(B)</t>
  </si>
  <si>
    <t>(C)</t>
  </si>
  <si>
    <t>(D)</t>
  </si>
  <si>
    <t>(E)</t>
  </si>
  <si>
    <t xml:space="preserve"> 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</si>
  <si>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</si>
  <si>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</si>
  <si>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</si>
  <si>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</si>
  <si>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</si>
  <si>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</si>
  <si>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</si>
  <si>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</si>
  <si>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</si>
  <si>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Blended Cost of Interest (Short Term &amp; Long Term)</t>
  </si>
  <si>
    <t>Commitment Fees</t>
  </si>
  <si>
    <t>Amortization of Short-Term Debt Issue Cost</t>
  </si>
  <si>
    <t>Amortization of Reacquired Debt</t>
  </si>
  <si>
    <t>Total Debt</t>
  </si>
  <si>
    <t>Common Stock</t>
  </si>
  <si>
    <t>(i) - Average of Month-End Balances</t>
  </si>
  <si>
    <t>For The 12 Months Ending December 31, 2022</t>
  </si>
  <si>
    <t>Conversion Factor</t>
  </si>
  <si>
    <t>Only</t>
  </si>
  <si>
    <t>10</t>
  </si>
  <si>
    <t>Weight Avg Cost of Debt</t>
  </si>
  <si>
    <t>Total Billed Revenue by Schedule (Incl. all Rider/Tracker Revenue)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</si>
</sst>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##,000"/>
    <numFmt numFmtId="166" formatCode="#,##0.00;\-#,##0.00;#,##0.00"/>
    <numFmt numFmtId="167" formatCode="_(* #,##0_);_(* \(#,##0\);_(* &quot;-&quot;??_);_(@_)"/>
    <numFmt numFmtId="168" formatCode="0.0000%"/>
    <numFmt numFmtId="169" formatCode="0.000000"/>
    <numFmt numFmtId="170" formatCode="0.00000000"/>
    <numFmt numFmtId="171" formatCode="&quot; As of &quot;mmmm\ d\,\ yyyy"/>
    <numFmt numFmtId="172" formatCode="&quot; For The 12 Months Ending &quot;mmmm\ d\,\ yyyy"/>
    <numFmt numFmtId="173" formatCode="0.000%"/>
    <numFmt numFmtId="174" formatCode="0.0%"/>
    <numFmt numFmtId="175" formatCode="_(* #,##0.000_);_(* \(#,##0.000\);_(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</font>
    <font>
      <sz val="8"/>
      <color rgb="FFFF0000"/>
      <name val="Calibri"/>
      <family val="2"/>
      <scheme val="minor"/>
    </font>
    <font>
      <sz val="10"/>
      <name val="Geneva"/>
    </font>
    <font>
      <sz val="10"/>
      <name val="Times New Roman"/>
      <family val="1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double"/>
      <sz val="1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2" borderId="3" applyNumberFormat="0" applyAlignment="0" applyProtection="0">
      <alignment horizontal="left" vertical="center" indent="1"/>
    </xf>
    <xf numFmtId="165" fontId="5" fillId="0" borderId="4" applyNumberFormat="0" applyProtection="0">
      <alignment horizontal="right" vertical="center"/>
    </xf>
    <xf numFmtId="165" fontId="4" fillId="0" borderId="5" applyNumberFormat="0" applyProtection="0">
      <alignment horizontal="right" vertical="center"/>
    </xf>
    <xf numFmtId="165" fontId="5" fillId="3" borderId="3" applyNumberFormat="0" applyAlignment="0" applyProtection="0">
      <alignment horizontal="left" vertical="center" indent="1"/>
    </xf>
    <xf numFmtId="0" fontId="6" fillId="4" borderId="5" applyNumberFormat="0" applyAlignment="0">
      <alignment horizontal="left" vertical="center" indent="1"/>
      <protection locked="0"/>
    </xf>
    <xf numFmtId="0" fontId="6" fillId="5" borderId="5" applyNumberFormat="0" applyAlignment="0" applyProtection="0">
      <alignment horizontal="left" vertical="center" indent="1"/>
    </xf>
    <xf numFmtId="165" fontId="5" fillId="6" borderId="4" applyNumberFormat="0" applyBorder="0">
      <alignment horizontal="right" vertical="center"/>
      <protection locked="0"/>
    </xf>
    <xf numFmtId="0" fontId="6" fillId="4" borderId="5" applyNumberFormat="0" applyAlignment="0">
      <alignment horizontal="left" vertical="center" indent="1"/>
      <protection locked="0"/>
    </xf>
    <xf numFmtId="165" fontId="4" fillId="5" borderId="5" applyNumberFormat="0" applyProtection="0">
      <alignment horizontal="right" vertical="center"/>
    </xf>
    <xf numFmtId="165" fontId="4" fillId="6" borderId="5" applyNumberFormat="0" applyBorder="0">
      <alignment horizontal="right" vertical="center"/>
      <protection locked="0"/>
    </xf>
    <xf numFmtId="165" fontId="7" fillId="7" borderId="6" applyNumberFormat="0" applyBorder="0" applyAlignment="0" applyProtection="0">
      <alignment horizontal="right" vertical="center" indent="1"/>
    </xf>
    <xf numFmtId="165" fontId="8" fillId="8" borderId="6" applyNumberFormat="0" applyBorder="0" applyAlignment="0" applyProtection="0">
      <alignment horizontal="right" vertical="center" indent="1"/>
    </xf>
    <xf numFmtId="165" fontId="8" fillId="9" borderId="6" applyNumberFormat="0" applyBorder="0" applyAlignment="0" applyProtection="0">
      <alignment horizontal="right" vertical="center" indent="1"/>
    </xf>
    <xf numFmtId="165" fontId="9" fillId="10" borderId="6" applyNumberFormat="0" applyBorder="0" applyAlignment="0" applyProtection="0">
      <alignment horizontal="right" vertical="center" indent="1"/>
    </xf>
    <xf numFmtId="165" fontId="9" fillId="11" borderId="6" applyNumberFormat="0" applyBorder="0" applyAlignment="0" applyProtection="0">
      <alignment horizontal="right" vertical="center" indent="1"/>
    </xf>
    <xf numFmtId="165" fontId="9" fillId="12" borderId="6" applyNumberFormat="0" applyBorder="0" applyAlignment="0" applyProtection="0">
      <alignment horizontal="right" vertical="center" indent="1"/>
    </xf>
    <xf numFmtId="165" fontId="10" fillId="13" borderId="6" applyNumberFormat="0" applyBorder="0" applyAlignment="0" applyProtection="0">
      <alignment horizontal="right" vertical="center" indent="1"/>
    </xf>
    <xf numFmtId="165" fontId="10" fillId="14" borderId="6" applyNumberFormat="0" applyBorder="0" applyAlignment="0" applyProtection="0">
      <alignment horizontal="right" vertical="center" indent="1"/>
    </xf>
    <xf numFmtId="165" fontId="10" fillId="15" borderId="6" applyNumberFormat="0" applyBorder="0" applyAlignment="0" applyProtection="0">
      <alignment horizontal="right" vertical="center" indent="1"/>
    </xf>
    <xf numFmtId="0" fontId="11" fillId="0" borderId="3" applyNumberFormat="0" applyFont="0" applyFill="0" applyAlignment="0" applyProtection="0"/>
    <xf numFmtId="165" fontId="12" fillId="3" borderId="0" applyNumberFormat="0" applyAlignment="0" applyProtection="0">
      <alignment horizontal="left" vertical="center" indent="1"/>
    </xf>
    <xf numFmtId="0" fontId="11" fillId="0" borderId="7" applyNumberFormat="0" applyFont="0" applyFill="0" applyAlignment="0" applyProtection="0"/>
    <xf numFmtId="165" fontId="5" fillId="0" borderId="4" applyNumberFormat="0" applyFill="0" applyBorder="0" applyAlignment="0" applyProtection="0">
      <alignment horizontal="right" vertical="center"/>
    </xf>
    <xf numFmtId="165" fontId="5" fillId="3" borderId="3" applyNumberFormat="0" applyAlignment="0" applyProtection="0">
      <alignment horizontal="left" vertical="center" indent="1"/>
    </xf>
    <xf numFmtId="0" fontId="4" fillId="2" borderId="5" applyNumberFormat="0" applyAlignment="0" applyProtection="0">
      <alignment horizontal="left" vertical="center" indent="1"/>
    </xf>
    <xf numFmtId="0" fontId="6" fillId="16" borderId="3" applyNumberFormat="0" applyAlignment="0" applyProtection="0">
      <alignment horizontal="left" vertical="center" indent="1"/>
    </xf>
    <xf numFmtId="0" fontId="6" fillId="17" borderId="3" applyNumberFormat="0" applyAlignment="0" applyProtection="0">
      <alignment horizontal="left" vertical="center" indent="1"/>
    </xf>
    <xf numFmtId="0" fontId="6" fillId="18" borderId="3" applyNumberFormat="0" applyAlignment="0" applyProtection="0">
      <alignment horizontal="left" vertical="center" indent="1"/>
    </xf>
    <xf numFmtId="0" fontId="6" fillId="6" borderId="3" applyNumberFormat="0" applyAlignment="0" applyProtection="0">
      <alignment horizontal="left" vertical="center" indent="1"/>
    </xf>
    <xf numFmtId="0" fontId="6" fillId="5" borderId="5" applyNumberFormat="0" applyAlignment="0" applyProtection="0">
      <alignment horizontal="left" vertical="center" indent="1"/>
    </xf>
    <xf numFmtId="0" fontId="13" fillId="0" borderId="8" applyNumberFormat="0" applyFill="0" applyBorder="0" applyAlignment="0" applyProtection="0"/>
    <xf numFmtId="0" fontId="14" fillId="0" borderId="8" applyNumberFormat="0" applyBorder="0" applyAlignment="0" applyProtection="0"/>
    <xf numFmtId="0" fontId="13" fillId="4" borderId="5" applyNumberFormat="0" applyAlignment="0">
      <alignment horizontal="left" vertical="center" indent="1"/>
      <protection locked="0"/>
    </xf>
    <xf numFmtId="0" fontId="13" fillId="4" borderId="5" applyNumberFormat="0" applyAlignment="0">
      <alignment horizontal="left" vertical="center" indent="1"/>
      <protection locked="0"/>
    </xf>
    <xf numFmtId="0" fontId="13" fillId="5" borderId="5" applyNumberFormat="0" applyAlignment="0" applyProtection="0">
      <alignment horizontal="left" vertical="center" indent="1"/>
    </xf>
    <xf numFmtId="165" fontId="15" fillId="5" borderId="5" applyNumberFormat="0" applyProtection="0">
      <alignment horizontal="right" vertical="center"/>
    </xf>
    <xf numFmtId="165" fontId="16" fillId="6" borderId="4" applyNumberFormat="0" applyBorder="0">
      <alignment horizontal="right" vertical="center"/>
      <protection locked="0"/>
    </xf>
    <xf numFmtId="165" fontId="15" fillId="6" borderId="5" applyNumberFormat="0" applyBorder="0">
      <alignment horizontal="right" vertical="center"/>
      <protection locked="0"/>
    </xf>
    <xf numFmtId="165" fontId="5" fillId="0" borderId="4" applyNumberFormat="0" applyFill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0" fontId="22" fillId="0" borderId="0"/>
    <xf numFmtId="10" fontId="30" fillId="0" borderId="0"/>
    <xf numFmtId="0" fontId="30" fillId="0" borderId="0"/>
    <xf numFmtId="37" fontId="30" fillId="0" borderId="0"/>
    <xf numFmtId="43" fontId="22" fillId="0" borderId="0" applyFont="0" applyFill="0" applyBorder="0" applyAlignment="0" applyProtection="0"/>
  </cellStyleXfs>
  <cellXfs count="229">
    <xf numFmtId="0" fontId="0" fillId="0" borderId="0" xfId="0"/>
    <xf numFmtId="164" fontId="0" fillId="0" borderId="0" xfId="1" applyNumberFormat="1" applyFont="1"/>
    <xf numFmtId="164" fontId="2" fillId="0" borderId="0" xfId="0" applyNumberFormat="1" applyFont="1"/>
    <xf numFmtId="0" fontId="2" fillId="0" borderId="0" xfId="0" applyFont="1"/>
    <xf numFmtId="164" fontId="0" fillId="0" borderId="1" xfId="1" applyNumberFormat="1" applyFont="1" applyBorder="1"/>
    <xf numFmtId="0" fontId="0" fillId="0" borderId="0" xfId="0" applyFill="1"/>
    <xf numFmtId="164" fontId="0" fillId="0" borderId="0" xfId="1" applyNumberFormat="1" applyFont="1" applyFill="1"/>
    <xf numFmtId="167" fontId="0" fillId="0" borderId="0" xfId="2" applyNumberFormat="1" applyFont="1" applyFill="1"/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5" xfId="0" applyBorder="1"/>
    <xf numFmtId="164" fontId="0" fillId="0" borderId="0" xfId="1" applyNumberFormat="1" applyFont="1" applyBorder="1"/>
    <xf numFmtId="9" fontId="0" fillId="0" borderId="0" xfId="42" applyFont="1" applyBorder="1"/>
    <xf numFmtId="0" fontId="0" fillId="0" borderId="16" xfId="0" applyBorder="1"/>
    <xf numFmtId="164" fontId="2" fillId="0" borderId="17" xfId="1" applyNumberFormat="1" applyFont="1" applyBorder="1"/>
    <xf numFmtId="0" fontId="0" fillId="0" borderId="17" xfId="0" applyBorder="1"/>
    <xf numFmtId="164" fontId="2" fillId="0" borderId="17" xfId="0" applyNumberFormat="1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5" fillId="0" borderId="0" xfId="0" applyNumberFormat="1" applyFont="1" applyFill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5" fillId="0" borderId="0" xfId="0" applyNumberFormat="1" applyFont="1" applyFill="1" applyAlignment="1"/>
    <xf numFmtId="0" fontId="23" fillId="0" borderId="0" xfId="0" applyNumberFormat="1" applyFont="1" applyFill="1" applyAlignment="1"/>
    <xf numFmtId="169" fontId="25" fillId="0" borderId="0" xfId="0" applyNumberFormat="1" applyFont="1" applyFill="1" applyAlignment="1">
      <alignment horizontal="right"/>
    </xf>
    <xf numFmtId="0" fontId="18" fillId="0" borderId="0" xfId="0" applyNumberFormat="1" applyFont="1" applyFill="1" applyAlignment="1"/>
    <xf numFmtId="0" fontId="24" fillId="0" borderId="0" xfId="0" applyNumberFormat="1" applyFont="1" applyFill="1" applyAlignment="1" applyProtection="1">
      <alignment horizontal="centerContinuous"/>
      <protection locked="0"/>
    </xf>
    <xf numFmtId="0" fontId="26" fillId="0" borderId="0" xfId="0" applyNumberFormat="1" applyFont="1" applyFill="1" applyAlignment="1">
      <alignment horizontal="centerContinuous"/>
    </xf>
    <xf numFmtId="0" fontId="25" fillId="0" borderId="0" xfId="0" applyNumberFormat="1" applyFont="1" applyFill="1" applyAlignment="1" applyProtection="1">
      <alignment horizontal="centerContinuous"/>
      <protection locked="0"/>
    </xf>
    <xf numFmtId="0" fontId="24" fillId="0" borderId="0" xfId="0" applyNumberFormat="1" applyFont="1" applyFill="1" applyAlignment="1">
      <alignment horizontal="centerContinuous"/>
    </xf>
    <xf numFmtId="0" fontId="25" fillId="0" borderId="0" xfId="0" applyNumberFormat="1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25" fillId="0" borderId="1" xfId="0" applyNumberFormat="1" applyFont="1" applyFill="1" applyBorder="1" applyAlignment="1" applyProtection="1">
      <alignment horizontal="center"/>
      <protection locked="0"/>
    </xf>
    <xf numFmtId="0" fontId="23" fillId="0" borderId="0" xfId="0" applyNumberFormat="1" applyFont="1" applyFill="1" applyAlignment="1">
      <alignment horizontal="center"/>
    </xf>
    <xf numFmtId="0" fontId="23" fillId="0" borderId="0" xfId="0" applyNumberFormat="1" applyFont="1" applyFill="1" applyAlignment="1">
      <alignment horizontal="left"/>
    </xf>
    <xf numFmtId="169" fontId="23" fillId="0" borderId="0" xfId="0" applyNumberFormat="1" applyFont="1" applyFill="1" applyAlignment="1"/>
    <xf numFmtId="168" fontId="23" fillId="0" borderId="0" xfId="0" applyNumberFormat="1" applyFont="1" applyFill="1" applyAlignment="1">
      <alignment horizontal="center"/>
    </xf>
    <xf numFmtId="169" fontId="23" fillId="0" borderId="1" xfId="0" applyNumberFormat="1" applyFont="1" applyFill="1" applyBorder="1" applyAlignment="1"/>
    <xf numFmtId="169" fontId="23" fillId="0" borderId="0" xfId="0" applyNumberFormat="1" applyFont="1" applyFill="1" applyBorder="1" applyAlignment="1"/>
    <xf numFmtId="9" fontId="23" fillId="0" borderId="0" xfId="0" applyNumberFormat="1" applyFont="1" applyFill="1" applyAlignment="1">
      <alignment horizontal="center"/>
    </xf>
    <xf numFmtId="169" fontId="23" fillId="0" borderId="19" xfId="0" applyNumberFormat="1" applyFont="1" applyFill="1" applyBorder="1" applyAlignment="1" applyProtection="1">
      <protection locked="0"/>
    </xf>
    <xf numFmtId="170" fontId="18" fillId="0" borderId="0" xfId="0" applyNumberFormat="1" applyFont="1" applyFill="1" applyAlignment="1"/>
    <xf numFmtId="0" fontId="28" fillId="0" borderId="0" xfId="0" applyNumberFormat="1" applyFont="1" applyFill="1" applyAlignment="1">
      <alignment horizontal="centerContinuous"/>
    </xf>
    <xf numFmtId="169" fontId="25" fillId="0" borderId="0" xfId="0" applyNumberFormat="1" applyFont="1" applyFill="1" applyAlignment="1"/>
    <xf numFmtId="0" fontId="2" fillId="19" borderId="0" xfId="0" applyFont="1" applyFill="1" applyAlignment="1">
      <alignment horizontal="centerContinuous"/>
    </xf>
    <xf numFmtId="0" fontId="2" fillId="19" borderId="1" xfId="0" applyFont="1" applyFill="1" applyBorder="1" applyAlignment="1">
      <alignment horizontal="center"/>
    </xf>
    <xf numFmtId="0" fontId="2" fillId="20" borderId="0" xfId="0" applyFont="1" applyFill="1" applyAlignment="1">
      <alignment horizontal="centerContinuous"/>
    </xf>
    <xf numFmtId="0" fontId="2" fillId="20" borderId="1" xfId="0" applyFont="1" applyFill="1" applyBorder="1" applyAlignment="1">
      <alignment horizontal="center"/>
    </xf>
    <xf numFmtId="0" fontId="2" fillId="21" borderId="0" xfId="0" applyFont="1" applyFill="1" applyAlignment="1">
      <alignment horizontal="centerContinuous"/>
    </xf>
    <xf numFmtId="0" fontId="2" fillId="21" borderId="1" xfId="0" applyFont="1" applyFill="1" applyBorder="1" applyAlignment="1">
      <alignment horizontal="center"/>
    </xf>
    <xf numFmtId="41" fontId="0" fillId="19" borderId="0" xfId="0" applyNumberFormat="1" applyFill="1"/>
    <xf numFmtId="41" fontId="0" fillId="20" borderId="0" xfId="0" applyNumberFormat="1" applyFill="1"/>
    <xf numFmtId="41" fontId="0" fillId="21" borderId="0" xfId="0" applyNumberFormat="1" applyFill="1"/>
    <xf numFmtId="42" fontId="0" fillId="19" borderId="0" xfId="1" applyNumberFormat="1" applyFont="1" applyFill="1"/>
    <xf numFmtId="42" fontId="0" fillId="20" borderId="0" xfId="0" applyNumberFormat="1" applyFill="1"/>
    <xf numFmtId="42" fontId="0" fillId="21" borderId="0" xfId="0" applyNumberFormat="1" applyFill="1"/>
    <xf numFmtId="41" fontId="0" fillId="19" borderId="2" xfId="0" applyNumberFormat="1" applyFill="1" applyBorder="1"/>
    <xf numFmtId="41" fontId="0" fillId="20" borderId="2" xfId="0" applyNumberFormat="1" applyFill="1" applyBorder="1"/>
    <xf numFmtId="41" fontId="0" fillId="21" borderId="2" xfId="0" applyNumberFormat="1" applyFill="1" applyBorder="1"/>
    <xf numFmtId="42" fontId="0" fillId="19" borderId="22" xfId="0" applyNumberFormat="1" applyFill="1" applyBorder="1"/>
    <xf numFmtId="42" fontId="0" fillId="20" borderId="22" xfId="0" applyNumberFormat="1" applyFill="1" applyBorder="1"/>
    <xf numFmtId="42" fontId="0" fillId="21" borderId="22" xfId="0" applyNumberFormat="1" applyFill="1" applyBorder="1"/>
    <xf numFmtId="0" fontId="2" fillId="19" borderId="1" xfId="0" applyFont="1" applyFill="1" applyBorder="1" applyAlignment="1">
      <alignment horizontal="center" wrapText="1"/>
    </xf>
    <xf numFmtId="0" fontId="2" fillId="20" borderId="1" xfId="0" applyFont="1" applyFill="1" applyBorder="1" applyAlignment="1">
      <alignment horizontal="center" wrapText="1"/>
    </xf>
    <xf numFmtId="0" fontId="2" fillId="21" borderId="1" xfId="0" applyFont="1" applyFill="1" applyBorder="1" applyAlignment="1">
      <alignment horizontal="center" wrapText="1"/>
    </xf>
    <xf numFmtId="42" fontId="0" fillId="0" borderId="0" xfId="0" applyNumberFormat="1"/>
    <xf numFmtId="42" fontId="2" fillId="0" borderId="18" xfId="0" applyNumberFormat="1" applyFont="1" applyBorder="1"/>
    <xf numFmtId="42" fontId="0" fillId="0" borderId="13" xfId="0" applyNumberFormat="1" applyBorder="1"/>
    <xf numFmtId="42" fontId="0" fillId="0" borderId="15" xfId="0" applyNumberFormat="1" applyBorder="1"/>
    <xf numFmtId="37" fontId="29" fillId="0" borderId="0" xfId="0" applyNumberFormat="1" applyFont="1"/>
    <xf numFmtId="42" fontId="0" fillId="19" borderId="0" xfId="0" applyNumberFormat="1" applyFill="1"/>
    <xf numFmtId="42" fontId="0" fillId="19" borderId="2" xfId="0" applyNumberFormat="1" applyFill="1" applyBorder="1"/>
    <xf numFmtId="42" fontId="0" fillId="20" borderId="2" xfId="0" applyNumberFormat="1" applyFill="1" applyBorder="1"/>
    <xf numFmtId="42" fontId="0" fillId="21" borderId="2" xfId="0" applyNumberFormat="1" applyFill="1" applyBorder="1"/>
    <xf numFmtId="10" fontId="31" fillId="0" borderId="0" xfId="44" applyFont="1"/>
    <xf numFmtId="0" fontId="32" fillId="0" borderId="0" xfId="45" applyFont="1" applyBorder="1" applyAlignment="1" applyProtection="1">
      <alignment horizontal="centerContinuous" vertical="center" wrapText="1"/>
    </xf>
    <xf numFmtId="10" fontId="17" fillId="0" borderId="0" xfId="44" applyFont="1" applyAlignment="1">
      <alignment horizontal="centerContinuous"/>
    </xf>
    <xf numFmtId="10" fontId="31" fillId="0" borderId="0" xfId="44" applyFont="1" applyAlignment="1">
      <alignment horizontal="centerContinuous"/>
    </xf>
    <xf numFmtId="10" fontId="32" fillId="0" borderId="0" xfId="44" applyFont="1" applyBorder="1" applyAlignment="1" applyProtection="1">
      <alignment horizontal="centerContinuous" vertical="center" wrapText="1"/>
    </xf>
    <xf numFmtId="171" fontId="32" fillId="0" borderId="0" xfId="44" applyNumberFormat="1" applyFont="1" applyBorder="1" applyAlignment="1" applyProtection="1">
      <alignment horizontal="centerContinuous" vertical="center" wrapText="1"/>
    </xf>
    <xf numFmtId="10" fontId="22" fillId="0" borderId="0" xfId="44" applyFont="1"/>
    <xf numFmtId="1" fontId="31" fillId="0" borderId="0" xfId="44" applyNumberFormat="1" applyFont="1" applyAlignment="1" applyProtection="1">
      <alignment horizontal="center"/>
    </xf>
    <xf numFmtId="0" fontId="31" fillId="0" borderId="0" xfId="0" applyFont="1"/>
    <xf numFmtId="1" fontId="33" fillId="0" borderId="0" xfId="44" applyNumberFormat="1" applyFont="1" applyAlignment="1" applyProtection="1">
      <alignment horizontal="center"/>
    </xf>
    <xf numFmtId="37" fontId="34" fillId="0" borderId="0" xfId="46" applyFont="1" applyAlignment="1" applyProtection="1">
      <alignment horizontal="center"/>
    </xf>
    <xf numFmtId="10" fontId="22" fillId="0" borderId="0" xfId="44" applyFont="1" applyAlignment="1">
      <alignment horizontal="center"/>
    </xf>
    <xf numFmtId="10" fontId="17" fillId="0" borderId="0" xfId="44" applyFont="1" applyAlignment="1">
      <alignment horizontal="center"/>
    </xf>
    <xf numFmtId="10" fontId="17" fillId="0" borderId="0" xfId="44" applyFont="1" applyAlignment="1" applyProtection="1">
      <alignment horizontal="center"/>
    </xf>
    <xf numFmtId="10" fontId="35" fillId="0" borderId="0" xfId="44" applyFont="1" applyAlignment="1" applyProtection="1">
      <alignment horizontal="center"/>
    </xf>
    <xf numFmtId="10" fontId="22" fillId="0" borderId="0" xfId="44" applyFont="1" applyAlignment="1" applyProtection="1">
      <alignment horizontal="left"/>
    </xf>
    <xf numFmtId="5" fontId="22" fillId="0" borderId="0" xfId="47" applyNumberFormat="1" applyFont="1" applyAlignment="1" applyProtection="1"/>
    <xf numFmtId="173" fontId="22" fillId="0" borderId="0" xfId="44" applyNumberFormat="1" applyFont="1" applyAlignment="1" applyProtection="1"/>
    <xf numFmtId="10" fontId="22" fillId="0" borderId="0" xfId="44" applyFont="1" applyFill="1" applyAlignment="1" applyProtection="1"/>
    <xf numFmtId="10" fontId="22" fillId="0" borderId="0" xfId="44" applyNumberFormat="1" applyFont="1" applyAlignment="1" applyProtection="1"/>
    <xf numFmtId="5" fontId="22" fillId="0" borderId="0" xfId="44" applyNumberFormat="1" applyFont="1" applyAlignment="1" applyProtection="1"/>
    <xf numFmtId="10" fontId="22" fillId="0" borderId="0" xfId="44" applyFont="1" applyAlignment="1" applyProtection="1"/>
    <xf numFmtId="10" fontId="22" fillId="0" borderId="0" xfId="44" applyFont="1" applyBorder="1" applyAlignment="1" applyProtection="1"/>
    <xf numFmtId="10" fontId="17" fillId="0" borderId="0" xfId="44" applyFont="1"/>
    <xf numFmtId="5" fontId="22" fillId="0" borderId="0" xfId="44" applyNumberFormat="1" applyFont="1" applyAlignment="1"/>
    <xf numFmtId="10" fontId="22" fillId="0" borderId="0" xfId="44" applyNumberFormat="1" applyFont="1" applyAlignment="1"/>
    <xf numFmtId="10" fontId="22" fillId="0" borderId="0" xfId="44" applyFont="1" applyAlignment="1"/>
    <xf numFmtId="10" fontId="22" fillId="0" borderId="0" xfId="44" applyFont="1" applyFill="1" applyBorder="1" applyAlignment="1" applyProtection="1"/>
    <xf numFmtId="10" fontId="17" fillId="0" borderId="0" xfId="44" applyFont="1" applyAlignment="1" applyProtection="1">
      <alignment horizontal="left"/>
    </xf>
    <xf numFmtId="5" fontId="36" fillId="0" borderId="0" xfId="44" applyNumberFormat="1" applyFont="1" applyBorder="1" applyAlignment="1" applyProtection="1"/>
    <xf numFmtId="10" fontId="36" fillId="0" borderId="0" xfId="44" applyFont="1" applyFill="1" applyAlignment="1" applyProtection="1"/>
    <xf numFmtId="10" fontId="36" fillId="0" borderId="0" xfId="44" applyNumberFormat="1" applyFont="1" applyAlignment="1" applyProtection="1"/>
    <xf numFmtId="174" fontId="22" fillId="0" borderId="0" xfId="44" applyNumberFormat="1" applyFont="1" applyBorder="1" applyAlignment="1" applyProtection="1"/>
    <xf numFmtId="5" fontId="37" fillId="0" borderId="0" xfId="44" applyNumberFormat="1" applyFont="1" applyBorder="1" applyAlignment="1" applyProtection="1"/>
    <xf numFmtId="10" fontId="37" fillId="0" borderId="0" xfId="44" applyNumberFormat="1" applyFont="1" applyFill="1" applyBorder="1" applyAlignment="1" applyProtection="1"/>
    <xf numFmtId="175" fontId="22" fillId="0" borderId="0" xfId="47" applyNumberFormat="1" applyFont="1" applyBorder="1" applyAlignment="1"/>
    <xf numFmtId="10" fontId="37" fillId="0" borderId="0" xfId="44" applyNumberFormat="1" applyFont="1" applyBorder="1" applyAlignment="1" applyProtection="1"/>
    <xf numFmtId="10" fontId="22" fillId="0" borderId="0" xfId="44" applyFont="1" applyBorder="1"/>
    <xf numFmtId="10" fontId="37" fillId="0" borderId="0" xfId="44" applyFont="1" applyBorder="1" applyAlignment="1"/>
    <xf numFmtId="10" fontId="38" fillId="0" borderId="0" xfId="44" applyFont="1" applyAlignment="1" applyProtection="1">
      <alignment horizontal="left"/>
    </xf>
    <xf numFmtId="38" fontId="22" fillId="0" borderId="0" xfId="44" applyNumberFormat="1" applyFont="1"/>
    <xf numFmtId="10" fontId="36" fillId="0" borderId="0" xfId="44" applyNumberFormat="1" applyFont="1" applyFill="1" applyAlignment="1" applyProtection="1"/>
    <xf numFmtId="10" fontId="22" fillId="0" borderId="0" xfId="44" applyNumberFormat="1" applyFont="1" applyFill="1" applyBorder="1" applyAlignment="1" applyProtection="1"/>
    <xf numFmtId="41" fontId="2" fillId="21" borderId="2" xfId="0" applyNumberFormat="1" applyFont="1" applyFill="1" applyBorder="1"/>
    <xf numFmtId="42" fontId="2" fillId="21" borderId="22" xfId="0" applyNumberFormat="1" applyFont="1" applyFill="1" applyBorder="1"/>
    <xf numFmtId="164" fontId="2" fillId="0" borderId="0" xfId="0" applyNumberFormat="1" applyFont="1" applyFill="1"/>
    <xf numFmtId="0" fontId="39" fillId="0" borderId="0" xfId="0" applyFont="1"/>
    <xf numFmtId="172" fontId="17" fillId="0" borderId="0" xfId="44" applyNumberFormat="1" applyFont="1" applyBorder="1" applyAlignment="1" applyProtection="1">
      <alignment horizontal="centerContinuous" vertical="center" wrapText="1"/>
    </xf>
    <xf numFmtId="10" fontId="22" fillId="0" borderId="0" xfId="44" applyNumberFormat="1" applyFont="1" applyFill="1" applyAlignment="1" applyProtection="1"/>
    <xf numFmtId="167" fontId="0" fillId="0" borderId="0" xfId="0" applyNumberFormat="1" applyFill="1"/>
    <xf numFmtId="0" fontId="2" fillId="0" borderId="0" xfId="0" applyFont="1" applyFill="1"/>
    <xf numFmtId="0" fontId="20" fillId="0" borderId="0" xfId="0" applyFont="1" applyFill="1"/>
    <xf numFmtId="0" fontId="39" fillId="0" borderId="0" xfId="0" applyFont="1" applyFill="1"/>
    <xf numFmtId="0" fontId="40" fillId="0" borderId="0" xfId="0" applyFont="1" applyFill="1" applyAlignment="1">
      <alignment horizontal="center"/>
    </xf>
    <xf numFmtId="0" fontId="41" fillId="0" borderId="0" xfId="0" applyFont="1" applyFill="1"/>
    <xf numFmtId="0" fontId="39" fillId="0" borderId="1" xfId="0" applyFont="1" applyFill="1" applyBorder="1"/>
    <xf numFmtId="0" fontId="39" fillId="0" borderId="19" xfId="0" applyFont="1" applyFill="1" applyBorder="1" applyAlignment="1">
      <alignment horizontal="left"/>
    </xf>
    <xf numFmtId="10" fontId="42" fillId="0" borderId="19" xfId="0" applyNumberFormat="1" applyFont="1" applyFill="1" applyBorder="1"/>
    <xf numFmtId="0" fontId="39" fillId="0" borderId="19" xfId="0" applyFont="1" applyFill="1" applyBorder="1"/>
    <xf numFmtId="0" fontId="39" fillId="0" borderId="19" xfId="0" applyFont="1" applyFill="1" applyBorder="1" applyAlignment="1">
      <alignment horizontal="center"/>
    </xf>
    <xf numFmtId="0" fontId="41" fillId="0" borderId="19" xfId="0" applyFont="1" applyFill="1" applyBorder="1"/>
    <xf numFmtId="10" fontId="39" fillId="0" borderId="19" xfId="0" applyNumberFormat="1" applyFont="1" applyFill="1" applyBorder="1"/>
    <xf numFmtId="0" fontId="40" fillId="0" borderId="19" xfId="0" applyFont="1" applyFill="1" applyBorder="1" applyAlignment="1">
      <alignment horizontal="center"/>
    </xf>
    <xf numFmtId="0" fontId="43" fillId="0" borderId="19" xfId="0" applyFont="1" applyFill="1" applyBorder="1" applyAlignment="1">
      <alignment horizontal="center"/>
    </xf>
    <xf numFmtId="10" fontId="40" fillId="0" borderId="0" xfId="0" applyNumberFormat="1" applyFont="1" applyFill="1"/>
    <xf numFmtId="17" fontId="40" fillId="0" borderId="0" xfId="0" applyNumberFormat="1" applyFont="1" applyFill="1"/>
    <xf numFmtId="164" fontId="40" fillId="0" borderId="0" xfId="1" applyNumberFormat="1" applyFont="1" applyFill="1"/>
    <xf numFmtId="164" fontId="43" fillId="0" borderId="0" xfId="1" applyNumberFormat="1" applyFont="1" applyFill="1"/>
    <xf numFmtId="164" fontId="40" fillId="0" borderId="0" xfId="0" applyNumberFormat="1" applyFont="1" applyFill="1"/>
    <xf numFmtId="164" fontId="39" fillId="0" borderId="0" xfId="0" applyNumberFormat="1" applyFont="1" applyFill="1"/>
    <xf numFmtId="43" fontId="42" fillId="0" borderId="0" xfId="2" applyFont="1" applyFill="1"/>
    <xf numFmtId="10" fontId="39" fillId="0" borderId="0" xfId="0" applyNumberFormat="1" applyFont="1" applyFill="1"/>
    <xf numFmtId="17" fontId="39" fillId="0" borderId="0" xfId="0" applyNumberFormat="1" applyFont="1" applyFill="1"/>
    <xf numFmtId="167" fontId="39" fillId="0" borderId="0" xfId="2" applyNumberFormat="1" applyFont="1" applyFill="1"/>
    <xf numFmtId="167" fontId="41" fillId="0" borderId="0" xfId="2" applyNumberFormat="1" applyFont="1" applyFill="1"/>
    <xf numFmtId="167" fontId="39" fillId="0" borderId="0" xfId="0" applyNumberFormat="1" applyFont="1" applyFill="1"/>
    <xf numFmtId="0" fontId="40" fillId="0" borderId="0" xfId="0" applyFont="1" applyFill="1"/>
    <xf numFmtId="10" fontId="39" fillId="0" borderId="1" xfId="0" applyNumberFormat="1" applyFont="1" applyFill="1" applyBorder="1"/>
    <xf numFmtId="17" fontId="39" fillId="0" borderId="1" xfId="0" applyNumberFormat="1" applyFont="1" applyFill="1" applyBorder="1"/>
    <xf numFmtId="167" fontId="39" fillId="0" borderId="1" xfId="2" applyNumberFormat="1" applyFont="1" applyFill="1" applyBorder="1"/>
    <xf numFmtId="167" fontId="41" fillId="0" borderId="1" xfId="2" applyNumberFormat="1" applyFont="1" applyFill="1" applyBorder="1"/>
    <xf numFmtId="10" fontId="40" fillId="0" borderId="0" xfId="0" applyNumberFormat="1" applyFont="1" applyFill="1" applyBorder="1"/>
    <xf numFmtId="164" fontId="43" fillId="0" borderId="0" xfId="0" applyNumberFormat="1" applyFont="1" applyFill="1"/>
    <xf numFmtId="164" fontId="40" fillId="0" borderId="2" xfId="0" applyNumberFormat="1" applyFont="1" applyFill="1" applyBorder="1"/>
    <xf numFmtId="0" fontId="39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2" fillId="0" borderId="0" xfId="0" applyFont="1" applyFill="1"/>
    <xf numFmtId="0" fontId="44" fillId="0" borderId="0" xfId="0" applyFont="1" applyFill="1"/>
    <xf numFmtId="164" fontId="44" fillId="0" borderId="20" xfId="0" applyNumberFormat="1" applyFont="1" applyFill="1" applyBorder="1"/>
    <xf numFmtId="164" fontId="44" fillId="0" borderId="23" xfId="1" applyNumberFormat="1" applyFont="1" applyFill="1" applyBorder="1"/>
    <xf numFmtId="164" fontId="44" fillId="0" borderId="21" xfId="1" applyNumberFormat="1" applyFont="1" applyFill="1" applyBorder="1"/>
    <xf numFmtId="0" fontId="45" fillId="0" borderId="23" xfId="0" applyFont="1" applyFill="1" applyBorder="1"/>
    <xf numFmtId="167" fontId="40" fillId="0" borderId="0" xfId="0" applyNumberFormat="1" applyFont="1" applyFill="1"/>
    <xf numFmtId="164" fontId="0" fillId="0" borderId="1" xfId="1" applyNumberFormat="1" applyFont="1" applyFill="1" applyBorder="1"/>
    <xf numFmtId="0" fontId="3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15" xfId="0" applyFill="1" applyBorder="1"/>
    <xf numFmtId="164" fontId="0" fillId="0" borderId="0" xfId="1" applyNumberFormat="1" applyFont="1" applyFill="1" applyBorder="1"/>
    <xf numFmtId="9" fontId="0" fillId="0" borderId="0" xfId="42" applyFont="1" applyFill="1" applyBorder="1"/>
    <xf numFmtId="0" fontId="0" fillId="0" borderId="16" xfId="0" applyFill="1" applyBorder="1"/>
    <xf numFmtId="164" fontId="2" fillId="0" borderId="17" xfId="1" applyNumberFormat="1" applyFont="1" applyFill="1" applyBorder="1"/>
    <xf numFmtId="0" fontId="0" fillId="0" borderId="17" xfId="0" applyFill="1" applyBorder="1"/>
    <xf numFmtId="164" fontId="2" fillId="0" borderId="17" xfId="0" applyNumberFormat="1" applyFont="1" applyFill="1" applyBorder="1"/>
    <xf numFmtId="164" fontId="2" fillId="0" borderId="18" xfId="0" applyNumberFormat="1" applyFont="1" applyFill="1" applyBorder="1"/>
    <xf numFmtId="0" fontId="4" fillId="0" borderId="3" xfId="3" quotePrefix="1" applyNumberFormat="1" applyFill="1" applyBorder="1" applyAlignment="1"/>
    <xf numFmtId="0" fontId="5" fillId="0" borderId="3" xfId="26" quotePrefix="1" applyNumberFormat="1" applyFill="1" applyBorder="1" applyAlignment="1"/>
    <xf numFmtId="0" fontId="4" fillId="0" borderId="3" xfId="3" applyNumberFormat="1" applyFill="1" applyBorder="1" applyAlignment="1"/>
    <xf numFmtId="0" fontId="5" fillId="0" borderId="3" xfId="26" quotePrefix="1" applyNumberFormat="1" applyFill="1" applyBorder="1" applyAlignment="1">
      <alignment horizontal="right"/>
    </xf>
    <xf numFmtId="0" fontId="5" fillId="0" borderId="3" xfId="26" quotePrefix="1" applyNumberFormat="1" applyFill="1" applyAlignment="1"/>
    <xf numFmtId="166" fontId="5" fillId="0" borderId="9" xfId="4" applyNumberFormat="1" applyFill="1" applyBorder="1">
      <alignment horizontal="right" vertical="center"/>
    </xf>
    <xf numFmtId="0" fontId="5" fillId="0" borderId="3" xfId="26" applyNumberFormat="1" applyFill="1" applyBorder="1" applyAlignment="1"/>
    <xf numFmtId="0" fontId="5" fillId="0" borderId="3" xfId="26" applyNumberFormat="1" applyFill="1" applyAlignment="1"/>
    <xf numFmtId="0" fontId="4" fillId="0" borderId="5" xfId="27" quotePrefix="1" applyNumberFormat="1" applyFill="1" applyAlignment="1"/>
    <xf numFmtId="0" fontId="4" fillId="0" borderId="10" xfId="27" applyNumberFormat="1" applyFill="1" applyBorder="1" applyAlignment="1"/>
    <xf numFmtId="166" fontId="4" fillId="0" borderId="10" xfId="5" applyNumberFormat="1" applyFill="1" applyBorder="1">
      <alignment horizontal="right" vertical="center"/>
    </xf>
    <xf numFmtId="0" fontId="0" fillId="0" borderId="0" xfId="0" applyFont="1" applyFill="1"/>
    <xf numFmtId="167" fontId="2" fillId="0" borderId="0" xfId="0" applyNumberFormat="1" applyFont="1" applyFill="1"/>
    <xf numFmtId="166" fontId="2" fillId="0" borderId="0" xfId="0" applyNumberFormat="1" applyFont="1" applyFill="1"/>
    <xf numFmtId="167" fontId="0" fillId="0" borderId="1" xfId="0" applyNumberFormat="1" applyFill="1" applyBorder="1"/>
    <xf numFmtId="42" fontId="39" fillId="0" borderId="0" xfId="0" applyNumberFormat="1" applyFont="1" applyFill="1"/>
    <xf numFmtId="164" fontId="22" fillId="0" borderId="0" xfId="1" applyNumberFormat="1" applyFont="1" applyFill="1"/>
    <xf numFmtId="164" fontId="39" fillId="0" borderId="0" xfId="1" applyNumberFormat="1" applyFont="1" applyFill="1"/>
    <xf numFmtId="164" fontId="22" fillId="0" borderId="2" xfId="1" applyNumberFormat="1" applyFont="1" applyFill="1" applyBorder="1"/>
    <xf numFmtId="167" fontId="22" fillId="0" borderId="0" xfId="2" applyNumberFormat="1" applyFont="1" applyFill="1" applyBorder="1"/>
    <xf numFmtId="164" fontId="22" fillId="0" borderId="0" xfId="1" applyNumberFormat="1" applyFont="1" applyFill="1" applyBorder="1"/>
    <xf numFmtId="0" fontId="17" fillId="0" borderId="0" xfId="0" applyFont="1" applyFill="1" applyAlignment="1">
      <alignment horizontal="center"/>
    </xf>
    <xf numFmtId="17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7" fillId="0" borderId="0" xfId="0" applyFont="1" applyFill="1"/>
    <xf numFmtId="0" fontId="39" fillId="0" borderId="0" xfId="0" applyFont="1" applyFill="1" applyAlignment="1">
      <alignment horizontal="left"/>
    </xf>
    <xf numFmtId="0" fontId="22" fillId="0" borderId="0" xfId="0" applyFont="1" applyFill="1" applyAlignment="1">
      <alignment horizontal="left"/>
    </xf>
    <xf numFmtId="164" fontId="33" fillId="0" borderId="0" xfId="1" applyNumberFormat="1" applyFont="1" applyFill="1"/>
    <xf numFmtId="164" fontId="33" fillId="0" borderId="0" xfId="0" applyNumberFormat="1" applyFont="1" applyFill="1"/>
    <xf numFmtId="0" fontId="0" fillId="0" borderId="19" xfId="0" applyFill="1" applyBorder="1" applyAlignment="1">
      <alignment vertical="top"/>
    </xf>
    <xf numFmtId="0" fontId="0" fillId="0" borderId="19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  <xf numFmtId="4" fontId="0" fillId="0" borderId="19" xfId="0" applyNumberFormat="1" applyFill="1" applyBorder="1" applyAlignment="1">
      <alignment horizontal="right" vertical="top"/>
    </xf>
    <xf numFmtId="14" fontId="0" fillId="0" borderId="19" xfId="0" applyNumberFormat="1" applyFill="1" applyBorder="1" applyAlignment="1">
      <alignment horizontal="right" vertical="top"/>
    </xf>
    <xf numFmtId="4" fontId="2" fillId="0" borderId="19" xfId="0" applyNumberFormat="1" applyFont="1" applyFill="1" applyBorder="1" applyAlignment="1">
      <alignment horizontal="right" vertical="top"/>
    </xf>
    <xf numFmtId="0" fontId="22" fillId="0" borderId="0" xfId="43" applyFill="1" applyAlignment="1">
      <alignment vertical="top"/>
    </xf>
  </cellXfs>
  <cellStyles count="48">
    <cellStyle name="Comma" xfId="2" builtinId="3"/>
    <cellStyle name="Comma 10" xfId="47"/>
    <cellStyle name="Currency" xfId="1" builtinId="4"/>
    <cellStyle name="Normal" xfId="0" builtinId="0"/>
    <cellStyle name="Normal 2" xfId="43"/>
    <cellStyle name="Normal_AMACAPST" xfId="45"/>
    <cellStyle name="Normal_COSTOF" xfId="46"/>
    <cellStyle name="Normal_RATEOFRE" xfId="44"/>
    <cellStyle name="Percent" xfId="42" builtinId="5"/>
    <cellStyle name="SAPBorder" xfId="22"/>
    <cellStyle name="SAPDataCell" xfId="4"/>
    <cellStyle name="SAPDataRemoved" xfId="23"/>
    <cellStyle name="SAPDataTotalCell" xfId="5"/>
    <cellStyle name="SAPDimensionCell" xfId="3"/>
    <cellStyle name="SAPEditableDataCell" xfId="7"/>
    <cellStyle name="SAPEditableDataTotalCell" xfId="10"/>
    <cellStyle name="SAPEmphasized" xfId="33"/>
    <cellStyle name="SAPEmphasizedEditableDataCell" xfId="35"/>
    <cellStyle name="SAPEmphasizedEditableDataTotalCell" xfId="36"/>
    <cellStyle name="SAPEmphasizedLockedDataCell" xfId="39"/>
    <cellStyle name="SAPEmphasizedLockedDataTotalCell" xfId="40"/>
    <cellStyle name="SAPEmphasizedReadonlyDataCell" xfId="37"/>
    <cellStyle name="SAPEmphasizedReadonlyDataTotalCell" xfId="38"/>
    <cellStyle name="SAPEmphasizedTotal" xfId="34"/>
    <cellStyle name="SAPError" xfId="24"/>
    <cellStyle name="SAPExceptionLevel1" xfId="13"/>
    <cellStyle name="SAPExceptionLevel2" xfId="14"/>
    <cellStyle name="SAPExceptionLevel3" xfId="15"/>
    <cellStyle name="SAPExceptionLevel4" xfId="16"/>
    <cellStyle name="SAPExceptionLevel5" xfId="17"/>
    <cellStyle name="SAPExceptionLevel6" xfId="18"/>
    <cellStyle name="SAPExceptionLevel7" xfId="19"/>
    <cellStyle name="SAPExceptionLevel8" xfId="20"/>
    <cellStyle name="SAPExceptionLevel9" xfId="21"/>
    <cellStyle name="SAPFormula" xfId="41"/>
    <cellStyle name="SAPGroupingFillCell" xfId="6"/>
    <cellStyle name="SAPHierarchyCell0" xfId="28"/>
    <cellStyle name="SAPHierarchyCell1" xfId="29"/>
    <cellStyle name="SAPHierarchyCell2" xfId="30"/>
    <cellStyle name="SAPHierarchyCell3" xfId="31"/>
    <cellStyle name="SAPHierarchyCell4" xfId="32"/>
    <cellStyle name="SAPLockedDataCell" xfId="9"/>
    <cellStyle name="SAPLockedDataTotalCell" xfId="12"/>
    <cellStyle name="SAPMemberCell" xfId="26"/>
    <cellStyle name="SAPMemberTotalCell" xfId="27"/>
    <cellStyle name="SAPMessageText" xfId="25"/>
    <cellStyle name="SAPReadonlyDataCell" xfId="8"/>
    <cellStyle name="SAPReadonlyDataTotalCell" xfId="1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11</xdr:row>
      <xdr:rowOff>38100</xdr:rowOff>
    </xdr:from>
    <xdr:to>
      <xdr:col>11</xdr:col>
      <xdr:colOff>865236</xdr:colOff>
      <xdr:row>16</xdr:row>
      <xdr:rowOff>101641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2333625"/>
          <a:ext cx="7361287" cy="102556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34</xdr:row>
      <xdr:rowOff>42658</xdr:rowOff>
    </xdr:from>
    <xdr:to>
      <xdr:col>12</xdr:col>
      <xdr:colOff>141340</xdr:colOff>
      <xdr:row>39</xdr:row>
      <xdr:rowOff>177838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38875" y="3881233"/>
          <a:ext cx="7770865" cy="1097205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42</xdr:row>
      <xdr:rowOff>106244</xdr:rowOff>
    </xdr:from>
    <xdr:to>
      <xdr:col>13</xdr:col>
      <xdr:colOff>305707</xdr:colOff>
      <xdr:row>46</xdr:row>
      <xdr:rowOff>187580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43650" y="5487869"/>
          <a:ext cx="8440058" cy="843336"/>
        </a:xfrm>
        <a:prstGeom prst="rect">
          <a:avLst/>
        </a:prstGeom>
      </xdr:spPr>
    </xdr:pic>
    <xdr:clientData/>
  </xdr:twoCellAnchor>
  <xdr:twoCellAnchor editAs="oneCell">
    <xdr:from>
      <xdr:col>6</xdr:col>
      <xdr:colOff>419099</xdr:colOff>
      <xdr:row>50</xdr:row>
      <xdr:rowOff>51959</xdr:rowOff>
    </xdr:from>
    <xdr:to>
      <xdr:col>13</xdr:col>
      <xdr:colOff>465184</xdr:colOff>
      <xdr:row>55</xdr:row>
      <xdr:rowOff>171255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2224" y="7729109"/>
          <a:ext cx="8570961" cy="1081321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18</xdr:row>
      <xdr:rowOff>38100</xdr:rowOff>
    </xdr:from>
    <xdr:ext cx="8267700" cy="887421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353175" y="5400675"/>
          <a:ext cx="8267700" cy="887421"/>
        </a:xfrm>
        <a:prstGeom prst="rect">
          <a:avLst/>
        </a:prstGeom>
      </xdr:spPr>
    </xdr:pic>
    <xdr:clientData/>
  </xdr:oneCellAnchor>
  <xdr:twoCellAnchor editAs="oneCell">
    <xdr:from>
      <xdr:col>6</xdr:col>
      <xdr:colOff>314325</xdr:colOff>
      <xdr:row>26</xdr:row>
      <xdr:rowOff>19050</xdr:rowOff>
    </xdr:from>
    <xdr:to>
      <xdr:col>13</xdr:col>
      <xdr:colOff>410546</xdr:colOff>
      <xdr:row>30</xdr:row>
      <xdr:rowOff>18914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372225" y="5400675"/>
          <a:ext cx="8621097" cy="761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5</xdr:row>
      <xdr:rowOff>133350</xdr:rowOff>
    </xdr:from>
    <xdr:to>
      <xdr:col>20</xdr:col>
      <xdr:colOff>284518</xdr:colOff>
      <xdr:row>12</xdr:row>
      <xdr:rowOff>157670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085850"/>
          <a:ext cx="7818793" cy="1367345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314324</xdr:colOff>
      <xdr:row>13</xdr:row>
      <xdr:rowOff>9526</xdr:rowOff>
    </xdr:from>
    <xdr:to>
      <xdr:col>21</xdr:col>
      <xdr:colOff>93949</xdr:colOff>
      <xdr:row>20</xdr:row>
      <xdr:rowOff>65488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29424" y="2505076"/>
          <a:ext cx="8314025" cy="1408512"/>
        </a:xfrm>
        <a:prstGeom prst="rect">
          <a:avLst/>
        </a:prstGeom>
      </xdr:spPr>
    </xdr:pic>
    <xdr:clientData/>
  </xdr:twoCellAnchor>
  <xdr:twoCellAnchor editAs="oneCell">
    <xdr:from>
      <xdr:col>7</xdr:col>
      <xdr:colOff>266699</xdr:colOff>
      <xdr:row>20</xdr:row>
      <xdr:rowOff>114300</xdr:rowOff>
    </xdr:from>
    <xdr:to>
      <xdr:col>20</xdr:col>
      <xdr:colOff>284474</xdr:colOff>
      <xdr:row>27</xdr:row>
      <xdr:rowOff>180322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81799" y="3962400"/>
          <a:ext cx="7942575" cy="1409047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381000</xdr:colOff>
      <xdr:row>29</xdr:row>
      <xdr:rowOff>78369</xdr:rowOff>
    </xdr:from>
    <xdr:to>
      <xdr:col>19</xdr:col>
      <xdr:colOff>589264</xdr:colOff>
      <xdr:row>44</xdr:row>
      <xdr:rowOff>180371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115300" y="5660019"/>
          <a:ext cx="6304264" cy="29595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114300</xdr:rowOff>
    </xdr:from>
    <xdr:to>
      <xdr:col>8</xdr:col>
      <xdr:colOff>532443</xdr:colOff>
      <xdr:row>53</xdr:row>
      <xdr:rowOff>161371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886450"/>
          <a:ext cx="7657143" cy="44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8</xdr:row>
      <xdr:rowOff>161925</xdr:rowOff>
    </xdr:from>
    <xdr:to>
      <xdr:col>16</xdr:col>
      <xdr:colOff>513855</xdr:colOff>
      <xdr:row>25</xdr:row>
      <xdr:rowOff>28187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87450" y="1685925"/>
          <a:ext cx="3961905" cy="31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wprd.puget.com:50100/irj/go/km/docs/documents/Public%20Documents/Sales%20and%20Margin%20Reports%20(Final)/Sales%20of%20Electricity/2011/Sales_of_Electricity_2011_01_final_20110209_1101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Footnotes"/>
      <sheetName val="Strings"/>
      <sheetName val="ZZCOOM_M03_Q004"/>
      <sheetName val="ZZCOOM_M03_Q004SKF"/>
      <sheetName val="ZZCOOM_M03_Q004ORDERS"/>
      <sheetName val="Revision History"/>
      <sheetName val="Grap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pane ySplit="6" topLeftCell="A16" activePane="bottomLeft" state="frozen"/>
      <selection activeCell="H33" sqref="H33"/>
      <selection pane="bottomLeft" sqref="A1:XFD1048576"/>
    </sheetView>
  </sheetViews>
  <sheetFormatPr defaultColWidth="8.85546875" defaultRowHeight="15"/>
  <cols>
    <col min="1" max="1" width="19.28515625" style="132" customWidth="1"/>
    <col min="2" max="13" width="14.7109375" style="132" customWidth="1"/>
    <col min="14" max="14" width="16.140625" style="132" bestFit="1" customWidth="1"/>
    <col min="15" max="15" width="9.140625" style="132" customWidth="1"/>
    <col min="16" max="16384" width="8.85546875" style="132"/>
  </cols>
  <sheetData>
    <row r="1" spans="1:14" s="132" customFormat="1">
      <c r="A1" s="212" t="s">
        <v>81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</row>
    <row r="2" spans="1:14" s="132" customFormat="1">
      <c r="A2" s="212" t="s">
        <v>84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4" s="132" customFormat="1">
      <c r="A3" s="212" t="s">
        <v>232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</row>
    <row r="4" spans="1:14" s="132" customFormat="1">
      <c r="A4" s="212" t="s">
        <v>85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6" spans="1:14" s="132" customFormat="1">
      <c r="A6" s="164" t="s">
        <v>86</v>
      </c>
      <c r="B6" s="213">
        <v>44013</v>
      </c>
      <c r="C6" s="213">
        <v>44044</v>
      </c>
      <c r="D6" s="213">
        <v>44075</v>
      </c>
      <c r="E6" s="213">
        <v>44105</v>
      </c>
      <c r="F6" s="213">
        <v>44136</v>
      </c>
      <c r="G6" s="213">
        <v>44166</v>
      </c>
      <c r="H6" s="213">
        <v>44197</v>
      </c>
      <c r="I6" s="213">
        <v>44228</v>
      </c>
      <c r="J6" s="213">
        <v>44256</v>
      </c>
      <c r="K6" s="213">
        <v>44287</v>
      </c>
      <c r="L6" s="213">
        <v>44317</v>
      </c>
      <c r="M6" s="213">
        <v>44348</v>
      </c>
      <c r="N6" s="214" t="s">
        <v>36</v>
      </c>
    </row>
    <row r="7" spans="1:14" s="132" customFormat="1">
      <c r="A7" s="215" t="s">
        <v>87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</row>
    <row r="8" spans="1:14" s="132" customFormat="1">
      <c r="A8" s="216">
        <v>16</v>
      </c>
      <c r="B8" s="207">
        <v>760.17</v>
      </c>
      <c r="C8" s="207">
        <v>760.17</v>
      </c>
      <c r="D8" s="207">
        <v>759.97</v>
      </c>
      <c r="E8" s="207">
        <v>760.49</v>
      </c>
      <c r="F8" s="207">
        <v>873.48</v>
      </c>
      <c r="G8" s="207">
        <v>676.19</v>
      </c>
      <c r="H8" s="207">
        <v>388.15</v>
      </c>
      <c r="I8" s="207">
        <v>719.67</v>
      </c>
      <c r="J8" s="207">
        <v>676.19</v>
      </c>
      <c r="K8" s="207">
        <v>676.19</v>
      </c>
      <c r="L8" s="207">
        <v>431.99</v>
      </c>
      <c r="M8" s="207">
        <v>1166.53</v>
      </c>
      <c r="N8" s="208">
        <v>8649.19</v>
      </c>
    </row>
    <row r="9" spans="1:14" s="132" customFormat="1">
      <c r="A9" s="216">
        <v>23</v>
      </c>
      <c r="B9" s="207">
        <v>25632864.050000001</v>
      </c>
      <c r="C9" s="207">
        <v>21595770.260000002</v>
      </c>
      <c r="D9" s="207">
        <v>22703160.84</v>
      </c>
      <c r="E9" s="207">
        <v>31090869.039999999</v>
      </c>
      <c r="F9" s="207">
        <v>63668976.520000003</v>
      </c>
      <c r="G9" s="207">
        <v>87736292.739999995</v>
      </c>
      <c r="H9" s="207">
        <v>93153553.030000001</v>
      </c>
      <c r="I9" s="207">
        <v>96229934.219999999</v>
      </c>
      <c r="J9" s="207">
        <v>91395606.25</v>
      </c>
      <c r="K9" s="207">
        <v>71875272.039999992</v>
      </c>
      <c r="L9" s="207">
        <v>43413595.329999998</v>
      </c>
      <c r="M9" s="207">
        <v>33803398.460000001</v>
      </c>
      <c r="N9" s="208">
        <v>682299292.78000009</v>
      </c>
    </row>
    <row r="10" spans="1:14" s="132" customFormat="1">
      <c r="A10" s="216">
        <v>53</v>
      </c>
      <c r="B10" s="207">
        <v>0</v>
      </c>
      <c r="C10" s="207">
        <v>0</v>
      </c>
      <c r="D10" s="207">
        <v>0</v>
      </c>
      <c r="E10" s="207">
        <v>0</v>
      </c>
      <c r="F10" s="207">
        <v>0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8">
        <v>0</v>
      </c>
    </row>
    <row r="11" spans="1:14" s="132" customFormat="1">
      <c r="A11" s="216">
        <v>31</v>
      </c>
      <c r="B11" s="207">
        <v>8289842.5999999996</v>
      </c>
      <c r="C11" s="207">
        <v>7358874.4300000006</v>
      </c>
      <c r="D11" s="207">
        <v>7836347.7000000002</v>
      </c>
      <c r="E11" s="207">
        <v>10157742.85</v>
      </c>
      <c r="F11" s="207">
        <v>19211270.289999999</v>
      </c>
      <c r="G11" s="207">
        <v>25818155.699999999</v>
      </c>
      <c r="H11" s="207">
        <v>28491112.589999996</v>
      </c>
      <c r="I11" s="207">
        <v>29327661</v>
      </c>
      <c r="J11" s="207">
        <v>30226291.060000002</v>
      </c>
      <c r="K11" s="207">
        <v>24277744.48</v>
      </c>
      <c r="L11" s="207">
        <v>15141138.290000001</v>
      </c>
      <c r="M11" s="207">
        <v>13232957.25</v>
      </c>
      <c r="N11" s="208">
        <v>219369138.23999998</v>
      </c>
    </row>
    <row r="12" spans="1:14" s="132" customFormat="1">
      <c r="A12" s="216" t="s">
        <v>88</v>
      </c>
      <c r="B12" s="207">
        <v>1426.41</v>
      </c>
      <c r="C12" s="207">
        <v>1337.64</v>
      </c>
      <c r="D12" s="207">
        <v>1324.44</v>
      </c>
      <c r="E12" s="207">
        <v>1344.17</v>
      </c>
      <c r="F12" s="207">
        <v>4993.47</v>
      </c>
      <c r="G12" s="207">
        <v>0</v>
      </c>
      <c r="H12" s="207">
        <v>2950.48</v>
      </c>
      <c r="I12" s="207">
        <v>5300.12</v>
      </c>
      <c r="J12" s="207">
        <v>0</v>
      </c>
      <c r="K12" s="207">
        <v>2473.91</v>
      </c>
      <c r="L12" s="207">
        <v>1876.69</v>
      </c>
      <c r="M12" s="207">
        <v>1800.95</v>
      </c>
      <c r="N12" s="208">
        <v>24828.28</v>
      </c>
    </row>
    <row r="13" spans="1:14" s="132" customFormat="1">
      <c r="A13" s="216">
        <v>41</v>
      </c>
      <c r="B13" s="207">
        <v>2523230.0100000002</v>
      </c>
      <c r="C13" s="207">
        <v>2269356.2599999998</v>
      </c>
      <c r="D13" s="207">
        <v>2344440.85</v>
      </c>
      <c r="E13" s="207">
        <v>2600865.6399999997</v>
      </c>
      <c r="F13" s="207">
        <v>3482937.9299999997</v>
      </c>
      <c r="G13" s="207">
        <v>4503978.6400000006</v>
      </c>
      <c r="H13" s="207">
        <v>4398764.97</v>
      </c>
      <c r="I13" s="207">
        <v>4738903.6899999995</v>
      </c>
      <c r="J13" s="207">
        <v>5099597.6400000006</v>
      </c>
      <c r="K13" s="207">
        <v>4278878.1100000003</v>
      </c>
      <c r="L13" s="207">
        <v>3303541.79</v>
      </c>
      <c r="M13" s="207">
        <v>3226706.8200000003</v>
      </c>
      <c r="N13" s="208">
        <v>42771202.349999994</v>
      </c>
    </row>
    <row r="14" spans="1:14" s="132" customFormat="1">
      <c r="A14" s="216" t="s">
        <v>89</v>
      </c>
      <c r="B14" s="207">
        <v>369757.48</v>
      </c>
      <c r="C14" s="207">
        <v>369623.56</v>
      </c>
      <c r="D14" s="207">
        <v>369894.67000000004</v>
      </c>
      <c r="E14" s="207">
        <v>346226.25</v>
      </c>
      <c r="F14" s="207">
        <v>587058.4</v>
      </c>
      <c r="G14" s="207">
        <v>149896.4</v>
      </c>
      <c r="H14" s="207">
        <v>383090.80000000005</v>
      </c>
      <c r="I14" s="207">
        <v>674614.75</v>
      </c>
      <c r="J14" s="207">
        <v>77121.45</v>
      </c>
      <c r="K14" s="207">
        <v>381858.57999999996</v>
      </c>
      <c r="L14" s="207">
        <v>378110.32</v>
      </c>
      <c r="M14" s="207">
        <v>380718.51999999996</v>
      </c>
      <c r="N14" s="208">
        <v>4467971.18</v>
      </c>
    </row>
    <row r="15" spans="1:14" s="132" customFormat="1">
      <c r="A15" s="216">
        <v>54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8">
        <v>0</v>
      </c>
    </row>
    <row r="16" spans="1:14" s="132" customFormat="1">
      <c r="A16" s="216">
        <v>85</v>
      </c>
      <c r="B16" s="207">
        <v>601070.4800000001</v>
      </c>
      <c r="C16" s="207">
        <v>354313.10000000003</v>
      </c>
      <c r="D16" s="207">
        <v>945466.84</v>
      </c>
      <c r="E16" s="207">
        <v>302920.88000000012</v>
      </c>
      <c r="F16" s="207">
        <v>613870.18999999994</v>
      </c>
      <c r="G16" s="207">
        <v>973880.74</v>
      </c>
      <c r="H16" s="207">
        <v>913459.22</v>
      </c>
      <c r="I16" s="207">
        <v>752460.09999999986</v>
      </c>
      <c r="J16" s="207">
        <v>1458730.69</v>
      </c>
      <c r="K16" s="207">
        <v>978494.79999999981</v>
      </c>
      <c r="L16" s="207">
        <v>905764.74000000011</v>
      </c>
      <c r="M16" s="207">
        <v>728694.03</v>
      </c>
      <c r="N16" s="208">
        <v>9529125.8099999968</v>
      </c>
    </row>
    <row r="17" spans="1:14" s="132" customFormat="1">
      <c r="A17" s="216" t="s">
        <v>90</v>
      </c>
      <c r="B17" s="207">
        <v>618839.68999999994</v>
      </c>
      <c r="C17" s="207">
        <v>615336.43000000005</v>
      </c>
      <c r="D17" s="207">
        <v>615521.09</v>
      </c>
      <c r="E17" s="207">
        <v>498299.86</v>
      </c>
      <c r="F17" s="207">
        <v>1201627.4900000002</v>
      </c>
      <c r="G17" s="207">
        <v>119246.10999999999</v>
      </c>
      <c r="H17" s="207">
        <v>682499.24000000011</v>
      </c>
      <c r="I17" s="207">
        <v>1140479.1100000001</v>
      </c>
      <c r="J17" s="207">
        <v>172147.63999999998</v>
      </c>
      <c r="K17" s="207">
        <v>694467.09000000008</v>
      </c>
      <c r="L17" s="207">
        <v>654294.11999999988</v>
      </c>
      <c r="M17" s="207">
        <v>641458.32000000007</v>
      </c>
      <c r="N17" s="208">
        <v>7654216.1900000004</v>
      </c>
    </row>
    <row r="18" spans="1:14" s="132" customFormat="1">
      <c r="A18" s="216">
        <v>86</v>
      </c>
      <c r="B18" s="207">
        <v>157925.65999999997</v>
      </c>
      <c r="C18" s="207">
        <v>104286.56</v>
      </c>
      <c r="D18" s="207">
        <v>101812.42</v>
      </c>
      <c r="E18" s="207">
        <v>142537.72</v>
      </c>
      <c r="F18" s="207">
        <v>286004.20000000007</v>
      </c>
      <c r="G18" s="207">
        <v>365592.27</v>
      </c>
      <c r="H18" s="207">
        <v>468337.46</v>
      </c>
      <c r="I18" s="207">
        <v>394615.83999999997</v>
      </c>
      <c r="J18" s="207">
        <v>515222.51</v>
      </c>
      <c r="K18" s="207">
        <v>405959.45999999996</v>
      </c>
      <c r="L18" s="207">
        <v>275282.95</v>
      </c>
      <c r="M18" s="207">
        <v>238573.26</v>
      </c>
      <c r="N18" s="208">
        <v>3456150.3099999996</v>
      </c>
    </row>
    <row r="19" spans="1:14" s="132" customFormat="1">
      <c r="A19" s="216" t="s">
        <v>91</v>
      </c>
      <c r="B19" s="207">
        <v>10913.529999999999</v>
      </c>
      <c r="C19" s="207">
        <v>9893.89</v>
      </c>
      <c r="D19" s="207">
        <v>10950.189999999999</v>
      </c>
      <c r="E19" s="207">
        <v>160739.41</v>
      </c>
      <c r="F19" s="207">
        <v>32118.74</v>
      </c>
      <c r="G19" s="207">
        <v>5325.56</v>
      </c>
      <c r="H19" s="207">
        <v>22683.03</v>
      </c>
      <c r="I19" s="207">
        <v>49689.97</v>
      </c>
      <c r="J19" s="207">
        <v>10696.759999999998</v>
      </c>
      <c r="K19" s="207">
        <v>23353.38</v>
      </c>
      <c r="L19" s="207">
        <v>23686.36</v>
      </c>
      <c r="M19" s="207">
        <v>22179.510000000002</v>
      </c>
      <c r="N19" s="208">
        <v>382230.32999999996</v>
      </c>
    </row>
    <row r="20" spans="1:14" s="132" customFormat="1">
      <c r="A20" s="216">
        <v>87</v>
      </c>
      <c r="B20" s="207">
        <v>637355.11</v>
      </c>
      <c r="C20" s="207">
        <v>542930.67000000004</v>
      </c>
      <c r="D20" s="207">
        <v>452039.37</v>
      </c>
      <c r="E20" s="207">
        <v>570048.01</v>
      </c>
      <c r="F20" s="207">
        <v>1297533.57</v>
      </c>
      <c r="G20" s="207">
        <v>438411.19</v>
      </c>
      <c r="H20" s="207">
        <v>981757.74000000011</v>
      </c>
      <c r="I20" s="207">
        <v>1727379.01</v>
      </c>
      <c r="J20" s="207">
        <v>556774.57999999996</v>
      </c>
      <c r="K20" s="207">
        <v>971388.34</v>
      </c>
      <c r="L20" s="207">
        <v>730715.05</v>
      </c>
      <c r="M20" s="207">
        <v>770686.18</v>
      </c>
      <c r="N20" s="208">
        <v>9677018.8200000003</v>
      </c>
    </row>
    <row r="21" spans="1:14" s="132" customFormat="1">
      <c r="A21" s="216" t="s">
        <v>92</v>
      </c>
      <c r="B21" s="207">
        <v>371383.99000000005</v>
      </c>
      <c r="C21" s="207">
        <v>361672.01999999996</v>
      </c>
      <c r="D21" s="207">
        <v>401797.31</v>
      </c>
      <c r="E21" s="207">
        <v>381407.38</v>
      </c>
      <c r="F21" s="207">
        <v>734157.73</v>
      </c>
      <c r="G21" s="207">
        <v>90526.34</v>
      </c>
      <c r="H21" s="207">
        <v>475117.63</v>
      </c>
      <c r="I21" s="207">
        <v>793353.51000000013</v>
      </c>
      <c r="J21" s="207">
        <v>80598.84</v>
      </c>
      <c r="K21" s="207">
        <v>446649.54000000004</v>
      </c>
      <c r="L21" s="207">
        <v>439285.09</v>
      </c>
      <c r="M21" s="207">
        <v>435330.12</v>
      </c>
      <c r="N21" s="208">
        <v>5011279.5</v>
      </c>
    </row>
    <row r="22" spans="1:14" s="132" customFormat="1">
      <c r="A22" s="216">
        <v>99</v>
      </c>
      <c r="B22" s="207">
        <v>145689.9</v>
      </c>
      <c r="C22" s="207">
        <v>140563.25</v>
      </c>
      <c r="D22" s="207">
        <v>140408.91000000003</v>
      </c>
      <c r="E22" s="207">
        <v>140942.48000000001</v>
      </c>
      <c r="F22" s="207">
        <v>287779.95</v>
      </c>
      <c r="G22" s="207">
        <v>33284.019999999997</v>
      </c>
      <c r="H22" s="207">
        <v>170986.74</v>
      </c>
      <c r="I22" s="207">
        <v>326488.13</v>
      </c>
      <c r="J22" s="207">
        <v>14659.34</v>
      </c>
      <c r="K22" s="207">
        <v>168223.32</v>
      </c>
      <c r="L22" s="207">
        <v>151759.47</v>
      </c>
      <c r="M22" s="207">
        <v>139232.29</v>
      </c>
      <c r="N22" s="208">
        <v>1860017.8</v>
      </c>
    </row>
    <row r="23" spans="1:14" s="132" customFormat="1">
      <c r="A23" s="132" t="s">
        <v>36</v>
      </c>
      <c r="B23" s="209">
        <v>39361059.079999983</v>
      </c>
      <c r="C23" s="209">
        <v>33724718.24000001</v>
      </c>
      <c r="D23" s="209">
        <v>35923924.600000001</v>
      </c>
      <c r="E23" s="209">
        <v>46394704.179999992</v>
      </c>
      <c r="F23" s="209">
        <v>91409201.959999993</v>
      </c>
      <c r="G23" s="209">
        <v>120235265.89999999</v>
      </c>
      <c r="H23" s="209">
        <v>130144701.07999998</v>
      </c>
      <c r="I23" s="209">
        <v>136161599.11999997</v>
      </c>
      <c r="J23" s="209">
        <v>129608122.95000002</v>
      </c>
      <c r="K23" s="209">
        <v>104505439.23999998</v>
      </c>
      <c r="L23" s="209">
        <v>65419482.189999998</v>
      </c>
      <c r="M23" s="209">
        <v>53622902.240000002</v>
      </c>
      <c r="N23" s="209">
        <v>986511120.78000009</v>
      </c>
    </row>
    <row r="24" spans="1:14" s="132" customFormat="1">
      <c r="A24" s="217" t="s">
        <v>93</v>
      </c>
      <c r="B24" s="210">
        <v>0</v>
      </c>
      <c r="C24" s="210">
        <v>0</v>
      </c>
      <c r="D24" s="210">
        <v>0</v>
      </c>
      <c r="E24" s="210">
        <v>0</v>
      </c>
      <c r="F24" s="210">
        <v>0</v>
      </c>
      <c r="G24" s="210">
        <v>0</v>
      </c>
      <c r="H24" s="210">
        <v>0</v>
      </c>
      <c r="I24" s="210">
        <v>0</v>
      </c>
      <c r="J24" s="210">
        <v>0</v>
      </c>
      <c r="K24" s="210">
        <v>0</v>
      </c>
      <c r="L24" s="210">
        <v>0</v>
      </c>
      <c r="M24" s="210">
        <v>0</v>
      </c>
      <c r="N24" s="211"/>
    </row>
    <row r="28" spans="1:14" s="132" customFormat="1">
      <c r="A28" s="156" t="s">
        <v>94</v>
      </c>
      <c r="B28" s="208"/>
    </row>
    <row r="29" spans="1:14" s="132" customFormat="1">
      <c r="A29" s="132" t="s">
        <v>15</v>
      </c>
      <c r="B29" s="208">
        <v>25633624.220000003</v>
      </c>
      <c r="C29" s="208">
        <v>21596530.430000003</v>
      </c>
      <c r="D29" s="208">
        <v>22703920.809999999</v>
      </c>
      <c r="E29" s="208">
        <v>31091629.529999997</v>
      </c>
      <c r="F29" s="208">
        <v>63669850</v>
      </c>
      <c r="G29" s="208">
        <v>87736968.929999992</v>
      </c>
      <c r="H29" s="208">
        <v>93153941.180000007</v>
      </c>
      <c r="I29" s="208">
        <v>96230653.890000001</v>
      </c>
      <c r="J29" s="208">
        <v>91396282.439999998</v>
      </c>
      <c r="K29" s="208">
        <v>71875948.229999989</v>
      </c>
      <c r="L29" s="208">
        <v>43414027.32</v>
      </c>
      <c r="M29" s="208">
        <v>33804564.990000002</v>
      </c>
      <c r="N29" s="148">
        <v>682307941.97000003</v>
      </c>
    </row>
    <row r="30" spans="1:14" s="132" customFormat="1">
      <c r="A30" s="132" t="s">
        <v>95</v>
      </c>
      <c r="B30" s="208">
        <v>11263805.720000001</v>
      </c>
      <c r="C30" s="208">
        <v>9761173.0900000017</v>
      </c>
      <c r="D30" s="208">
        <v>10310018.609999999</v>
      </c>
      <c r="E30" s="208">
        <v>13082665.299999999</v>
      </c>
      <c r="F30" s="208">
        <v>23210950.27</v>
      </c>
      <c r="G30" s="208">
        <v>29738720.299999997</v>
      </c>
      <c r="H30" s="208">
        <v>32919644.759999994</v>
      </c>
      <c r="I30" s="208">
        <v>34557505.420000002</v>
      </c>
      <c r="J30" s="208">
        <v>35128821.260000005</v>
      </c>
      <c r="K30" s="208">
        <v>28806297.530000001</v>
      </c>
      <c r="L30" s="208">
        <v>18948765.199999999</v>
      </c>
      <c r="M30" s="208">
        <v>16854794.310000002</v>
      </c>
      <c r="N30" s="148">
        <v>264583161.76999995</v>
      </c>
    </row>
    <row r="31" spans="1:14" s="132" customFormat="1">
      <c r="A31" s="132" t="s">
        <v>14</v>
      </c>
      <c r="B31" s="208">
        <v>945618.14</v>
      </c>
      <c r="C31" s="208">
        <v>868587.92999999993</v>
      </c>
      <c r="D31" s="208">
        <v>1370088.57</v>
      </c>
      <c r="E31" s="208">
        <v>691449.79999999993</v>
      </c>
      <c r="F31" s="208">
        <v>1680665.91</v>
      </c>
      <c r="G31" s="208">
        <v>2361298.2399999998</v>
      </c>
      <c r="H31" s="208">
        <v>2333787.2199999997</v>
      </c>
      <c r="I31" s="208">
        <v>2383514.2200000002</v>
      </c>
      <c r="J31" s="208">
        <v>2727795.22</v>
      </c>
      <c r="K31" s="208">
        <v>2106167.66</v>
      </c>
      <c r="L31" s="208">
        <v>1407677.62</v>
      </c>
      <c r="M31" s="208">
        <v>1342823.2300000002</v>
      </c>
      <c r="N31" s="148">
        <v>20219473.760000002</v>
      </c>
    </row>
    <row r="32" spans="1:14" s="132" customFormat="1">
      <c r="A32" s="215" t="s">
        <v>96</v>
      </c>
      <c r="B32" s="208">
        <v>37843048.080000006</v>
      </c>
      <c r="C32" s="208">
        <v>32226291.450000003</v>
      </c>
      <c r="D32" s="208">
        <v>34384027.989999995</v>
      </c>
      <c r="E32" s="208">
        <v>44865744.629999995</v>
      </c>
      <c r="F32" s="208">
        <v>88561466.179999992</v>
      </c>
      <c r="G32" s="208">
        <v>119836987.46999998</v>
      </c>
      <c r="H32" s="208">
        <v>128407373.16</v>
      </c>
      <c r="I32" s="208">
        <v>133171673.53</v>
      </c>
      <c r="J32" s="208">
        <v>129252898.92</v>
      </c>
      <c r="K32" s="208">
        <v>102788413.41999999</v>
      </c>
      <c r="L32" s="208">
        <v>63770470.139999993</v>
      </c>
      <c r="M32" s="208">
        <v>52002182.530000001</v>
      </c>
      <c r="N32" s="146">
        <v>967110577.5</v>
      </c>
    </row>
    <row r="33" spans="1:14" s="132" customFormat="1">
      <c r="A33" s="132" t="s">
        <v>97</v>
      </c>
      <c r="B33" s="218">
        <v>37843048.080000006</v>
      </c>
      <c r="C33" s="218">
        <v>32226291.450000007</v>
      </c>
      <c r="D33" s="218">
        <v>34384027.989999995</v>
      </c>
      <c r="E33" s="218">
        <v>44865744.629999995</v>
      </c>
      <c r="F33" s="218">
        <v>88561466.180000007</v>
      </c>
      <c r="G33" s="218">
        <v>119836987.47</v>
      </c>
      <c r="H33" s="218">
        <v>128407373.16000001</v>
      </c>
      <c r="I33" s="218">
        <v>133171673.53</v>
      </c>
      <c r="J33" s="218">
        <v>129252898.92</v>
      </c>
      <c r="K33" s="218">
        <v>102788413.41999999</v>
      </c>
      <c r="L33" s="218">
        <v>63770470.140000008</v>
      </c>
      <c r="M33" s="218">
        <v>52002182.530000001</v>
      </c>
      <c r="N33" s="219">
        <v>967110577.49999988</v>
      </c>
    </row>
    <row r="34" spans="1:14" s="132" customFormat="1"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149"/>
    </row>
    <row r="35" spans="1:14" s="132" customFormat="1">
      <c r="A35" s="132" t="s">
        <v>83</v>
      </c>
      <c r="B35" s="149">
        <v>1518010.9999999998</v>
      </c>
      <c r="C35" s="149">
        <v>1498426.79</v>
      </c>
      <c r="D35" s="149">
        <v>1539896.6099999999</v>
      </c>
      <c r="E35" s="149">
        <v>1528959.55</v>
      </c>
      <c r="F35" s="149">
        <v>2847735.7800000003</v>
      </c>
      <c r="G35" s="149">
        <v>398278.43000000005</v>
      </c>
      <c r="H35" s="149">
        <v>1737327.9200000002</v>
      </c>
      <c r="I35" s="149">
        <v>2989925.59</v>
      </c>
      <c r="J35" s="149">
        <v>355224.02999999997</v>
      </c>
      <c r="K35" s="149">
        <v>1717025.82</v>
      </c>
      <c r="L35" s="149">
        <v>1649012.05</v>
      </c>
      <c r="M35" s="149">
        <v>1620719.71</v>
      </c>
      <c r="N35" s="149">
        <v>19400543.280000001</v>
      </c>
    </row>
    <row r="36" spans="1:14" s="132" customFormat="1">
      <c r="A36" s="215" t="s">
        <v>98</v>
      </c>
      <c r="B36" s="149">
        <v>39361059.080000006</v>
      </c>
      <c r="C36" s="149">
        <v>33724718.24000001</v>
      </c>
      <c r="D36" s="149">
        <v>35923924.599999994</v>
      </c>
      <c r="E36" s="149">
        <v>46394704.179999992</v>
      </c>
      <c r="F36" s="149">
        <v>91409201.960000008</v>
      </c>
      <c r="G36" s="149">
        <v>120235265.90000001</v>
      </c>
      <c r="H36" s="149">
        <v>130144701.08000001</v>
      </c>
      <c r="I36" s="149">
        <v>136161599.12</v>
      </c>
      <c r="J36" s="149">
        <v>129608122.95</v>
      </c>
      <c r="K36" s="149">
        <v>104505439.23999998</v>
      </c>
      <c r="L36" s="149">
        <v>65419482.190000005</v>
      </c>
      <c r="M36" s="149">
        <v>53622902.240000002</v>
      </c>
      <c r="N36" s="149">
        <v>986511120.77999985</v>
      </c>
    </row>
    <row r="37" spans="1:14" s="132" customFormat="1">
      <c r="A37" s="215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</row>
    <row r="38" spans="1:14" s="132" customFormat="1">
      <c r="A38" s="132" t="s">
        <v>97</v>
      </c>
      <c r="B38" s="218">
        <v>39361059.080000006</v>
      </c>
      <c r="C38" s="218">
        <v>33724718.24000001</v>
      </c>
      <c r="D38" s="218">
        <v>35923924.599999994</v>
      </c>
      <c r="E38" s="218">
        <v>46394704.179999992</v>
      </c>
      <c r="F38" s="218">
        <v>91409201.960000008</v>
      </c>
      <c r="G38" s="218">
        <v>120235265.90000001</v>
      </c>
      <c r="H38" s="218">
        <v>130144701.08000001</v>
      </c>
      <c r="I38" s="218">
        <v>136161599.12</v>
      </c>
      <c r="J38" s="218">
        <v>129608122.95</v>
      </c>
      <c r="K38" s="218">
        <v>104505439.23999998</v>
      </c>
      <c r="L38" s="218">
        <v>65419482.190000005</v>
      </c>
      <c r="M38" s="218">
        <v>53622902.240000002</v>
      </c>
      <c r="N38" s="219">
        <v>986511120.78000021</v>
      </c>
    </row>
    <row r="39" spans="1:14" s="132" customFormat="1">
      <c r="B39" s="206">
        <v>0</v>
      </c>
      <c r="C39" s="206">
        <v>0</v>
      </c>
      <c r="D39" s="206">
        <v>0</v>
      </c>
      <c r="E39" s="206">
        <v>0</v>
      </c>
      <c r="F39" s="206">
        <v>0</v>
      </c>
      <c r="G39" s="206">
        <v>0</v>
      </c>
      <c r="H39" s="206">
        <v>0</v>
      </c>
      <c r="I39" s="206">
        <v>0</v>
      </c>
      <c r="J39" s="206">
        <v>0</v>
      </c>
      <c r="K39" s="206">
        <v>0</v>
      </c>
      <c r="L39" s="206">
        <v>0</v>
      </c>
      <c r="M39" s="206">
        <v>0</v>
      </c>
      <c r="N39" s="206">
        <v>0</v>
      </c>
    </row>
    <row r="40" spans="1:14" s="132" customFormat="1">
      <c r="B40" s="206"/>
    </row>
    <row r="42" spans="1:14" s="132" customFormat="1">
      <c r="B42" s="206"/>
    </row>
    <row r="44" spans="1:14" s="132" customFormat="1">
      <c r="B44" s="206"/>
    </row>
    <row r="46" spans="1:14" s="132" customFormat="1">
      <c r="B46" s="206"/>
    </row>
    <row r="48" spans="1:14" s="132" customFormat="1">
      <c r="B48" s="208"/>
    </row>
  </sheetData>
  <mergeCells count="4">
    <mergeCell ref="A1:N1"/>
    <mergeCell ref="A2:N2"/>
    <mergeCell ref="A3:N3"/>
    <mergeCell ref="A4:N4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24" sqref="D24"/>
    </sheetView>
  </sheetViews>
  <sheetFormatPr defaultRowHeight="12.75" outlineLevelRow="3"/>
  <cols>
    <col min="1" max="1" width="10" style="228" bestFit="1" customWidth="1"/>
    <col min="2" max="2" width="14" style="228" bestFit="1" customWidth="1"/>
    <col min="3" max="3" width="19" style="228" bestFit="1" customWidth="1"/>
    <col min="4" max="4" width="17" style="228" bestFit="1" customWidth="1"/>
    <col min="5" max="5" width="8" style="228" bestFit="1" customWidth="1"/>
    <col min="6" max="6" width="37" style="228" bestFit="1" customWidth="1"/>
    <col min="7" max="7" width="45" style="228" bestFit="1" customWidth="1"/>
    <col min="8" max="8" width="8" style="228" bestFit="1" customWidth="1"/>
    <col min="9" max="9" width="11" style="228" bestFit="1" customWidth="1"/>
    <col min="10" max="10" width="17" style="228" bestFit="1" customWidth="1"/>
    <col min="11" max="11" width="6" style="228" bestFit="1" customWidth="1"/>
    <col min="12" max="12" width="24" style="228" bestFit="1" customWidth="1"/>
    <col min="13" max="13" width="6" style="228" bestFit="1" customWidth="1"/>
    <col min="14" max="14" width="32" style="228" bestFit="1" customWidth="1"/>
    <col min="15" max="15" width="14" style="228" bestFit="1" customWidth="1"/>
    <col min="16" max="16384" width="9.140625" style="228"/>
  </cols>
  <sheetData>
    <row r="1" spans="1:15" s="222" customFormat="1" ht="45">
      <c r="A1" s="220" t="s">
        <v>148</v>
      </c>
      <c r="B1" s="220" t="s">
        <v>147</v>
      </c>
      <c r="C1" s="220" t="s">
        <v>146</v>
      </c>
      <c r="D1" s="220" t="s">
        <v>145</v>
      </c>
      <c r="E1" s="221" t="s">
        <v>144</v>
      </c>
      <c r="F1" s="220" t="s">
        <v>143</v>
      </c>
      <c r="G1" s="220" t="s">
        <v>142</v>
      </c>
      <c r="H1" s="220" t="s">
        <v>141</v>
      </c>
      <c r="I1" s="221" t="s">
        <v>140</v>
      </c>
      <c r="J1" s="220" t="s">
        <v>139</v>
      </c>
      <c r="K1" s="221" t="s">
        <v>138</v>
      </c>
      <c r="L1" s="220" t="s">
        <v>137</v>
      </c>
      <c r="M1" s="220" t="s">
        <v>136</v>
      </c>
      <c r="N1" s="220" t="s">
        <v>135</v>
      </c>
      <c r="O1" s="220" t="s">
        <v>134</v>
      </c>
    </row>
    <row r="2" spans="1:15" s="222" customFormat="1" ht="15" outlineLevel="3">
      <c r="A2" s="222" t="s">
        <v>129</v>
      </c>
      <c r="B2" s="222" t="s">
        <v>121</v>
      </c>
      <c r="C2" s="222" t="s">
        <v>120</v>
      </c>
      <c r="D2" s="223">
        <v>28031</v>
      </c>
      <c r="E2" s="222" t="s">
        <v>22</v>
      </c>
      <c r="F2" s="222" t="s">
        <v>23</v>
      </c>
      <c r="G2" s="222" t="s">
        <v>127</v>
      </c>
      <c r="H2" s="222" t="s">
        <v>122</v>
      </c>
      <c r="I2" s="222" t="s">
        <v>130</v>
      </c>
      <c r="J2" s="222" t="s">
        <v>11</v>
      </c>
      <c r="K2" s="222" t="s">
        <v>114</v>
      </c>
      <c r="L2" s="222" t="s">
        <v>113</v>
      </c>
      <c r="M2" s="222" t="s">
        <v>112</v>
      </c>
      <c r="N2" s="222" t="s">
        <v>111</v>
      </c>
      <c r="O2" s="224">
        <v>45002</v>
      </c>
    </row>
    <row r="3" spans="1:15" s="222" customFormat="1" ht="15" outlineLevel="3">
      <c r="A3" s="222" t="s">
        <v>129</v>
      </c>
      <c r="B3" s="222" t="s">
        <v>121</v>
      </c>
      <c r="C3" s="222" t="s">
        <v>120</v>
      </c>
      <c r="D3" s="223">
        <v>32316</v>
      </c>
      <c r="E3" s="222" t="s">
        <v>20</v>
      </c>
      <c r="F3" s="222" t="s">
        <v>21</v>
      </c>
      <c r="G3" s="222" t="s">
        <v>126</v>
      </c>
      <c r="H3" s="222" t="s">
        <v>122</v>
      </c>
      <c r="I3" s="222" t="s">
        <v>130</v>
      </c>
      <c r="J3" s="222" t="s">
        <v>11</v>
      </c>
      <c r="K3" s="222" t="s">
        <v>114</v>
      </c>
      <c r="L3" s="222" t="s">
        <v>113</v>
      </c>
      <c r="M3" s="222" t="s">
        <v>112</v>
      </c>
      <c r="N3" s="222" t="s">
        <v>111</v>
      </c>
      <c r="O3" s="224">
        <v>45002</v>
      </c>
    </row>
    <row r="4" spans="1:15" s="222" customFormat="1" ht="15" outlineLevel="3">
      <c r="A4" s="222" t="s">
        <v>129</v>
      </c>
      <c r="B4" s="222" t="s">
        <v>121</v>
      </c>
      <c r="C4" s="222" t="s">
        <v>120</v>
      </c>
      <c r="D4" s="223">
        <v>42027</v>
      </c>
      <c r="E4" s="222" t="s">
        <v>125</v>
      </c>
      <c r="F4" s="222" t="s">
        <v>124</v>
      </c>
      <c r="G4" s="222" t="s">
        <v>123</v>
      </c>
      <c r="H4" s="222" t="s">
        <v>122</v>
      </c>
      <c r="I4" s="222" t="s">
        <v>130</v>
      </c>
      <c r="J4" s="222" t="s">
        <v>11</v>
      </c>
      <c r="K4" s="222" t="s">
        <v>114</v>
      </c>
      <c r="L4" s="222" t="s">
        <v>113</v>
      </c>
      <c r="M4" s="222" t="s">
        <v>112</v>
      </c>
      <c r="N4" s="222" t="s">
        <v>111</v>
      </c>
      <c r="O4" s="224">
        <v>45008</v>
      </c>
    </row>
    <row r="5" spans="1:15" s="222" customFormat="1" ht="15" outlineLevel="3">
      <c r="A5" s="222" t="s">
        <v>129</v>
      </c>
      <c r="B5" s="222" t="s">
        <v>121</v>
      </c>
      <c r="C5" s="222" t="s">
        <v>120</v>
      </c>
      <c r="D5" s="223">
        <v>15000</v>
      </c>
      <c r="E5" s="222" t="s">
        <v>133</v>
      </c>
      <c r="F5" s="222" t="s">
        <v>132</v>
      </c>
      <c r="G5" s="222" t="s">
        <v>131</v>
      </c>
      <c r="H5" s="222" t="s">
        <v>122</v>
      </c>
      <c r="I5" s="222" t="s">
        <v>130</v>
      </c>
      <c r="J5" s="222" t="s">
        <v>11</v>
      </c>
      <c r="K5" s="222" t="s">
        <v>114</v>
      </c>
      <c r="L5" s="222" t="s">
        <v>113</v>
      </c>
      <c r="M5" s="222" t="s">
        <v>112</v>
      </c>
      <c r="N5" s="222" t="s">
        <v>111</v>
      </c>
      <c r="O5" s="224">
        <v>45009</v>
      </c>
    </row>
    <row r="6" spans="1:15" s="222" customFormat="1" ht="15" outlineLevel="2">
      <c r="A6" s="220" t="s">
        <v>129</v>
      </c>
      <c r="B6" s="220" t="s">
        <v>17</v>
      </c>
      <c r="C6" s="220" t="s">
        <v>17</v>
      </c>
      <c r="D6" s="225">
        <v>117374</v>
      </c>
      <c r="E6" s="220" t="s">
        <v>17</v>
      </c>
      <c r="F6" s="220" t="s">
        <v>17</v>
      </c>
      <c r="G6" s="220" t="s">
        <v>17</v>
      </c>
      <c r="H6" s="220" t="s">
        <v>122</v>
      </c>
      <c r="I6" s="220" t="s">
        <v>17</v>
      </c>
      <c r="J6" s="220" t="s">
        <v>17</v>
      </c>
      <c r="K6" s="220" t="s">
        <v>17</v>
      </c>
      <c r="L6" s="220" t="s">
        <v>17</v>
      </c>
      <c r="M6" s="220" t="s">
        <v>17</v>
      </c>
      <c r="N6" s="220" t="s">
        <v>17</v>
      </c>
      <c r="O6" s="226"/>
    </row>
    <row r="7" spans="1:15" s="222" customFormat="1" ht="15" outlineLevel="3">
      <c r="A7" s="222" t="s">
        <v>129</v>
      </c>
      <c r="B7" s="222" t="s">
        <v>121</v>
      </c>
      <c r="C7" s="222" t="s">
        <v>120</v>
      </c>
      <c r="D7" s="223">
        <v>10500</v>
      </c>
      <c r="E7" s="222" t="s">
        <v>119</v>
      </c>
      <c r="F7" s="222" t="s">
        <v>118</v>
      </c>
      <c r="G7" s="222" t="s">
        <v>117</v>
      </c>
      <c r="H7" s="222" t="s">
        <v>116</v>
      </c>
      <c r="I7" s="222" t="s">
        <v>130</v>
      </c>
      <c r="J7" s="222" t="s">
        <v>11</v>
      </c>
      <c r="K7" s="222" t="s">
        <v>114</v>
      </c>
      <c r="L7" s="222" t="s">
        <v>113</v>
      </c>
      <c r="M7" s="222" t="s">
        <v>112</v>
      </c>
      <c r="N7" s="222" t="s">
        <v>111</v>
      </c>
      <c r="O7" s="224">
        <v>45049</v>
      </c>
    </row>
    <row r="8" spans="1:15" s="222" customFormat="1" ht="15" outlineLevel="2">
      <c r="A8" s="220" t="s">
        <v>129</v>
      </c>
      <c r="B8" s="220" t="s">
        <v>17</v>
      </c>
      <c r="C8" s="220" t="s">
        <v>17</v>
      </c>
      <c r="D8" s="225">
        <v>10500</v>
      </c>
      <c r="E8" s="220" t="s">
        <v>17</v>
      </c>
      <c r="F8" s="220" t="s">
        <v>17</v>
      </c>
      <c r="G8" s="220" t="s">
        <v>17</v>
      </c>
      <c r="H8" s="220" t="s">
        <v>116</v>
      </c>
      <c r="I8" s="220" t="s">
        <v>17</v>
      </c>
      <c r="J8" s="220" t="s">
        <v>17</v>
      </c>
      <c r="K8" s="220" t="s">
        <v>17</v>
      </c>
      <c r="L8" s="220" t="s">
        <v>17</v>
      </c>
      <c r="M8" s="220" t="s">
        <v>17</v>
      </c>
      <c r="N8" s="220" t="s">
        <v>17</v>
      </c>
      <c r="O8" s="226"/>
    </row>
    <row r="9" spans="1:15" s="222" customFormat="1" ht="15" outlineLevel="3">
      <c r="A9" s="222" t="s">
        <v>129</v>
      </c>
      <c r="B9" s="222" t="s">
        <v>121</v>
      </c>
      <c r="C9" s="222" t="s">
        <v>120</v>
      </c>
      <c r="D9" s="223">
        <v>12000</v>
      </c>
      <c r="E9" s="222" t="s">
        <v>22</v>
      </c>
      <c r="F9" s="222" t="s">
        <v>23</v>
      </c>
      <c r="G9" s="222" t="s">
        <v>127</v>
      </c>
      <c r="H9" s="222" t="s">
        <v>230</v>
      </c>
      <c r="I9" s="222" t="s">
        <v>130</v>
      </c>
      <c r="J9" s="222" t="s">
        <v>11</v>
      </c>
      <c r="K9" s="222" t="s">
        <v>114</v>
      </c>
      <c r="L9" s="222" t="s">
        <v>113</v>
      </c>
      <c r="M9" s="222" t="s">
        <v>112</v>
      </c>
      <c r="N9" s="222" t="s">
        <v>111</v>
      </c>
      <c r="O9" s="224">
        <v>45201</v>
      </c>
    </row>
    <row r="10" spans="1:15" s="222" customFormat="1" ht="15" outlineLevel="3">
      <c r="A10" s="222" t="s">
        <v>129</v>
      </c>
      <c r="B10" s="222" t="s">
        <v>121</v>
      </c>
      <c r="C10" s="222" t="s">
        <v>120</v>
      </c>
      <c r="D10" s="223">
        <v>8000</v>
      </c>
      <c r="E10" s="222" t="s">
        <v>20</v>
      </c>
      <c r="F10" s="222" t="s">
        <v>21</v>
      </c>
      <c r="G10" s="222" t="s">
        <v>126</v>
      </c>
      <c r="H10" s="222" t="s">
        <v>230</v>
      </c>
      <c r="I10" s="222" t="s">
        <v>130</v>
      </c>
      <c r="J10" s="222" t="s">
        <v>11</v>
      </c>
      <c r="K10" s="222" t="s">
        <v>114</v>
      </c>
      <c r="L10" s="222" t="s">
        <v>113</v>
      </c>
      <c r="M10" s="222" t="s">
        <v>112</v>
      </c>
      <c r="N10" s="222" t="s">
        <v>111</v>
      </c>
      <c r="O10" s="224">
        <v>45201</v>
      </c>
    </row>
    <row r="11" spans="1:15" s="222" customFormat="1" ht="15" outlineLevel="3">
      <c r="A11" s="222" t="s">
        <v>129</v>
      </c>
      <c r="B11" s="222" t="s">
        <v>121</v>
      </c>
      <c r="C11" s="222" t="s">
        <v>120</v>
      </c>
      <c r="D11" s="223">
        <v>45000</v>
      </c>
      <c r="E11" s="222" t="s">
        <v>119</v>
      </c>
      <c r="F11" s="222" t="s">
        <v>118</v>
      </c>
      <c r="G11" s="222" t="s">
        <v>117</v>
      </c>
      <c r="H11" s="222" t="s">
        <v>230</v>
      </c>
      <c r="I11" s="222" t="s">
        <v>130</v>
      </c>
      <c r="J11" s="222" t="s">
        <v>11</v>
      </c>
      <c r="K11" s="222" t="s">
        <v>114</v>
      </c>
      <c r="L11" s="222" t="s">
        <v>113</v>
      </c>
      <c r="M11" s="222" t="s">
        <v>112</v>
      </c>
      <c r="N11" s="222" t="s">
        <v>111</v>
      </c>
      <c r="O11" s="224">
        <v>45201</v>
      </c>
    </row>
    <row r="12" spans="1:15" s="222" customFormat="1" ht="15" outlineLevel="2">
      <c r="A12" s="220" t="s">
        <v>129</v>
      </c>
      <c r="B12" s="220" t="s">
        <v>17</v>
      </c>
      <c r="C12" s="220" t="s">
        <v>17</v>
      </c>
      <c r="D12" s="225">
        <v>65000</v>
      </c>
      <c r="E12" s="220" t="s">
        <v>17</v>
      </c>
      <c r="F12" s="220" t="s">
        <v>17</v>
      </c>
      <c r="G12" s="220" t="s">
        <v>17</v>
      </c>
      <c r="H12" s="220" t="s">
        <v>230</v>
      </c>
      <c r="I12" s="220" t="s">
        <v>17</v>
      </c>
      <c r="J12" s="220" t="s">
        <v>17</v>
      </c>
      <c r="K12" s="220" t="s">
        <v>17</v>
      </c>
      <c r="L12" s="220" t="s">
        <v>17</v>
      </c>
      <c r="M12" s="220" t="s">
        <v>17</v>
      </c>
      <c r="N12" s="220" t="s">
        <v>17</v>
      </c>
      <c r="O12" s="226"/>
    </row>
    <row r="13" spans="1:15" s="222" customFormat="1" ht="15" outlineLevel="1">
      <c r="A13" s="220" t="s">
        <v>129</v>
      </c>
      <c r="B13" s="220" t="s">
        <v>17</v>
      </c>
      <c r="C13" s="220" t="s">
        <v>17</v>
      </c>
      <c r="D13" s="225">
        <v>192874</v>
      </c>
      <c r="E13" s="220" t="s">
        <v>17</v>
      </c>
      <c r="F13" s="220" t="s">
        <v>17</v>
      </c>
      <c r="G13" s="220" t="s">
        <v>17</v>
      </c>
      <c r="H13" s="220" t="s">
        <v>17</v>
      </c>
      <c r="I13" s="220" t="s">
        <v>17</v>
      </c>
      <c r="J13" s="220" t="s">
        <v>17</v>
      </c>
      <c r="K13" s="220" t="s">
        <v>17</v>
      </c>
      <c r="L13" s="220" t="s">
        <v>17</v>
      </c>
      <c r="M13" s="220" t="s">
        <v>17</v>
      </c>
      <c r="N13" s="220" t="s">
        <v>17</v>
      </c>
      <c r="O13" s="226"/>
    </row>
    <row r="14" spans="1:15" s="222" customFormat="1" ht="15" outlineLevel="3">
      <c r="A14" s="222" t="s">
        <v>110</v>
      </c>
      <c r="B14" s="222" t="s">
        <v>121</v>
      </c>
      <c r="C14" s="222" t="s">
        <v>120</v>
      </c>
      <c r="D14" s="223">
        <v>45000</v>
      </c>
      <c r="E14" s="222" t="s">
        <v>18</v>
      </c>
      <c r="F14" s="222" t="s">
        <v>19</v>
      </c>
      <c r="G14" s="222" t="s">
        <v>128</v>
      </c>
      <c r="H14" s="222" t="s">
        <v>122</v>
      </c>
      <c r="I14" s="222" t="s">
        <v>115</v>
      </c>
      <c r="J14" s="222" t="s">
        <v>13</v>
      </c>
      <c r="K14" s="222" t="s">
        <v>114</v>
      </c>
      <c r="L14" s="222" t="s">
        <v>113</v>
      </c>
      <c r="M14" s="222" t="s">
        <v>112</v>
      </c>
      <c r="N14" s="222" t="s">
        <v>111</v>
      </c>
      <c r="O14" s="224">
        <v>45000</v>
      </c>
    </row>
    <row r="15" spans="1:15" s="222" customFormat="1" ht="15" outlineLevel="3">
      <c r="A15" s="222" t="s">
        <v>110</v>
      </c>
      <c r="B15" s="222" t="s">
        <v>121</v>
      </c>
      <c r="C15" s="222" t="s">
        <v>120</v>
      </c>
      <c r="D15" s="223">
        <v>12300</v>
      </c>
      <c r="E15" s="222" t="s">
        <v>22</v>
      </c>
      <c r="F15" s="222" t="s">
        <v>23</v>
      </c>
      <c r="G15" s="222" t="s">
        <v>127</v>
      </c>
      <c r="H15" s="222" t="s">
        <v>122</v>
      </c>
      <c r="I15" s="222" t="s">
        <v>115</v>
      </c>
      <c r="J15" s="222" t="s">
        <v>13</v>
      </c>
      <c r="K15" s="222" t="s">
        <v>114</v>
      </c>
      <c r="L15" s="222" t="s">
        <v>113</v>
      </c>
      <c r="M15" s="222" t="s">
        <v>112</v>
      </c>
      <c r="N15" s="222" t="s">
        <v>111</v>
      </c>
      <c r="O15" s="224">
        <v>45002</v>
      </c>
    </row>
    <row r="16" spans="1:15" s="222" customFormat="1" ht="15" outlineLevel="3">
      <c r="A16" s="222" t="s">
        <v>110</v>
      </c>
      <c r="B16" s="222" t="s">
        <v>121</v>
      </c>
      <c r="C16" s="222" t="s">
        <v>120</v>
      </c>
      <c r="D16" s="223">
        <v>17684</v>
      </c>
      <c r="E16" s="222" t="s">
        <v>20</v>
      </c>
      <c r="F16" s="222" t="s">
        <v>21</v>
      </c>
      <c r="G16" s="222" t="s">
        <v>126</v>
      </c>
      <c r="H16" s="222" t="s">
        <v>122</v>
      </c>
      <c r="I16" s="222" t="s">
        <v>115</v>
      </c>
      <c r="J16" s="222" t="s">
        <v>13</v>
      </c>
      <c r="K16" s="222" t="s">
        <v>114</v>
      </c>
      <c r="L16" s="222" t="s">
        <v>113</v>
      </c>
      <c r="M16" s="222" t="s">
        <v>112</v>
      </c>
      <c r="N16" s="222" t="s">
        <v>111</v>
      </c>
      <c r="O16" s="224">
        <v>45002</v>
      </c>
    </row>
    <row r="17" spans="1:15" s="222" customFormat="1" ht="15" outlineLevel="3">
      <c r="A17" s="222" t="s">
        <v>110</v>
      </c>
      <c r="B17" s="222" t="s">
        <v>121</v>
      </c>
      <c r="C17" s="222" t="s">
        <v>120</v>
      </c>
      <c r="D17" s="223">
        <v>7973</v>
      </c>
      <c r="E17" s="222" t="s">
        <v>125</v>
      </c>
      <c r="F17" s="222" t="s">
        <v>124</v>
      </c>
      <c r="G17" s="222" t="s">
        <v>123</v>
      </c>
      <c r="H17" s="222" t="s">
        <v>122</v>
      </c>
      <c r="I17" s="222" t="s">
        <v>115</v>
      </c>
      <c r="J17" s="222" t="s">
        <v>13</v>
      </c>
      <c r="K17" s="222" t="s">
        <v>114</v>
      </c>
      <c r="L17" s="222" t="s">
        <v>113</v>
      </c>
      <c r="M17" s="222" t="s">
        <v>112</v>
      </c>
      <c r="N17" s="222" t="s">
        <v>111</v>
      </c>
      <c r="O17" s="224">
        <v>45008</v>
      </c>
    </row>
    <row r="18" spans="1:15" s="222" customFormat="1" ht="15" outlineLevel="2">
      <c r="A18" s="220" t="s">
        <v>110</v>
      </c>
      <c r="B18" s="220" t="s">
        <v>17</v>
      </c>
      <c r="C18" s="220" t="s">
        <v>17</v>
      </c>
      <c r="D18" s="225">
        <v>82957</v>
      </c>
      <c r="E18" s="220" t="s">
        <v>17</v>
      </c>
      <c r="F18" s="220" t="s">
        <v>17</v>
      </c>
      <c r="G18" s="220" t="s">
        <v>17</v>
      </c>
      <c r="H18" s="220" t="s">
        <v>122</v>
      </c>
      <c r="I18" s="220" t="s">
        <v>17</v>
      </c>
      <c r="J18" s="220" t="s">
        <v>17</v>
      </c>
      <c r="K18" s="220" t="s">
        <v>17</v>
      </c>
      <c r="L18" s="220" t="s">
        <v>17</v>
      </c>
      <c r="M18" s="220" t="s">
        <v>17</v>
      </c>
      <c r="N18" s="220" t="s">
        <v>17</v>
      </c>
      <c r="O18" s="226"/>
    </row>
    <row r="19" spans="1:15" s="222" customFormat="1" ht="15" outlineLevel="3">
      <c r="A19" s="222" t="s">
        <v>110</v>
      </c>
      <c r="B19" s="222" t="s">
        <v>121</v>
      </c>
      <c r="C19" s="222" t="s">
        <v>120</v>
      </c>
      <c r="D19" s="223">
        <v>4500</v>
      </c>
      <c r="E19" s="222" t="s">
        <v>119</v>
      </c>
      <c r="F19" s="222" t="s">
        <v>118</v>
      </c>
      <c r="G19" s="222" t="s">
        <v>117</v>
      </c>
      <c r="H19" s="222" t="s">
        <v>116</v>
      </c>
      <c r="I19" s="222" t="s">
        <v>115</v>
      </c>
      <c r="J19" s="222" t="s">
        <v>13</v>
      </c>
      <c r="K19" s="222" t="s">
        <v>114</v>
      </c>
      <c r="L19" s="222" t="s">
        <v>113</v>
      </c>
      <c r="M19" s="222" t="s">
        <v>112</v>
      </c>
      <c r="N19" s="222" t="s">
        <v>111</v>
      </c>
      <c r="O19" s="224">
        <v>45049</v>
      </c>
    </row>
    <row r="20" spans="1:15" s="222" customFormat="1" ht="15" outlineLevel="2">
      <c r="A20" s="220" t="s">
        <v>110</v>
      </c>
      <c r="B20" s="220" t="s">
        <v>17</v>
      </c>
      <c r="C20" s="220" t="s">
        <v>17</v>
      </c>
      <c r="D20" s="225">
        <v>4500</v>
      </c>
      <c r="E20" s="220" t="s">
        <v>17</v>
      </c>
      <c r="F20" s="220" t="s">
        <v>17</v>
      </c>
      <c r="G20" s="220" t="s">
        <v>17</v>
      </c>
      <c r="H20" s="220" t="s">
        <v>116</v>
      </c>
      <c r="I20" s="220" t="s">
        <v>17</v>
      </c>
      <c r="J20" s="220" t="s">
        <v>17</v>
      </c>
      <c r="K20" s="220" t="s">
        <v>17</v>
      </c>
      <c r="L20" s="220" t="s">
        <v>17</v>
      </c>
      <c r="M20" s="220" t="s">
        <v>17</v>
      </c>
      <c r="N20" s="220" t="s">
        <v>17</v>
      </c>
      <c r="O20" s="226"/>
    </row>
    <row r="21" spans="1:15" s="222" customFormat="1" ht="15" outlineLevel="1">
      <c r="A21" s="220" t="s">
        <v>110</v>
      </c>
      <c r="B21" s="220" t="s">
        <v>17</v>
      </c>
      <c r="C21" s="220" t="s">
        <v>17</v>
      </c>
      <c r="D21" s="225">
        <v>87457</v>
      </c>
      <c r="E21" s="220" t="s">
        <v>17</v>
      </c>
      <c r="F21" s="220" t="s">
        <v>17</v>
      </c>
      <c r="G21" s="220" t="s">
        <v>17</v>
      </c>
      <c r="H21" s="220" t="s">
        <v>17</v>
      </c>
      <c r="I21" s="220" t="s">
        <v>17</v>
      </c>
      <c r="J21" s="220" t="s">
        <v>17</v>
      </c>
      <c r="K21" s="220" t="s">
        <v>17</v>
      </c>
      <c r="L21" s="220" t="s">
        <v>17</v>
      </c>
      <c r="M21" s="220" t="s">
        <v>17</v>
      </c>
      <c r="N21" s="220" t="s">
        <v>17</v>
      </c>
      <c r="O21" s="226"/>
    </row>
    <row r="22" spans="1:15" s="222" customFormat="1" ht="15">
      <c r="A22" s="220" t="s">
        <v>17</v>
      </c>
      <c r="B22" s="220" t="s">
        <v>17</v>
      </c>
      <c r="C22" s="220" t="s">
        <v>17</v>
      </c>
      <c r="D22" s="227">
        <v>280331</v>
      </c>
      <c r="E22" s="220" t="s">
        <v>17</v>
      </c>
      <c r="F22" s="220" t="s">
        <v>17</v>
      </c>
      <c r="G22" s="220" t="s">
        <v>17</v>
      </c>
      <c r="H22" s="220" t="s">
        <v>17</v>
      </c>
      <c r="I22" s="220" t="s">
        <v>17</v>
      </c>
      <c r="J22" s="220" t="s">
        <v>17</v>
      </c>
      <c r="K22" s="220" t="s">
        <v>17</v>
      </c>
      <c r="L22" s="220" t="s">
        <v>17</v>
      </c>
      <c r="M22" s="220" t="s">
        <v>17</v>
      </c>
      <c r="N22" s="220" t="s">
        <v>17</v>
      </c>
      <c r="O22" s="226"/>
    </row>
  </sheetData>
  <pageMargins left="0.75" right="0.75" top="1" bottom="1" header="0.5" footer="0.5"/>
  <headerFooter alignWithMargins="0"/>
  <customProperties>
    <customPr name="_pios_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pane ySplit="4" topLeftCell="A5" activePane="bottomLeft" state="frozen"/>
      <selection pane="bottomLeft" activeCell="T29" sqref="T29"/>
    </sheetView>
  </sheetViews>
  <sheetFormatPr defaultRowHeight="15"/>
  <cols>
    <col min="1" max="1" width="4.7109375" style="132" bestFit="1" customWidth="1"/>
    <col min="2" max="2" width="30" style="132" bestFit="1" customWidth="1"/>
    <col min="3" max="3" width="20.85546875" style="132" bestFit="1" customWidth="1"/>
    <col min="4" max="4" width="9.140625" style="132"/>
    <col min="5" max="6" width="12.28515625" style="132" bestFit="1" customWidth="1"/>
    <col min="7" max="8" width="13.85546875" style="132" bestFit="1" customWidth="1"/>
    <col min="9" max="9" width="1.7109375" style="132" customWidth="1"/>
    <col min="10" max="10" width="12.28515625" style="132" bestFit="1" customWidth="1"/>
    <col min="11" max="11" width="10.85546875" style="132" bestFit="1" customWidth="1"/>
    <col min="12" max="13" width="12.28515625" style="132" bestFit="1" customWidth="1"/>
    <col min="14" max="14" width="1.7109375" style="132" customWidth="1"/>
    <col min="15" max="15" width="10" style="132" bestFit="1" customWidth="1"/>
    <col min="16" max="16" width="8.7109375" style="132" bestFit="1" customWidth="1"/>
    <col min="17" max="17" width="10" style="132" bestFit="1" customWidth="1"/>
    <col min="18" max="18" width="1.7109375" style="132" customWidth="1"/>
    <col min="19" max="19" width="9.140625" style="132"/>
    <col min="20" max="20" width="10.42578125" style="132" bestFit="1" customWidth="1"/>
    <col min="21" max="21" width="9.140625" style="132"/>
    <col min="22" max="22" width="22.28515625" style="132" bestFit="1" customWidth="1"/>
    <col min="23" max="16384" width="9.140625" style="132"/>
  </cols>
  <sheetData>
    <row r="1" spans="1:19" ht="15.75">
      <c r="A1" s="132" t="s">
        <v>150</v>
      </c>
      <c r="E1" s="133" t="s">
        <v>11</v>
      </c>
      <c r="F1" s="133" t="s">
        <v>11</v>
      </c>
      <c r="G1" s="133" t="s">
        <v>11</v>
      </c>
      <c r="H1" s="134"/>
      <c r="J1" s="133" t="s">
        <v>13</v>
      </c>
      <c r="K1" s="133" t="s">
        <v>13</v>
      </c>
      <c r="L1" s="133" t="s">
        <v>13</v>
      </c>
      <c r="M1" s="134"/>
    </row>
    <row r="2" spans="1:19" ht="15.75">
      <c r="A2" s="135">
        <f>ROW()</f>
        <v>2</v>
      </c>
      <c r="B2" s="136" t="s">
        <v>228</v>
      </c>
      <c r="C2" s="137" t="s">
        <v>231</v>
      </c>
      <c r="D2" s="138"/>
      <c r="E2" s="139">
        <f>'conversion factors '!$E$20</f>
        <v>0.95034799999999997</v>
      </c>
      <c r="F2" s="139">
        <f>'conversion factors '!$E$20</f>
        <v>0.95034799999999997</v>
      </c>
      <c r="G2" s="139">
        <f>'conversion factors '!$E$20</f>
        <v>0.95034799999999997</v>
      </c>
      <c r="H2" s="140"/>
      <c r="I2" s="139"/>
      <c r="J2" s="139">
        <f>'conversion factors '!$K$20</f>
        <v>0.95344399999999996</v>
      </c>
      <c r="K2" s="139">
        <f>'conversion factors '!$K$20</f>
        <v>0.95344399999999996</v>
      </c>
      <c r="L2" s="139">
        <f>'conversion factors '!$K$20</f>
        <v>0.95344399999999996</v>
      </c>
      <c r="M2" s="140"/>
      <c r="N2" s="138"/>
      <c r="O2" s="138"/>
      <c r="P2" s="138"/>
      <c r="Q2" s="138"/>
      <c r="R2" s="138"/>
      <c r="S2" s="138"/>
    </row>
    <row r="3" spans="1:19" ht="15.75">
      <c r="A3" s="135">
        <f>ROW()</f>
        <v>3</v>
      </c>
      <c r="B3" s="136" t="str">
        <f>"JAN - JUN "&amp;TEXT('Int Rt Reg Fee Jan'!F26,"0.00%")&amp;" / 12"</f>
        <v>JAN - JUN 2.63% / 12</v>
      </c>
      <c r="C3" s="141">
        <f>'Int Rt Reg Fee Jan'!F26/12</f>
        <v>2.1916666666666664E-3</v>
      </c>
      <c r="D3" s="138"/>
      <c r="E3" s="142" t="s">
        <v>15</v>
      </c>
      <c r="F3" s="142" t="s">
        <v>14</v>
      </c>
      <c r="G3" s="142"/>
      <c r="H3" s="143" t="s">
        <v>36</v>
      </c>
      <c r="I3" s="139"/>
      <c r="J3" s="142" t="s">
        <v>15</v>
      </c>
      <c r="K3" s="142" t="s">
        <v>14</v>
      </c>
      <c r="L3" s="142"/>
      <c r="M3" s="143" t="s">
        <v>36</v>
      </c>
      <c r="N3" s="138"/>
      <c r="O3" s="142" t="s">
        <v>36</v>
      </c>
      <c r="P3" s="142" t="s">
        <v>36</v>
      </c>
      <c r="Q3" s="142" t="s">
        <v>36</v>
      </c>
      <c r="R3" s="138"/>
      <c r="S3" s="138"/>
    </row>
    <row r="4" spans="1:19" ht="15.75">
      <c r="A4" s="135">
        <f>ROW()</f>
        <v>4</v>
      </c>
      <c r="B4" s="136" t="str">
        <f>"JUL - DEC "&amp;TEXT('Int Rt Reg Fee Jun'!F26,"0.00%")&amp;" / 12"</f>
        <v>JUL - DEC 2.63% / 12</v>
      </c>
      <c r="C4" s="141">
        <f>'Int Rt Reg Fee Jun'!F26/12</f>
        <v>2.1916666666666664E-3</v>
      </c>
      <c r="D4" s="138" t="s">
        <v>200</v>
      </c>
      <c r="E4" s="142" t="s">
        <v>229</v>
      </c>
      <c r="F4" s="142" t="s">
        <v>229</v>
      </c>
      <c r="G4" s="142" t="s">
        <v>154</v>
      </c>
      <c r="H4" s="143" t="s">
        <v>11</v>
      </c>
      <c r="I4" s="139"/>
      <c r="J4" s="142" t="s">
        <v>229</v>
      </c>
      <c r="K4" s="142" t="s">
        <v>229</v>
      </c>
      <c r="L4" s="142" t="s">
        <v>154</v>
      </c>
      <c r="M4" s="143" t="s">
        <v>13</v>
      </c>
      <c r="N4" s="138"/>
      <c r="O4" s="142" t="s">
        <v>156</v>
      </c>
      <c r="P4" s="142" t="s">
        <v>153</v>
      </c>
      <c r="Q4" s="142" t="s">
        <v>36</v>
      </c>
      <c r="R4" s="138"/>
      <c r="S4" s="142" t="s">
        <v>97</v>
      </c>
    </row>
    <row r="5" spans="1:19" ht="15.75">
      <c r="A5" s="132">
        <f>ROW()</f>
        <v>5</v>
      </c>
      <c r="B5" s="144" t="s">
        <v>156</v>
      </c>
      <c r="D5" s="145">
        <v>44986</v>
      </c>
      <c r="E5" s="146">
        <f>'Summary all pmts'!I18</f>
        <v>32316</v>
      </c>
      <c r="F5" s="146">
        <f>'Summary all pmts'!I19</f>
        <v>42027</v>
      </c>
      <c r="G5" s="146">
        <f>'Summary all pmts'!I5+'Summary all pmts'!F8</f>
        <v>43031</v>
      </c>
      <c r="H5" s="147">
        <f t="shared" ref="H5:H15" si="0">SUM(E5:G5)</f>
        <v>117374</v>
      </c>
      <c r="I5" s="146"/>
      <c r="J5" s="146">
        <f>'Summary all pmts'!I22</f>
        <v>17684</v>
      </c>
      <c r="K5" s="146">
        <f>'Summary all pmts'!I23</f>
        <v>7973</v>
      </c>
      <c r="L5" s="146">
        <f>SUM('Summary all pmts'!C24:G24)</f>
        <v>57300</v>
      </c>
      <c r="M5" s="147">
        <f t="shared" ref="M5:M15" si="1">SUM(J5:L5)</f>
        <v>82957</v>
      </c>
      <c r="N5" s="146"/>
      <c r="O5" s="148">
        <f>SUM(H5,M5)</f>
        <v>200331</v>
      </c>
      <c r="Q5" s="148">
        <f>SUM(O5:P5)</f>
        <v>200331</v>
      </c>
      <c r="R5" s="146"/>
      <c r="S5" s="150">
        <f>SUM(E5:G5,J5:L5)-Q5</f>
        <v>0</v>
      </c>
    </row>
    <row r="6" spans="1:19" ht="15.75">
      <c r="A6" s="132">
        <f>ROW()</f>
        <v>6</v>
      </c>
      <c r="B6" s="151"/>
      <c r="C6" s="151" t="s">
        <v>153</v>
      </c>
      <c r="D6" s="152">
        <v>44986</v>
      </c>
      <c r="E6" s="153">
        <f>E$5*$C$3/2</f>
        <v>35.412949999999995</v>
      </c>
      <c r="F6" s="153">
        <f t="shared" ref="F6:G6" si="2">F$5*$C$3/2</f>
        <v>46.054587499999997</v>
      </c>
      <c r="G6" s="153">
        <f t="shared" si="2"/>
        <v>47.154804166666658</v>
      </c>
      <c r="H6" s="154">
        <f t="shared" ref="H6" si="3">SUM(E6:G6)</f>
        <v>128.62234166666664</v>
      </c>
      <c r="J6" s="153">
        <f>J$5*$C$3/2</f>
        <v>19.378716666666666</v>
      </c>
      <c r="K6" s="153">
        <f t="shared" ref="K6:L6" si="4">K$5*$C$3/2</f>
        <v>8.7370791666666658</v>
      </c>
      <c r="L6" s="153">
        <f t="shared" si="4"/>
        <v>62.791249999999991</v>
      </c>
      <c r="M6" s="154">
        <f t="shared" ref="M6" si="5">SUM(J6:L6)</f>
        <v>90.907045833333314</v>
      </c>
      <c r="P6" s="155">
        <f t="shared" ref="P6" si="6">SUM(H6,M6)</f>
        <v>219.52938749999996</v>
      </c>
      <c r="Q6" s="155">
        <f t="shared" ref="Q6" si="7">SUM(O6:P6)</f>
        <v>219.52938749999996</v>
      </c>
      <c r="S6" s="150">
        <f t="shared" ref="S6" si="8">SUM(E6:G6,J6:L6)-Q6</f>
        <v>0</v>
      </c>
    </row>
    <row r="7" spans="1:19" ht="15.75">
      <c r="A7" s="132">
        <f>ROW()</f>
        <v>7</v>
      </c>
      <c r="C7" s="151" t="s">
        <v>153</v>
      </c>
      <c r="D7" s="152">
        <v>45017</v>
      </c>
      <c r="E7" s="153">
        <f>E$5*$C$3/2+E$5*$C$3</f>
        <v>106.23884999999999</v>
      </c>
      <c r="F7" s="153">
        <f t="shared" ref="F7:G9" si="9">F$5*$C$3/2+F$5*$C$3</f>
        <v>138.16376249999999</v>
      </c>
      <c r="G7" s="153">
        <f t="shared" si="9"/>
        <v>141.46441249999998</v>
      </c>
      <c r="H7" s="154">
        <f t="shared" si="0"/>
        <v>385.86702499999996</v>
      </c>
      <c r="J7" s="153">
        <f>J$5*$C$3/2+J$5*$C$3</f>
        <v>58.136150000000001</v>
      </c>
      <c r="K7" s="153">
        <f t="shared" ref="K7:L9" si="10">K$5*$C$3/2+K$5*$C$3</f>
        <v>26.211237499999996</v>
      </c>
      <c r="L7" s="153">
        <f t="shared" si="10"/>
        <v>188.37374999999997</v>
      </c>
      <c r="M7" s="154">
        <f t="shared" si="1"/>
        <v>272.72113749999994</v>
      </c>
      <c r="P7" s="155">
        <f t="shared" ref="P7:P15" si="11">SUM(H7,M7)</f>
        <v>658.58816249999995</v>
      </c>
      <c r="Q7" s="155">
        <f t="shared" ref="Q7:Q25" si="12">SUM(O7:P7)</f>
        <v>658.58816249999995</v>
      </c>
      <c r="S7" s="150">
        <f t="shared" ref="S7:S26" si="13">SUM(E7:G7,J7:L7)-Q7</f>
        <v>0</v>
      </c>
    </row>
    <row r="8" spans="1:19" ht="15.75">
      <c r="A8" s="132">
        <f>ROW()</f>
        <v>8</v>
      </c>
      <c r="C8" s="151" t="s">
        <v>153</v>
      </c>
      <c r="D8" s="152">
        <v>45047</v>
      </c>
      <c r="E8" s="153">
        <f t="shared" ref="E8:E9" si="14">E$5*$C$3/2+E$5*$C$3</f>
        <v>106.23884999999999</v>
      </c>
      <c r="F8" s="153">
        <f t="shared" si="9"/>
        <v>138.16376249999999</v>
      </c>
      <c r="G8" s="153">
        <f t="shared" si="9"/>
        <v>141.46441249999998</v>
      </c>
      <c r="H8" s="154">
        <f t="shared" si="0"/>
        <v>385.86702499999996</v>
      </c>
      <c r="J8" s="153">
        <f t="shared" ref="J8:J9" si="15">J$5*$C$3/2+J$5*$C$3</f>
        <v>58.136150000000001</v>
      </c>
      <c r="K8" s="153">
        <f t="shared" si="10"/>
        <v>26.211237499999996</v>
      </c>
      <c r="L8" s="153">
        <f t="shared" si="10"/>
        <v>188.37374999999997</v>
      </c>
      <c r="M8" s="154">
        <f t="shared" si="1"/>
        <v>272.72113749999994</v>
      </c>
      <c r="P8" s="155">
        <f t="shared" si="11"/>
        <v>658.58816249999995</v>
      </c>
      <c r="Q8" s="155">
        <f t="shared" si="12"/>
        <v>658.58816249999995</v>
      </c>
      <c r="S8" s="150">
        <f t="shared" si="13"/>
        <v>0</v>
      </c>
    </row>
    <row r="9" spans="1:19" ht="15.75">
      <c r="A9" s="132">
        <f>ROW()</f>
        <v>9</v>
      </c>
      <c r="C9" s="151" t="s">
        <v>153</v>
      </c>
      <c r="D9" s="152">
        <v>45078</v>
      </c>
      <c r="E9" s="153">
        <f t="shared" si="14"/>
        <v>106.23884999999999</v>
      </c>
      <c r="F9" s="153">
        <f t="shared" si="9"/>
        <v>138.16376249999999</v>
      </c>
      <c r="G9" s="153">
        <f t="shared" si="9"/>
        <v>141.46441249999998</v>
      </c>
      <c r="H9" s="154">
        <f t="shared" si="0"/>
        <v>385.86702499999996</v>
      </c>
      <c r="J9" s="153">
        <f t="shared" si="15"/>
        <v>58.136150000000001</v>
      </c>
      <c r="K9" s="153">
        <f t="shared" si="10"/>
        <v>26.211237499999996</v>
      </c>
      <c r="L9" s="153">
        <f t="shared" si="10"/>
        <v>188.37374999999997</v>
      </c>
      <c r="M9" s="154">
        <f t="shared" si="1"/>
        <v>272.72113749999994</v>
      </c>
      <c r="P9" s="155">
        <f t="shared" si="11"/>
        <v>658.58816249999995</v>
      </c>
      <c r="Q9" s="155">
        <f t="shared" si="12"/>
        <v>658.58816249999995</v>
      </c>
      <c r="S9" s="150">
        <f t="shared" si="13"/>
        <v>0</v>
      </c>
    </row>
    <row r="10" spans="1:19" ht="15.75">
      <c r="A10" s="132">
        <f>ROW()</f>
        <v>10</v>
      </c>
      <c r="C10" s="151" t="s">
        <v>153</v>
      </c>
      <c r="D10" s="152">
        <v>45108</v>
      </c>
      <c r="E10" s="153">
        <f>E$5*$C$4/2+E$5*$C$3</f>
        <v>106.23884999999999</v>
      </c>
      <c r="F10" s="153">
        <f t="shared" ref="F10:G10" si="16">F$5*$C$4/2+F$5*$C$3</f>
        <v>138.16376249999999</v>
      </c>
      <c r="G10" s="153">
        <f t="shared" si="16"/>
        <v>141.46441249999998</v>
      </c>
      <c r="H10" s="154">
        <f t="shared" si="0"/>
        <v>385.86702499999996</v>
      </c>
      <c r="J10" s="153">
        <f>J$5*$C$4/2+J$5*$C$3</f>
        <v>58.136150000000001</v>
      </c>
      <c r="K10" s="153">
        <f t="shared" ref="K10:L10" si="17">K$5*$C$4/2+K$5*$C$3</f>
        <v>26.211237499999996</v>
      </c>
      <c r="L10" s="153">
        <f t="shared" si="17"/>
        <v>188.37374999999997</v>
      </c>
      <c r="M10" s="154">
        <f t="shared" si="1"/>
        <v>272.72113749999994</v>
      </c>
      <c r="P10" s="155">
        <f t="shared" si="11"/>
        <v>658.58816249999995</v>
      </c>
      <c r="Q10" s="155">
        <f t="shared" si="12"/>
        <v>658.58816249999995</v>
      </c>
      <c r="S10" s="150">
        <f t="shared" si="13"/>
        <v>0</v>
      </c>
    </row>
    <row r="11" spans="1:19" ht="15.75">
      <c r="A11" s="132">
        <f>ROW()</f>
        <v>11</v>
      </c>
      <c r="C11" s="151" t="s">
        <v>153</v>
      </c>
      <c r="D11" s="152">
        <v>45139</v>
      </c>
      <c r="E11" s="153">
        <f t="shared" ref="E11:G15" si="18">E$5*$C$4/2+E$5*$C$4</f>
        <v>106.23884999999999</v>
      </c>
      <c r="F11" s="153">
        <f t="shared" si="18"/>
        <v>138.16376249999999</v>
      </c>
      <c r="G11" s="153">
        <f t="shared" si="18"/>
        <v>141.46441249999998</v>
      </c>
      <c r="H11" s="154">
        <f t="shared" si="0"/>
        <v>385.86702499999996</v>
      </c>
      <c r="J11" s="153">
        <f t="shared" ref="J11:L15" si="19">J$5*$C$4/2+J$5*$C$4</f>
        <v>58.136150000000001</v>
      </c>
      <c r="K11" s="153">
        <f t="shared" si="19"/>
        <v>26.211237499999996</v>
      </c>
      <c r="L11" s="153">
        <f t="shared" si="19"/>
        <v>188.37374999999997</v>
      </c>
      <c r="M11" s="154">
        <f t="shared" si="1"/>
        <v>272.72113749999994</v>
      </c>
      <c r="P11" s="155">
        <f t="shared" si="11"/>
        <v>658.58816249999995</v>
      </c>
      <c r="Q11" s="155">
        <f t="shared" si="12"/>
        <v>658.58816249999995</v>
      </c>
      <c r="S11" s="150">
        <f t="shared" si="13"/>
        <v>0</v>
      </c>
    </row>
    <row r="12" spans="1:19" ht="15.75">
      <c r="A12" s="132">
        <f>ROW()</f>
        <v>12</v>
      </c>
      <c r="C12" s="151" t="s">
        <v>153</v>
      </c>
      <c r="D12" s="152">
        <v>45170</v>
      </c>
      <c r="E12" s="153">
        <f t="shared" si="18"/>
        <v>106.23884999999999</v>
      </c>
      <c r="F12" s="153">
        <f t="shared" si="18"/>
        <v>138.16376249999999</v>
      </c>
      <c r="G12" s="153">
        <f t="shared" si="18"/>
        <v>141.46441249999998</v>
      </c>
      <c r="H12" s="154">
        <f t="shared" si="0"/>
        <v>385.86702499999996</v>
      </c>
      <c r="J12" s="153">
        <f t="shared" si="19"/>
        <v>58.136150000000001</v>
      </c>
      <c r="K12" s="153">
        <f t="shared" si="19"/>
        <v>26.211237499999996</v>
      </c>
      <c r="L12" s="153">
        <f t="shared" si="19"/>
        <v>188.37374999999997</v>
      </c>
      <c r="M12" s="154">
        <f t="shared" si="1"/>
        <v>272.72113749999994</v>
      </c>
      <c r="P12" s="155">
        <f t="shared" si="11"/>
        <v>658.58816249999995</v>
      </c>
      <c r="Q12" s="155">
        <f t="shared" si="12"/>
        <v>658.58816249999995</v>
      </c>
      <c r="S12" s="150">
        <f t="shared" si="13"/>
        <v>0</v>
      </c>
    </row>
    <row r="13" spans="1:19" ht="15.75">
      <c r="A13" s="132">
        <f>ROW()</f>
        <v>13</v>
      </c>
      <c r="C13" s="151" t="s">
        <v>153</v>
      </c>
      <c r="D13" s="152">
        <v>45200</v>
      </c>
      <c r="E13" s="153">
        <f t="shared" si="18"/>
        <v>106.23884999999999</v>
      </c>
      <c r="F13" s="153">
        <f t="shared" si="18"/>
        <v>138.16376249999999</v>
      </c>
      <c r="G13" s="153">
        <f t="shared" si="18"/>
        <v>141.46441249999998</v>
      </c>
      <c r="H13" s="154">
        <f t="shared" si="0"/>
        <v>385.86702499999996</v>
      </c>
      <c r="J13" s="153">
        <f t="shared" si="19"/>
        <v>58.136150000000001</v>
      </c>
      <c r="K13" s="153">
        <f t="shared" si="19"/>
        <v>26.211237499999996</v>
      </c>
      <c r="L13" s="153">
        <f t="shared" si="19"/>
        <v>188.37374999999997</v>
      </c>
      <c r="M13" s="154">
        <f t="shared" si="1"/>
        <v>272.72113749999994</v>
      </c>
      <c r="P13" s="155">
        <f t="shared" si="11"/>
        <v>658.58816249999995</v>
      </c>
      <c r="Q13" s="155">
        <f t="shared" si="12"/>
        <v>658.58816249999995</v>
      </c>
      <c r="S13" s="150">
        <f t="shared" si="13"/>
        <v>0</v>
      </c>
    </row>
    <row r="14" spans="1:19" ht="15.75">
      <c r="A14" s="132">
        <f>ROW()</f>
        <v>14</v>
      </c>
      <c r="C14" s="151" t="s">
        <v>153</v>
      </c>
      <c r="D14" s="152">
        <v>45231</v>
      </c>
      <c r="E14" s="153">
        <f t="shared" si="18"/>
        <v>106.23884999999999</v>
      </c>
      <c r="F14" s="153">
        <f t="shared" si="18"/>
        <v>138.16376249999999</v>
      </c>
      <c r="G14" s="153">
        <f t="shared" si="18"/>
        <v>141.46441249999998</v>
      </c>
      <c r="H14" s="154">
        <f t="shared" si="0"/>
        <v>385.86702499999996</v>
      </c>
      <c r="J14" s="153">
        <f t="shared" si="19"/>
        <v>58.136150000000001</v>
      </c>
      <c r="K14" s="153">
        <f t="shared" si="19"/>
        <v>26.211237499999996</v>
      </c>
      <c r="L14" s="153">
        <f t="shared" si="19"/>
        <v>188.37374999999997</v>
      </c>
      <c r="M14" s="154">
        <f t="shared" si="1"/>
        <v>272.72113749999994</v>
      </c>
      <c r="P14" s="155">
        <f t="shared" si="11"/>
        <v>658.58816249999995</v>
      </c>
      <c r="Q14" s="155">
        <f t="shared" si="12"/>
        <v>658.58816249999995</v>
      </c>
      <c r="S14" s="150">
        <f t="shared" si="13"/>
        <v>0</v>
      </c>
    </row>
    <row r="15" spans="1:19" ht="15.75">
      <c r="A15" s="132">
        <f>ROW()</f>
        <v>15</v>
      </c>
      <c r="C15" s="151" t="s">
        <v>153</v>
      </c>
      <c r="D15" s="152">
        <v>45261</v>
      </c>
      <c r="E15" s="153">
        <f t="shared" si="18"/>
        <v>106.23884999999999</v>
      </c>
      <c r="F15" s="153">
        <f t="shared" si="18"/>
        <v>138.16376249999999</v>
      </c>
      <c r="G15" s="153">
        <f t="shared" si="18"/>
        <v>141.46441249999998</v>
      </c>
      <c r="H15" s="154">
        <f t="shared" si="0"/>
        <v>385.86702499999996</v>
      </c>
      <c r="J15" s="153">
        <f t="shared" si="19"/>
        <v>58.136150000000001</v>
      </c>
      <c r="K15" s="153">
        <f t="shared" si="19"/>
        <v>26.211237499999996</v>
      </c>
      <c r="L15" s="153">
        <f t="shared" si="19"/>
        <v>188.37374999999997</v>
      </c>
      <c r="M15" s="154">
        <f t="shared" si="1"/>
        <v>272.72113749999994</v>
      </c>
      <c r="P15" s="155">
        <f t="shared" si="11"/>
        <v>658.58816249999995</v>
      </c>
      <c r="Q15" s="155">
        <f t="shared" si="12"/>
        <v>658.58816249999995</v>
      </c>
      <c r="S15" s="150">
        <f t="shared" si="13"/>
        <v>0</v>
      </c>
    </row>
    <row r="16" spans="1:19" ht="15.75">
      <c r="A16" s="132">
        <f>ROW()</f>
        <v>16</v>
      </c>
      <c r="H16" s="134"/>
      <c r="M16" s="134"/>
      <c r="Q16" s="155"/>
    </row>
    <row r="17" spans="1:19" ht="15.75">
      <c r="A17" s="132">
        <f>ROW()</f>
        <v>17</v>
      </c>
      <c r="B17" s="144" t="s">
        <v>155</v>
      </c>
      <c r="D17" s="145">
        <v>45047</v>
      </c>
      <c r="E17" s="156"/>
      <c r="F17" s="156"/>
      <c r="G17" s="146">
        <f>'Summary all pmts'!H8</f>
        <v>10500</v>
      </c>
      <c r="H17" s="147">
        <f t="shared" ref="H17:H26" si="20">SUM(E17:G17)</f>
        <v>10500</v>
      </c>
      <c r="I17" s="156"/>
      <c r="J17" s="156"/>
      <c r="K17" s="156"/>
      <c r="L17" s="146">
        <f>'Summary all pmts'!H24</f>
        <v>4500</v>
      </c>
      <c r="M17" s="147">
        <f t="shared" ref="M17:M26" si="21">SUM(J17:L17)</f>
        <v>4500</v>
      </c>
      <c r="N17" s="156"/>
      <c r="O17" s="148">
        <f>SUM(H17,M17)</f>
        <v>15000</v>
      </c>
      <c r="Q17" s="172">
        <f t="shared" si="12"/>
        <v>15000</v>
      </c>
      <c r="R17" s="156"/>
      <c r="S17" s="150">
        <f t="shared" si="13"/>
        <v>0</v>
      </c>
    </row>
    <row r="18" spans="1:19" ht="15.75">
      <c r="A18" s="132">
        <f>ROW()</f>
        <v>18</v>
      </c>
      <c r="C18" s="151" t="s">
        <v>153</v>
      </c>
      <c r="D18" s="152">
        <v>45047</v>
      </c>
      <c r="E18" s="153">
        <f>E$17*$C$3/2</f>
        <v>0</v>
      </c>
      <c r="F18" s="153">
        <f>F$17*$C$3/2</f>
        <v>0</v>
      </c>
      <c r="G18" s="153">
        <f>G$17*$C$3/2</f>
        <v>11.506249999999998</v>
      </c>
      <c r="H18" s="154">
        <f t="shared" ref="H18" si="22">SUM(E18:G18)</f>
        <v>11.506249999999998</v>
      </c>
      <c r="J18" s="153">
        <f>J$17*$C$3/2</f>
        <v>0</v>
      </c>
      <c r="K18" s="153">
        <f>K$17*$C$3/2</f>
        <v>0</v>
      </c>
      <c r="L18" s="153">
        <f>L$17*$C$3/2</f>
        <v>4.9312499999999995</v>
      </c>
      <c r="M18" s="154">
        <f t="shared" ref="M18" si="23">SUM(J18:L18)</f>
        <v>4.9312499999999995</v>
      </c>
      <c r="P18" s="155">
        <f t="shared" ref="P18" si="24">SUM(H18,M18)</f>
        <v>16.437499999999996</v>
      </c>
      <c r="Q18" s="155">
        <f t="shared" ref="Q18" si="25">SUM(O18:P18)</f>
        <v>16.437499999999996</v>
      </c>
      <c r="S18" s="150">
        <f t="shared" si="13"/>
        <v>0</v>
      </c>
    </row>
    <row r="19" spans="1:19" ht="15.75">
      <c r="A19" s="132">
        <f>ROW()</f>
        <v>19</v>
      </c>
      <c r="C19" s="151" t="s">
        <v>153</v>
      </c>
      <c r="D19" s="152">
        <v>45078</v>
      </c>
      <c r="E19" s="153">
        <f>E$17*$C$3/2+E$17*$C$3</f>
        <v>0</v>
      </c>
      <c r="F19" s="153">
        <f t="shared" ref="F19:G19" si="26">F$17*$C$3/2+F$17*$C$3</f>
        <v>0</v>
      </c>
      <c r="G19" s="153">
        <f t="shared" si="26"/>
        <v>34.518749999999997</v>
      </c>
      <c r="H19" s="154">
        <f t="shared" si="20"/>
        <v>34.518749999999997</v>
      </c>
      <c r="J19" s="153">
        <f>J$17*$C$3/2+J$17*$C$3</f>
        <v>0</v>
      </c>
      <c r="K19" s="153">
        <f t="shared" ref="K19:L19" si="27">K$17*$C$3/2+K$17*$C$3</f>
        <v>0</v>
      </c>
      <c r="L19" s="153">
        <f t="shared" si="27"/>
        <v>14.793749999999999</v>
      </c>
      <c r="M19" s="154">
        <f t="shared" si="21"/>
        <v>14.793749999999999</v>
      </c>
      <c r="P19" s="155">
        <f t="shared" ref="P19:P25" si="28">SUM(H19,M19)</f>
        <v>49.3125</v>
      </c>
      <c r="Q19" s="155">
        <f t="shared" si="12"/>
        <v>49.3125</v>
      </c>
      <c r="S19" s="150">
        <f t="shared" si="13"/>
        <v>0</v>
      </c>
    </row>
    <row r="20" spans="1:19" ht="15.75">
      <c r="A20" s="132">
        <f>ROW()</f>
        <v>20</v>
      </c>
      <c r="C20" s="151" t="s">
        <v>153</v>
      </c>
      <c r="D20" s="152">
        <v>45108</v>
      </c>
      <c r="E20" s="153">
        <f>E$17*$C$4/2+E$17*$C$3</f>
        <v>0</v>
      </c>
      <c r="F20" s="153">
        <f t="shared" ref="F20:G20" si="29">F$17*$C$4/2+F$17*$C$3</f>
        <v>0</v>
      </c>
      <c r="G20" s="153">
        <f t="shared" si="29"/>
        <v>34.518749999999997</v>
      </c>
      <c r="H20" s="154">
        <f t="shared" si="20"/>
        <v>34.518749999999997</v>
      </c>
      <c r="J20" s="153">
        <f>J$17*$C$4/2+J$17*$C$3</f>
        <v>0</v>
      </c>
      <c r="K20" s="153">
        <f t="shared" ref="K20:L20" si="30">K$17*$C$4/2+K$17*$C$3</f>
        <v>0</v>
      </c>
      <c r="L20" s="153">
        <f t="shared" si="30"/>
        <v>14.793749999999999</v>
      </c>
      <c r="M20" s="154">
        <f t="shared" si="21"/>
        <v>14.793749999999999</v>
      </c>
      <c r="P20" s="155">
        <f t="shared" si="28"/>
        <v>49.3125</v>
      </c>
      <c r="Q20" s="155">
        <f t="shared" si="12"/>
        <v>49.3125</v>
      </c>
      <c r="S20" s="150">
        <f t="shared" si="13"/>
        <v>0</v>
      </c>
    </row>
    <row r="21" spans="1:19" ht="15.75">
      <c r="A21" s="132">
        <f>ROW()</f>
        <v>21</v>
      </c>
      <c r="C21" s="151" t="s">
        <v>153</v>
      </c>
      <c r="D21" s="152">
        <v>45139</v>
      </c>
      <c r="E21" s="153">
        <f>E$17*$C$4/2+E$17*$C$4</f>
        <v>0</v>
      </c>
      <c r="F21" s="153">
        <f t="shared" ref="F21:G25" si="31">F$17*$C$4/2+F$17*$C$4</f>
        <v>0</v>
      </c>
      <c r="G21" s="153">
        <f t="shared" si="31"/>
        <v>34.518749999999997</v>
      </c>
      <c r="H21" s="154">
        <f t="shared" si="20"/>
        <v>34.518749999999997</v>
      </c>
      <c r="J21" s="153">
        <f>J$17*$C$4/2+J$17*$C$4</f>
        <v>0</v>
      </c>
      <c r="K21" s="153">
        <f t="shared" ref="K21:L25" si="32">K$17*$C$4/2+K$17*$C$4</f>
        <v>0</v>
      </c>
      <c r="L21" s="153">
        <f t="shared" si="32"/>
        <v>14.793749999999999</v>
      </c>
      <c r="M21" s="154">
        <f t="shared" si="21"/>
        <v>14.793749999999999</v>
      </c>
      <c r="P21" s="155">
        <f t="shared" si="28"/>
        <v>49.3125</v>
      </c>
      <c r="Q21" s="155">
        <f t="shared" si="12"/>
        <v>49.3125</v>
      </c>
      <c r="S21" s="150">
        <f t="shared" si="13"/>
        <v>0</v>
      </c>
    </row>
    <row r="22" spans="1:19" ht="15.75">
      <c r="A22" s="132">
        <f>ROW()</f>
        <v>22</v>
      </c>
      <c r="C22" s="151" t="s">
        <v>153</v>
      </c>
      <c r="D22" s="152">
        <v>45170</v>
      </c>
      <c r="E22" s="153">
        <f t="shared" ref="E22:E25" si="33">E$17*$C$4/2+E$17*$C$4</f>
        <v>0</v>
      </c>
      <c r="F22" s="153">
        <f t="shared" si="31"/>
        <v>0</v>
      </c>
      <c r="G22" s="153">
        <f t="shared" si="31"/>
        <v>34.518749999999997</v>
      </c>
      <c r="H22" s="154">
        <f t="shared" si="20"/>
        <v>34.518749999999997</v>
      </c>
      <c r="J22" s="153">
        <f t="shared" ref="J22:J25" si="34">J$17*$C$4/2+J$17*$C$4</f>
        <v>0</v>
      </c>
      <c r="K22" s="153">
        <f t="shared" si="32"/>
        <v>0</v>
      </c>
      <c r="L22" s="153">
        <f t="shared" si="32"/>
        <v>14.793749999999999</v>
      </c>
      <c r="M22" s="154">
        <f t="shared" si="21"/>
        <v>14.793749999999999</v>
      </c>
      <c r="P22" s="155">
        <f t="shared" si="28"/>
        <v>49.3125</v>
      </c>
      <c r="Q22" s="155">
        <f t="shared" si="12"/>
        <v>49.3125</v>
      </c>
      <c r="S22" s="150">
        <f t="shared" si="13"/>
        <v>0</v>
      </c>
    </row>
    <row r="23" spans="1:19" ht="15.75">
      <c r="A23" s="132">
        <f>ROW()</f>
        <v>23</v>
      </c>
      <c r="C23" s="151" t="s">
        <v>153</v>
      </c>
      <c r="D23" s="152">
        <v>45200</v>
      </c>
      <c r="E23" s="153">
        <f t="shared" si="33"/>
        <v>0</v>
      </c>
      <c r="F23" s="153">
        <f t="shared" si="31"/>
        <v>0</v>
      </c>
      <c r="G23" s="153">
        <f t="shared" si="31"/>
        <v>34.518749999999997</v>
      </c>
      <c r="H23" s="154">
        <f t="shared" si="20"/>
        <v>34.518749999999997</v>
      </c>
      <c r="J23" s="153">
        <f t="shared" si="34"/>
        <v>0</v>
      </c>
      <c r="K23" s="153">
        <f t="shared" si="32"/>
        <v>0</v>
      </c>
      <c r="L23" s="153">
        <f t="shared" si="32"/>
        <v>14.793749999999999</v>
      </c>
      <c r="M23" s="154">
        <f t="shared" si="21"/>
        <v>14.793749999999999</v>
      </c>
      <c r="P23" s="155">
        <f t="shared" si="28"/>
        <v>49.3125</v>
      </c>
      <c r="Q23" s="155">
        <f t="shared" si="12"/>
        <v>49.3125</v>
      </c>
      <c r="S23" s="150">
        <f t="shared" si="13"/>
        <v>0</v>
      </c>
    </row>
    <row r="24" spans="1:19" ht="15.75">
      <c r="A24" s="132">
        <f>ROW()</f>
        <v>24</v>
      </c>
      <c r="C24" s="151" t="s">
        <v>153</v>
      </c>
      <c r="D24" s="152">
        <v>45231</v>
      </c>
      <c r="E24" s="153">
        <f t="shared" si="33"/>
        <v>0</v>
      </c>
      <c r="F24" s="153">
        <f t="shared" si="31"/>
        <v>0</v>
      </c>
      <c r="G24" s="153">
        <f t="shared" si="31"/>
        <v>34.518749999999997</v>
      </c>
      <c r="H24" s="154">
        <f t="shared" si="20"/>
        <v>34.518749999999997</v>
      </c>
      <c r="J24" s="153">
        <f t="shared" si="34"/>
        <v>0</v>
      </c>
      <c r="K24" s="153">
        <f t="shared" si="32"/>
        <v>0</v>
      </c>
      <c r="L24" s="153">
        <f t="shared" si="32"/>
        <v>14.793749999999999</v>
      </c>
      <c r="M24" s="154">
        <f t="shared" si="21"/>
        <v>14.793749999999999</v>
      </c>
      <c r="P24" s="155">
        <f t="shared" si="28"/>
        <v>49.3125</v>
      </c>
      <c r="Q24" s="155">
        <f t="shared" si="12"/>
        <v>49.3125</v>
      </c>
      <c r="S24" s="150">
        <f t="shared" si="13"/>
        <v>0</v>
      </c>
    </row>
    <row r="25" spans="1:19" ht="15.75">
      <c r="A25" s="132">
        <f>ROW()</f>
        <v>25</v>
      </c>
      <c r="C25" s="157" t="s">
        <v>153</v>
      </c>
      <c r="D25" s="158">
        <v>45261</v>
      </c>
      <c r="E25" s="159">
        <f t="shared" si="33"/>
        <v>0</v>
      </c>
      <c r="F25" s="159">
        <f t="shared" si="31"/>
        <v>0</v>
      </c>
      <c r="G25" s="159">
        <f t="shared" si="31"/>
        <v>34.518749999999997</v>
      </c>
      <c r="H25" s="160">
        <f t="shared" si="20"/>
        <v>34.518749999999997</v>
      </c>
      <c r="J25" s="159">
        <f t="shared" si="34"/>
        <v>0</v>
      </c>
      <c r="K25" s="159">
        <f t="shared" si="32"/>
        <v>0</v>
      </c>
      <c r="L25" s="159">
        <f t="shared" si="32"/>
        <v>14.793749999999999</v>
      </c>
      <c r="M25" s="160">
        <f t="shared" si="21"/>
        <v>14.793749999999999</v>
      </c>
      <c r="O25" s="135"/>
      <c r="P25" s="155">
        <f t="shared" si="28"/>
        <v>49.3125</v>
      </c>
      <c r="Q25" s="155">
        <f t="shared" si="12"/>
        <v>49.3125</v>
      </c>
      <c r="S25" s="150">
        <f t="shared" si="13"/>
        <v>0</v>
      </c>
    </row>
    <row r="26" spans="1:19" ht="15.75">
      <c r="A26" s="132">
        <f>ROW()</f>
        <v>26</v>
      </c>
      <c r="C26" s="161" t="s">
        <v>197</v>
      </c>
      <c r="E26" s="148">
        <f>SUM(E5:E25)</f>
        <v>33307.562600000012</v>
      </c>
      <c r="F26" s="148">
        <f t="shared" ref="F26:G26" si="35">SUM(F5:F25)</f>
        <v>43316.528450000005</v>
      </c>
      <c r="G26" s="148">
        <f t="shared" si="35"/>
        <v>55104.472016666667</v>
      </c>
      <c r="H26" s="162">
        <f t="shared" si="20"/>
        <v>131728.56306666668</v>
      </c>
      <c r="J26" s="148">
        <f>SUM(J5:J25)</f>
        <v>18226.604066666652</v>
      </c>
      <c r="K26" s="148">
        <f t="shared" ref="K26" si="36">SUM(K5:K25)</f>
        <v>8217.6382166666644</v>
      </c>
      <c r="L26" s="148">
        <f t="shared" ref="L26" si="37">SUM(L5:L25)</f>
        <v>63666.642499999973</v>
      </c>
      <c r="M26" s="162">
        <f t="shared" si="21"/>
        <v>90110.884783333284</v>
      </c>
      <c r="O26" s="148">
        <f>SUM(O5:O25)</f>
        <v>215331</v>
      </c>
      <c r="P26" s="163">
        <f>SUM(P5:P25)</f>
        <v>6508.4478500000005</v>
      </c>
      <c r="Q26" s="163">
        <f>SUM(O26:P26)</f>
        <v>221839.44785</v>
      </c>
      <c r="S26" s="150">
        <f t="shared" si="13"/>
        <v>0</v>
      </c>
    </row>
    <row r="27" spans="1:19" ht="15.75">
      <c r="A27" s="132">
        <f>ROW()</f>
        <v>27</v>
      </c>
      <c r="H27" s="134"/>
      <c r="I27" s="156"/>
      <c r="M27" s="134"/>
      <c r="S27" s="150"/>
    </row>
    <row r="28" spans="1:19" ht="15.75">
      <c r="A28" s="132">
        <f>ROW()</f>
        <v>28</v>
      </c>
      <c r="H28" s="134"/>
      <c r="I28" s="156"/>
      <c r="M28" s="134"/>
    </row>
    <row r="29" spans="1:19" ht="15.75">
      <c r="A29" s="132">
        <f>ROW()</f>
        <v>29</v>
      </c>
      <c r="E29" s="164"/>
      <c r="F29" s="133" t="s">
        <v>11</v>
      </c>
      <c r="G29" s="133"/>
      <c r="H29" s="134"/>
      <c r="I29" s="156"/>
      <c r="J29" s="164"/>
      <c r="K29" s="133" t="s">
        <v>13</v>
      </c>
      <c r="L29" s="133"/>
      <c r="M29" s="165"/>
    </row>
    <row r="30" spans="1:19" ht="15.75">
      <c r="A30" s="132">
        <f>ROW()</f>
        <v>30</v>
      </c>
      <c r="E30" s="133" t="s">
        <v>15</v>
      </c>
      <c r="F30" s="133" t="s">
        <v>14</v>
      </c>
      <c r="G30" s="133" t="s">
        <v>154</v>
      </c>
      <c r="H30" s="134"/>
      <c r="I30" s="164"/>
      <c r="J30" s="133" t="s">
        <v>15</v>
      </c>
      <c r="K30" s="133" t="s">
        <v>14</v>
      </c>
      <c r="L30" s="133" t="s">
        <v>154</v>
      </c>
      <c r="M30" s="165"/>
    </row>
    <row r="31" spans="1:19" ht="15.75">
      <c r="A31" s="132">
        <f>ROW()</f>
        <v>31</v>
      </c>
      <c r="B31" s="144" t="s">
        <v>156</v>
      </c>
      <c r="D31" s="145">
        <v>45170</v>
      </c>
      <c r="E31" s="146">
        <f>CEIP_210795!D13</f>
        <v>8000</v>
      </c>
      <c r="F31" s="146"/>
      <c r="G31" s="146">
        <f>SUM(CEIP_210795!D20,CEIP_210795!D28)</f>
        <v>57000</v>
      </c>
      <c r="H31" s="147">
        <f t="shared" ref="H31:H36" si="38">SUM(E31:G31)</f>
        <v>65000</v>
      </c>
      <c r="I31" s="146"/>
      <c r="J31" s="146">
        <f>CEIP_210795!E13</f>
        <v>0</v>
      </c>
      <c r="K31" s="146"/>
      <c r="L31" s="146">
        <f>SUM(CEIP_210795!E20,CEIP_210795!E28)</f>
        <v>0</v>
      </c>
      <c r="M31" s="147">
        <f t="shared" ref="M31:M36" si="39">SUM(J31:L31)</f>
        <v>0</v>
      </c>
      <c r="N31" s="146"/>
      <c r="O31" s="148">
        <f>SUM(H31,M31)</f>
        <v>65000</v>
      </c>
      <c r="Q31" s="172">
        <f t="shared" ref="Q31:Q35" si="40">SUM(O31:P31)</f>
        <v>65000</v>
      </c>
      <c r="R31" s="146"/>
      <c r="S31" s="150">
        <f t="shared" ref="S31:S36" si="41">SUM(E31:G31,J31:L31)-Q31</f>
        <v>0</v>
      </c>
    </row>
    <row r="32" spans="1:19" ht="15.75">
      <c r="A32" s="132">
        <f>ROW()</f>
        <v>32</v>
      </c>
      <c r="C32" s="151" t="s">
        <v>153</v>
      </c>
      <c r="D32" s="152">
        <v>45170</v>
      </c>
      <c r="E32" s="153">
        <f>E$31*$C$4/2</f>
        <v>8.7666666666666657</v>
      </c>
      <c r="F32" s="153">
        <f>F$31*$C$4/2</f>
        <v>0</v>
      </c>
      <c r="G32" s="153">
        <f>G$31*$C$4/2</f>
        <v>62.462499999999991</v>
      </c>
      <c r="H32" s="154">
        <f t="shared" ref="H32" si="42">SUM(E32:G32)</f>
        <v>71.229166666666657</v>
      </c>
      <c r="I32" s="146"/>
      <c r="J32" s="153">
        <f>J$31*$C$4/2</f>
        <v>0</v>
      </c>
      <c r="K32" s="153">
        <f>K$31*$C$4/2</f>
        <v>0</v>
      </c>
      <c r="L32" s="153">
        <f>L$31*$C$4/2</f>
        <v>0</v>
      </c>
      <c r="M32" s="154">
        <f t="shared" ref="M32" si="43">SUM(J32:L32)</f>
        <v>0</v>
      </c>
      <c r="P32" s="155">
        <f t="shared" ref="P32" si="44">SUM(H32,M32)</f>
        <v>71.229166666666657</v>
      </c>
      <c r="Q32" s="155">
        <f t="shared" ref="Q32" si="45">SUM(O32:P32)</f>
        <v>71.229166666666657</v>
      </c>
      <c r="S32" s="150">
        <f t="shared" si="41"/>
        <v>0</v>
      </c>
    </row>
    <row r="33" spans="1:21" ht="15.75">
      <c r="A33" s="132">
        <f>ROW()</f>
        <v>33</v>
      </c>
      <c r="C33" s="151" t="s">
        <v>153</v>
      </c>
      <c r="D33" s="152">
        <v>45200</v>
      </c>
      <c r="E33" s="153">
        <f>E$31*$C$4/2+E$31*$C$4</f>
        <v>26.299999999999997</v>
      </c>
      <c r="F33" s="153">
        <f t="shared" ref="F33:G35" si="46">F$31*$C$4/2+F$31*$C$4</f>
        <v>0</v>
      </c>
      <c r="G33" s="153">
        <f t="shared" si="46"/>
        <v>187.38749999999999</v>
      </c>
      <c r="H33" s="154">
        <f t="shared" si="38"/>
        <v>213.6875</v>
      </c>
      <c r="I33" s="146"/>
      <c r="J33" s="153">
        <f>J$31*$C$4/2+J$31*$C$4</f>
        <v>0</v>
      </c>
      <c r="K33" s="153">
        <f t="shared" ref="K33:L35" si="47">K$31*$C$4/2+K$31*$C$4</f>
        <v>0</v>
      </c>
      <c r="L33" s="153">
        <f t="shared" si="47"/>
        <v>0</v>
      </c>
      <c r="M33" s="154">
        <f t="shared" si="39"/>
        <v>0</v>
      </c>
      <c r="P33" s="155">
        <f t="shared" ref="P33:P35" si="48">SUM(H33,M33)</f>
        <v>213.6875</v>
      </c>
      <c r="Q33" s="155">
        <f t="shared" si="40"/>
        <v>213.6875</v>
      </c>
      <c r="S33" s="150">
        <f t="shared" si="41"/>
        <v>0</v>
      </c>
    </row>
    <row r="34" spans="1:21" ht="15.75">
      <c r="A34" s="132">
        <f>ROW()</f>
        <v>34</v>
      </c>
      <c r="C34" s="151" t="s">
        <v>153</v>
      </c>
      <c r="D34" s="152">
        <v>45231</v>
      </c>
      <c r="E34" s="153">
        <f t="shared" ref="E34:E35" si="49">E$31*$C$4/2+E$31*$C$4</f>
        <v>26.299999999999997</v>
      </c>
      <c r="F34" s="153">
        <f t="shared" si="46"/>
        <v>0</v>
      </c>
      <c r="G34" s="153">
        <f t="shared" si="46"/>
        <v>187.38749999999999</v>
      </c>
      <c r="H34" s="154">
        <f t="shared" si="38"/>
        <v>213.6875</v>
      </c>
      <c r="I34" s="146"/>
      <c r="J34" s="153">
        <f t="shared" ref="J34:J35" si="50">J$31*$C$4/2+J$31*$C$4</f>
        <v>0</v>
      </c>
      <c r="K34" s="153">
        <f t="shared" si="47"/>
        <v>0</v>
      </c>
      <c r="L34" s="153">
        <f t="shared" si="47"/>
        <v>0</v>
      </c>
      <c r="M34" s="154">
        <f t="shared" si="39"/>
        <v>0</v>
      </c>
      <c r="P34" s="155">
        <f t="shared" si="48"/>
        <v>213.6875</v>
      </c>
      <c r="Q34" s="155">
        <f t="shared" si="40"/>
        <v>213.6875</v>
      </c>
      <c r="S34" s="150">
        <f t="shared" si="41"/>
        <v>0</v>
      </c>
    </row>
    <row r="35" spans="1:21" ht="15.75">
      <c r="A35" s="132">
        <f>ROW()</f>
        <v>35</v>
      </c>
      <c r="C35" s="157" t="s">
        <v>153</v>
      </c>
      <c r="D35" s="158">
        <v>45261</v>
      </c>
      <c r="E35" s="159">
        <f t="shared" si="49"/>
        <v>26.299999999999997</v>
      </c>
      <c r="F35" s="159">
        <f t="shared" si="46"/>
        <v>0</v>
      </c>
      <c r="G35" s="159">
        <f t="shared" si="46"/>
        <v>187.38749999999999</v>
      </c>
      <c r="H35" s="160">
        <f t="shared" si="38"/>
        <v>213.6875</v>
      </c>
      <c r="I35" s="146"/>
      <c r="J35" s="159">
        <f t="shared" si="50"/>
        <v>0</v>
      </c>
      <c r="K35" s="159">
        <f t="shared" si="47"/>
        <v>0</v>
      </c>
      <c r="L35" s="159">
        <f t="shared" si="47"/>
        <v>0</v>
      </c>
      <c r="M35" s="160">
        <f t="shared" si="39"/>
        <v>0</v>
      </c>
      <c r="O35" s="135"/>
      <c r="P35" s="155">
        <f t="shared" si="48"/>
        <v>213.6875</v>
      </c>
      <c r="Q35" s="155">
        <f t="shared" si="40"/>
        <v>213.6875</v>
      </c>
      <c r="S35" s="150">
        <f t="shared" si="41"/>
        <v>0</v>
      </c>
    </row>
    <row r="36" spans="1:21" ht="15.75">
      <c r="A36" s="132">
        <f>ROW()</f>
        <v>36</v>
      </c>
      <c r="C36" s="161" t="s">
        <v>198</v>
      </c>
      <c r="E36" s="148">
        <f>SUM(E31:E35)</f>
        <v>8087.666666666667</v>
      </c>
      <c r="F36" s="148">
        <f>SUM(F31:F35)</f>
        <v>0</v>
      </c>
      <c r="G36" s="148">
        <f>SUM(G31:G35)</f>
        <v>57624.624999999993</v>
      </c>
      <c r="H36" s="162">
        <f t="shared" si="38"/>
        <v>65712.291666666657</v>
      </c>
      <c r="I36" s="146"/>
      <c r="J36" s="148">
        <f>SUM(J31:J35)</f>
        <v>0</v>
      </c>
      <c r="K36" s="148">
        <f>SUM(K31:K35)</f>
        <v>0</v>
      </c>
      <c r="L36" s="148">
        <f>SUM(L31:L35)</f>
        <v>0</v>
      </c>
      <c r="M36" s="162">
        <f t="shared" si="39"/>
        <v>0</v>
      </c>
      <c r="O36" s="148">
        <f>SUM(O31:O35)</f>
        <v>65000</v>
      </c>
      <c r="P36" s="163">
        <f>SUM(P31:P35)</f>
        <v>712.29166666666663</v>
      </c>
      <c r="Q36" s="163">
        <f>SUM(Q31:Q35)</f>
        <v>65712.291666666657</v>
      </c>
      <c r="S36" s="150">
        <f t="shared" si="41"/>
        <v>0</v>
      </c>
    </row>
    <row r="37" spans="1:21" ht="15.75">
      <c r="A37" s="132">
        <f>ROW()</f>
        <v>37</v>
      </c>
      <c r="H37" s="134"/>
      <c r="I37" s="146"/>
      <c r="M37" s="134"/>
    </row>
    <row r="38" spans="1:21" ht="16.5" thickBot="1">
      <c r="A38" s="132">
        <f>ROW()</f>
        <v>38</v>
      </c>
      <c r="B38" s="156" t="s">
        <v>152</v>
      </c>
      <c r="E38" s="148">
        <f>SUM(E26,E36)</f>
        <v>41395.229266666676</v>
      </c>
      <c r="F38" s="148">
        <f t="shared" ref="F38:G38" si="51">SUM(F26,F36)</f>
        <v>43316.528450000005</v>
      </c>
      <c r="G38" s="148">
        <f t="shared" si="51"/>
        <v>112729.09701666667</v>
      </c>
      <c r="H38" s="162">
        <f>SUM(E38:G38)</f>
        <v>197440.85473333334</v>
      </c>
      <c r="I38" s="146"/>
      <c r="J38" s="148">
        <f>SUM(J26,J36)</f>
        <v>18226.604066666652</v>
      </c>
      <c r="K38" s="148">
        <f t="shared" ref="K38:L38" si="52">SUM(K26,K36)</f>
        <v>8217.6382166666644</v>
      </c>
      <c r="L38" s="148">
        <f t="shared" si="52"/>
        <v>63666.642499999973</v>
      </c>
      <c r="M38" s="162">
        <f>SUM(J38:L38)</f>
        <v>90110.884783333284</v>
      </c>
      <c r="O38" s="148">
        <f>SUM(O26,O36)</f>
        <v>280331</v>
      </c>
      <c r="P38" s="148">
        <f>SUM(P26,P36)</f>
        <v>7220.7395166666674</v>
      </c>
      <c r="Q38" s="148">
        <f>SUM(Q26,Q36)</f>
        <v>287551.73951666662</v>
      </c>
      <c r="S38" s="150">
        <f t="shared" ref="S38" si="53">SUM(E38:G38,J38:L38)-Q38</f>
        <v>0</v>
      </c>
      <c r="T38" s="166"/>
      <c r="U38" s="150"/>
    </row>
    <row r="39" spans="1:21" ht="19.5" thickBot="1">
      <c r="A39" s="132">
        <f>ROW()</f>
        <v>39</v>
      </c>
      <c r="B39" s="167" t="s">
        <v>199</v>
      </c>
      <c r="E39" s="168">
        <f>E38/E$2</f>
        <v>43557.96957184808</v>
      </c>
      <c r="F39" s="168">
        <f t="shared" ref="F39:G39" si="54">F38/F$2</f>
        <v>45579.649191664532</v>
      </c>
      <c r="G39" s="168">
        <f t="shared" si="54"/>
        <v>118618.75546291114</v>
      </c>
      <c r="H39" s="168">
        <f>H38/$E$2</f>
        <v>207756.37422642374</v>
      </c>
      <c r="I39" s="169"/>
      <c r="J39" s="170">
        <f>J38/J$2</f>
        <v>19116.596325181818</v>
      </c>
      <c r="K39" s="170">
        <f t="shared" ref="K39" si="55">K38/K$2</f>
        <v>8618.8997116418632</v>
      </c>
      <c r="L39" s="170">
        <f t="shared" ref="L39" si="56">L38/L$2</f>
        <v>66775.439879007026</v>
      </c>
      <c r="M39" s="170">
        <f>M38/$J$2</f>
        <v>94510.935915830705</v>
      </c>
      <c r="N39" s="171"/>
      <c r="R39" s="171"/>
      <c r="S39" s="15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1048576"/>
    </sheetView>
  </sheetViews>
  <sheetFormatPr defaultRowHeight="15"/>
  <cols>
    <col min="1" max="1" width="2.7109375" style="126" bestFit="1" customWidth="1"/>
    <col min="2" max="2" width="44" style="126" bestFit="1" customWidth="1"/>
    <col min="3" max="3" width="14.42578125" style="126" bestFit="1" customWidth="1"/>
    <col min="4" max="4" width="8" style="126" bestFit="1" customWidth="1"/>
    <col min="5" max="5" width="12.5703125" style="126" customWidth="1"/>
    <col min="6" max="6" width="9.7109375" style="126" bestFit="1" customWidth="1"/>
    <col min="7" max="16384" width="9.140625" style="126"/>
  </cols>
  <sheetData>
    <row r="1" spans="1:8" ht="15.75">
      <c r="A1" s="80"/>
      <c r="B1" s="81" t="s">
        <v>201</v>
      </c>
      <c r="C1" s="81"/>
      <c r="D1" s="81"/>
      <c r="E1" s="81"/>
      <c r="F1" s="81"/>
    </row>
    <row r="2" spans="1:8">
      <c r="A2" s="82"/>
      <c r="B2" s="83"/>
      <c r="C2" s="83"/>
      <c r="D2" s="83"/>
      <c r="E2" s="83"/>
      <c r="F2" s="83"/>
    </row>
    <row r="3" spans="1:8" ht="15.75">
      <c r="A3" s="80"/>
      <c r="B3" s="84" t="s">
        <v>202</v>
      </c>
      <c r="C3" s="84"/>
      <c r="D3" s="84"/>
      <c r="E3" s="84"/>
      <c r="F3" s="84"/>
    </row>
    <row r="4" spans="1:8" ht="15.75">
      <c r="A4" s="80"/>
      <c r="B4" s="85" t="s">
        <v>203</v>
      </c>
      <c r="C4" s="85"/>
      <c r="D4" s="85"/>
      <c r="E4" s="85"/>
      <c r="F4" s="85"/>
    </row>
    <row r="5" spans="1:8">
      <c r="A5" s="86"/>
      <c r="B5" s="127" t="s">
        <v>227</v>
      </c>
      <c r="C5" s="127"/>
      <c r="D5" s="127"/>
      <c r="E5" s="127"/>
      <c r="F5" s="127"/>
    </row>
    <row r="6" spans="1:8">
      <c r="A6" s="87"/>
      <c r="B6" s="80"/>
      <c r="C6" s="88"/>
      <c r="D6" s="80"/>
      <c r="E6" s="80"/>
      <c r="F6" s="80"/>
    </row>
    <row r="7" spans="1:8">
      <c r="A7" s="87"/>
      <c r="B7" s="86"/>
      <c r="C7" s="86"/>
      <c r="D7" s="86"/>
      <c r="E7" s="86"/>
      <c r="F7" s="86"/>
    </row>
    <row r="8" spans="1:8">
      <c r="A8" s="89">
        <v>1</v>
      </c>
      <c r="B8" s="90" t="s">
        <v>205</v>
      </c>
      <c r="C8" s="90" t="s">
        <v>206</v>
      </c>
      <c r="D8" s="90" t="s">
        <v>207</v>
      </c>
      <c r="E8" s="90" t="s">
        <v>208</v>
      </c>
      <c r="F8" s="90" t="s">
        <v>209</v>
      </c>
    </row>
    <row r="9" spans="1:8">
      <c r="A9" s="89">
        <f>+A8+1</f>
        <v>2</v>
      </c>
      <c r="B9" s="86"/>
      <c r="C9" s="86"/>
      <c r="D9" s="86"/>
      <c r="E9" s="86"/>
      <c r="F9" s="86"/>
    </row>
    <row r="10" spans="1:8">
      <c r="A10" s="89">
        <f t="shared" ref="A10:A17" si="0">+A9+1</f>
        <v>3</v>
      </c>
      <c r="B10" s="91" t="s">
        <v>210</v>
      </c>
      <c r="C10" s="92"/>
      <c r="D10" s="92"/>
      <c r="E10" s="92"/>
      <c r="F10" s="92" t="s">
        <v>211</v>
      </c>
    </row>
    <row r="11" spans="1:8">
      <c r="A11" s="89">
        <f t="shared" si="0"/>
        <v>4</v>
      </c>
      <c r="B11" s="92"/>
      <c r="C11" s="93"/>
      <c r="D11" s="92"/>
      <c r="E11" s="92"/>
      <c r="F11" s="93" t="s">
        <v>212</v>
      </c>
    </row>
    <row r="12" spans="1:8">
      <c r="A12" s="89">
        <f t="shared" si="0"/>
        <v>5</v>
      </c>
      <c r="B12" s="94" t="s">
        <v>213</v>
      </c>
      <c r="C12" s="94" t="s">
        <v>214</v>
      </c>
      <c r="D12" s="94" t="s">
        <v>215</v>
      </c>
      <c r="E12" s="94" t="s">
        <v>216</v>
      </c>
      <c r="F12" s="94" t="s">
        <v>217</v>
      </c>
    </row>
    <row r="13" spans="1:8">
      <c r="A13" s="89">
        <f t="shared" si="0"/>
        <v>6</v>
      </c>
      <c r="B13" s="95"/>
      <c r="C13" s="95"/>
      <c r="D13" s="95"/>
      <c r="E13" s="95"/>
      <c r="F13" s="95"/>
    </row>
    <row r="14" spans="1:8">
      <c r="A14" s="89">
        <f t="shared" si="0"/>
        <v>7</v>
      </c>
      <c r="B14" s="95" t="s">
        <v>218</v>
      </c>
      <c r="C14" s="96">
        <v>97854167</v>
      </c>
      <c r="D14" s="97">
        <f>ROUND(C14/$C$30,4)</f>
        <v>1.03E-2</v>
      </c>
      <c r="E14" s="98">
        <v>3.3099999999999997E-2</v>
      </c>
      <c r="F14" s="99">
        <f>ROUND(D14*E14,4)</f>
        <v>2.9999999999999997E-4</v>
      </c>
    </row>
    <row r="15" spans="1:8">
      <c r="A15" s="89">
        <f t="shared" si="0"/>
        <v>8</v>
      </c>
      <c r="B15" s="95"/>
      <c r="C15" s="100"/>
      <c r="D15" s="99"/>
      <c r="E15" s="101"/>
      <c r="F15" s="99"/>
      <c r="H15" s="80"/>
    </row>
    <row r="16" spans="1:8">
      <c r="A16" s="89">
        <f t="shared" si="0"/>
        <v>9</v>
      </c>
      <c r="B16" s="95" t="s">
        <v>219</v>
      </c>
      <c r="C16" s="100">
        <v>4785750642</v>
      </c>
      <c r="D16" s="128">
        <f>ROUND(C16/$C$30,4)</f>
        <v>0.50290000000000001</v>
      </c>
      <c r="E16" s="102">
        <v>5.0700000000000002E-2</v>
      </c>
      <c r="F16" s="99">
        <f>ROUND(D16*E16,4)</f>
        <v>2.5499999999999998E-2</v>
      </c>
    </row>
    <row r="17" spans="1:6">
      <c r="A17" s="89">
        <f t="shared" si="0"/>
        <v>10</v>
      </c>
      <c r="B17" s="103"/>
      <c r="C17" s="104"/>
      <c r="D17" s="99"/>
      <c r="E17" s="102"/>
      <c r="F17" s="105"/>
    </row>
    <row r="18" spans="1:6">
      <c r="A18" s="89">
        <v>11</v>
      </c>
      <c r="B18" s="86" t="s">
        <v>220</v>
      </c>
      <c r="C18" s="104"/>
      <c r="D18" s="99">
        <f>ROUND((C14+C16)/C30,4)</f>
        <v>0.51319999999999999</v>
      </c>
      <c r="E18" s="102">
        <v>5.04E-2</v>
      </c>
      <c r="F18" s="105">
        <f>F16+F14</f>
        <v>2.58E-2</v>
      </c>
    </row>
    <row r="19" spans="1:6">
      <c r="A19" s="89">
        <v>12</v>
      </c>
      <c r="B19" s="103"/>
      <c r="C19" s="104"/>
      <c r="D19" s="99"/>
      <c r="E19" s="102"/>
      <c r="F19" s="105"/>
    </row>
    <row r="20" spans="1:6">
      <c r="A20" s="89">
        <v>13</v>
      </c>
      <c r="B20" s="86" t="s">
        <v>221</v>
      </c>
      <c r="C20" s="104"/>
      <c r="D20" s="99"/>
      <c r="E20" s="102"/>
      <c r="F20" s="105">
        <v>2.0000000000000001E-4</v>
      </c>
    </row>
    <row r="21" spans="1:6">
      <c r="A21" s="89">
        <v>14</v>
      </c>
      <c r="B21" s="103"/>
      <c r="C21" s="104"/>
      <c r="D21" s="99"/>
      <c r="E21" s="102"/>
      <c r="F21" s="105"/>
    </row>
    <row r="22" spans="1:6">
      <c r="A22" s="89">
        <v>15</v>
      </c>
      <c r="B22" s="86" t="s">
        <v>222</v>
      </c>
      <c r="C22" s="104"/>
      <c r="D22" s="99"/>
      <c r="E22" s="102"/>
      <c r="F22" s="105">
        <v>1E-4</v>
      </c>
    </row>
    <row r="23" spans="1:6">
      <c r="A23" s="89">
        <v>16</v>
      </c>
      <c r="B23" s="103"/>
      <c r="C23" s="104"/>
      <c r="D23" s="99"/>
      <c r="E23" s="102"/>
      <c r="F23" s="105"/>
    </row>
    <row r="24" spans="1:6">
      <c r="A24" s="89">
        <v>17</v>
      </c>
      <c r="B24" s="86" t="s">
        <v>223</v>
      </c>
      <c r="C24" s="104"/>
      <c r="D24" s="99"/>
      <c r="E24" s="102"/>
      <c r="F24" s="105">
        <v>2.0000000000000001E-4</v>
      </c>
    </row>
    <row r="25" spans="1:6">
      <c r="A25" s="89">
        <v>18</v>
      </c>
      <c r="B25" s="103"/>
      <c r="C25" s="104"/>
      <c r="D25" s="99"/>
      <c r="E25" s="102"/>
      <c r="F25" s="105"/>
    </row>
    <row r="26" spans="1:6">
      <c r="A26" s="89">
        <v>19</v>
      </c>
      <c r="B26" s="103" t="s">
        <v>224</v>
      </c>
      <c r="C26" s="104">
        <f>C16+C14</f>
        <v>4883604809</v>
      </c>
      <c r="D26" s="99">
        <f>D18</f>
        <v>0.51319999999999999</v>
      </c>
      <c r="E26" s="98">
        <f>F26/D26</f>
        <v>5.1247077162899453E-2</v>
      </c>
      <c r="F26" s="107">
        <f>SUM(F18:F25)</f>
        <v>2.6299999999999997E-2</v>
      </c>
    </row>
    <row r="27" spans="1:6">
      <c r="A27" s="89">
        <v>20</v>
      </c>
      <c r="B27" s="103"/>
      <c r="C27" s="104"/>
      <c r="D27" s="99"/>
      <c r="E27" s="102"/>
      <c r="F27" s="105"/>
    </row>
    <row r="28" spans="1:6">
      <c r="A28" s="89">
        <v>21</v>
      </c>
      <c r="B28" s="108" t="s">
        <v>225</v>
      </c>
      <c r="C28" s="109">
        <v>4632159583</v>
      </c>
      <c r="D28" s="121">
        <f>ROUND(C28/$C$30,4)</f>
        <v>0.48680000000000001</v>
      </c>
      <c r="E28" s="122">
        <v>9.4E-2</v>
      </c>
      <c r="F28" s="111">
        <f>ROUND(D28*E28,4)</f>
        <v>4.58E-2</v>
      </c>
    </row>
    <row r="29" spans="1:6">
      <c r="A29" s="89">
        <v>22</v>
      </c>
      <c r="B29" s="103"/>
      <c r="C29" s="102"/>
      <c r="D29" s="112"/>
      <c r="E29" s="122"/>
      <c r="F29" s="102"/>
    </row>
    <row r="30" spans="1:6">
      <c r="A30" s="89">
        <v>23</v>
      </c>
      <c r="B30" s="108" t="s">
        <v>36</v>
      </c>
      <c r="C30" s="113">
        <f>C28+C26</f>
        <v>9515764392</v>
      </c>
      <c r="D30" s="114">
        <f>D28+D18</f>
        <v>1</v>
      </c>
      <c r="E30" s="115"/>
      <c r="F30" s="116">
        <f>F28+F26</f>
        <v>7.2099999999999997E-2</v>
      </c>
    </row>
    <row r="31" spans="1:6">
      <c r="A31" s="89">
        <v>24</v>
      </c>
      <c r="B31" s="86"/>
      <c r="C31" s="117"/>
      <c r="D31" s="117"/>
      <c r="E31" s="118"/>
      <c r="F31" s="117"/>
    </row>
    <row r="32" spans="1:6">
      <c r="A32" s="89">
        <v>25</v>
      </c>
      <c r="B32" s="86"/>
      <c r="C32" s="86"/>
      <c r="D32" s="86"/>
      <c r="E32" s="117"/>
      <c r="F32" s="86"/>
    </row>
    <row r="33" spans="1:6">
      <c r="A33" s="89">
        <v>26</v>
      </c>
      <c r="B33" s="119" t="s">
        <v>226</v>
      </c>
      <c r="C33" s="86"/>
      <c r="D33" s="86"/>
      <c r="E33" s="120"/>
      <c r="F33" s="86"/>
    </row>
  </sheetData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sqref="A1:XFD1048576"/>
    </sheetView>
  </sheetViews>
  <sheetFormatPr defaultColWidth="8.85546875" defaultRowHeight="15"/>
  <cols>
    <col min="1" max="1" width="2.7109375" style="126" bestFit="1" customWidth="1"/>
    <col min="2" max="2" width="44" style="126" bestFit="1" customWidth="1"/>
    <col min="3" max="3" width="14.42578125" style="126" bestFit="1" customWidth="1"/>
    <col min="4" max="4" width="8" style="126" bestFit="1" customWidth="1"/>
    <col min="5" max="5" width="12.5703125" style="126" customWidth="1"/>
    <col min="6" max="6" width="9.7109375" style="126" bestFit="1" customWidth="1"/>
    <col min="7" max="16384" width="8.85546875" style="126"/>
  </cols>
  <sheetData>
    <row r="1" spans="1:8" ht="15.75">
      <c r="A1" s="80"/>
      <c r="B1" s="81" t="s">
        <v>201</v>
      </c>
      <c r="C1" s="81"/>
      <c r="D1" s="81"/>
      <c r="E1" s="81"/>
      <c r="F1" s="81"/>
    </row>
    <row r="2" spans="1:8">
      <c r="A2" s="82"/>
      <c r="B2" s="83"/>
      <c r="C2" s="83"/>
      <c r="D2" s="83"/>
      <c r="E2" s="83"/>
      <c r="F2" s="83"/>
    </row>
    <row r="3" spans="1:8" ht="15.75">
      <c r="A3" s="80"/>
      <c r="B3" s="84" t="s">
        <v>202</v>
      </c>
      <c r="C3" s="84"/>
      <c r="D3" s="84"/>
      <c r="E3" s="84"/>
      <c r="F3" s="84"/>
    </row>
    <row r="4" spans="1:8" ht="15.75">
      <c r="A4" s="80"/>
      <c r="B4" s="85" t="s">
        <v>203</v>
      </c>
      <c r="C4" s="85"/>
      <c r="D4" s="85"/>
      <c r="E4" s="85"/>
      <c r="F4" s="85"/>
    </row>
    <row r="5" spans="1:8">
      <c r="A5" s="86"/>
      <c r="B5" s="127" t="s">
        <v>204</v>
      </c>
      <c r="C5" s="127"/>
      <c r="D5" s="127"/>
      <c r="E5" s="127"/>
      <c r="F5" s="127"/>
    </row>
    <row r="6" spans="1:8">
      <c r="A6" s="87"/>
      <c r="B6" s="80"/>
      <c r="C6" s="88"/>
      <c r="D6" s="80"/>
      <c r="E6" s="80"/>
      <c r="F6" s="80"/>
    </row>
    <row r="7" spans="1:8">
      <c r="A7" s="87"/>
      <c r="B7" s="86"/>
      <c r="C7" s="86"/>
      <c r="D7" s="86"/>
      <c r="E7" s="86"/>
      <c r="F7" s="86"/>
    </row>
    <row r="8" spans="1:8">
      <c r="A8" s="89">
        <v>1</v>
      </c>
      <c r="B8" s="90" t="s">
        <v>205</v>
      </c>
      <c r="C8" s="90" t="s">
        <v>206</v>
      </c>
      <c r="D8" s="90" t="s">
        <v>207</v>
      </c>
      <c r="E8" s="90" t="s">
        <v>208</v>
      </c>
      <c r="F8" s="90" t="s">
        <v>209</v>
      </c>
    </row>
    <row r="9" spans="1:8">
      <c r="A9" s="89">
        <f>+A8+1</f>
        <v>2</v>
      </c>
      <c r="B9" s="86"/>
      <c r="C9" s="86"/>
      <c r="D9" s="86"/>
      <c r="E9" s="86"/>
      <c r="F9" s="86"/>
    </row>
    <row r="10" spans="1:8">
      <c r="A10" s="89">
        <f t="shared" ref="A10:A17" si="0">+A9+1</f>
        <v>3</v>
      </c>
      <c r="B10" s="91" t="s">
        <v>210</v>
      </c>
      <c r="C10" s="92"/>
      <c r="D10" s="92"/>
      <c r="E10" s="92"/>
      <c r="F10" s="92" t="s">
        <v>211</v>
      </c>
    </row>
    <row r="11" spans="1:8">
      <c r="A11" s="89">
        <f t="shared" si="0"/>
        <v>4</v>
      </c>
      <c r="B11" s="92"/>
      <c r="C11" s="93"/>
      <c r="D11" s="92"/>
      <c r="E11" s="92"/>
      <c r="F11" s="93" t="s">
        <v>212</v>
      </c>
    </row>
    <row r="12" spans="1:8">
      <c r="A12" s="89">
        <f t="shared" si="0"/>
        <v>5</v>
      </c>
      <c r="B12" s="94" t="s">
        <v>213</v>
      </c>
      <c r="C12" s="94" t="s">
        <v>214</v>
      </c>
      <c r="D12" s="94" t="s">
        <v>215</v>
      </c>
      <c r="E12" s="94" t="s">
        <v>216</v>
      </c>
      <c r="F12" s="94" t="s">
        <v>217</v>
      </c>
    </row>
    <row r="13" spans="1:8">
      <c r="A13" s="89">
        <f t="shared" si="0"/>
        <v>6</v>
      </c>
      <c r="B13" s="95"/>
      <c r="C13" s="95"/>
      <c r="D13" s="95"/>
      <c r="E13" s="95"/>
      <c r="F13" s="95"/>
    </row>
    <row r="14" spans="1:8">
      <c r="A14" s="89">
        <f t="shared" si="0"/>
        <v>7</v>
      </c>
      <c r="B14" s="95" t="s">
        <v>218</v>
      </c>
      <c r="C14" s="96">
        <v>119791667</v>
      </c>
      <c r="D14" s="97">
        <v>1.23E-2</v>
      </c>
      <c r="E14" s="98">
        <v>4.58E-2</v>
      </c>
      <c r="F14" s="99">
        <f>ROUND(D14*E14,4)</f>
        <v>5.9999999999999995E-4</v>
      </c>
    </row>
    <row r="15" spans="1:8">
      <c r="A15" s="89">
        <f t="shared" si="0"/>
        <v>8</v>
      </c>
      <c r="B15" s="95"/>
      <c r="C15" s="100"/>
      <c r="D15" s="101"/>
      <c r="E15" s="101"/>
      <c r="F15" s="99"/>
      <c r="H15" s="80"/>
    </row>
    <row r="16" spans="1:8">
      <c r="A16" s="89">
        <f t="shared" si="0"/>
        <v>9</v>
      </c>
      <c r="B16" s="95" t="s">
        <v>219</v>
      </c>
      <c r="C16" s="100">
        <v>4836189614</v>
      </c>
      <c r="D16" s="98">
        <v>0.497</v>
      </c>
      <c r="E16" s="102">
        <v>5.0700000000000002E-2</v>
      </c>
      <c r="F16" s="99">
        <f>ROUND(D16*E16,4)</f>
        <v>2.52E-2</v>
      </c>
    </row>
    <row r="17" spans="1:6">
      <c r="A17" s="89">
        <f t="shared" si="0"/>
        <v>10</v>
      </c>
      <c r="B17" s="103"/>
      <c r="C17" s="104"/>
      <c r="D17" s="99"/>
      <c r="E17" s="102"/>
      <c r="F17" s="105"/>
    </row>
    <row r="18" spans="1:6">
      <c r="A18" s="89">
        <v>11</v>
      </c>
      <c r="B18" s="86" t="s">
        <v>220</v>
      </c>
      <c r="C18" s="104"/>
      <c r="D18" s="99">
        <f>ROUND((C14+C16)/C30,4)</f>
        <v>0.50929999999999997</v>
      </c>
      <c r="E18" s="102">
        <v>5.0599999999999999E-2</v>
      </c>
      <c r="F18" s="105">
        <f>F16+F14</f>
        <v>2.58E-2</v>
      </c>
    </row>
    <row r="19" spans="1:6">
      <c r="A19" s="89">
        <v>12</v>
      </c>
      <c r="B19" s="103"/>
      <c r="C19" s="104"/>
      <c r="D19" s="99"/>
      <c r="E19" s="102"/>
      <c r="F19" s="105"/>
    </row>
    <row r="20" spans="1:6">
      <c r="A20" s="89">
        <v>13</v>
      </c>
      <c r="B20" s="86" t="s">
        <v>221</v>
      </c>
      <c r="C20" s="104"/>
      <c r="D20" s="99"/>
      <c r="E20" s="102"/>
      <c r="F20" s="106">
        <v>2.0000000000000001E-4</v>
      </c>
    </row>
    <row r="21" spans="1:6">
      <c r="A21" s="89">
        <v>14</v>
      </c>
      <c r="B21" s="103"/>
      <c r="C21" s="104"/>
      <c r="D21" s="99"/>
      <c r="E21" s="102"/>
      <c r="F21" s="106"/>
    </row>
    <row r="22" spans="1:6">
      <c r="A22" s="89">
        <v>15</v>
      </c>
      <c r="B22" s="86" t="s">
        <v>222</v>
      </c>
      <c r="C22" s="104"/>
      <c r="D22" s="99"/>
      <c r="E22" s="102"/>
      <c r="F22" s="106">
        <v>1E-4</v>
      </c>
    </row>
    <row r="23" spans="1:6">
      <c r="A23" s="89">
        <v>16</v>
      </c>
      <c r="B23" s="103"/>
      <c r="C23" s="104"/>
      <c r="D23" s="99"/>
      <c r="E23" s="102"/>
      <c r="F23" s="106"/>
    </row>
    <row r="24" spans="1:6">
      <c r="A24" s="89">
        <v>17</v>
      </c>
      <c r="B24" s="86" t="s">
        <v>223</v>
      </c>
      <c r="C24" s="104"/>
      <c r="D24" s="99"/>
      <c r="E24" s="102"/>
      <c r="F24" s="106">
        <v>2.0000000000000001E-4</v>
      </c>
    </row>
    <row r="25" spans="1:6">
      <c r="A25" s="89">
        <v>18</v>
      </c>
      <c r="B25" s="103"/>
      <c r="C25" s="104"/>
      <c r="D25" s="99"/>
      <c r="E25" s="102"/>
      <c r="F25" s="105"/>
    </row>
    <row r="26" spans="1:6">
      <c r="A26" s="89">
        <v>19</v>
      </c>
      <c r="B26" s="103" t="s">
        <v>224</v>
      </c>
      <c r="C26" s="104">
        <v>4955981281</v>
      </c>
      <c r="D26" s="101">
        <v>0.50929999999999997</v>
      </c>
      <c r="E26" s="98">
        <v>5.1639505203220103E-2</v>
      </c>
      <c r="F26" s="107">
        <f>SUM(F18:F25)</f>
        <v>2.6299999999999997E-2</v>
      </c>
    </row>
    <row r="27" spans="1:6">
      <c r="A27" s="89">
        <v>20</v>
      </c>
      <c r="B27" s="103"/>
      <c r="C27" s="104"/>
      <c r="D27" s="101"/>
      <c r="E27" s="102"/>
      <c r="F27" s="105"/>
    </row>
    <row r="28" spans="1:6">
      <c r="A28" s="89">
        <v>21</v>
      </c>
      <c r="B28" s="108" t="s">
        <v>225</v>
      </c>
      <c r="C28" s="109">
        <v>4774948958</v>
      </c>
      <c r="D28" s="110">
        <v>0.49070000000000003</v>
      </c>
      <c r="E28" s="107">
        <v>9.4E-2</v>
      </c>
      <c r="F28" s="111">
        <f>ROUND(D28*E28,4)</f>
        <v>4.6100000000000002E-2</v>
      </c>
    </row>
    <row r="29" spans="1:6">
      <c r="A29" s="89">
        <v>22</v>
      </c>
      <c r="B29" s="103"/>
      <c r="C29" s="102"/>
      <c r="D29" s="112"/>
      <c r="E29" s="122"/>
      <c r="F29" s="102"/>
    </row>
    <row r="30" spans="1:6">
      <c r="A30" s="89">
        <v>23</v>
      </c>
      <c r="B30" s="108" t="s">
        <v>36</v>
      </c>
      <c r="C30" s="113">
        <f>C28+C26</f>
        <v>9730930239</v>
      </c>
      <c r="D30" s="114">
        <f>D28+D18</f>
        <v>1</v>
      </c>
      <c r="E30" s="115"/>
      <c r="F30" s="116">
        <f>F28+F26</f>
        <v>7.2399999999999992E-2</v>
      </c>
    </row>
    <row r="31" spans="1:6">
      <c r="A31" s="89">
        <v>24</v>
      </c>
      <c r="B31" s="86"/>
      <c r="C31" s="117"/>
      <c r="D31" s="117"/>
      <c r="E31" s="118"/>
      <c r="F31" s="117"/>
    </row>
    <row r="32" spans="1:6">
      <c r="A32" s="89">
        <v>25</v>
      </c>
      <c r="B32" s="86"/>
      <c r="C32" s="86"/>
      <c r="D32" s="86"/>
      <c r="E32" s="117"/>
      <c r="F32" s="86"/>
    </row>
    <row r="33" spans="1:6">
      <c r="A33" s="89">
        <v>26</v>
      </c>
      <c r="B33" s="119" t="s">
        <v>226</v>
      </c>
      <c r="C33" s="86"/>
      <c r="D33" s="86"/>
      <c r="E33" s="120"/>
      <c r="F33" s="86"/>
    </row>
  </sheetData>
  <pageMargins left="0.7" right="0.7" top="0.75" bottom="0.75" header="0.3" footer="0.3"/>
  <customProperties>
    <customPr name="_pios_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sqref="A1:XFD1048576"/>
    </sheetView>
  </sheetViews>
  <sheetFormatPr defaultRowHeight="15"/>
  <cols>
    <col min="1" max="1" width="5.42578125" style="31" customWidth="1"/>
    <col min="2" max="2" width="63.140625" style="31" customWidth="1"/>
    <col min="3" max="3" width="3.42578125" style="31" customWidth="1"/>
    <col min="4" max="4" width="7.85546875" style="31" customWidth="1"/>
    <col min="5" max="5" width="15.42578125" style="31" customWidth="1"/>
    <col min="6" max="6" width="9.140625" style="5"/>
    <col min="7" max="7" width="5" style="5" bestFit="1" customWidth="1"/>
    <col min="8" max="8" width="61.28515625" style="5" bestFit="1" customWidth="1"/>
    <col min="9" max="9" width="9.140625" style="5"/>
    <col min="10" max="10" width="7.28515625" style="5" bestFit="1" customWidth="1"/>
    <col min="11" max="11" width="8.42578125" style="5" bestFit="1" customWidth="1"/>
    <col min="12" max="16384" width="9.140625" style="5"/>
  </cols>
  <sheetData>
    <row r="1" spans="1:11">
      <c r="G1" s="31"/>
      <c r="H1" s="31"/>
      <c r="I1" s="31"/>
      <c r="J1" s="31"/>
      <c r="K1" s="31"/>
    </row>
    <row r="2" spans="1:11">
      <c r="G2" s="28"/>
      <c r="H2" s="29"/>
      <c r="I2" s="29"/>
      <c r="J2" s="29"/>
      <c r="K2" s="30"/>
    </row>
    <row r="3" spans="1:11">
      <c r="A3" s="28"/>
      <c r="B3" s="29"/>
      <c r="C3" s="29"/>
      <c r="D3" s="29"/>
      <c r="E3" s="30"/>
      <c r="G3" s="28"/>
      <c r="H3" s="29"/>
      <c r="I3" s="29"/>
      <c r="J3" s="29"/>
      <c r="K3" s="30"/>
    </row>
    <row r="4" spans="1:11">
      <c r="A4" s="28"/>
      <c r="B4" s="28"/>
      <c r="C4" s="28"/>
      <c r="D4" s="28"/>
      <c r="E4" s="30"/>
      <c r="G4" s="28"/>
      <c r="H4" s="28"/>
      <c r="I4" s="28"/>
      <c r="J4" s="28"/>
      <c r="K4" s="30"/>
    </row>
    <row r="5" spans="1:11">
      <c r="A5" s="28"/>
      <c r="B5" s="28"/>
      <c r="C5" s="28"/>
      <c r="D5" s="28"/>
      <c r="G5" s="28"/>
      <c r="H5" s="28"/>
      <c r="I5" s="28"/>
      <c r="J5" s="28"/>
      <c r="K5" s="31"/>
    </row>
    <row r="6" spans="1:11">
      <c r="A6" s="32" t="s">
        <v>157</v>
      </c>
      <c r="B6" s="33"/>
      <c r="C6" s="34"/>
      <c r="D6" s="34"/>
      <c r="E6" s="34"/>
      <c r="G6" s="32" t="s">
        <v>172</v>
      </c>
      <c r="H6" s="48"/>
      <c r="I6" s="32"/>
      <c r="J6" s="32"/>
      <c r="K6" s="34"/>
    </row>
    <row r="7" spans="1:11">
      <c r="A7" s="35" t="s">
        <v>158</v>
      </c>
      <c r="B7" s="33"/>
      <c r="C7" s="36"/>
      <c r="D7" s="36"/>
      <c r="E7" s="36"/>
      <c r="G7" s="35" t="s">
        <v>158</v>
      </c>
      <c r="H7" s="48"/>
      <c r="I7" s="35"/>
      <c r="J7" s="35"/>
      <c r="K7" s="36"/>
    </row>
    <row r="8" spans="1:11">
      <c r="A8" s="37" t="s">
        <v>159</v>
      </c>
      <c r="B8" s="33"/>
      <c r="C8" s="36"/>
      <c r="D8" s="36"/>
      <c r="E8" s="36"/>
      <c r="G8" s="37" t="s">
        <v>159</v>
      </c>
      <c r="H8" s="35"/>
      <c r="I8" s="35"/>
      <c r="J8" s="35"/>
      <c r="K8" s="36"/>
    </row>
    <row r="9" spans="1:11">
      <c r="A9" s="37" t="s">
        <v>160</v>
      </c>
      <c r="B9" s="33"/>
      <c r="C9" s="36"/>
      <c r="D9" s="36"/>
      <c r="E9" s="36"/>
      <c r="G9" s="37" t="s">
        <v>160</v>
      </c>
      <c r="H9" s="48"/>
      <c r="I9" s="35"/>
      <c r="J9" s="35"/>
      <c r="K9" s="36"/>
    </row>
    <row r="10" spans="1:11">
      <c r="A10" s="28"/>
      <c r="B10" s="28"/>
      <c r="C10" s="28"/>
      <c r="D10" s="28"/>
      <c r="E10" s="28"/>
      <c r="G10" s="28"/>
      <c r="H10" s="28"/>
      <c r="I10" s="28"/>
      <c r="J10" s="28"/>
      <c r="K10" s="28"/>
    </row>
    <row r="11" spans="1:11">
      <c r="A11" s="25" t="s">
        <v>161</v>
      </c>
      <c r="B11" s="25"/>
      <c r="C11" s="25"/>
      <c r="D11" s="25"/>
      <c r="E11" s="25"/>
      <c r="G11" s="25" t="s">
        <v>161</v>
      </c>
      <c r="H11" s="25"/>
      <c r="I11" s="25"/>
      <c r="J11" s="25"/>
      <c r="K11" s="25"/>
    </row>
    <row r="12" spans="1:11">
      <c r="A12" s="26" t="s">
        <v>162</v>
      </c>
      <c r="B12" s="38" t="s">
        <v>151</v>
      </c>
      <c r="C12" s="26"/>
      <c r="D12" s="26" t="s">
        <v>163</v>
      </c>
      <c r="E12" s="26" t="s">
        <v>164</v>
      </c>
      <c r="G12" s="26" t="s">
        <v>162</v>
      </c>
      <c r="H12" s="38" t="s">
        <v>151</v>
      </c>
      <c r="I12" s="26"/>
      <c r="J12" s="26" t="s">
        <v>163</v>
      </c>
      <c r="K12" s="26" t="s">
        <v>164</v>
      </c>
    </row>
    <row r="13" spans="1:11">
      <c r="A13" s="29"/>
      <c r="B13" s="29"/>
      <c r="C13" s="29"/>
      <c r="D13" s="29"/>
      <c r="E13" s="39"/>
      <c r="G13" s="29"/>
      <c r="H13" s="29"/>
      <c r="I13" s="29"/>
      <c r="J13" s="29"/>
      <c r="K13" s="39"/>
    </row>
    <row r="14" spans="1:11">
      <c r="A14" s="39">
        <v>1</v>
      </c>
      <c r="B14" s="40" t="s">
        <v>165</v>
      </c>
      <c r="C14" s="29"/>
      <c r="D14" s="29"/>
      <c r="E14" s="41">
        <v>7.1970000000000003E-3</v>
      </c>
      <c r="G14" s="39">
        <v>1</v>
      </c>
      <c r="H14" s="40" t="s">
        <v>165</v>
      </c>
      <c r="I14" s="29"/>
      <c r="J14" s="29"/>
      <c r="K14" s="41">
        <v>4.1980000000000003E-3</v>
      </c>
    </row>
    <row r="15" spans="1:11">
      <c r="A15" s="39">
        <v>2</v>
      </c>
      <c r="B15" s="40" t="s">
        <v>166</v>
      </c>
      <c r="C15" s="29"/>
      <c r="D15" s="29"/>
      <c r="E15" s="41">
        <v>4.0000000000000001E-3</v>
      </c>
      <c r="G15" s="39">
        <v>2</v>
      </c>
      <c r="H15" s="40" t="s">
        <v>166</v>
      </c>
      <c r="I15" s="29"/>
      <c r="J15" s="29"/>
      <c r="K15" s="41">
        <v>4.0000000000000001E-3</v>
      </c>
    </row>
    <row r="16" spans="1:11">
      <c r="A16" s="39">
        <v>3</v>
      </c>
      <c r="B16" s="40" t="s">
        <v>167</v>
      </c>
      <c r="C16" s="29"/>
      <c r="D16" s="42">
        <v>3.8733999999999998E-2</v>
      </c>
      <c r="E16" s="43">
        <v>3.8455000000000003E-2</v>
      </c>
      <c r="G16" s="39">
        <v>3</v>
      </c>
      <c r="H16" s="40" t="s">
        <v>173</v>
      </c>
      <c r="I16" s="29"/>
      <c r="J16" s="42">
        <v>3.8519999999999999E-2</v>
      </c>
      <c r="K16" s="43">
        <v>3.8358000000000003E-2</v>
      </c>
    </row>
    <row r="17" spans="1:11">
      <c r="A17" s="39">
        <v>4</v>
      </c>
      <c r="B17" s="40"/>
      <c r="C17" s="29"/>
      <c r="D17" s="39"/>
      <c r="E17" s="44"/>
      <c r="G17" s="39">
        <v>4</v>
      </c>
      <c r="H17" s="40"/>
      <c r="I17" s="29"/>
      <c r="J17" s="39"/>
      <c r="K17" s="44"/>
    </row>
    <row r="18" spans="1:11">
      <c r="A18" s="39">
        <v>5</v>
      </c>
      <c r="B18" s="40" t="s">
        <v>168</v>
      </c>
      <c r="C18" s="29"/>
      <c r="D18" s="39"/>
      <c r="E18" s="41">
        <v>4.9652000000000002E-2</v>
      </c>
      <c r="G18" s="39">
        <v>5</v>
      </c>
      <c r="H18" s="40" t="s">
        <v>168</v>
      </c>
      <c r="I18" s="29"/>
      <c r="J18" s="39"/>
      <c r="K18" s="41">
        <v>4.6556E-2</v>
      </c>
    </row>
    <row r="19" spans="1:11">
      <c r="A19" s="39">
        <v>6</v>
      </c>
      <c r="B19" s="29"/>
      <c r="C19" s="29"/>
      <c r="D19" s="39"/>
      <c r="E19" s="41"/>
      <c r="G19" s="39">
        <v>6</v>
      </c>
      <c r="H19" s="29"/>
      <c r="I19" s="29"/>
      <c r="J19" s="39"/>
      <c r="K19" s="41"/>
    </row>
    <row r="20" spans="1:11">
      <c r="A20" s="39">
        <v>7</v>
      </c>
      <c r="B20" s="29" t="s">
        <v>169</v>
      </c>
      <c r="C20" s="29"/>
      <c r="D20" s="39"/>
      <c r="E20" s="49">
        <v>0.95034799999999997</v>
      </c>
      <c r="G20" s="39">
        <v>7</v>
      </c>
      <c r="H20" s="29" t="s">
        <v>169</v>
      </c>
      <c r="I20" s="29"/>
      <c r="J20" s="39"/>
      <c r="K20" s="49">
        <v>0.95344399999999996</v>
      </c>
    </row>
    <row r="21" spans="1:11">
      <c r="A21" s="39">
        <v>8</v>
      </c>
      <c r="B21" s="40" t="s">
        <v>170</v>
      </c>
      <c r="C21" s="29"/>
      <c r="D21" s="45">
        <v>0.21</v>
      </c>
      <c r="E21" s="41">
        <v>0.199573</v>
      </c>
      <c r="G21" s="39">
        <v>8</v>
      </c>
      <c r="H21" s="40" t="s">
        <v>174</v>
      </c>
      <c r="I21" s="29"/>
      <c r="J21" s="45">
        <v>0.21</v>
      </c>
      <c r="K21" s="41">
        <v>0.20022300000000001</v>
      </c>
    </row>
    <row r="22" spans="1:11">
      <c r="A22" s="39">
        <v>9</v>
      </c>
      <c r="B22" s="40" t="s">
        <v>171</v>
      </c>
      <c r="C22" s="29"/>
      <c r="D22" s="29"/>
      <c r="E22" s="46">
        <v>0.75077499999999997</v>
      </c>
      <c r="G22" s="39">
        <v>9</v>
      </c>
      <c r="H22" s="40" t="s">
        <v>171</v>
      </c>
      <c r="I22" s="29"/>
      <c r="J22" s="29"/>
      <c r="K22" s="46">
        <v>0.75322100000000003</v>
      </c>
    </row>
    <row r="23" spans="1:11">
      <c r="A23" s="29"/>
      <c r="B23" s="29"/>
      <c r="C23" s="29"/>
      <c r="D23" s="29"/>
      <c r="E23" s="39"/>
    </row>
    <row r="26" spans="1:11">
      <c r="E26" s="47"/>
    </row>
  </sheetData>
  <pageMargins left="0.7" right="0.7" top="0.75" bottom="0.75" header="0.3" footer="0.3"/>
  <customProperties>
    <customPr name="_pios_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7"/>
  <sheetViews>
    <sheetView workbookViewId="0">
      <selection activeCell="L33" sqref="L33"/>
    </sheetView>
  </sheetViews>
  <sheetFormatPr defaultRowHeight="15"/>
  <cols>
    <col min="1" max="1" width="4" customWidth="1"/>
    <col min="2" max="2" width="32.5703125" bestFit="1" customWidth="1"/>
    <col min="3" max="8" width="9.140625" customWidth="1"/>
    <col min="9" max="9" width="10" bestFit="1" customWidth="1"/>
    <col min="10" max="19" width="9.140625" customWidth="1"/>
    <col min="20" max="20" width="10" bestFit="1" customWidth="1"/>
  </cols>
  <sheetData>
    <row r="2" spans="2:20">
      <c r="C2" s="50" t="s">
        <v>182</v>
      </c>
      <c r="D2" s="50"/>
      <c r="E2" s="50"/>
      <c r="F2" s="50"/>
      <c r="G2" s="50"/>
      <c r="H2" s="50"/>
      <c r="I2" s="50"/>
      <c r="J2" s="52" t="s">
        <v>183</v>
      </c>
      <c r="K2" s="52"/>
      <c r="L2" s="52"/>
      <c r="M2" s="52"/>
      <c r="N2" s="54" t="s">
        <v>36</v>
      </c>
      <c r="O2" s="54"/>
      <c r="P2" s="54"/>
      <c r="Q2" s="54"/>
      <c r="R2" s="54"/>
      <c r="S2" s="54"/>
      <c r="T2" s="54"/>
    </row>
    <row r="3" spans="2:20" ht="30">
      <c r="B3" s="27" t="s">
        <v>180</v>
      </c>
      <c r="C3" s="51" t="s">
        <v>2</v>
      </c>
      <c r="D3" s="51" t="s">
        <v>3</v>
      </c>
      <c r="E3" s="68" t="s">
        <v>4</v>
      </c>
      <c r="F3" s="51" t="s">
        <v>5</v>
      </c>
      <c r="G3" s="51" t="s">
        <v>6</v>
      </c>
      <c r="H3" s="51" t="s">
        <v>181</v>
      </c>
      <c r="I3" s="51" t="s">
        <v>36</v>
      </c>
      <c r="J3" s="53" t="s">
        <v>5</v>
      </c>
      <c r="K3" s="69" t="s">
        <v>6</v>
      </c>
      <c r="L3" s="53" t="s">
        <v>181</v>
      </c>
      <c r="M3" s="53" t="s">
        <v>36</v>
      </c>
      <c r="N3" s="55" t="s">
        <v>2</v>
      </c>
      <c r="O3" s="55" t="s">
        <v>3</v>
      </c>
      <c r="P3" s="70" t="s">
        <v>4</v>
      </c>
      <c r="Q3" s="55" t="s">
        <v>5</v>
      </c>
      <c r="R3" s="70" t="s">
        <v>6</v>
      </c>
      <c r="S3" s="55" t="s">
        <v>181</v>
      </c>
      <c r="T3" s="55" t="s">
        <v>36</v>
      </c>
    </row>
    <row r="4" spans="2:20">
      <c r="B4" t="s">
        <v>190</v>
      </c>
      <c r="C4" s="59"/>
      <c r="D4" s="59"/>
      <c r="E4" s="59"/>
      <c r="F4" s="59"/>
      <c r="G4" s="59"/>
      <c r="H4" s="59"/>
      <c r="I4" s="59">
        <f>SUM(C4:H4)</f>
        <v>0</v>
      </c>
      <c r="J4" s="60"/>
      <c r="K4" s="60">
        <f>CEIP_210795!D13</f>
        <v>8000</v>
      </c>
      <c r="L4" s="60"/>
      <c r="M4" s="60">
        <f>SUM(J4:L4)</f>
        <v>8000</v>
      </c>
      <c r="N4" s="61">
        <f t="shared" ref="N4" si="0">C4</f>
        <v>0</v>
      </c>
      <c r="O4" s="61">
        <f t="shared" ref="O4" si="1">D4</f>
        <v>0</v>
      </c>
      <c r="P4" s="61">
        <f t="shared" ref="P4" si="2">E4</f>
        <v>0</v>
      </c>
      <c r="Q4" s="61">
        <f t="shared" ref="Q4" si="3">F4+J4</f>
        <v>0</v>
      </c>
      <c r="R4" s="61">
        <f t="shared" ref="R4" si="4">G4+K4</f>
        <v>8000</v>
      </c>
      <c r="S4" s="61">
        <f t="shared" ref="S4" si="5">H4+L4</f>
        <v>0</v>
      </c>
      <c r="T4" s="61">
        <f>SUM(N4:S4)</f>
        <v>8000</v>
      </c>
    </row>
    <row r="5" spans="2:20">
      <c r="B5" t="s">
        <v>175</v>
      </c>
      <c r="C5" s="56"/>
      <c r="D5" s="56">
        <f>GRC_220066!D23</f>
        <v>15000</v>
      </c>
      <c r="E5" s="56"/>
      <c r="F5" s="56"/>
      <c r="G5" s="56"/>
      <c r="H5" s="56"/>
      <c r="I5" s="56">
        <f>SUM(C5:H5)</f>
        <v>15000</v>
      </c>
      <c r="J5" s="57">
        <f>CEIP_210795!D20</f>
        <v>12000</v>
      </c>
      <c r="K5" s="57"/>
      <c r="L5" s="57">
        <f>CEIP_210795!D28</f>
        <v>45000</v>
      </c>
      <c r="M5" s="57">
        <f>SUM(J5:L5)</f>
        <v>57000</v>
      </c>
      <c r="N5" s="58">
        <f>C5</f>
        <v>0</v>
      </c>
      <c r="O5" s="58">
        <f t="shared" ref="O5:O8" si="6">D5</f>
        <v>15000</v>
      </c>
      <c r="P5" s="58">
        <f t="shared" ref="P5:P8" si="7">E5</f>
        <v>0</v>
      </c>
      <c r="Q5" s="58">
        <f>F5+J5</f>
        <v>12000</v>
      </c>
      <c r="R5" s="58">
        <f t="shared" ref="R5:R8" si="8">G5+K5</f>
        <v>0</v>
      </c>
      <c r="S5" s="58">
        <f t="shared" ref="S5:S8" si="9">H5+L5</f>
        <v>45000</v>
      </c>
      <c r="T5" s="58">
        <f>SUM(N5:S5)</f>
        <v>72000</v>
      </c>
    </row>
    <row r="6" spans="2:20">
      <c r="B6" t="s">
        <v>179</v>
      </c>
      <c r="C6" s="56"/>
      <c r="D6" s="56"/>
      <c r="E6" s="56"/>
      <c r="F6" s="56"/>
      <c r="G6" s="56">
        <f>GRC_220066!D47</f>
        <v>32316</v>
      </c>
      <c r="H6" s="56"/>
      <c r="I6" s="56">
        <f>SUM(C6:H6)</f>
        <v>32316</v>
      </c>
      <c r="J6" s="57"/>
      <c r="K6" s="57"/>
      <c r="L6" s="57"/>
      <c r="M6" s="57">
        <f>SUM(J6:L6)</f>
        <v>0</v>
      </c>
      <c r="N6" s="58">
        <f t="shared" ref="N6:N8" si="10">C6</f>
        <v>0</v>
      </c>
      <c r="O6" s="58">
        <f t="shared" si="6"/>
        <v>0</v>
      </c>
      <c r="P6" s="58">
        <f t="shared" si="7"/>
        <v>0</v>
      </c>
      <c r="Q6" s="58">
        <f t="shared" ref="Q6:Q8" si="11">F6+J6</f>
        <v>0</v>
      </c>
      <c r="R6" s="58">
        <f t="shared" si="8"/>
        <v>32316</v>
      </c>
      <c r="S6" s="58">
        <f t="shared" si="9"/>
        <v>0</v>
      </c>
      <c r="T6" s="58">
        <f t="shared" ref="T6:T8" si="12">SUM(N6:S6)</f>
        <v>32316</v>
      </c>
    </row>
    <row r="7" spans="2:20">
      <c r="B7" t="s">
        <v>178</v>
      </c>
      <c r="C7" s="56">
        <f>GRC_220066!D16</f>
        <v>42027</v>
      </c>
      <c r="D7" s="56"/>
      <c r="E7" s="56"/>
      <c r="F7" s="56"/>
      <c r="G7" s="56"/>
      <c r="H7" s="56"/>
      <c r="I7" s="56">
        <f>SUM(C7:H7)</f>
        <v>42027</v>
      </c>
      <c r="J7" s="57"/>
      <c r="K7" s="57"/>
      <c r="L7" s="57"/>
      <c r="M7" s="57">
        <f>SUM(J7:L7)</f>
        <v>0</v>
      </c>
      <c r="N7" s="58">
        <f t="shared" si="10"/>
        <v>42027</v>
      </c>
      <c r="O7" s="58">
        <f t="shared" si="6"/>
        <v>0</v>
      </c>
      <c r="P7" s="58">
        <f t="shared" si="7"/>
        <v>0</v>
      </c>
      <c r="Q7" s="58">
        <f t="shared" si="11"/>
        <v>0</v>
      </c>
      <c r="R7" s="58">
        <f t="shared" si="8"/>
        <v>0</v>
      </c>
      <c r="S7" s="58">
        <f t="shared" si="9"/>
        <v>0</v>
      </c>
      <c r="T7" s="58">
        <f t="shared" si="12"/>
        <v>42027</v>
      </c>
    </row>
    <row r="8" spans="2:20">
      <c r="B8" t="s">
        <v>177</v>
      </c>
      <c r="C8" s="56"/>
      <c r="D8" s="56"/>
      <c r="E8" s="56"/>
      <c r="F8" s="56">
        <f>GRC_220066!D39</f>
        <v>28031</v>
      </c>
      <c r="G8" s="56"/>
      <c r="H8" s="56">
        <f>GRC_220066!D56</f>
        <v>10500</v>
      </c>
      <c r="I8" s="56">
        <f>SUM(C8:H8)</f>
        <v>38531</v>
      </c>
      <c r="J8" s="57"/>
      <c r="K8" s="57"/>
      <c r="L8" s="57"/>
      <c r="M8" s="57">
        <f>SUM(J8:L8)</f>
        <v>0</v>
      </c>
      <c r="N8" s="58">
        <f t="shared" si="10"/>
        <v>0</v>
      </c>
      <c r="O8" s="58">
        <f t="shared" si="6"/>
        <v>0</v>
      </c>
      <c r="P8" s="58">
        <f t="shared" si="7"/>
        <v>0</v>
      </c>
      <c r="Q8" s="58">
        <f t="shared" si="11"/>
        <v>28031</v>
      </c>
      <c r="R8" s="58">
        <f t="shared" si="8"/>
        <v>0</v>
      </c>
      <c r="S8" s="58">
        <f t="shared" si="9"/>
        <v>10500</v>
      </c>
      <c r="T8" s="58">
        <f t="shared" si="12"/>
        <v>38531</v>
      </c>
    </row>
    <row r="9" spans="2:20">
      <c r="B9" t="s">
        <v>184</v>
      </c>
      <c r="C9" s="62">
        <f t="shared" ref="C9:T9" si="13">SUM(C4:C8)</f>
        <v>42027</v>
      </c>
      <c r="D9" s="62">
        <f t="shared" si="13"/>
        <v>15000</v>
      </c>
      <c r="E9" s="62">
        <f t="shared" si="13"/>
        <v>0</v>
      </c>
      <c r="F9" s="62">
        <f t="shared" si="13"/>
        <v>28031</v>
      </c>
      <c r="G9" s="62">
        <f t="shared" si="13"/>
        <v>32316</v>
      </c>
      <c r="H9" s="62">
        <f t="shared" si="13"/>
        <v>10500</v>
      </c>
      <c r="I9" s="62">
        <f t="shared" si="13"/>
        <v>127874</v>
      </c>
      <c r="J9" s="63">
        <f t="shared" si="13"/>
        <v>12000</v>
      </c>
      <c r="K9" s="63">
        <f t="shared" si="13"/>
        <v>8000</v>
      </c>
      <c r="L9" s="63">
        <f t="shared" si="13"/>
        <v>45000</v>
      </c>
      <c r="M9" s="63">
        <f t="shared" si="13"/>
        <v>65000</v>
      </c>
      <c r="N9" s="64">
        <f t="shared" si="13"/>
        <v>42027</v>
      </c>
      <c r="O9" s="64">
        <f t="shared" si="13"/>
        <v>15000</v>
      </c>
      <c r="P9" s="64">
        <f t="shared" si="13"/>
        <v>0</v>
      </c>
      <c r="Q9" s="64">
        <f t="shared" si="13"/>
        <v>40031</v>
      </c>
      <c r="R9" s="64">
        <f t="shared" si="13"/>
        <v>40316</v>
      </c>
      <c r="S9" s="64">
        <f t="shared" si="13"/>
        <v>55500</v>
      </c>
      <c r="T9" s="123">
        <f t="shared" si="13"/>
        <v>192874</v>
      </c>
    </row>
    <row r="10" spans="2:20">
      <c r="B10" t="s">
        <v>176</v>
      </c>
      <c r="C10" s="56"/>
      <c r="D10" s="56"/>
      <c r="E10" s="56">
        <f>GRC_220066!E31</f>
        <v>45000</v>
      </c>
      <c r="F10" s="56"/>
      <c r="G10" s="56"/>
      <c r="H10" s="56"/>
      <c r="I10" s="56">
        <f>SUM(C10:H10)</f>
        <v>45000</v>
      </c>
      <c r="J10" s="57"/>
      <c r="K10" s="57"/>
      <c r="L10" s="57"/>
      <c r="M10" s="57">
        <f>SUM(J10:L10)</f>
        <v>0</v>
      </c>
      <c r="N10" s="58">
        <f t="shared" ref="N10:N13" si="14">C10</f>
        <v>0</v>
      </c>
      <c r="O10" s="58">
        <f t="shared" ref="O10:O13" si="15">D10</f>
        <v>0</v>
      </c>
      <c r="P10" s="58">
        <f t="shared" ref="P10:P13" si="16">E10</f>
        <v>45000</v>
      </c>
      <c r="Q10" s="58">
        <f t="shared" ref="Q10:Q13" si="17">F10+J10</f>
        <v>0</v>
      </c>
      <c r="R10" s="58">
        <f t="shared" ref="R10:R13" si="18">G10+K10</f>
        <v>0</v>
      </c>
      <c r="S10" s="58">
        <f t="shared" ref="S10:S13" si="19">H10+L10</f>
        <v>0</v>
      </c>
      <c r="T10" s="58">
        <f t="shared" ref="T10:T13" si="20">SUM(N10:S10)</f>
        <v>45000</v>
      </c>
    </row>
    <row r="11" spans="2:20">
      <c r="B11" t="s">
        <v>189</v>
      </c>
      <c r="C11" s="56"/>
      <c r="D11" s="56"/>
      <c r="E11" s="56"/>
      <c r="F11" s="56"/>
      <c r="G11" s="56">
        <f>GRC_220066!E47</f>
        <v>17684</v>
      </c>
      <c r="H11" s="56"/>
      <c r="I11" s="56">
        <f>SUM(C11:H11)</f>
        <v>17684</v>
      </c>
      <c r="J11" s="57"/>
      <c r="K11" s="57"/>
      <c r="L11" s="57"/>
      <c r="M11" s="57">
        <f>SUM(J11:L11)</f>
        <v>0</v>
      </c>
      <c r="N11" s="58">
        <f t="shared" si="14"/>
        <v>0</v>
      </c>
      <c r="O11" s="58">
        <f t="shared" si="15"/>
        <v>0</v>
      </c>
      <c r="P11" s="58">
        <f t="shared" si="16"/>
        <v>0</v>
      </c>
      <c r="Q11" s="58">
        <f t="shared" si="17"/>
        <v>0</v>
      </c>
      <c r="R11" s="58">
        <f t="shared" si="18"/>
        <v>17684</v>
      </c>
      <c r="S11" s="58">
        <f t="shared" si="19"/>
        <v>0</v>
      </c>
      <c r="T11" s="58">
        <f t="shared" si="20"/>
        <v>17684</v>
      </c>
    </row>
    <row r="12" spans="2:20">
      <c r="B12" t="s">
        <v>187</v>
      </c>
      <c r="C12" s="56">
        <f>GRC_220066!E16</f>
        <v>7973</v>
      </c>
      <c r="D12" s="56"/>
      <c r="E12" s="56"/>
      <c r="F12" s="56"/>
      <c r="G12" s="56"/>
      <c r="H12" s="56"/>
      <c r="I12" s="56">
        <f>SUM(C12:H12)</f>
        <v>7973</v>
      </c>
      <c r="J12" s="57"/>
      <c r="K12" s="57"/>
      <c r="L12" s="57"/>
      <c r="M12" s="57">
        <f>SUM(J12:L12)</f>
        <v>0</v>
      </c>
      <c r="N12" s="58">
        <f t="shared" si="14"/>
        <v>7973</v>
      </c>
      <c r="O12" s="58">
        <f t="shared" si="15"/>
        <v>0</v>
      </c>
      <c r="P12" s="58">
        <f t="shared" si="16"/>
        <v>0</v>
      </c>
      <c r="Q12" s="58">
        <f t="shared" si="17"/>
        <v>0</v>
      </c>
      <c r="R12" s="58">
        <f t="shared" si="18"/>
        <v>0</v>
      </c>
      <c r="S12" s="58">
        <f t="shared" si="19"/>
        <v>0</v>
      </c>
      <c r="T12" s="58">
        <f t="shared" si="20"/>
        <v>7973</v>
      </c>
    </row>
    <row r="13" spans="2:20">
      <c r="B13" t="s">
        <v>188</v>
      </c>
      <c r="C13" s="56"/>
      <c r="D13" s="56"/>
      <c r="E13" s="56"/>
      <c r="F13" s="56">
        <f>GRC_220066!E39</f>
        <v>12300</v>
      </c>
      <c r="G13" s="56"/>
      <c r="H13" s="56">
        <f>GRC_220066!E56</f>
        <v>4500</v>
      </c>
      <c r="I13" s="56">
        <f>SUM(C13:H13)</f>
        <v>16800</v>
      </c>
      <c r="J13" s="57"/>
      <c r="K13" s="57"/>
      <c r="L13" s="57"/>
      <c r="M13" s="57">
        <f>SUM(J13:L13)</f>
        <v>0</v>
      </c>
      <c r="N13" s="58">
        <f t="shared" si="14"/>
        <v>0</v>
      </c>
      <c r="O13" s="58">
        <f t="shared" si="15"/>
        <v>0</v>
      </c>
      <c r="P13" s="58">
        <f t="shared" si="16"/>
        <v>0</v>
      </c>
      <c r="Q13" s="58">
        <f t="shared" si="17"/>
        <v>12300</v>
      </c>
      <c r="R13" s="58">
        <f t="shared" si="18"/>
        <v>0</v>
      </c>
      <c r="S13" s="58">
        <f t="shared" si="19"/>
        <v>4500</v>
      </c>
      <c r="T13" s="58">
        <f t="shared" si="20"/>
        <v>16800</v>
      </c>
    </row>
    <row r="14" spans="2:20">
      <c r="B14" t="s">
        <v>185</v>
      </c>
      <c r="C14" s="62">
        <f t="shared" ref="C14:T14" si="21">SUM(C10:C13)</f>
        <v>7973</v>
      </c>
      <c r="D14" s="62">
        <f t="shared" si="21"/>
        <v>0</v>
      </c>
      <c r="E14" s="62">
        <f t="shared" si="21"/>
        <v>45000</v>
      </c>
      <c r="F14" s="62">
        <f t="shared" si="21"/>
        <v>12300</v>
      </c>
      <c r="G14" s="62">
        <f t="shared" si="21"/>
        <v>17684</v>
      </c>
      <c r="H14" s="62">
        <f t="shared" si="21"/>
        <v>4500</v>
      </c>
      <c r="I14" s="62">
        <f t="shared" si="21"/>
        <v>87457</v>
      </c>
      <c r="J14" s="63">
        <f t="shared" si="21"/>
        <v>0</v>
      </c>
      <c r="K14" s="63">
        <f t="shared" si="21"/>
        <v>0</v>
      </c>
      <c r="L14" s="63">
        <f t="shared" si="21"/>
        <v>0</v>
      </c>
      <c r="M14" s="63">
        <f t="shared" si="21"/>
        <v>0</v>
      </c>
      <c r="N14" s="64">
        <f t="shared" si="21"/>
        <v>7973</v>
      </c>
      <c r="O14" s="64">
        <f t="shared" si="21"/>
        <v>0</v>
      </c>
      <c r="P14" s="64">
        <f t="shared" si="21"/>
        <v>45000</v>
      </c>
      <c r="Q14" s="64">
        <f t="shared" si="21"/>
        <v>12300</v>
      </c>
      <c r="R14" s="64">
        <f t="shared" si="21"/>
        <v>17684</v>
      </c>
      <c r="S14" s="64">
        <f t="shared" si="21"/>
        <v>4500</v>
      </c>
      <c r="T14" s="64">
        <f t="shared" si="21"/>
        <v>87457</v>
      </c>
    </row>
    <row r="15" spans="2:20" ht="15.75" thickBot="1">
      <c r="B15" t="s">
        <v>186</v>
      </c>
      <c r="C15" s="65">
        <f t="shared" ref="C15:T15" si="22">C9+C14</f>
        <v>50000</v>
      </c>
      <c r="D15" s="65">
        <f t="shared" si="22"/>
        <v>15000</v>
      </c>
      <c r="E15" s="65">
        <f t="shared" si="22"/>
        <v>45000</v>
      </c>
      <c r="F15" s="65">
        <f t="shared" si="22"/>
        <v>40331</v>
      </c>
      <c r="G15" s="65">
        <f t="shared" si="22"/>
        <v>50000</v>
      </c>
      <c r="H15" s="65">
        <f t="shared" si="22"/>
        <v>15000</v>
      </c>
      <c r="I15" s="65">
        <f t="shared" si="22"/>
        <v>215331</v>
      </c>
      <c r="J15" s="66">
        <f t="shared" si="22"/>
        <v>12000</v>
      </c>
      <c r="K15" s="66">
        <f t="shared" si="22"/>
        <v>8000</v>
      </c>
      <c r="L15" s="66">
        <f t="shared" si="22"/>
        <v>45000</v>
      </c>
      <c r="M15" s="66">
        <f t="shared" si="22"/>
        <v>65000</v>
      </c>
      <c r="N15" s="67">
        <f t="shared" si="22"/>
        <v>50000</v>
      </c>
      <c r="O15" s="67">
        <f t="shared" si="22"/>
        <v>15000</v>
      </c>
      <c r="P15" s="67">
        <f t="shared" si="22"/>
        <v>45000</v>
      </c>
      <c r="Q15" s="67">
        <f t="shared" si="22"/>
        <v>52331</v>
      </c>
      <c r="R15" s="67">
        <f t="shared" si="22"/>
        <v>58000</v>
      </c>
      <c r="S15" s="67">
        <f t="shared" si="22"/>
        <v>60000</v>
      </c>
      <c r="T15" s="124">
        <f t="shared" si="22"/>
        <v>280331</v>
      </c>
    </row>
    <row r="16" spans="2:20" ht="15.75" thickTop="1">
      <c r="I16" s="75">
        <f>GRC_220066!B8-I15</f>
        <v>0</v>
      </c>
      <c r="M16" s="75">
        <f>CEIP_210795!B5-M15</f>
        <v>0</v>
      </c>
      <c r="T16" s="75">
        <f>M15+I15-T15</f>
        <v>0</v>
      </c>
    </row>
    <row r="18" spans="2:20">
      <c r="B18" t="s">
        <v>191</v>
      </c>
      <c r="C18" s="76">
        <f>C4+C6</f>
        <v>0</v>
      </c>
      <c r="D18" s="76">
        <f t="shared" ref="D18:J18" si="23">D4+D6</f>
        <v>0</v>
      </c>
      <c r="E18" s="76">
        <f t="shared" si="23"/>
        <v>0</v>
      </c>
      <c r="F18" s="76">
        <f t="shared" si="23"/>
        <v>0</v>
      </c>
      <c r="G18" s="76">
        <f t="shared" si="23"/>
        <v>32316</v>
      </c>
      <c r="H18" s="76">
        <f t="shared" si="23"/>
        <v>0</v>
      </c>
      <c r="I18" s="76">
        <f t="shared" si="23"/>
        <v>32316</v>
      </c>
      <c r="J18" s="60">
        <f t="shared" si="23"/>
        <v>0</v>
      </c>
      <c r="K18" s="60">
        <f t="shared" ref="K18:T18" si="24">K4+K6</f>
        <v>8000</v>
      </c>
      <c r="L18" s="60">
        <f t="shared" si="24"/>
        <v>0</v>
      </c>
      <c r="M18" s="60">
        <f t="shared" si="24"/>
        <v>8000</v>
      </c>
      <c r="N18" s="61">
        <f t="shared" si="24"/>
        <v>0</v>
      </c>
      <c r="O18" s="61">
        <f t="shared" si="24"/>
        <v>0</v>
      </c>
      <c r="P18" s="61">
        <f t="shared" si="24"/>
        <v>0</v>
      </c>
      <c r="Q18" s="61">
        <f t="shared" si="24"/>
        <v>0</v>
      </c>
      <c r="R18" s="61">
        <f t="shared" si="24"/>
        <v>40316</v>
      </c>
      <c r="S18" s="61">
        <f t="shared" si="24"/>
        <v>0</v>
      </c>
      <c r="T18" s="61">
        <f t="shared" si="24"/>
        <v>40316</v>
      </c>
    </row>
    <row r="19" spans="2:20">
      <c r="B19" t="s">
        <v>192</v>
      </c>
      <c r="C19" s="56">
        <f>C7</f>
        <v>42027</v>
      </c>
      <c r="D19" s="56">
        <f t="shared" ref="D19:J19" si="25">D7</f>
        <v>0</v>
      </c>
      <c r="E19" s="56">
        <f t="shared" si="25"/>
        <v>0</v>
      </c>
      <c r="F19" s="56">
        <f t="shared" si="25"/>
        <v>0</v>
      </c>
      <c r="G19" s="56">
        <f t="shared" si="25"/>
        <v>0</v>
      </c>
      <c r="H19" s="56">
        <f t="shared" si="25"/>
        <v>0</v>
      </c>
      <c r="I19" s="56">
        <f t="shared" si="25"/>
        <v>42027</v>
      </c>
      <c r="J19" s="57">
        <f t="shared" si="25"/>
        <v>0</v>
      </c>
      <c r="K19" s="57">
        <f t="shared" ref="K19:T19" si="26">K7</f>
        <v>0</v>
      </c>
      <c r="L19" s="57">
        <f t="shared" si="26"/>
        <v>0</v>
      </c>
      <c r="M19" s="57">
        <f t="shared" si="26"/>
        <v>0</v>
      </c>
      <c r="N19" s="58">
        <f t="shared" si="26"/>
        <v>42027</v>
      </c>
      <c r="O19" s="58">
        <f t="shared" si="26"/>
        <v>0</v>
      </c>
      <c r="P19" s="58">
        <f t="shared" si="26"/>
        <v>0</v>
      </c>
      <c r="Q19" s="58">
        <f t="shared" si="26"/>
        <v>0</v>
      </c>
      <c r="R19" s="58">
        <f t="shared" si="26"/>
        <v>0</v>
      </c>
      <c r="S19" s="58">
        <f t="shared" si="26"/>
        <v>0</v>
      </c>
      <c r="T19" s="58">
        <f t="shared" si="26"/>
        <v>42027</v>
      </c>
    </row>
    <row r="20" spans="2:20">
      <c r="B20" t="s">
        <v>193</v>
      </c>
      <c r="C20" s="56">
        <f>C5+C8</f>
        <v>0</v>
      </c>
      <c r="D20" s="56">
        <f t="shared" ref="D20:J20" si="27">D5+D8</f>
        <v>15000</v>
      </c>
      <c r="E20" s="56">
        <f t="shared" si="27"/>
        <v>0</v>
      </c>
      <c r="F20" s="56">
        <f t="shared" si="27"/>
        <v>28031</v>
      </c>
      <c r="G20" s="56">
        <f t="shared" si="27"/>
        <v>0</v>
      </c>
      <c r="H20" s="56">
        <f t="shared" si="27"/>
        <v>10500</v>
      </c>
      <c r="I20" s="56">
        <f t="shared" si="27"/>
        <v>53531</v>
      </c>
      <c r="J20" s="57">
        <f t="shared" si="27"/>
        <v>12000</v>
      </c>
      <c r="K20" s="57">
        <f t="shared" ref="K20:T20" si="28">K5+K8</f>
        <v>0</v>
      </c>
      <c r="L20" s="57">
        <f t="shared" si="28"/>
        <v>45000</v>
      </c>
      <c r="M20" s="57">
        <f t="shared" si="28"/>
        <v>57000</v>
      </c>
      <c r="N20" s="58">
        <f t="shared" si="28"/>
        <v>0</v>
      </c>
      <c r="O20" s="58">
        <f t="shared" si="28"/>
        <v>15000</v>
      </c>
      <c r="P20" s="58">
        <f t="shared" si="28"/>
        <v>0</v>
      </c>
      <c r="Q20" s="58">
        <f t="shared" si="28"/>
        <v>40031</v>
      </c>
      <c r="R20" s="58">
        <f t="shared" si="28"/>
        <v>0</v>
      </c>
      <c r="S20" s="58">
        <f t="shared" si="28"/>
        <v>55500</v>
      </c>
      <c r="T20" s="58">
        <f t="shared" si="28"/>
        <v>110531</v>
      </c>
    </row>
    <row r="21" spans="2:20">
      <c r="B21" t="s">
        <v>184</v>
      </c>
      <c r="C21" s="77">
        <f>SUM(C18:C20)</f>
        <v>42027</v>
      </c>
      <c r="D21" s="77">
        <f t="shared" ref="D21:J21" si="29">SUM(D18:D20)</f>
        <v>15000</v>
      </c>
      <c r="E21" s="77">
        <f t="shared" si="29"/>
        <v>0</v>
      </c>
      <c r="F21" s="77">
        <f t="shared" si="29"/>
        <v>28031</v>
      </c>
      <c r="G21" s="77">
        <f t="shared" si="29"/>
        <v>32316</v>
      </c>
      <c r="H21" s="77">
        <f t="shared" si="29"/>
        <v>10500</v>
      </c>
      <c r="I21" s="77">
        <f t="shared" si="29"/>
        <v>127874</v>
      </c>
      <c r="J21" s="78">
        <f t="shared" si="29"/>
        <v>12000</v>
      </c>
      <c r="K21" s="78">
        <f t="shared" ref="K21" si="30">SUM(K18:K20)</f>
        <v>8000</v>
      </c>
      <c r="L21" s="78">
        <f t="shared" ref="L21" si="31">SUM(L18:L20)</f>
        <v>45000</v>
      </c>
      <c r="M21" s="78">
        <f t="shared" ref="M21" si="32">SUM(M18:M20)</f>
        <v>65000</v>
      </c>
      <c r="N21" s="79">
        <f t="shared" ref="N21" si="33">SUM(N18:N20)</f>
        <v>42027</v>
      </c>
      <c r="O21" s="79">
        <f t="shared" ref="O21" si="34">SUM(O18:O20)</f>
        <v>15000</v>
      </c>
      <c r="P21" s="79">
        <f t="shared" ref="P21:Q21" si="35">SUM(P18:P20)</f>
        <v>0</v>
      </c>
      <c r="Q21" s="79">
        <f t="shared" si="35"/>
        <v>40031</v>
      </c>
      <c r="R21" s="79">
        <f t="shared" ref="R21" si="36">SUM(R18:R20)</f>
        <v>40316</v>
      </c>
      <c r="S21" s="79">
        <f t="shared" ref="S21" si="37">SUM(S18:S20)</f>
        <v>55500</v>
      </c>
      <c r="T21" s="79">
        <f t="shared" ref="T21" si="38">SUM(T18:T20)</f>
        <v>192874</v>
      </c>
    </row>
    <row r="22" spans="2:20">
      <c r="B22" t="s">
        <v>194</v>
      </c>
      <c r="C22" s="56">
        <f>C11</f>
        <v>0</v>
      </c>
      <c r="D22" s="56">
        <f t="shared" ref="D22:J22" si="39">D11</f>
        <v>0</v>
      </c>
      <c r="E22" s="56">
        <f t="shared" si="39"/>
        <v>0</v>
      </c>
      <c r="F22" s="56">
        <f t="shared" si="39"/>
        <v>0</v>
      </c>
      <c r="G22" s="56">
        <f t="shared" si="39"/>
        <v>17684</v>
      </c>
      <c r="H22" s="56">
        <f t="shared" si="39"/>
        <v>0</v>
      </c>
      <c r="I22" s="56">
        <f t="shared" si="39"/>
        <v>17684</v>
      </c>
      <c r="J22" s="57">
        <f t="shared" si="39"/>
        <v>0</v>
      </c>
      <c r="K22" s="57">
        <f t="shared" ref="K22:T22" si="40">K11</f>
        <v>0</v>
      </c>
      <c r="L22" s="57">
        <f t="shared" si="40"/>
        <v>0</v>
      </c>
      <c r="M22" s="57">
        <f t="shared" si="40"/>
        <v>0</v>
      </c>
      <c r="N22" s="58">
        <f t="shared" si="40"/>
        <v>0</v>
      </c>
      <c r="O22" s="58">
        <f t="shared" si="40"/>
        <v>0</v>
      </c>
      <c r="P22" s="58">
        <f t="shared" si="40"/>
        <v>0</v>
      </c>
      <c r="Q22" s="58">
        <f t="shared" si="40"/>
        <v>0</v>
      </c>
      <c r="R22" s="58">
        <f t="shared" si="40"/>
        <v>17684</v>
      </c>
      <c r="S22" s="58">
        <f t="shared" si="40"/>
        <v>0</v>
      </c>
      <c r="T22" s="58">
        <f t="shared" si="40"/>
        <v>17684</v>
      </c>
    </row>
    <row r="23" spans="2:20">
      <c r="B23" t="s">
        <v>195</v>
      </c>
      <c r="C23" s="56">
        <f>C12</f>
        <v>7973</v>
      </c>
      <c r="D23" s="56">
        <f t="shared" ref="D23:J23" si="41">D12</f>
        <v>0</v>
      </c>
      <c r="E23" s="56">
        <f t="shared" si="41"/>
        <v>0</v>
      </c>
      <c r="F23" s="56">
        <f t="shared" si="41"/>
        <v>0</v>
      </c>
      <c r="G23" s="56">
        <f t="shared" si="41"/>
        <v>0</v>
      </c>
      <c r="H23" s="56">
        <f t="shared" si="41"/>
        <v>0</v>
      </c>
      <c r="I23" s="56">
        <f t="shared" si="41"/>
        <v>7973</v>
      </c>
      <c r="J23" s="57">
        <f t="shared" si="41"/>
        <v>0</v>
      </c>
      <c r="K23" s="57">
        <f t="shared" ref="K23:T23" si="42">K12</f>
        <v>0</v>
      </c>
      <c r="L23" s="57">
        <f t="shared" si="42"/>
        <v>0</v>
      </c>
      <c r="M23" s="57">
        <f t="shared" si="42"/>
        <v>0</v>
      </c>
      <c r="N23" s="58">
        <f t="shared" si="42"/>
        <v>7973</v>
      </c>
      <c r="O23" s="58">
        <f t="shared" si="42"/>
        <v>0</v>
      </c>
      <c r="P23" s="58">
        <f t="shared" si="42"/>
        <v>0</v>
      </c>
      <c r="Q23" s="58">
        <f t="shared" si="42"/>
        <v>0</v>
      </c>
      <c r="R23" s="58">
        <f t="shared" si="42"/>
        <v>0</v>
      </c>
      <c r="S23" s="58">
        <f t="shared" si="42"/>
        <v>0</v>
      </c>
      <c r="T23" s="58">
        <f t="shared" si="42"/>
        <v>7973</v>
      </c>
    </row>
    <row r="24" spans="2:20">
      <c r="B24" t="s">
        <v>196</v>
      </c>
      <c r="C24" s="56">
        <f>C10+C13</f>
        <v>0</v>
      </c>
      <c r="D24" s="56">
        <f t="shared" ref="D24:J24" si="43">D10+D13</f>
        <v>0</v>
      </c>
      <c r="E24" s="56">
        <f t="shared" si="43"/>
        <v>45000</v>
      </c>
      <c r="F24" s="56">
        <f t="shared" si="43"/>
        <v>12300</v>
      </c>
      <c r="G24" s="56">
        <f t="shared" si="43"/>
        <v>0</v>
      </c>
      <c r="H24" s="56">
        <f t="shared" si="43"/>
        <v>4500</v>
      </c>
      <c r="I24" s="56">
        <f t="shared" si="43"/>
        <v>61800</v>
      </c>
      <c r="J24" s="57">
        <f t="shared" si="43"/>
        <v>0</v>
      </c>
      <c r="K24" s="57">
        <f t="shared" ref="K24:T24" si="44">K10+K13</f>
        <v>0</v>
      </c>
      <c r="L24" s="57">
        <f t="shared" si="44"/>
        <v>0</v>
      </c>
      <c r="M24" s="57">
        <f t="shared" si="44"/>
        <v>0</v>
      </c>
      <c r="N24" s="58">
        <f t="shared" si="44"/>
        <v>0</v>
      </c>
      <c r="O24" s="58">
        <f t="shared" si="44"/>
        <v>0</v>
      </c>
      <c r="P24" s="58">
        <f t="shared" si="44"/>
        <v>45000</v>
      </c>
      <c r="Q24" s="58">
        <f t="shared" si="44"/>
        <v>12300</v>
      </c>
      <c r="R24" s="58">
        <f t="shared" si="44"/>
        <v>0</v>
      </c>
      <c r="S24" s="58">
        <f t="shared" si="44"/>
        <v>4500</v>
      </c>
      <c r="T24" s="58">
        <f t="shared" si="44"/>
        <v>61800</v>
      </c>
    </row>
    <row r="25" spans="2:20">
      <c r="B25" t="s">
        <v>185</v>
      </c>
      <c r="C25" s="62">
        <f>SUM(C22:C24)</f>
        <v>7973</v>
      </c>
      <c r="D25" s="62">
        <f t="shared" ref="D25:J25" si="45">SUM(D22:D24)</f>
        <v>0</v>
      </c>
      <c r="E25" s="62">
        <f t="shared" si="45"/>
        <v>45000</v>
      </c>
      <c r="F25" s="62">
        <f t="shared" si="45"/>
        <v>12300</v>
      </c>
      <c r="G25" s="62">
        <f t="shared" si="45"/>
        <v>17684</v>
      </c>
      <c r="H25" s="62">
        <f t="shared" si="45"/>
        <v>4500</v>
      </c>
      <c r="I25" s="62">
        <f t="shared" si="45"/>
        <v>87457</v>
      </c>
      <c r="J25" s="63">
        <f t="shared" si="45"/>
        <v>0</v>
      </c>
      <c r="K25" s="63">
        <f t="shared" ref="K25" si="46">SUM(K22:K24)</f>
        <v>0</v>
      </c>
      <c r="L25" s="63">
        <f t="shared" ref="L25" si="47">SUM(L22:L24)</f>
        <v>0</v>
      </c>
      <c r="M25" s="63">
        <f t="shared" ref="M25" si="48">SUM(M22:M24)</f>
        <v>0</v>
      </c>
      <c r="N25" s="64">
        <f t="shared" ref="N25" si="49">SUM(N22:N24)</f>
        <v>7973</v>
      </c>
      <c r="O25" s="64">
        <f t="shared" ref="O25" si="50">SUM(O22:O24)</f>
        <v>0</v>
      </c>
      <c r="P25" s="64">
        <f t="shared" ref="P25:Q25" si="51">SUM(P22:P24)</f>
        <v>45000</v>
      </c>
      <c r="Q25" s="64">
        <f t="shared" si="51"/>
        <v>12300</v>
      </c>
      <c r="R25" s="64">
        <f t="shared" ref="R25" si="52">SUM(R22:R24)</f>
        <v>17684</v>
      </c>
      <c r="S25" s="64">
        <f t="shared" ref="S25" si="53">SUM(S22:S24)</f>
        <v>4500</v>
      </c>
      <c r="T25" s="64">
        <f t="shared" ref="T25" si="54">SUM(T22:T24)</f>
        <v>87457</v>
      </c>
    </row>
    <row r="26" spans="2:20" ht="15.75" thickBot="1">
      <c r="B26" t="s">
        <v>186</v>
      </c>
      <c r="C26" s="65">
        <f>C21+C25</f>
        <v>50000</v>
      </c>
      <c r="D26" s="65">
        <f t="shared" ref="D26:J26" si="55">D21+D25</f>
        <v>15000</v>
      </c>
      <c r="E26" s="65">
        <f t="shared" si="55"/>
        <v>45000</v>
      </c>
      <c r="F26" s="65">
        <f t="shared" si="55"/>
        <v>40331</v>
      </c>
      <c r="G26" s="65">
        <f t="shared" si="55"/>
        <v>50000</v>
      </c>
      <c r="H26" s="65">
        <f t="shared" si="55"/>
        <v>15000</v>
      </c>
      <c r="I26" s="65">
        <f t="shared" si="55"/>
        <v>215331</v>
      </c>
      <c r="J26" s="66">
        <f t="shared" si="55"/>
        <v>12000</v>
      </c>
      <c r="K26" s="66">
        <f t="shared" ref="K26" si="56">K21+K25</f>
        <v>8000</v>
      </c>
      <c r="L26" s="66">
        <f t="shared" ref="L26" si="57">L21+L25</f>
        <v>45000</v>
      </c>
      <c r="M26" s="66">
        <f t="shared" ref="M26" si="58">M21+M25</f>
        <v>65000</v>
      </c>
      <c r="N26" s="67">
        <f t="shared" ref="N26" si="59">N21+N25</f>
        <v>50000</v>
      </c>
      <c r="O26" s="67">
        <f t="shared" ref="O26" si="60">O21+O25</f>
        <v>15000</v>
      </c>
      <c r="P26" s="67">
        <f t="shared" ref="P26:Q26" si="61">P21+P25</f>
        <v>45000</v>
      </c>
      <c r="Q26" s="67">
        <f t="shared" si="61"/>
        <v>52331</v>
      </c>
      <c r="R26" s="67">
        <f t="shared" ref="R26" si="62">R21+R25</f>
        <v>58000</v>
      </c>
      <c r="S26" s="67">
        <f t="shared" ref="S26" si="63">S21+S25</f>
        <v>60000</v>
      </c>
      <c r="T26" s="67">
        <f t="shared" ref="T26" si="64">T21+T25</f>
        <v>280331</v>
      </c>
    </row>
    <row r="27" spans="2:20" ht="15.75" thickTop="1"/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3" zoomScale="70" zoomScaleNormal="70" workbookViewId="0">
      <selection activeCell="D47" sqref="D47"/>
    </sheetView>
  </sheetViews>
  <sheetFormatPr defaultRowHeight="15"/>
  <cols>
    <col min="1" max="1" width="18.42578125" bestFit="1" customWidth="1"/>
    <col min="2" max="2" width="14.42578125" bestFit="1" customWidth="1"/>
    <col min="3" max="3" width="18.140625" bestFit="1" customWidth="1"/>
    <col min="4" max="4" width="20.28515625" bestFit="1" customWidth="1"/>
    <col min="5" max="5" width="19.28515625" bestFit="1" customWidth="1"/>
    <col min="6" max="6" width="13.85546875" bestFit="1" customWidth="1"/>
    <col min="7" max="7" width="18.42578125" bestFit="1" customWidth="1"/>
    <col min="8" max="8" width="11.5703125" bestFit="1" customWidth="1"/>
    <col min="9" max="9" width="16.5703125" bestFit="1" customWidth="1"/>
    <col min="10" max="10" width="16.42578125" bestFit="1" customWidth="1"/>
    <col min="11" max="11" width="39.140625" bestFit="1" customWidth="1"/>
    <col min="12" max="12" width="16.5703125" bestFit="1" customWidth="1"/>
    <col min="14" max="14" width="30.28515625" bestFit="1" customWidth="1"/>
  </cols>
  <sheetData>
    <row r="1" spans="1:8">
      <c r="A1" s="3" t="s">
        <v>0</v>
      </c>
      <c r="B1" s="3" t="s">
        <v>1</v>
      </c>
      <c r="C1" s="3" t="s">
        <v>7</v>
      </c>
      <c r="D1" s="3" t="s">
        <v>16</v>
      </c>
      <c r="E1" s="3" t="s">
        <v>10</v>
      </c>
      <c r="H1" s="2"/>
    </row>
    <row r="2" spans="1:8">
      <c r="A2" t="s">
        <v>2</v>
      </c>
      <c r="B2" s="1">
        <v>50000</v>
      </c>
      <c r="C2" s="1" t="s">
        <v>8</v>
      </c>
      <c r="D2" s="1" t="s">
        <v>9</v>
      </c>
      <c r="E2" t="s">
        <v>14</v>
      </c>
      <c r="H2" s="2"/>
    </row>
    <row r="3" spans="1:8">
      <c r="A3" t="s">
        <v>3</v>
      </c>
      <c r="B3" s="1">
        <v>15000</v>
      </c>
      <c r="C3" s="1" t="s">
        <v>11</v>
      </c>
      <c r="D3" s="1"/>
      <c r="E3" t="s">
        <v>12</v>
      </c>
      <c r="H3" s="2"/>
    </row>
    <row r="4" spans="1:8">
      <c r="A4" t="s">
        <v>4</v>
      </c>
      <c r="B4" s="1">
        <v>45000</v>
      </c>
      <c r="C4" s="1" t="s">
        <v>13</v>
      </c>
      <c r="D4" s="1"/>
      <c r="E4" t="s">
        <v>12</v>
      </c>
      <c r="H4" s="2"/>
    </row>
    <row r="5" spans="1:8">
      <c r="A5" t="s">
        <v>5</v>
      </c>
      <c r="B5" s="1">
        <v>40331</v>
      </c>
      <c r="C5" s="1" t="s">
        <v>8</v>
      </c>
      <c r="D5" s="1" t="s">
        <v>9</v>
      </c>
      <c r="E5" t="s">
        <v>12</v>
      </c>
      <c r="H5" s="2"/>
    </row>
    <row r="6" spans="1:8">
      <c r="A6" t="s">
        <v>6</v>
      </c>
      <c r="B6" s="1">
        <v>50000</v>
      </c>
      <c r="C6" s="1" t="s">
        <v>8</v>
      </c>
      <c r="D6" s="1" t="s">
        <v>9</v>
      </c>
      <c r="E6" t="s">
        <v>15</v>
      </c>
      <c r="H6" s="2"/>
    </row>
    <row r="7" spans="1:8">
      <c r="A7" t="s">
        <v>106</v>
      </c>
      <c r="B7" s="4">
        <v>15000</v>
      </c>
      <c r="C7" s="1" t="s">
        <v>8</v>
      </c>
      <c r="D7" s="1" t="s">
        <v>9</v>
      </c>
      <c r="E7" t="s">
        <v>12</v>
      </c>
      <c r="H7" s="2"/>
    </row>
    <row r="8" spans="1:8">
      <c r="B8" s="2">
        <f>SUM(B2:B7)</f>
        <v>215331</v>
      </c>
      <c r="C8" s="2"/>
      <c r="D8" s="2"/>
      <c r="H8" s="2"/>
    </row>
    <row r="9" spans="1:8">
      <c r="A9" s="23"/>
    </row>
    <row r="10" spans="1:8">
      <c r="D10" s="23"/>
      <c r="E10" s="23"/>
      <c r="H10" s="24" t="s">
        <v>108</v>
      </c>
    </row>
    <row r="11" spans="1:8" ht="15.75" thickBot="1">
      <c r="D11" s="22">
        <v>92800003</v>
      </c>
      <c r="E11" s="22">
        <v>92800302</v>
      </c>
    </row>
    <row r="12" spans="1:8">
      <c r="A12" s="8"/>
      <c r="B12" s="9"/>
      <c r="C12" s="9"/>
      <c r="D12" s="10" t="s">
        <v>87</v>
      </c>
      <c r="E12" s="10" t="s">
        <v>87</v>
      </c>
      <c r="F12" s="11"/>
    </row>
    <row r="13" spans="1:8">
      <c r="A13" s="12"/>
      <c r="B13" s="13"/>
      <c r="C13" s="13"/>
      <c r="D13" s="14" t="s">
        <v>100</v>
      </c>
      <c r="E13" s="14" t="s">
        <v>101</v>
      </c>
      <c r="F13" s="15"/>
    </row>
    <row r="14" spans="1:8">
      <c r="A14" s="12"/>
      <c r="B14" s="13"/>
      <c r="C14" s="13"/>
      <c r="D14" s="16">
        <f>-'Billed E'!H31</f>
        <v>106578556.95</v>
      </c>
      <c r="E14" s="16">
        <f>'Billed G'!N31</f>
        <v>20219473.760000002</v>
      </c>
      <c r="F14" s="15"/>
    </row>
    <row r="15" spans="1:8">
      <c r="A15" s="12" t="s">
        <v>2</v>
      </c>
      <c r="B15" s="13"/>
      <c r="C15" s="13"/>
      <c r="D15" s="17">
        <f>D14/SUM(D14:E14)</f>
        <v>0.84053795120648211</v>
      </c>
      <c r="E15" s="17">
        <f>E14/SUM(D14:E14)</f>
        <v>0.15946204879351789</v>
      </c>
      <c r="F15" s="15"/>
    </row>
    <row r="16" spans="1:8" ht="15.75" thickBot="1">
      <c r="A16" s="18"/>
      <c r="B16" s="19">
        <v>50000</v>
      </c>
      <c r="C16" s="20"/>
      <c r="D16" s="21">
        <f>ROUND(B16*D15,0)</f>
        <v>42027</v>
      </c>
      <c r="E16" s="21">
        <f>ROUND(B16*E15,0)</f>
        <v>7973</v>
      </c>
      <c r="F16" s="72">
        <f>SUM(D16:E16)</f>
        <v>50000</v>
      </c>
    </row>
    <row r="17" spans="1:6">
      <c r="F17" s="71"/>
    </row>
    <row r="18" spans="1:6" ht="15.75" thickBot="1">
      <c r="F18" s="71"/>
    </row>
    <row r="19" spans="1:6">
      <c r="A19" s="8"/>
      <c r="B19" s="9"/>
      <c r="C19" s="9"/>
      <c r="D19" s="10" t="s">
        <v>87</v>
      </c>
      <c r="E19" s="10" t="s">
        <v>87</v>
      </c>
      <c r="F19" s="73"/>
    </row>
    <row r="20" spans="1:6">
      <c r="A20" s="12"/>
      <c r="B20" s="13"/>
      <c r="C20" s="13"/>
      <c r="D20" s="14" t="s">
        <v>105</v>
      </c>
      <c r="E20" s="14" t="s">
        <v>104</v>
      </c>
      <c r="F20" s="74"/>
    </row>
    <row r="21" spans="1:6">
      <c r="A21" s="12"/>
      <c r="B21" s="13"/>
      <c r="C21" s="13"/>
      <c r="D21" s="16"/>
      <c r="E21" s="16"/>
      <c r="F21" s="74"/>
    </row>
    <row r="22" spans="1:6">
      <c r="A22" t="s">
        <v>3</v>
      </c>
      <c r="B22" s="13"/>
      <c r="C22" s="13"/>
      <c r="D22" s="17"/>
      <c r="E22" s="17"/>
      <c r="F22" s="74"/>
    </row>
    <row r="23" spans="1:6" ht="15.75" thickBot="1">
      <c r="A23" s="18"/>
      <c r="B23" s="19">
        <v>15000</v>
      </c>
      <c r="C23" s="20"/>
      <c r="D23" s="21">
        <v>15000</v>
      </c>
      <c r="E23" s="21"/>
      <c r="F23" s="72">
        <f>SUM(D23:E23)</f>
        <v>15000</v>
      </c>
    </row>
    <row r="24" spans="1:6">
      <c r="F24" s="71"/>
    </row>
    <row r="25" spans="1:6">
      <c r="F25" s="71"/>
    </row>
    <row r="26" spans="1:6" ht="15.75" thickBot="1">
      <c r="F26" s="71"/>
    </row>
    <row r="27" spans="1:6">
      <c r="A27" s="8"/>
      <c r="B27" s="9"/>
      <c r="C27" s="9"/>
      <c r="D27" s="10" t="s">
        <v>87</v>
      </c>
      <c r="E27" s="10" t="s">
        <v>87</v>
      </c>
      <c r="F27" s="73"/>
    </row>
    <row r="28" spans="1:6">
      <c r="A28" s="12"/>
      <c r="B28" s="13"/>
      <c r="C28" s="13"/>
      <c r="D28" s="14" t="s">
        <v>105</v>
      </c>
      <c r="E28" s="14" t="s">
        <v>104</v>
      </c>
      <c r="F28" s="74"/>
    </row>
    <row r="29" spans="1:6">
      <c r="A29" s="12"/>
      <c r="B29" s="13"/>
      <c r="C29" s="13"/>
      <c r="D29" s="16"/>
      <c r="E29" s="16"/>
      <c r="F29" s="74"/>
    </row>
    <row r="30" spans="1:6">
      <c r="A30" t="s">
        <v>4</v>
      </c>
      <c r="B30" s="13"/>
      <c r="C30" s="13"/>
      <c r="D30" s="17"/>
      <c r="E30" s="17"/>
      <c r="F30" s="74"/>
    </row>
    <row r="31" spans="1:6" ht="15.75" thickBot="1">
      <c r="A31" s="18"/>
      <c r="B31" s="19">
        <v>45000</v>
      </c>
      <c r="C31" s="20"/>
      <c r="D31" s="21"/>
      <c r="E31" s="21">
        <f>B31</f>
        <v>45000</v>
      </c>
      <c r="F31" s="72">
        <f>SUM(D31:E31)</f>
        <v>45000</v>
      </c>
    </row>
    <row r="32" spans="1:6">
      <c r="F32" s="71"/>
    </row>
    <row r="33" spans="1:6">
      <c r="F33" s="71"/>
    </row>
    <row r="34" spans="1:6" ht="15.75" thickBot="1">
      <c r="F34" s="71"/>
    </row>
    <row r="35" spans="1:6">
      <c r="A35" s="8"/>
      <c r="B35" s="9"/>
      <c r="C35" s="9"/>
      <c r="D35" s="10" t="s">
        <v>87</v>
      </c>
      <c r="E35" s="10" t="s">
        <v>87</v>
      </c>
      <c r="F35" s="73"/>
    </row>
    <row r="36" spans="1:6">
      <c r="A36" s="12"/>
      <c r="B36" s="13"/>
      <c r="C36" s="13"/>
      <c r="D36" s="14" t="s">
        <v>105</v>
      </c>
      <c r="E36" s="14" t="s">
        <v>104</v>
      </c>
      <c r="F36" s="74"/>
    </row>
    <row r="37" spans="1:6">
      <c r="A37" s="12"/>
      <c r="B37" s="13"/>
      <c r="C37" s="13"/>
      <c r="D37" s="16">
        <f>-'Billed E'!$H$33</f>
        <v>2203916901.1200004</v>
      </c>
      <c r="E37" s="16">
        <f>'Billed G'!$N$33</f>
        <v>967110577.49999988</v>
      </c>
      <c r="F37" s="74"/>
    </row>
    <row r="38" spans="1:6">
      <c r="A38" t="s">
        <v>5</v>
      </c>
      <c r="B38" s="13"/>
      <c r="C38" s="13"/>
      <c r="D38" s="17">
        <f>D37/SUM(D37:E37)</f>
        <v>0.69501665185163364</v>
      </c>
      <c r="E38" s="17">
        <f>E37/SUM(D37:E37)</f>
        <v>0.30498334814836636</v>
      </c>
      <c r="F38" s="74"/>
    </row>
    <row r="39" spans="1:6" ht="15.75" thickBot="1">
      <c r="A39" s="18"/>
      <c r="B39" s="19">
        <v>40331</v>
      </c>
      <c r="C39" s="20"/>
      <c r="D39" s="21">
        <f>ROUND(B39*D38,0)</f>
        <v>28031</v>
      </c>
      <c r="E39" s="21">
        <f>ROUND(B39*E38,0)</f>
        <v>12300</v>
      </c>
      <c r="F39" s="72">
        <f>SUM(D39:E39)</f>
        <v>40331</v>
      </c>
    </row>
    <row r="40" spans="1:6">
      <c r="F40" s="71"/>
    </row>
    <row r="41" spans="1:6">
      <c r="F41" s="71"/>
    </row>
    <row r="42" spans="1:6" ht="15.75" thickBot="1">
      <c r="F42" s="71"/>
    </row>
    <row r="43" spans="1:6">
      <c r="A43" s="8"/>
      <c r="B43" s="9"/>
      <c r="C43" s="9"/>
      <c r="D43" s="10" t="s">
        <v>87</v>
      </c>
      <c r="E43" s="10" t="s">
        <v>87</v>
      </c>
      <c r="F43" s="73"/>
    </row>
    <row r="44" spans="1:6">
      <c r="A44" s="12"/>
      <c r="B44" s="13"/>
      <c r="C44" s="13"/>
      <c r="D44" s="14" t="s">
        <v>102</v>
      </c>
      <c r="E44" s="14" t="s">
        <v>103</v>
      </c>
      <c r="F44" s="74"/>
    </row>
    <row r="45" spans="1:6">
      <c r="A45" s="12"/>
      <c r="B45" s="13"/>
      <c r="C45" s="13"/>
      <c r="D45" s="16">
        <f>-'Billed E'!$H$29</f>
        <v>1246810644</v>
      </c>
      <c r="E45" s="16">
        <f>'Billed G'!$N$29</f>
        <v>682307941.97000003</v>
      </c>
      <c r="F45" s="74"/>
    </row>
    <row r="46" spans="1:6">
      <c r="A46" t="s">
        <v>6</v>
      </c>
      <c r="B46" s="13"/>
      <c r="C46" s="13"/>
      <c r="D46" s="17">
        <f>D45/SUM(D45:E45)</f>
        <v>0.6463110422903724</v>
      </c>
      <c r="E46" s="17">
        <f>E45/SUM(D45:E45)</f>
        <v>0.35368895770962766</v>
      </c>
      <c r="F46" s="74"/>
    </row>
    <row r="47" spans="1:6" ht="15.75" thickBot="1">
      <c r="A47" s="18"/>
      <c r="B47" s="19">
        <v>50000</v>
      </c>
      <c r="C47" s="20"/>
      <c r="D47" s="21">
        <f>ROUND(B47*D46,0)</f>
        <v>32316</v>
      </c>
      <c r="E47" s="21">
        <f>ROUND(B47*E46,0)</f>
        <v>17684</v>
      </c>
      <c r="F47" s="72">
        <f>SUM(D47:E47)</f>
        <v>50000</v>
      </c>
    </row>
    <row r="48" spans="1:6">
      <c r="F48" s="71"/>
    </row>
    <row r="49" spans="1:8">
      <c r="F49" s="71"/>
    </row>
    <row r="50" spans="1:8">
      <c r="F50" s="71"/>
      <c r="H50" s="24" t="s">
        <v>109</v>
      </c>
    </row>
    <row r="51" spans="1:8" ht="15.75" thickBot="1">
      <c r="F51" s="71"/>
    </row>
    <row r="52" spans="1:8">
      <c r="A52" s="8"/>
      <c r="B52" s="9"/>
      <c r="C52" s="9"/>
      <c r="D52" s="10" t="s">
        <v>87</v>
      </c>
      <c r="E52" s="10" t="s">
        <v>87</v>
      </c>
      <c r="F52" s="73"/>
    </row>
    <row r="53" spans="1:8">
      <c r="A53" s="12"/>
      <c r="B53" s="13"/>
      <c r="C53" s="13"/>
      <c r="D53" s="14" t="s">
        <v>105</v>
      </c>
      <c r="E53" s="14" t="s">
        <v>104</v>
      </c>
      <c r="F53" s="74"/>
    </row>
    <row r="54" spans="1:8">
      <c r="A54" s="12"/>
      <c r="B54" s="13"/>
      <c r="C54" s="13"/>
      <c r="D54" s="16">
        <f>-'Billed E'!$H$33</f>
        <v>2203916901.1200004</v>
      </c>
      <c r="E54" s="16">
        <f>'Billed G'!$N$33</f>
        <v>967110577.49999988</v>
      </c>
      <c r="F54" s="74"/>
    </row>
    <row r="55" spans="1:8">
      <c r="A55" s="5" t="s">
        <v>107</v>
      </c>
      <c r="B55" s="13"/>
      <c r="C55" s="13"/>
      <c r="D55" s="17">
        <f>ROUND(D54/SUM(D54:E54),2)</f>
        <v>0.7</v>
      </c>
      <c r="E55" s="17">
        <f>ROUND(E54/SUM(D54:E54),2)</f>
        <v>0.3</v>
      </c>
      <c r="F55" s="74"/>
    </row>
    <row r="56" spans="1:8" ht="15.75" thickBot="1">
      <c r="A56" s="18"/>
      <c r="B56" s="19">
        <v>15000</v>
      </c>
      <c r="C56" s="20"/>
      <c r="D56" s="21">
        <f>ROUND($B56*D55,0)</f>
        <v>10500</v>
      </c>
      <c r="E56" s="21">
        <f>ROUND($B56*E55,0)</f>
        <v>4500</v>
      </c>
      <c r="F56" s="72">
        <f>SUM(D56:E56)</f>
        <v>15000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16" zoomScale="85" zoomScaleNormal="85" workbookViewId="0">
      <selection activeCell="D6" sqref="D6"/>
    </sheetView>
  </sheetViews>
  <sheetFormatPr defaultRowHeight="15"/>
  <cols>
    <col min="1" max="1" width="18.42578125" style="5" bestFit="1" customWidth="1"/>
    <col min="2" max="2" width="10" style="5" bestFit="1" customWidth="1"/>
    <col min="3" max="3" width="16.28515625" style="5" bestFit="1" customWidth="1"/>
    <col min="4" max="4" width="20.28515625" style="5" bestFit="1" customWidth="1"/>
    <col min="5" max="5" width="14.5703125" style="5" bestFit="1" customWidth="1"/>
    <col min="6" max="6" width="9" style="5" bestFit="1" customWidth="1"/>
    <col min="7" max="16384" width="9.140625" style="5"/>
  </cols>
  <sheetData>
    <row r="1" spans="1:9">
      <c r="A1" s="130" t="s">
        <v>0</v>
      </c>
      <c r="B1" s="130" t="s">
        <v>1</v>
      </c>
      <c r="C1" s="130" t="s">
        <v>7</v>
      </c>
      <c r="D1" s="130" t="s">
        <v>16</v>
      </c>
      <c r="E1" s="130" t="s">
        <v>10</v>
      </c>
    </row>
    <row r="2" spans="1:9">
      <c r="A2" s="5" t="s">
        <v>6</v>
      </c>
      <c r="B2" s="6">
        <v>8000</v>
      </c>
      <c r="C2" s="6" t="s">
        <v>8</v>
      </c>
      <c r="D2" s="6" t="s">
        <v>9</v>
      </c>
      <c r="E2" s="5" t="s">
        <v>15</v>
      </c>
    </row>
    <row r="3" spans="1:9">
      <c r="A3" s="5" t="s">
        <v>5</v>
      </c>
      <c r="B3" s="6">
        <v>12000</v>
      </c>
      <c r="C3" s="6" t="s">
        <v>8</v>
      </c>
      <c r="D3" s="6" t="s">
        <v>9</v>
      </c>
      <c r="E3" s="5" t="s">
        <v>12</v>
      </c>
    </row>
    <row r="4" spans="1:9">
      <c r="A4" s="5" t="s">
        <v>106</v>
      </c>
      <c r="B4" s="173">
        <v>45000</v>
      </c>
      <c r="C4" s="6" t="s">
        <v>8</v>
      </c>
      <c r="D4" s="6" t="s">
        <v>9</v>
      </c>
      <c r="E4" s="5" t="s">
        <v>12</v>
      </c>
    </row>
    <row r="5" spans="1:9">
      <c r="B5" s="125">
        <f>SUM(B2:B4)</f>
        <v>65000</v>
      </c>
      <c r="C5" s="125"/>
      <c r="D5" s="125"/>
      <c r="I5" s="174" t="s">
        <v>149</v>
      </c>
    </row>
    <row r="6" spans="1:9">
      <c r="A6" s="131"/>
    </row>
    <row r="7" spans="1:9">
      <c r="D7" s="131"/>
      <c r="E7" s="131"/>
    </row>
    <row r="8" spans="1:9" ht="15.75" thickBot="1">
      <c r="D8" s="175">
        <v>92800003</v>
      </c>
      <c r="E8" s="175">
        <v>92800302</v>
      </c>
    </row>
    <row r="9" spans="1:9">
      <c r="A9" s="176"/>
      <c r="B9" s="177"/>
      <c r="C9" s="177"/>
      <c r="D9" s="178" t="s">
        <v>87</v>
      </c>
      <c r="E9" s="178" t="s">
        <v>87</v>
      </c>
      <c r="F9" s="179"/>
    </row>
    <row r="10" spans="1:9">
      <c r="A10" s="180"/>
      <c r="B10" s="181"/>
      <c r="C10" s="181"/>
      <c r="D10" s="182" t="s">
        <v>102</v>
      </c>
      <c r="E10" s="182" t="s">
        <v>103</v>
      </c>
      <c r="F10" s="183"/>
    </row>
    <row r="11" spans="1:9">
      <c r="A11" s="180"/>
      <c r="B11" s="181"/>
      <c r="C11" s="181"/>
      <c r="D11" s="184">
        <f>-'Billed E'!$H$29</f>
        <v>1246810644</v>
      </c>
      <c r="E11" s="184">
        <f>'Billed G'!$N$29</f>
        <v>682307941.97000003</v>
      </c>
      <c r="F11" s="183"/>
    </row>
    <row r="12" spans="1:9">
      <c r="A12" s="180" t="s">
        <v>6</v>
      </c>
      <c r="B12" s="181"/>
      <c r="C12" s="181"/>
      <c r="D12" s="185">
        <v>1</v>
      </c>
      <c r="E12" s="185">
        <v>0</v>
      </c>
      <c r="F12" s="183"/>
    </row>
    <row r="13" spans="1:9" ht="15.75" thickBot="1">
      <c r="A13" s="186"/>
      <c r="B13" s="187">
        <v>8000</v>
      </c>
      <c r="C13" s="188"/>
      <c r="D13" s="189">
        <f>ROUND($B13*D12,0)</f>
        <v>8000</v>
      </c>
      <c r="E13" s="189">
        <f>ROUND($B13*E12,0)</f>
        <v>0</v>
      </c>
      <c r="F13" s="190">
        <f>SUM(D13:E13)</f>
        <v>8000</v>
      </c>
    </row>
    <row r="15" spans="1:9" ht="15.75" thickBot="1"/>
    <row r="16" spans="1:9">
      <c r="A16" s="176"/>
      <c r="B16" s="177"/>
      <c r="C16" s="177"/>
      <c r="D16" s="178" t="s">
        <v>87</v>
      </c>
      <c r="E16" s="178" t="s">
        <v>87</v>
      </c>
      <c r="F16" s="179"/>
    </row>
    <row r="17" spans="1:6">
      <c r="A17" s="180"/>
      <c r="B17" s="181"/>
      <c r="C17" s="181"/>
      <c r="D17" s="182" t="s">
        <v>105</v>
      </c>
      <c r="E17" s="182" t="s">
        <v>104</v>
      </c>
      <c r="F17" s="183"/>
    </row>
    <row r="18" spans="1:6">
      <c r="A18" s="180"/>
      <c r="B18" s="181"/>
      <c r="C18" s="181"/>
      <c r="D18" s="184">
        <f>-'Billed E'!$H$33</f>
        <v>2203916901.1200004</v>
      </c>
      <c r="E18" s="184">
        <f>'Billed G'!$N$33</f>
        <v>967110577.49999988</v>
      </c>
      <c r="F18" s="183"/>
    </row>
    <row r="19" spans="1:6">
      <c r="A19" s="5" t="s">
        <v>5</v>
      </c>
      <c r="B19" s="181"/>
      <c r="C19" s="181"/>
      <c r="D19" s="185">
        <v>1</v>
      </c>
      <c r="E19" s="185">
        <v>0</v>
      </c>
      <c r="F19" s="183"/>
    </row>
    <row r="20" spans="1:6" ht="15.75" thickBot="1">
      <c r="A20" s="186"/>
      <c r="B20" s="187">
        <v>12000</v>
      </c>
      <c r="C20" s="188"/>
      <c r="D20" s="189">
        <f>ROUND($B20*D19,0)</f>
        <v>12000</v>
      </c>
      <c r="E20" s="189">
        <f>ROUND($B20*E19,0)</f>
        <v>0</v>
      </c>
      <c r="F20" s="190">
        <f>SUM(D20:E20)</f>
        <v>12000</v>
      </c>
    </row>
    <row r="23" spans="1:6" ht="15.75" thickBot="1"/>
    <row r="24" spans="1:6">
      <c r="A24" s="176"/>
      <c r="B24" s="177"/>
      <c r="C24" s="177"/>
      <c r="D24" s="178" t="s">
        <v>87</v>
      </c>
      <c r="E24" s="178" t="s">
        <v>87</v>
      </c>
      <c r="F24" s="179"/>
    </row>
    <row r="25" spans="1:6">
      <c r="A25" s="180"/>
      <c r="B25" s="181"/>
      <c r="C25" s="181"/>
      <c r="D25" s="182" t="s">
        <v>105</v>
      </c>
      <c r="E25" s="182" t="s">
        <v>104</v>
      </c>
      <c r="F25" s="183"/>
    </row>
    <row r="26" spans="1:6">
      <c r="A26" s="180"/>
      <c r="B26" s="181"/>
      <c r="C26" s="181"/>
      <c r="D26" s="184">
        <f>-'Billed E'!$H$33</f>
        <v>2203916901.1200004</v>
      </c>
      <c r="E26" s="184">
        <f>'Billed G'!$N$33</f>
        <v>967110577.49999988</v>
      </c>
      <c r="F26" s="183"/>
    </row>
    <row r="27" spans="1:6">
      <c r="A27" s="5" t="s">
        <v>106</v>
      </c>
      <c r="B27" s="181"/>
      <c r="C27" s="181"/>
      <c r="D27" s="185">
        <v>1</v>
      </c>
      <c r="E27" s="185">
        <v>0</v>
      </c>
      <c r="F27" s="183"/>
    </row>
    <row r="28" spans="1:6" ht="15.75" thickBot="1">
      <c r="A28" s="186"/>
      <c r="B28" s="187">
        <v>45000</v>
      </c>
      <c r="C28" s="188"/>
      <c r="D28" s="189">
        <f>ROUND($B28*D27,0)</f>
        <v>45000</v>
      </c>
      <c r="E28" s="189">
        <f>ROUND($B28*E27,0)</f>
        <v>0</v>
      </c>
      <c r="F28" s="190">
        <f>SUM(D28:E28)</f>
        <v>45000</v>
      </c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pane ySplit="2" topLeftCell="A3" activePane="bottomLeft" state="frozen"/>
      <selection activeCell="G12" sqref="G12"/>
      <selection pane="bottomLeft" activeCell="E34" sqref="E34"/>
    </sheetView>
  </sheetViews>
  <sheetFormatPr defaultRowHeight="15"/>
  <cols>
    <col min="1" max="1" width="21" style="5" bestFit="1" customWidth="1"/>
    <col min="2" max="2" width="41.85546875" style="5" bestFit="1" customWidth="1"/>
    <col min="3" max="3" width="9.28515625" style="5" bestFit="1" customWidth="1"/>
    <col min="4" max="4" width="40.140625" style="5" bestFit="1" customWidth="1"/>
    <col min="5" max="5" width="18.140625" style="5" bestFit="1" customWidth="1"/>
    <col min="6" max="6" width="9.140625" style="5"/>
    <col min="7" max="7" width="11.5703125" style="5" bestFit="1" customWidth="1"/>
    <col min="8" max="8" width="17.7109375" style="5" bestFit="1" customWidth="1"/>
    <col min="9" max="9" width="15.28515625" style="5" bestFit="1" customWidth="1"/>
    <col min="10" max="10" width="17.7109375" style="5" bestFit="1" customWidth="1"/>
    <col min="11" max="11" width="12.42578125" style="5" bestFit="1" customWidth="1"/>
    <col min="12" max="16384" width="9.140625" style="5"/>
  </cols>
  <sheetData>
    <row r="1" spans="1:14">
      <c r="A1" s="191" t="s">
        <v>17</v>
      </c>
      <c r="B1" s="191" t="s">
        <v>17</v>
      </c>
      <c r="C1" s="191" t="s">
        <v>17</v>
      </c>
      <c r="D1" s="191" t="s">
        <v>17</v>
      </c>
      <c r="E1" s="192" t="s">
        <v>24</v>
      </c>
    </row>
    <row r="2" spans="1:14">
      <c r="A2" s="191" t="s">
        <v>26</v>
      </c>
      <c r="B2" s="193"/>
      <c r="C2" s="191" t="s">
        <v>28</v>
      </c>
      <c r="D2" s="191" t="s">
        <v>17</v>
      </c>
      <c r="E2" s="194" t="s">
        <v>25</v>
      </c>
      <c r="H2" s="5" t="s">
        <v>79</v>
      </c>
      <c r="I2" s="5" t="s">
        <v>80</v>
      </c>
      <c r="J2" s="5" t="s">
        <v>36</v>
      </c>
    </row>
    <row r="3" spans="1:14">
      <c r="A3" s="192" t="s">
        <v>27</v>
      </c>
      <c r="B3" s="195" t="s">
        <v>77</v>
      </c>
      <c r="C3" s="195" t="s">
        <v>29</v>
      </c>
      <c r="D3" s="192" t="s">
        <v>30</v>
      </c>
      <c r="E3" s="196">
        <v>-1246830647.4100001</v>
      </c>
      <c r="H3" s="7">
        <f>E3</f>
        <v>-1246830647.4100001</v>
      </c>
      <c r="I3" s="7"/>
      <c r="J3" s="7">
        <f t="shared" ref="J3:J5" si="0">SUM(H3:I3)</f>
        <v>-1246830647.4100001</v>
      </c>
    </row>
    <row r="4" spans="1:14">
      <c r="A4" s="197"/>
      <c r="B4" s="198"/>
      <c r="C4" s="195" t="s">
        <v>31</v>
      </c>
      <c r="D4" s="192" t="s">
        <v>32</v>
      </c>
      <c r="E4" s="196">
        <v>20003.41</v>
      </c>
      <c r="H4" s="7">
        <f t="shared" ref="H4:H25" si="1">E4</f>
        <v>20003.41</v>
      </c>
      <c r="I4" s="7"/>
      <c r="J4" s="7">
        <f t="shared" si="0"/>
        <v>20003.41</v>
      </c>
    </row>
    <row r="5" spans="1:14">
      <c r="A5" s="197"/>
      <c r="B5" s="198"/>
      <c r="C5" s="195" t="s">
        <v>33</v>
      </c>
      <c r="D5" s="192" t="s">
        <v>34</v>
      </c>
      <c r="E5" s="196">
        <v>-19071525.789999999</v>
      </c>
      <c r="H5" s="7"/>
      <c r="I5" s="7">
        <f>E5</f>
        <v>-19071525.789999999</v>
      </c>
      <c r="J5" s="7">
        <f t="shared" si="0"/>
        <v>-19071525.789999999</v>
      </c>
    </row>
    <row r="6" spans="1:14">
      <c r="A6" s="197"/>
      <c r="B6" s="198"/>
      <c r="C6" s="199" t="s">
        <v>35</v>
      </c>
      <c r="D6" s="200"/>
      <c r="E6" s="201">
        <v>-1265882169.79</v>
      </c>
      <c r="H6" s="7"/>
      <c r="I6" s="7"/>
      <c r="J6" s="7"/>
    </row>
    <row r="7" spans="1:14">
      <c r="A7" s="192" t="s">
        <v>37</v>
      </c>
      <c r="B7" s="195" t="s">
        <v>78</v>
      </c>
      <c r="C7" s="195" t="s">
        <v>39</v>
      </c>
      <c r="D7" s="192" t="s">
        <v>40</v>
      </c>
      <c r="E7" s="196">
        <v>-825535377.61000001</v>
      </c>
      <c r="H7" s="7">
        <f t="shared" si="1"/>
        <v>-825535377.61000001</v>
      </c>
      <c r="I7" s="7"/>
      <c r="J7" s="7">
        <f t="shared" ref="J7:J26" si="2">SUM(H7:I7)</f>
        <v>-825535377.61000001</v>
      </c>
    </row>
    <row r="8" spans="1:14">
      <c r="A8" s="197"/>
      <c r="B8" s="198"/>
      <c r="C8" s="195" t="s">
        <v>41</v>
      </c>
      <c r="D8" s="192" t="s">
        <v>42</v>
      </c>
      <c r="E8" s="196">
        <v>-258033.32</v>
      </c>
      <c r="H8" s="7">
        <f t="shared" si="1"/>
        <v>-258033.32</v>
      </c>
      <c r="I8" s="7"/>
      <c r="J8" s="7">
        <f t="shared" si="2"/>
        <v>-258033.32</v>
      </c>
    </row>
    <row r="9" spans="1:14">
      <c r="A9" s="197"/>
      <c r="B9" s="198"/>
      <c r="C9" s="195" t="s">
        <v>43</v>
      </c>
      <c r="D9" s="192" t="s">
        <v>44</v>
      </c>
      <c r="E9" s="196">
        <v>-769652.44</v>
      </c>
      <c r="H9" s="7">
        <f t="shared" si="1"/>
        <v>-769652.44</v>
      </c>
      <c r="I9" s="7"/>
      <c r="J9" s="7">
        <f t="shared" si="2"/>
        <v>-769652.44</v>
      </c>
      <c r="N9" s="202"/>
    </row>
    <row r="10" spans="1:14">
      <c r="A10" s="197"/>
      <c r="B10" s="198"/>
      <c r="C10" s="195" t="s">
        <v>45</v>
      </c>
      <c r="D10" s="192" t="s">
        <v>46</v>
      </c>
      <c r="E10" s="196">
        <v>-2770313.53</v>
      </c>
      <c r="H10" s="7">
        <f t="shared" si="1"/>
        <v>-2770313.53</v>
      </c>
      <c r="I10" s="7"/>
      <c r="J10" s="7">
        <f t="shared" si="2"/>
        <v>-2770313.53</v>
      </c>
      <c r="N10" s="202"/>
    </row>
    <row r="11" spans="1:14">
      <c r="A11" s="197"/>
      <c r="B11" s="198"/>
      <c r="C11" s="195" t="s">
        <v>47</v>
      </c>
      <c r="D11" s="192" t="s">
        <v>48</v>
      </c>
      <c r="E11" s="196">
        <v>-1118376.1000000001</v>
      </c>
      <c r="H11" s="7">
        <f t="shared" si="1"/>
        <v>-1118376.1000000001</v>
      </c>
      <c r="I11" s="7"/>
      <c r="J11" s="7">
        <f t="shared" si="2"/>
        <v>-1118376.1000000001</v>
      </c>
      <c r="N11" s="202"/>
    </row>
    <row r="12" spans="1:14">
      <c r="A12" s="197"/>
      <c r="B12" s="198"/>
      <c r="C12" s="195" t="s">
        <v>49</v>
      </c>
      <c r="D12" s="192" t="s">
        <v>50</v>
      </c>
      <c r="E12" s="196">
        <v>-173327.51</v>
      </c>
      <c r="H12" s="7">
        <f t="shared" si="1"/>
        <v>-173327.51</v>
      </c>
      <c r="I12" s="7"/>
      <c r="J12" s="7">
        <f t="shared" si="2"/>
        <v>-173327.51</v>
      </c>
    </row>
    <row r="13" spans="1:14">
      <c r="A13" s="197"/>
      <c r="B13" s="198"/>
      <c r="C13" s="195" t="s">
        <v>51</v>
      </c>
      <c r="D13" s="192" t="s">
        <v>52</v>
      </c>
      <c r="E13" s="196">
        <v>-1820228.65</v>
      </c>
      <c r="H13" s="7">
        <f t="shared" si="1"/>
        <v>-1820228.65</v>
      </c>
      <c r="I13" s="7"/>
      <c r="J13" s="7">
        <f t="shared" si="2"/>
        <v>-1820228.65</v>
      </c>
    </row>
    <row r="14" spans="1:14">
      <c r="A14" s="197"/>
      <c r="B14" s="198"/>
      <c r="C14" s="195" t="s">
        <v>53</v>
      </c>
      <c r="D14" s="192" t="s">
        <v>54</v>
      </c>
      <c r="E14" s="196">
        <v>-442395.65</v>
      </c>
      <c r="H14" s="7">
        <f t="shared" si="1"/>
        <v>-442395.65</v>
      </c>
      <c r="I14" s="7"/>
      <c r="J14" s="7">
        <f t="shared" si="2"/>
        <v>-442395.65</v>
      </c>
    </row>
    <row r="15" spans="1:14">
      <c r="A15" s="197"/>
      <c r="B15" s="198"/>
      <c r="C15" s="195" t="s">
        <v>55</v>
      </c>
      <c r="D15" s="192" t="s">
        <v>56</v>
      </c>
      <c r="E15" s="196">
        <v>7700.37</v>
      </c>
      <c r="H15" s="7">
        <f t="shared" si="1"/>
        <v>7700.37</v>
      </c>
      <c r="I15" s="7"/>
      <c r="J15" s="7">
        <f t="shared" si="2"/>
        <v>7700.37</v>
      </c>
    </row>
    <row r="16" spans="1:14">
      <c r="A16" s="197"/>
      <c r="B16" s="198"/>
      <c r="C16" s="195" t="s">
        <v>57</v>
      </c>
      <c r="D16" s="192" t="s">
        <v>58</v>
      </c>
      <c r="E16" s="196">
        <v>-103780229.7</v>
      </c>
      <c r="H16" s="7">
        <f t="shared" si="1"/>
        <v>-103780229.7</v>
      </c>
      <c r="I16" s="7"/>
      <c r="J16" s="7">
        <f t="shared" si="2"/>
        <v>-103780229.7</v>
      </c>
    </row>
    <row r="17" spans="1:11">
      <c r="A17" s="197"/>
      <c r="B17" s="198"/>
      <c r="C17" s="195" t="s">
        <v>59</v>
      </c>
      <c r="D17" s="192" t="s">
        <v>60</v>
      </c>
      <c r="E17" s="196">
        <v>-2489239.13</v>
      </c>
      <c r="H17" s="7">
        <f t="shared" si="1"/>
        <v>-2489239.13</v>
      </c>
      <c r="I17" s="7"/>
      <c r="J17" s="7">
        <f t="shared" si="2"/>
        <v>-2489239.13</v>
      </c>
    </row>
    <row r="18" spans="1:11">
      <c r="A18" s="197"/>
      <c r="B18" s="198"/>
      <c r="C18" s="195" t="s">
        <v>61</v>
      </c>
      <c r="D18" s="192" t="s">
        <v>62</v>
      </c>
      <c r="E18" s="196">
        <v>-51594.32</v>
      </c>
      <c r="H18" s="7">
        <f t="shared" si="1"/>
        <v>-51594.32</v>
      </c>
      <c r="I18" s="7"/>
      <c r="J18" s="7">
        <f t="shared" si="2"/>
        <v>-51594.32</v>
      </c>
    </row>
    <row r="19" spans="1:11">
      <c r="A19" s="197"/>
      <c r="B19" s="198"/>
      <c r="C19" s="195" t="s">
        <v>63</v>
      </c>
      <c r="D19" s="192" t="s">
        <v>64</v>
      </c>
      <c r="E19" s="196">
        <v>32969.879999999997</v>
      </c>
      <c r="H19" s="7">
        <f t="shared" si="1"/>
        <v>32969.879999999997</v>
      </c>
      <c r="I19" s="7"/>
      <c r="J19" s="7">
        <f t="shared" si="2"/>
        <v>32969.879999999997</v>
      </c>
    </row>
    <row r="20" spans="1:11">
      <c r="A20" s="197"/>
      <c r="B20" s="198"/>
      <c r="C20" s="195" t="s">
        <v>65</v>
      </c>
      <c r="D20" s="192" t="s">
        <v>66</v>
      </c>
      <c r="E20" s="196">
        <v>-20142933.260000002</v>
      </c>
      <c r="H20" s="7"/>
      <c r="I20" s="7">
        <f>E20</f>
        <v>-20142933.260000002</v>
      </c>
      <c r="J20" s="7">
        <f t="shared" si="2"/>
        <v>-20142933.260000002</v>
      </c>
    </row>
    <row r="21" spans="1:11">
      <c r="A21" s="197"/>
      <c r="B21" s="198"/>
      <c r="C21" s="195" t="s">
        <v>67</v>
      </c>
      <c r="D21" s="192" t="s">
        <v>68</v>
      </c>
      <c r="E21" s="196">
        <v>305696.55</v>
      </c>
      <c r="H21" s="7">
        <f t="shared" si="1"/>
        <v>305696.55</v>
      </c>
      <c r="I21" s="7"/>
      <c r="J21" s="7">
        <f t="shared" si="2"/>
        <v>305696.55</v>
      </c>
    </row>
    <row r="22" spans="1:11">
      <c r="A22" s="197"/>
      <c r="B22" s="198"/>
      <c r="C22" s="195" t="s">
        <v>69</v>
      </c>
      <c r="D22" s="192" t="s">
        <v>70</v>
      </c>
      <c r="E22" s="196">
        <v>-1969638.42</v>
      </c>
      <c r="H22" s="7"/>
      <c r="I22" s="7">
        <f>E22</f>
        <v>-1969638.42</v>
      </c>
      <c r="J22" s="7">
        <f t="shared" si="2"/>
        <v>-1969638.42</v>
      </c>
    </row>
    <row r="23" spans="1:11">
      <c r="A23" s="197"/>
      <c r="B23" s="198"/>
      <c r="C23" s="195" t="s">
        <v>71</v>
      </c>
      <c r="D23" s="192" t="s">
        <v>72</v>
      </c>
      <c r="E23" s="196">
        <v>-309088.12</v>
      </c>
      <c r="H23" s="7">
        <f t="shared" si="1"/>
        <v>-309088.12</v>
      </c>
      <c r="I23" s="7"/>
      <c r="J23" s="7">
        <f t="shared" si="2"/>
        <v>-309088.12</v>
      </c>
    </row>
    <row r="24" spans="1:11">
      <c r="A24" s="197"/>
      <c r="B24" s="198"/>
      <c r="C24" s="199" t="s">
        <v>35</v>
      </c>
      <c r="D24" s="200"/>
      <c r="E24" s="201">
        <v>-961284060.96000004</v>
      </c>
      <c r="H24" s="7"/>
      <c r="I24" s="7"/>
      <c r="J24" s="7">
        <f t="shared" si="2"/>
        <v>0</v>
      </c>
    </row>
    <row r="25" spans="1:11">
      <c r="A25" s="192" t="s">
        <v>38</v>
      </c>
      <c r="B25" s="195" t="s">
        <v>74</v>
      </c>
      <c r="C25" s="195" t="s">
        <v>73</v>
      </c>
      <c r="D25" s="192" t="s">
        <v>74</v>
      </c>
      <c r="E25" s="196">
        <v>-17934767.84</v>
      </c>
      <c r="H25" s="7">
        <f t="shared" si="1"/>
        <v>-17934767.84</v>
      </c>
      <c r="I25" s="7"/>
      <c r="J25" s="7">
        <f t="shared" si="2"/>
        <v>-17934767.84</v>
      </c>
    </row>
    <row r="26" spans="1:11">
      <c r="A26" s="197"/>
      <c r="B26" s="198"/>
      <c r="C26" s="195" t="s">
        <v>75</v>
      </c>
      <c r="D26" s="192" t="s">
        <v>76</v>
      </c>
      <c r="E26" s="196">
        <v>-534656.31000000006</v>
      </c>
      <c r="H26" s="7"/>
      <c r="I26" s="7">
        <f>E26</f>
        <v>-534656.31000000006</v>
      </c>
      <c r="J26" s="7">
        <f t="shared" si="2"/>
        <v>-534656.31000000006</v>
      </c>
    </row>
    <row r="27" spans="1:11">
      <c r="A27" s="197"/>
      <c r="B27" s="198"/>
      <c r="C27" s="199" t="s">
        <v>35</v>
      </c>
      <c r="D27" s="200"/>
      <c r="E27" s="201">
        <v>-18469424.149999999</v>
      </c>
      <c r="H27" s="203">
        <f>SUM(H3:H26)</f>
        <v>-2203916901.1200004</v>
      </c>
      <c r="I27" s="203">
        <f t="shared" ref="I27:J27" si="3">SUM(I3:I26)</f>
        <v>-41718753.780000001</v>
      </c>
      <c r="J27" s="203">
        <f t="shared" si="3"/>
        <v>-2245635654.9000006</v>
      </c>
      <c r="K27" s="5" t="s">
        <v>82</v>
      </c>
    </row>
    <row r="28" spans="1:11">
      <c r="E28" s="204">
        <f>SUM(E6,E24,E27)</f>
        <v>-2245635654.9000001</v>
      </c>
    </row>
    <row r="29" spans="1:11">
      <c r="G29" s="202" t="s">
        <v>15</v>
      </c>
      <c r="H29" s="129">
        <f>SUM(H3:H4)</f>
        <v>-1246810644</v>
      </c>
    </row>
    <row r="30" spans="1:11">
      <c r="G30" s="202" t="s">
        <v>95</v>
      </c>
      <c r="H30" s="129">
        <f>SUM(H7:H15,H18:H21)</f>
        <v>-832592932.33000016</v>
      </c>
    </row>
    <row r="31" spans="1:11">
      <c r="G31" s="202" t="s">
        <v>14</v>
      </c>
      <c r="H31" s="129">
        <f>SUM(H23,H16:H17)</f>
        <v>-106578556.95</v>
      </c>
    </row>
    <row r="32" spans="1:11">
      <c r="G32" s="202" t="s">
        <v>99</v>
      </c>
      <c r="H32" s="205">
        <f>H25</f>
        <v>-17934767.84</v>
      </c>
    </row>
    <row r="33" spans="8:8">
      <c r="H33" s="203">
        <f>SUM(H29:H32)</f>
        <v>-2203916901.1200004</v>
      </c>
    </row>
  </sheetData>
  <pageMargins left="0.7" right="0.7" top="0.75" bottom="0.75" header="0.3" footer="0.3"/>
  <pageSetup orientation="portrait" r:id="rId1"/>
  <customProperties>
    <customPr name="_pios_id" r:id="rId2"/>
    <customPr name="CofWorksheetType" r:id="rId3"/>
  </customPropertie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D78EA2B2238564E8BF82444028C6899" ma:contentTypeVersion="16" ma:contentTypeDescription="" ma:contentTypeScope="" ma:versionID="946388f438f576917a58a3aeaaafc7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2024-03-26T07:00:00+00:00</OpenedDate>
    <SignificantOrder xmlns="dc463f71-b30c-4ab2-9473-d307f9d35888">false</SignificantOrder>
    <Date1 xmlns="dc463f71-b30c-4ab2-9473-d307f9d35888">2024-03-26T07:00:00+00:00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0478E9F-9535-4E3F-B212-D181AFB37B16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D1FF6E0C-A8BB-41BA-A869-302CE8BC7F59}"/>
</file>

<file path=customXml/itemProps3.xml><?xml version="1.0" encoding="utf-8"?>
<ds:datastoreItem xmlns:ds="http://schemas.openxmlformats.org/officeDocument/2006/customXml" ds:itemID="{75EC98FE-75B5-480D-B762-8297F0F26287}"/>
</file>

<file path=customXml/itemProps4.xml><?xml version="1.0" encoding="utf-8"?>
<ds:datastoreItem xmlns:ds="http://schemas.openxmlformats.org/officeDocument/2006/customXml" ds:itemID="{3E89099F-6E57-4142-A43B-AEBD5934E61C}"/>
</file>

<file path=customXml/itemProps5.xml><?xml version="1.0" encoding="utf-8"?>
<ds:datastoreItem xmlns:ds="http://schemas.openxmlformats.org/officeDocument/2006/customXml" ds:itemID="{DF2B156B-05D0-4E64-A8EA-0C942B2411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Revenue Requirement</vt:lpstr>
      <vt:lpstr>Int Rt Reg Fee Jan</vt:lpstr>
      <vt:lpstr>Int Rt Reg Fee Jun</vt:lpstr>
      <vt:lpstr>conversion factors </vt:lpstr>
      <vt:lpstr>Summary all pmts</vt:lpstr>
      <vt:lpstr>GRC_220066</vt:lpstr>
      <vt:lpstr>CEIP_210795</vt:lpstr>
      <vt:lpstr>Billed E</vt:lpstr>
      <vt:lpstr>Billed G</vt:lpstr>
      <vt:lpstr>KOB1 0123-0124</vt:lpstr>
      <vt:lpstr>SAPCrosstab1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DiMasso, James</dc:creator>
  <cp:lastModifiedBy>DiMasso, James</cp:lastModifiedBy>
  <dcterms:created xsi:type="dcterms:W3CDTF">2023-03-03T15:08:46Z</dcterms:created>
  <dcterms:modified xsi:type="dcterms:W3CDTF">2024-02-20T19:13:37Z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0x0101006E56B4D1795A2E4DB2F0B01679ED314A00AD78EA2B2238564E8BF82444028C6899</vt:lpwstr>
  </property>
  <property fmtid="{D5CDD505-2E9C-101B-9397-08002B2CF9AE}" pid="4" name="_docset_NoMedatataSyncRequired">
    <vt:lpwstr>False</vt:lpwstr>
  </property>
</Properties>
</file>