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8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27.xml" ContentType="application/vnd.openxmlformats-officedocument.spreadsheetml.externalLink+xml"/>
  <Override PartName="/xl/externalLinks/externalLink1.xml" ContentType="application/vnd.openxmlformats-officedocument.spreadsheetml.externalLink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stern Region\2000 Western Region Office\WUTC\WUTC-Empire 2120\Dump Fee\Whitman Spokane 1-1-2023\"/>
    </mc:Choice>
  </mc:AlternateContent>
  <xr:revisionPtr revIDLastSave="0" documentId="13_ncr:1_{C278030A-303A-4FBD-99B9-D961AA9284C3}" xr6:coauthVersionLast="47" xr6:coauthVersionMax="47" xr10:uidLastSave="{00000000-0000-0000-0000-000000000000}"/>
  <bookViews>
    <workbookView xWindow="-120" yWindow="-120" windowWidth="29040" windowHeight="15840" tabRatio="771" xr2:uid="{00000000-000D-0000-FFFF-FFFF00000000}"/>
  </bookViews>
  <sheets>
    <sheet name="References" sheetId="2" r:id="rId1"/>
    <sheet name="Spokane DF Calc" sheetId="3" r:id="rId2"/>
    <sheet name="Proposed Rates" sheetId="4" r:id="rId3"/>
    <sheet name="Disposal Schedule" sheetId="6" r:id="rId4"/>
    <sheet name="Spokane Reg - Price out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_________CYA1">[1]Hidden!$N$11</definedName>
    <definedName name="_____________CYA10">[1]Hidden!$E$11</definedName>
    <definedName name="_____________CYA11">[1]Hidden!$P$11</definedName>
    <definedName name="_____________CYA2">[1]Hidden!$M$11</definedName>
    <definedName name="_____________CYA3">[1]Hidden!$L$11</definedName>
    <definedName name="_____________CYA4">[1]Hidden!$K$11</definedName>
    <definedName name="_____________CYA5">[1]Hidden!$J$11</definedName>
    <definedName name="_____________CYA6">[1]Hidden!$I$11</definedName>
    <definedName name="_____________CYA7">[1]Hidden!$H$11</definedName>
    <definedName name="_____________CYA8">[1]Hidden!$G$11</definedName>
    <definedName name="_____________CYA9">[1]Hidden!$F$11</definedName>
    <definedName name="_____________LYA12">[1]Hidden!$O$11</definedName>
    <definedName name="____________CYA1">[1]Hidden!$N$11</definedName>
    <definedName name="____________CYA10">[1]Hidden!$E$11</definedName>
    <definedName name="____________CYA11">[1]Hidden!$P$11</definedName>
    <definedName name="____________CYA2">[1]Hidden!$M$11</definedName>
    <definedName name="____________CYA3">[1]Hidden!$L$11</definedName>
    <definedName name="____________CYA4">[1]Hidden!$K$11</definedName>
    <definedName name="____________CYA5">[1]Hidden!$J$11</definedName>
    <definedName name="____________CYA6">[1]Hidden!$I$11</definedName>
    <definedName name="____________CYA7">[1]Hidden!$H$11</definedName>
    <definedName name="____________CYA8">[1]Hidden!$G$11</definedName>
    <definedName name="____________CYA9">[1]Hidden!$F$11</definedName>
    <definedName name="____________LYA12">[1]Hidden!$O$11</definedName>
    <definedName name="___________CYA1">[1]Hidden!$N$11</definedName>
    <definedName name="___________CYA10">[1]Hidden!$E$11</definedName>
    <definedName name="___________CYA11">[1]Hidden!$P$11</definedName>
    <definedName name="___________CYA2">[1]Hidden!$M$11</definedName>
    <definedName name="___________CYA3">[1]Hidden!$L$11</definedName>
    <definedName name="___________CYA4">[1]Hidden!$K$11</definedName>
    <definedName name="___________CYA5">[1]Hidden!$J$11</definedName>
    <definedName name="___________CYA6">[1]Hidden!$I$11</definedName>
    <definedName name="___________CYA7">[1]Hidden!$H$11</definedName>
    <definedName name="___________CYA8">[1]Hidden!$G$11</definedName>
    <definedName name="___________CYA9">[1]Hidden!$F$11</definedName>
    <definedName name="___________LYA12">[1]Hidden!$O$11</definedName>
    <definedName name="__________CYA1">[1]Hidden!$N$11</definedName>
    <definedName name="__________CYA10">[1]Hidden!$E$11</definedName>
    <definedName name="__________CYA11">[1]Hidden!$P$11</definedName>
    <definedName name="__________CYA2">[1]Hidden!$M$11</definedName>
    <definedName name="__________CYA3">[1]Hidden!$L$11</definedName>
    <definedName name="__________CYA4">[1]Hidden!$K$11</definedName>
    <definedName name="__________CYA5">[1]Hidden!$J$11</definedName>
    <definedName name="__________CYA6">[1]Hidden!$I$11</definedName>
    <definedName name="__________CYA7">[1]Hidden!$H$11</definedName>
    <definedName name="__________CYA8">[1]Hidden!$G$11</definedName>
    <definedName name="__________CYA9">[1]Hidden!$F$11</definedName>
    <definedName name="__________LYA12">[1]Hidden!$O$11</definedName>
    <definedName name="_________CYA1">[1]Hidden!$N$11</definedName>
    <definedName name="_________CYA10">[1]Hidden!$E$11</definedName>
    <definedName name="_________CYA11">[1]Hidden!$P$11</definedName>
    <definedName name="_________CYA2">[1]Hidden!$M$11</definedName>
    <definedName name="_________CYA3">[1]Hidden!$L$11</definedName>
    <definedName name="_________CYA4">[1]Hidden!$K$11</definedName>
    <definedName name="_________CYA5">[1]Hidden!$J$11</definedName>
    <definedName name="_________CYA6">[1]Hidden!$I$11</definedName>
    <definedName name="_________CYA7">[1]Hidden!$H$11</definedName>
    <definedName name="_________CYA8">[1]Hidden!$G$11</definedName>
    <definedName name="_________CYA9">[1]Hidden!$F$11</definedName>
    <definedName name="_________LYA12">[1]Hidden!$O$11</definedName>
    <definedName name="________CYA1">[1]Hidden!$N$11</definedName>
    <definedName name="________CYA10">[1]Hidden!$E$11</definedName>
    <definedName name="________CYA11">[1]Hidden!$P$11</definedName>
    <definedName name="________CYA2">[1]Hidden!$M$11</definedName>
    <definedName name="________CYA3">[1]Hidden!$L$11</definedName>
    <definedName name="________CYA4">[1]Hidden!$K$11</definedName>
    <definedName name="________CYA5">[1]Hidden!$J$11</definedName>
    <definedName name="________CYA6">[1]Hidden!$I$11</definedName>
    <definedName name="________CYA7">[1]Hidden!$H$11</definedName>
    <definedName name="________CYA8">[1]Hidden!$G$11</definedName>
    <definedName name="________CYA9">[1]Hidden!$F$11</definedName>
    <definedName name="________LYA12">[1]Hidden!$O$11</definedName>
    <definedName name="_______CYA1">[1]Hidden!$N$11</definedName>
    <definedName name="_______CYA10">[1]Hidden!$E$11</definedName>
    <definedName name="_______CYA11">[1]Hidden!$P$11</definedName>
    <definedName name="_______CYA2">[1]Hidden!$M$11</definedName>
    <definedName name="_______CYA3">[1]Hidden!$L$11</definedName>
    <definedName name="_______CYA4">[1]Hidden!$K$11</definedName>
    <definedName name="_______CYA5">[1]Hidden!$J$11</definedName>
    <definedName name="_______CYA6">[1]Hidden!$I$11</definedName>
    <definedName name="_______CYA7">[1]Hidden!$H$11</definedName>
    <definedName name="_______CYA8">[1]Hidden!$G$11</definedName>
    <definedName name="_______CYA9">[1]Hidden!$F$11</definedName>
    <definedName name="_______LYA12">[1]Hidden!$O$11</definedName>
    <definedName name="______CYA1">[1]Hidden!$N$11</definedName>
    <definedName name="______CYA10">[1]Hidden!$E$11</definedName>
    <definedName name="______CYA11">[1]Hidden!$P$11</definedName>
    <definedName name="______CYA2">[1]Hidden!$M$11</definedName>
    <definedName name="______CYA3">[1]Hidden!$L$11</definedName>
    <definedName name="______CYA4">[1]Hidden!$K$11</definedName>
    <definedName name="______CYA5">[1]Hidden!$J$11</definedName>
    <definedName name="______CYA6">[1]Hidden!$I$11</definedName>
    <definedName name="______CYA7">[1]Hidden!$H$11</definedName>
    <definedName name="______CYA8">[1]Hidden!$G$11</definedName>
    <definedName name="______CYA9">[1]Hidden!$F$11</definedName>
    <definedName name="______LYA12">[1]Hidden!$O$11</definedName>
    <definedName name="_____CYA1">[1]Hidden!$N$11</definedName>
    <definedName name="_____CYA10">[1]Hidden!$E$11</definedName>
    <definedName name="_____CYA11">[1]Hidden!$P$11</definedName>
    <definedName name="_____CYA2">[1]Hidden!$M$11</definedName>
    <definedName name="_____CYA3">[1]Hidden!$L$11</definedName>
    <definedName name="_____CYA4">[1]Hidden!$K$11</definedName>
    <definedName name="_____CYA5">[1]Hidden!$J$11</definedName>
    <definedName name="_____CYA6">[1]Hidden!$I$11</definedName>
    <definedName name="_____CYA7">[1]Hidden!$H$11</definedName>
    <definedName name="_____CYA8">[1]Hidden!$G$11</definedName>
    <definedName name="_____CYA9">[1]Hidden!$F$11</definedName>
    <definedName name="_____LYA12">[1]Hidden!$O$11</definedName>
    <definedName name="____CYA1">[1]Hidden!$N$11</definedName>
    <definedName name="____CYA10">[1]Hidden!$E$11</definedName>
    <definedName name="____CYA11">[1]Hidden!$P$11</definedName>
    <definedName name="____CYA2">[1]Hidden!$M$11</definedName>
    <definedName name="____CYA3">[1]Hidden!$L$11</definedName>
    <definedName name="____CYA4">[1]Hidden!$K$11</definedName>
    <definedName name="____CYA5">[1]Hidden!$J$11</definedName>
    <definedName name="____CYA6">[1]Hidden!$I$11</definedName>
    <definedName name="____CYA7">[1]Hidden!$H$11</definedName>
    <definedName name="____CYA8">[1]Hidden!$G$11</definedName>
    <definedName name="____CYA9">[1]Hidden!$F$11</definedName>
    <definedName name="____LYA12">[1]Hidden!$O$11</definedName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123Graph_g" hidden="1">'[2]#REF'!$F$9:$F$83</definedName>
    <definedName name="_132" hidden="1">[3]XXXXXX!$B$10:$B$10</definedName>
    <definedName name="_132Graph_h" localSheetId="4" hidden="1">#REF!</definedName>
    <definedName name="_132Graph_h" hidden="1">#REF!</definedName>
    <definedName name="_ACT1" localSheetId="3">[4]Hidden!#REF!</definedName>
    <definedName name="_ACT1" localSheetId="4">[4]Hidden!#REF!</definedName>
    <definedName name="_ACT1">[5]Hidden!#REF!</definedName>
    <definedName name="_ACT2" localSheetId="3">[4]Hidden!#REF!</definedName>
    <definedName name="_ACT2" localSheetId="4">[4]Hidden!#REF!</definedName>
    <definedName name="_ACT2">[5]Hidden!#REF!</definedName>
    <definedName name="_ACT3" localSheetId="3">[4]Hidden!#REF!</definedName>
    <definedName name="_ACT3" localSheetId="4">[4]Hidden!#REF!</definedName>
    <definedName name="_ACT3">[5]Hidden!#REF!</definedName>
    <definedName name="_COS1">#REF!</definedName>
    <definedName name="_COS2">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Fill" localSheetId="4" hidden="1">#REF!</definedName>
    <definedName name="_Fill" hidden="1">#REF!</definedName>
    <definedName name="_xlnm._FilterDatabase" localSheetId="1" hidden="1">'Spokane DF Calc'!$A$1:$T$49</definedName>
    <definedName name="_Key1" localSheetId="4" hidden="1">#REF!</definedName>
    <definedName name="_Key1" hidden="1">#REF!</definedName>
    <definedName name="_Key2" hidden="1">'[2]#REF'!$D$12</definedName>
    <definedName name="_key5" hidden="1">[3]XXXXXX!$H$10</definedName>
    <definedName name="_LYA12">[1]Hidden!$O$11</definedName>
    <definedName name="_max" localSheetId="4" hidden="1">#REF!</definedName>
    <definedName name="_max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Sort" localSheetId="4" hidden="1">#REF!</definedName>
    <definedName name="_Sort" hidden="1">#REF!</definedName>
    <definedName name="_Sort1" hidden="1">'[2]#REF'!$A$10:$Z$281</definedName>
    <definedName name="_sort3" hidden="1">[3]XXXXXX!$G$10:$J$11</definedName>
    <definedName name="ACCT" localSheetId="3">[4]Hidden!#REF!</definedName>
    <definedName name="ACCT" localSheetId="4">[1]Hidden!$D$11</definedName>
    <definedName name="ACCT">[5]Hidden!#REF!</definedName>
    <definedName name="ACCT.ConsolSum">[1]Hidden!$Q$11</definedName>
    <definedName name="ACT_CUR" localSheetId="3">[4]Hidden!#REF!</definedName>
    <definedName name="ACT_CUR" localSheetId="4">[4]Hidden!#REF!</definedName>
    <definedName name="ACT_CUR">[5]Hidden!#REF!</definedName>
    <definedName name="ACT_YTD" localSheetId="3">[4]Hidden!#REF!</definedName>
    <definedName name="ACT_YTD" localSheetId="4">[4]Hidden!#REF!</definedName>
    <definedName name="ACT_YTD">[5]Hidden!#REF!</definedName>
    <definedName name="AmountCount" localSheetId="3">#REF!</definedName>
    <definedName name="AmountCount" localSheetId="4">#REF!</definedName>
    <definedName name="AmountCount">#REF!</definedName>
    <definedName name="AmountCount1">#REF!</definedName>
    <definedName name="AmountTotal">#REF!</definedName>
    <definedName name="AmountTotal1">#REF!</definedName>
    <definedName name="BookRev" localSheetId="3">'[6]Pacific Regulated - Price Out'!$F$50</definedName>
    <definedName name="BookRev" localSheetId="4">'[6]Pacific Regulated - Price Out'!$F$50</definedName>
    <definedName name="BookRev">'[7]Pacific Regulated - Price Out'!$F$50</definedName>
    <definedName name="BookRev_com" localSheetId="3">'[6]Pacific Regulated - Price Out'!$F$214</definedName>
    <definedName name="BookRev_com" localSheetId="4">'[6]Pacific Regulated - Price Out'!$F$214</definedName>
    <definedName name="BookRev_com">'[7]Pacific Regulated - Price Out'!$F$214</definedName>
    <definedName name="BookRev_mfr" localSheetId="3">'[6]Pacific Regulated - Price Out'!$F$222</definedName>
    <definedName name="BookRev_mfr" localSheetId="4">'[6]Pacific Regulated - Price Out'!$F$222</definedName>
    <definedName name="BookRev_mfr">'[7]Pacific Regulated - Price Out'!$F$222</definedName>
    <definedName name="BookRev_ro" localSheetId="3">'[6]Pacific Regulated - Price Out'!$F$282</definedName>
    <definedName name="BookRev_ro" localSheetId="4">'[6]Pacific Regulated - Price Out'!$F$282</definedName>
    <definedName name="BookRev_ro">'[7]Pacific Regulated - Price Out'!$F$282</definedName>
    <definedName name="BookRev_rr" localSheetId="3">'[6]Pacific Regulated - Price Out'!$F$59</definedName>
    <definedName name="BookRev_rr" localSheetId="4">'[6]Pacific Regulated - Price Out'!$F$59</definedName>
    <definedName name="BookRev_rr">'[7]Pacific Regulated - Price Out'!$F$59</definedName>
    <definedName name="BookRev_yw" localSheetId="3">'[6]Pacific Regulated - Price Out'!$F$70</definedName>
    <definedName name="BookRev_yw" localSheetId="4">'[6]Pacific Regulated - Price Out'!$F$70</definedName>
    <definedName name="BookRev_yw">'[7]Pacific Regulated - Price Out'!$F$70</definedName>
    <definedName name="BREMAIR_COST_of_SERVICE_STUDY" localSheetId="3">#REF!</definedName>
    <definedName name="BREMAIR_COST_of_SERVICE_STUDY" localSheetId="4">#REF!</definedName>
    <definedName name="BREMAIR_COST_of_SERVICE_STUDY">#REF!</definedName>
    <definedName name="BUD_CUR" localSheetId="3">[4]Hidden!#REF!</definedName>
    <definedName name="BUD_CUR" localSheetId="4">[4]Hidden!#REF!</definedName>
    <definedName name="BUD_CUR">[5]Hidden!#REF!</definedName>
    <definedName name="BUD_YTD" localSheetId="3">[4]Hidden!#REF!</definedName>
    <definedName name="BUD_YTD" localSheetId="4">[4]Hidden!#REF!</definedName>
    <definedName name="BUD_YTD">[5]Hidden!#REF!</definedName>
    <definedName name="CalRecyTons" localSheetId="3">'[8]Recycl Tons, Commodity Value'!$L$23</definedName>
    <definedName name="CalRecyTons" localSheetId="4">'[8]Recycl Tons, Commodity Value'!$L$23</definedName>
    <definedName name="CalRecyTons">'[9]Recycl Tons, Commodity Value'!$L$23</definedName>
    <definedName name="CheckTotals" localSheetId="3">#REF!</definedName>
    <definedName name="CheckTotals" localSheetId="4">#REF!</definedName>
    <definedName name="CheckTotals">#REF!</definedName>
    <definedName name="colgroup">[1]Orientation!$G$6</definedName>
    <definedName name="colsegment">[1]Orientation!$F$6</definedName>
    <definedName name="CommlStaffPriceOut">'[10]Price Out-Reg EASTSIDE-Resi'!#REF!</definedName>
    <definedName name="CRCTable" localSheetId="3">#REF!</definedName>
    <definedName name="CRCTable" localSheetId="4">#REF!</definedName>
    <definedName name="CRCTable">#REF!</definedName>
    <definedName name="CRCTableOLD">#REF!</definedName>
    <definedName name="CriteriaType">[11]ControlPanel!$Z$2:$Z$5</definedName>
    <definedName name="CurrentMonth">'[12]38000 Other Rev'!$H$8</definedName>
    <definedName name="Cutomers" localSheetId="3">#REF!</definedName>
    <definedName name="Cutomers" localSheetId="4">#REF!</definedName>
    <definedName name="Cutomers">#REF!</definedName>
    <definedName name="_xlnm.Database">#REF!</definedName>
    <definedName name="Database1">#REF!</definedName>
    <definedName name="DateFrom">'[12]38000 Other Rev'!$G$12</definedName>
    <definedName name="DateTo">'[12]38000 Other Rev'!$G$13</definedName>
    <definedName name="DBxStaffPriceOut">'[10]Price Out-Reg EASTSIDE-Resi'!#REF!</definedName>
    <definedName name="DEPT" localSheetId="3">[4]Hidden!#REF!</definedName>
    <definedName name="DEPT" localSheetId="4">[4]Hidden!#REF!</definedName>
    <definedName name="DEPT">[5]Hidden!#REF!</definedName>
    <definedName name="Dist">[13]Data!$E$3</definedName>
    <definedName name="District" localSheetId="3">'[14]Vashon BS'!#REF!</definedName>
    <definedName name="District" localSheetId="4">#REF!</definedName>
    <definedName name="District">'[15]Vashon BS'!#REF!</definedName>
    <definedName name="DistrictNum" localSheetId="3">#REF!</definedName>
    <definedName name="DistrictNum" localSheetId="4">#REF!</definedName>
    <definedName name="DistrictNum">#REF!</definedName>
    <definedName name="dOG" localSheetId="3">#REF!</definedName>
    <definedName name="dOG">#REF!</definedName>
    <definedName name="drlFilter">[1]Settings!$D$27</definedName>
    <definedName name="End" localSheetId="3">#REF!</definedName>
    <definedName name="End" localSheetId="4">#REF!</definedName>
    <definedName name="End">'[16]IS-2120'!#REF!</definedName>
    <definedName name="EntrieShownLimit">'[12]38000 Other Rev'!$D$6</definedName>
    <definedName name="ExcludeIC" localSheetId="3">'[12]2025 BS'!#REF!</definedName>
    <definedName name="ExcludeIC" localSheetId="4">#REF!</definedName>
    <definedName name="ExcludeIC">'[15]Vashon BS'!#REF!</definedName>
    <definedName name="EXT">#REF!</definedName>
    <definedName name="FBTable" localSheetId="3">#REF!</definedName>
    <definedName name="FBTable" localSheetId="4">#REF!</definedName>
    <definedName name="FBTable">#REF!</definedName>
    <definedName name="FBTableOld">#REF!</definedName>
    <definedName name="filter">[1]Settings!$B$14:$H$25</definedName>
    <definedName name="FundsApprPend" localSheetId="4">[13]Data!#REF!</definedName>
    <definedName name="FundsApprPend">[13]Data!#REF!</definedName>
    <definedName name="FundsBudUnbud" localSheetId="4">[13]Data!#REF!</definedName>
    <definedName name="FundsBudUnbud">[13]Data!#REF!</definedName>
    <definedName name="GLMappingStart" localSheetId="3">#REF!</definedName>
    <definedName name="GLMappingStart" localSheetId="4">#REF!</definedName>
    <definedName name="GLMappingStart">#REF!</definedName>
    <definedName name="GLMappingStart1">#REF!</definedName>
    <definedName name="Import_Range" localSheetId="4">[13]Data!#REF!</definedName>
    <definedName name="Import_Range">[13]Data!#REF!</definedName>
    <definedName name="IncomeStmnt" localSheetId="4">#REF!</definedName>
    <definedName name="IncomeStmnt">#REF!</definedName>
    <definedName name="INPUT" localSheetId="3">#REF!</definedName>
    <definedName name="INPUT">#REF!</definedName>
    <definedName name="Insurance">#REF!</definedName>
    <definedName name="Interject_LastPulledValues_BalanceRange">#REF!</definedName>
    <definedName name="Interject_LastPulledValues_DescriptionRange">#REF!</definedName>
    <definedName name="Interject_LastPulledValues_LastChangeGUID">#REF!</definedName>
    <definedName name="Interject_LastPulledValues_PreviousLastChangeGUID">#REF!</definedName>
    <definedName name="Invoice_Start" localSheetId="4">[13]Invoice_Drill!#REF!</definedName>
    <definedName name="Invoice_Start">[13]Invoice_Drill!#REF!</definedName>
    <definedName name="JEDetail" localSheetId="4">#REF!</definedName>
    <definedName name="JEDetail">#REF!</definedName>
    <definedName name="JEDetail1">#REF!</definedName>
    <definedName name="JEType">#REF!</definedName>
    <definedName name="JEType1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 localSheetId="3">#REF!</definedName>
    <definedName name="master_def" localSheetId="4">#REF!</definedName>
    <definedName name="master_def">'[16]IS-2120'!#REF!</definedName>
    <definedName name="MATRIX">#REF!</definedName>
    <definedName name="MemoAttachment" localSheetId="3">#REF!</definedName>
    <definedName name="MemoAttachment" localSheetId="4">#REF!</definedName>
    <definedName name="MemoAttachment">#REF!</definedName>
    <definedName name="MetaSet">[1]Orientation!$C$22</definedName>
    <definedName name="MFStaffPriceOut">'[10]Price Out-Reg EASTSIDE-Resi'!#REF!</definedName>
    <definedName name="MonthList">'[13]Lookup Tables'!$A$1:$A$13</definedName>
    <definedName name="NewOnlyOrg">#N/A</definedName>
    <definedName name="nn">#REF!</definedName>
    <definedName name="NOTES" localSheetId="3">#REF!</definedName>
    <definedName name="NOTES" localSheetId="4">#REF!</definedName>
    <definedName name="NOTES">#REF!</definedName>
    <definedName name="NR">#REF!</definedName>
    <definedName name="OfficerSalary">#N/A</definedName>
    <definedName name="OffsetAcctBil">[17]JEexport!$L$10</definedName>
    <definedName name="OffsetAcctPmt">[17]JEexport!$L$9</definedName>
    <definedName name="Org11_13">#N/A</definedName>
    <definedName name="Org7_10">#N/A</definedName>
    <definedName name="p" localSheetId="3">#REF!</definedName>
    <definedName name="p" localSheetId="4">#REF!</definedName>
    <definedName name="p">#REF!</definedName>
    <definedName name="PAGE_1">#REF!</definedName>
    <definedName name="Page16">#REF!</definedName>
    <definedName name="Page17">#REF!</definedName>
    <definedName name="Page18">#REF!</definedName>
    <definedName name="Page7a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rimtbl">[1]Orientation!$C$23</definedName>
    <definedName name="_xlnm.Print_Area" localSheetId="2">'Proposed Rates'!$A$1:$E$97</definedName>
    <definedName name="_xlnm.Print_Area" localSheetId="1">'Spokane DF Calc'!$A$1:$T$75</definedName>
    <definedName name="_xlnm.Print_Area" localSheetId="4">'Spokane Reg - Price out'!$A$1:$S$113</definedName>
    <definedName name="_xlnm.Print_Area">#REF!</definedName>
    <definedName name="Print_Area_MI" localSheetId="3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_xlnm.Print_Titles" localSheetId="2">'Proposed Rates'!$1:$5</definedName>
    <definedName name="_xlnm.Print_Titles" localSheetId="1">'Spokane DF Calc'!$1:$5</definedName>
    <definedName name="_xlnm.Print_Titles" localSheetId="4">'Spokane Reg - Price out'!$1:$6</definedName>
    <definedName name="Print1" localSheetId="3">#REF!</definedName>
    <definedName name="Print1" localSheetId="4">#REF!</definedName>
    <definedName name="Print1">#REF!</definedName>
    <definedName name="Print2">#REF!</definedName>
    <definedName name="Print5">#REF!</definedName>
    <definedName name="ProRev" localSheetId="3">'[6]Pacific Regulated - Price Out'!$M$49</definedName>
    <definedName name="ProRev" localSheetId="4">'[6]Pacific Regulated - Price Out'!$M$49</definedName>
    <definedName name="ProRev">'[7]Pacific Regulated - Price Out'!$M$49</definedName>
    <definedName name="ProRev_com" localSheetId="3">'[6]Pacific Regulated - Price Out'!$M$213</definedName>
    <definedName name="ProRev_com" localSheetId="4">'[6]Pacific Regulated - Price Out'!$M$213</definedName>
    <definedName name="ProRev_com">'[7]Pacific Regulated - Price Out'!$M$213</definedName>
    <definedName name="ProRev_mfr" localSheetId="3">'[6]Pacific Regulated - Price Out'!$M$221</definedName>
    <definedName name="ProRev_mfr" localSheetId="4">'[6]Pacific Regulated - Price Out'!$M$221</definedName>
    <definedName name="ProRev_mfr">'[7]Pacific Regulated - Price Out'!$M$221</definedName>
    <definedName name="ProRev_ro" localSheetId="3">'[6]Pacific Regulated - Price Out'!$M$281</definedName>
    <definedName name="ProRev_ro" localSheetId="4">'[6]Pacific Regulated - Price Out'!$M$281</definedName>
    <definedName name="ProRev_ro">'[7]Pacific Regulated - Price Out'!$M$281</definedName>
    <definedName name="ProRev_rr" localSheetId="3">'[6]Pacific Regulated - Price Out'!$M$58</definedName>
    <definedName name="ProRev_rr" localSheetId="4">'[6]Pacific Regulated - Price Out'!$M$58</definedName>
    <definedName name="ProRev_rr">'[7]Pacific Regulated - Price Out'!$M$58</definedName>
    <definedName name="ProRev_yw" localSheetId="3">'[6]Pacific Regulated - Price Out'!$M$69</definedName>
    <definedName name="ProRev_yw" localSheetId="4">'[6]Pacific Regulated - Price Out'!$M$69</definedName>
    <definedName name="ProRev_yw">'[7]Pacific Regulated - Price Out'!$M$69</definedName>
    <definedName name="pServer" localSheetId="3">#REF!</definedName>
    <definedName name="pServer" localSheetId="4">#REF!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g_Cust_Billed_Percent">'[18]Consolidated IS 2009 2010'!$AK$20</definedName>
    <definedName name="Reg_Cust_Percent">'[18]Consolidated IS 2009 2010'!$AC$20</definedName>
    <definedName name="Reg_Drive_Percent">'[18]Consolidated IS 2009 2010'!$AC$40</definedName>
    <definedName name="Reg_Haul_Rev_Percent">'[18]Consolidated IS 2009 2010'!$Z$18</definedName>
    <definedName name="Reg_Lab_Percent">'[18]Consolidated IS 2009 2010'!$AC$39</definedName>
    <definedName name="Reg_Steel_Cont_Percent">'[18]Consolidated IS 2009 2010'!$AE$120</definedName>
    <definedName name="RegulatedIS">'[18]2009 IS'!$A$12:$Q$655</definedName>
    <definedName name="RelatedSalary">#N/A</definedName>
    <definedName name="report_type">[1]Orientation!$C$24</definedName>
    <definedName name="ReportNames">[19]ControlPanel!$S$2:$S$16</definedName>
    <definedName name="ReportVersion">[1]Settings!$D$5</definedName>
    <definedName name="ReslStaffPriceOut">'[10]Price Out-Reg EASTSIDE-Resi'!#REF!</definedName>
    <definedName name="RetainedEarnings" localSheetId="3">#REF!</definedName>
    <definedName name="RetainedEarnings" localSheetId="4">#REF!</definedName>
    <definedName name="RetainedEarnings">#REF!</definedName>
    <definedName name="RevCust" localSheetId="3">[20]RevenuesCust!#REF!</definedName>
    <definedName name="RevCust" localSheetId="4">[20]RevenuesCust!#REF!</definedName>
    <definedName name="RevCust">[21]RevenuesCust!#REF!</definedName>
    <definedName name="RevCustomer" localSheetId="3">#REF!</definedName>
    <definedName name="RevCustomer" localSheetId="4">#REF!</definedName>
    <definedName name="RevCustomer">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 localSheetId="3">#REF!</definedName>
    <definedName name="sortcol" localSheetId="4">#REF!</definedName>
    <definedName name="sortcol">'[16]IS-2120'!#REF!</definedName>
    <definedName name="sSRCDate" localSheetId="3">'[22]Feb''12 FAR Data'!#REF!</definedName>
    <definedName name="sSRCDate" localSheetId="4">'[23]Feb''12 FAR Data'!#REF!</definedName>
    <definedName name="sSRCDate">'[24]Feb''12 FAR Data'!#REF!</definedName>
    <definedName name="Supplemental_filter">[1]Settings!$C$31</definedName>
    <definedName name="SWDisposal">#N/A</definedName>
    <definedName name="System" localSheetId="4">#REF!</definedName>
    <definedName name="System">[25]BS_Close!$V$8</definedName>
    <definedName name="TemplateEnd" localSheetId="3">#REF!</definedName>
    <definedName name="TemplateEnd" localSheetId="4">#REF!</definedName>
    <definedName name="TemplateEnd">#REF!</definedName>
    <definedName name="TemplateStart">#REF!</definedName>
    <definedName name="TheTable">#REF!</definedName>
    <definedName name="TheTableOLD">#REF!</definedName>
    <definedName name="timeseries">[1]Orientation!$B$6:$C$13</definedName>
    <definedName name="Tons">#REF!</definedName>
    <definedName name="Total_Comm" localSheetId="3">'[8]Tariff Rate Sheet'!$L$214</definedName>
    <definedName name="Total_Comm" localSheetId="4">'[8]Tariff Rate Sheet'!$L$214</definedName>
    <definedName name="Total_Comm">'[9]Tariff Rate Sheet'!$L$214</definedName>
    <definedName name="Total_DB" localSheetId="3">'[8]Tariff Rate Sheet'!$L$278</definedName>
    <definedName name="Total_DB" localSheetId="4">'[8]Tariff Rate Sheet'!$L$278</definedName>
    <definedName name="Total_DB">'[9]Tariff Rate Sheet'!$L$278</definedName>
    <definedName name="Total_Resi" localSheetId="3">'[8]Tariff Rate Sheet'!$L$107</definedName>
    <definedName name="Total_Resi" localSheetId="4">'[8]Tariff Rate Sheet'!$L$107</definedName>
    <definedName name="Total_Resi">'[9]Tariff Rate Sheet'!$L$107</definedName>
    <definedName name="Transactions" localSheetId="3">#REF!</definedName>
    <definedName name="Transactions" localSheetId="4">#REF!</definedName>
    <definedName name="Transactions">#REF!</definedName>
    <definedName name="UnregulatedIS">'[18]2010 IS'!$A$12:$Q$654</definedName>
    <definedName name="Version" localSheetId="4">[13]Data!#REF!</definedName>
    <definedName name="Version">[13]Data!#REF!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hidden="1">{"Page1",#N/A,TRUE,"SUMM";"Page2",#N/A,TRUE,"Rev";"Page3",#N/A,TRUE,"Dir_Costs"}</definedName>
    <definedName name="WTable" localSheetId="4">#REF!</definedName>
    <definedName name="WTable">#REF!</definedName>
    <definedName name="WTableOld" localSheetId="4">#REF!</definedName>
    <definedName name="WTableOld">#REF!</definedName>
    <definedName name="ww">#REF!</definedName>
    <definedName name="xperiod">[1]Orientation!$G$15</definedName>
    <definedName name="xtabin" localSheetId="3">[4]Hidden!#REF!</definedName>
    <definedName name="xtabin" localSheetId="4">[4]Hidden!#REF!</definedName>
    <definedName name="xtabin">[5]Hidden!#REF!</definedName>
    <definedName name="xx" localSheetId="3">#REF!</definedName>
    <definedName name="xx" localSheetId="4">#REF!</definedName>
    <definedName name="xx">#REF!</definedName>
    <definedName name="xxx">#REF!</definedName>
    <definedName name="xxxx">#REF!</definedName>
    <definedName name="YearMonth" localSheetId="3">'[14]Vashon BS'!#REF!</definedName>
    <definedName name="YearMonth" localSheetId="4">#REF!</definedName>
    <definedName name="YearMonth">'[15]Vashon BS'!#REF!</definedName>
    <definedName name="YWMedWasteDisp">#N/A</definedName>
    <definedName name="yy" localSheetId="3">#REF!</definedName>
    <definedName name="yy" localSheetId="4">#REF!</definedName>
    <definedName name="y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6" i="3" l="1"/>
  <c r="X67" i="3"/>
  <c r="X68" i="3"/>
  <c r="W68" i="3"/>
  <c r="W67" i="3"/>
  <c r="W66" i="3"/>
  <c r="O12" i="3" l="1"/>
  <c r="N12" i="3"/>
  <c r="Q12" i="3"/>
  <c r="S12" i="3"/>
  <c r="D65" i="3"/>
  <c r="D64" i="3"/>
  <c r="T12" i="3" l="1"/>
  <c r="R63" i="3"/>
  <c r="R64" i="3" s="1"/>
  <c r="D67" i="2"/>
  <c r="B64" i="2"/>
  <c r="D37" i="4"/>
  <c r="D36" i="4"/>
  <c r="C36" i="4"/>
  <c r="Y68" i="3" l="1"/>
  <c r="S99" i="8" l="1"/>
  <c r="Y67" i="3"/>
  <c r="Y66" i="3"/>
  <c r="G53" i="2" l="1"/>
  <c r="B61" i="2" l="1"/>
  <c r="D23" i="3" l="1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40" i="3"/>
  <c r="D42" i="3"/>
  <c r="D43" i="3"/>
  <c r="D44" i="3"/>
  <c r="D45" i="3"/>
  <c r="D46" i="3"/>
  <c r="D47" i="3"/>
  <c r="D22" i="3"/>
  <c r="D7" i="3"/>
  <c r="D8" i="3"/>
  <c r="D9" i="3"/>
  <c r="D10" i="3"/>
  <c r="D11" i="3"/>
  <c r="D12" i="3"/>
  <c r="D13" i="3"/>
  <c r="D14" i="3"/>
  <c r="D15" i="3"/>
  <c r="D17" i="3"/>
  <c r="D18" i="3"/>
  <c r="D19" i="3"/>
  <c r="D20" i="3"/>
  <c r="D6" i="3"/>
  <c r="M23" i="3"/>
  <c r="G23" i="3"/>
  <c r="F23" i="3"/>
  <c r="L61" i="8"/>
  <c r="L62" i="8"/>
  <c r="L63" i="8"/>
  <c r="L64" i="8"/>
  <c r="L65" i="8"/>
  <c r="L66" i="8"/>
  <c r="L67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38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12" i="8"/>
  <c r="P23" i="3" l="1"/>
  <c r="H23" i="3"/>
  <c r="C37" i="4" l="1"/>
  <c r="G47" i="3" l="1"/>
  <c r="M47" i="3"/>
  <c r="M46" i="3"/>
  <c r="M45" i="3"/>
  <c r="M44" i="3"/>
  <c r="M43" i="3"/>
  <c r="M42" i="3"/>
  <c r="M41" i="3"/>
  <c r="M40" i="3"/>
  <c r="M39" i="3"/>
  <c r="M38" i="3"/>
  <c r="M36" i="3"/>
  <c r="M37" i="3" s="1"/>
  <c r="M35" i="3"/>
  <c r="M34" i="3"/>
  <c r="M33" i="3"/>
  <c r="M32" i="3"/>
  <c r="M29" i="3"/>
  <c r="M28" i="3"/>
  <c r="M31" i="3"/>
  <c r="M30" i="3"/>
  <c r="M27" i="3"/>
  <c r="M57" i="3"/>
  <c r="G57" i="3"/>
  <c r="H57" i="3" s="1"/>
  <c r="G32" i="3"/>
  <c r="G46" i="3" l="1"/>
  <c r="G45" i="3"/>
  <c r="G44" i="3"/>
  <c r="G43" i="3"/>
  <c r="G42" i="3"/>
  <c r="G41" i="3"/>
  <c r="G40" i="3"/>
  <c r="G24" i="3"/>
  <c r="G39" i="3"/>
  <c r="G22" i="3"/>
  <c r="G38" i="3"/>
  <c r="G37" i="3"/>
  <c r="G36" i="3"/>
  <c r="G35" i="3"/>
  <c r="G34" i="3"/>
  <c r="G33" i="3"/>
  <c r="G30" i="3"/>
  <c r="G28" i="3"/>
  <c r="G29" i="3" l="1"/>
  <c r="G31" i="3"/>
  <c r="G27" i="3"/>
  <c r="G15" i="3" l="1"/>
  <c r="G13" i="3"/>
  <c r="T52" i="3" l="1"/>
  <c r="D21" i="3"/>
  <c r="T53" i="3"/>
  <c r="D48" i="3"/>
  <c r="B36" i="6" l="1"/>
  <c r="C35" i="6" s="1"/>
  <c r="M25" i="6"/>
  <c r="L25" i="6"/>
  <c r="J25" i="6"/>
  <c r="I25" i="6"/>
  <c r="F25" i="6"/>
  <c r="E25" i="6"/>
  <c r="C25" i="6"/>
  <c r="B25" i="6"/>
  <c r="Q23" i="6"/>
  <c r="P23" i="6"/>
  <c r="Q22" i="6"/>
  <c r="P22" i="6"/>
  <c r="Q21" i="6"/>
  <c r="P21" i="6"/>
  <c r="Q20" i="6"/>
  <c r="P20" i="6"/>
  <c r="Q19" i="6"/>
  <c r="P19" i="6"/>
  <c r="Q18" i="6"/>
  <c r="P18" i="6"/>
  <c r="Q17" i="6"/>
  <c r="P17" i="6"/>
  <c r="Q16" i="6"/>
  <c r="P16" i="6"/>
  <c r="Q15" i="6"/>
  <c r="P15" i="6"/>
  <c r="Q14" i="6"/>
  <c r="P14" i="6"/>
  <c r="Q13" i="6"/>
  <c r="P13" i="6"/>
  <c r="Q12" i="6"/>
  <c r="P12" i="6"/>
  <c r="Q25" i="6" l="1"/>
  <c r="G25" i="6"/>
  <c r="K25" i="6"/>
  <c r="N25" i="6"/>
  <c r="D25" i="6"/>
  <c r="P25" i="6"/>
  <c r="C34" i="6"/>
  <c r="C66" i="2" s="1"/>
  <c r="D71" i="3" s="1"/>
  <c r="B66" i="2" l="1"/>
  <c r="D72" i="3" s="1"/>
  <c r="D73" i="3" s="1"/>
  <c r="D63" i="3" s="1"/>
  <c r="E72" i="3" l="1"/>
  <c r="E71" i="3"/>
  <c r="C60" i="2"/>
  <c r="C59" i="2"/>
  <c r="B57" i="2"/>
  <c r="C56" i="2"/>
  <c r="C55" i="2"/>
  <c r="C61" i="2" l="1"/>
  <c r="D61" i="2"/>
  <c r="R58" i="3"/>
  <c r="R59" i="3"/>
  <c r="D57" i="2"/>
  <c r="C57" i="2"/>
  <c r="C64" i="2"/>
  <c r="R60" i="3" l="1"/>
  <c r="G12" i="3"/>
  <c r="G26" i="3" l="1"/>
  <c r="G25" i="3"/>
  <c r="G14" i="3"/>
  <c r="M26" i="3" l="1"/>
  <c r="M25" i="3"/>
  <c r="G55" i="3"/>
  <c r="G54" i="3"/>
  <c r="M7" i="3"/>
  <c r="M53" i="3"/>
  <c r="M10" i="3"/>
  <c r="M9" i="3"/>
  <c r="M8" i="3"/>
  <c r="M56" i="3"/>
  <c r="M18" i="3"/>
  <c r="M22" i="3"/>
  <c r="M14" i="3"/>
  <c r="M12" i="3"/>
  <c r="M24" i="3"/>
  <c r="M20" i="3"/>
  <c r="M19" i="3"/>
  <c r="M17" i="3"/>
  <c r="M16" i="3"/>
  <c r="M13" i="3"/>
  <c r="M15" i="3" s="1"/>
  <c r="P15" i="3" s="1"/>
  <c r="M11" i="3"/>
  <c r="M6" i="3"/>
  <c r="G56" i="3" l="1"/>
  <c r="H56" i="3" s="1"/>
  <c r="G18" i="3"/>
  <c r="G17" i="3"/>
  <c r="G16" i="3"/>
  <c r="G11" i="3"/>
  <c r="G53" i="3"/>
  <c r="G10" i="3"/>
  <c r="G9" i="3"/>
  <c r="G8" i="3"/>
  <c r="G7" i="3"/>
  <c r="G6" i="3"/>
  <c r="P8" i="3" l="1"/>
  <c r="P7" i="3"/>
  <c r="P10" i="3" l="1"/>
  <c r="P11" i="3"/>
  <c r="P13" i="3" l="1"/>
  <c r="P9" i="3"/>
  <c r="P6" i="3"/>
  <c r="P12" i="3"/>
  <c r="P14" i="3" l="1"/>
  <c r="M55" i="3"/>
  <c r="M54" i="3"/>
  <c r="G56" i="2" l="1"/>
  <c r="G58" i="2" s="1"/>
  <c r="B12" i="2"/>
  <c r="B11" i="2"/>
  <c r="H11" i="2" s="1"/>
  <c r="B10" i="2"/>
  <c r="B9" i="2"/>
  <c r="B8" i="2"/>
  <c r="B7" i="2"/>
  <c r="B6" i="2"/>
  <c r="E45" i="3" l="1"/>
  <c r="E41" i="3"/>
  <c r="E40" i="3"/>
  <c r="F40" i="3" s="1"/>
  <c r="P40" i="3" s="1"/>
  <c r="E47" i="3"/>
  <c r="E43" i="3"/>
  <c r="F43" i="3" s="1"/>
  <c r="P43" i="3" s="1"/>
  <c r="E39" i="3"/>
  <c r="E46" i="3"/>
  <c r="F46" i="3" s="1"/>
  <c r="P46" i="3" s="1"/>
  <c r="E42" i="3"/>
  <c r="F42" i="3" s="1"/>
  <c r="P42" i="3" s="1"/>
  <c r="E38" i="3"/>
  <c r="E44" i="3"/>
  <c r="E37" i="3"/>
  <c r="F37" i="3" s="1"/>
  <c r="P37" i="3" s="1"/>
  <c r="E36" i="3"/>
  <c r="F36" i="3" s="1"/>
  <c r="P36" i="3" s="1"/>
  <c r="E35" i="3"/>
  <c r="E32" i="3"/>
  <c r="E29" i="3"/>
  <c r="F29" i="3" s="1"/>
  <c r="P29" i="3" s="1"/>
  <c r="E27" i="3"/>
  <c r="F27" i="3" s="1"/>
  <c r="P27" i="3" s="1"/>
  <c r="E31" i="3"/>
  <c r="E30" i="3"/>
  <c r="F30" i="3" s="1"/>
  <c r="P30" i="3" s="1"/>
  <c r="E28" i="3"/>
  <c r="F28" i="3" s="1"/>
  <c r="P28" i="3" s="1"/>
  <c r="E15" i="3"/>
  <c r="F15" i="3" s="1"/>
  <c r="H15" i="3" s="1"/>
  <c r="E8" i="2"/>
  <c r="F39" i="3"/>
  <c r="P39" i="3" s="1"/>
  <c r="F32" i="3"/>
  <c r="P32" i="3" s="1"/>
  <c r="C6" i="2"/>
  <c r="F45" i="3"/>
  <c r="E34" i="3"/>
  <c r="F34" i="3" s="1"/>
  <c r="P34" i="3" s="1"/>
  <c r="E12" i="3"/>
  <c r="F38" i="3"/>
  <c r="P38" i="3" s="1"/>
  <c r="E25" i="3"/>
  <c r="F25" i="3" s="1"/>
  <c r="P25" i="3" s="1"/>
  <c r="E24" i="3"/>
  <c r="F24" i="3" s="1"/>
  <c r="P24" i="3" s="1"/>
  <c r="E11" i="3"/>
  <c r="E26" i="3"/>
  <c r="F26" i="3" s="1"/>
  <c r="P26" i="3" s="1"/>
  <c r="E14" i="3"/>
  <c r="F41" i="3"/>
  <c r="P41" i="3" s="1"/>
  <c r="E22" i="3"/>
  <c r="F22" i="3" s="1"/>
  <c r="E55" i="3"/>
  <c r="F55" i="3" s="1"/>
  <c r="H55" i="3" s="1"/>
  <c r="E54" i="3"/>
  <c r="F54" i="3" s="1"/>
  <c r="H54" i="3" s="1"/>
  <c r="E33" i="3"/>
  <c r="F33" i="3" s="1"/>
  <c r="P33" i="3" s="1"/>
  <c r="F35" i="3"/>
  <c r="P35" i="3" s="1"/>
  <c r="F47" i="3"/>
  <c r="P47" i="3" s="1"/>
  <c r="F31" i="3"/>
  <c r="P31" i="3" s="1"/>
  <c r="H7" i="2"/>
  <c r="F44" i="3"/>
  <c r="P44" i="3" s="1"/>
  <c r="B65" i="2"/>
  <c r="B67" i="2" s="1"/>
  <c r="C65" i="2"/>
  <c r="C67" i="2" s="1"/>
  <c r="E7" i="2"/>
  <c r="H10" i="2"/>
  <c r="F6" i="2"/>
  <c r="E56" i="3"/>
  <c r="E17" i="3"/>
  <c r="E20" i="3"/>
  <c r="E19" i="3"/>
  <c r="E16" i="3"/>
  <c r="E18" i="3"/>
  <c r="E7" i="3"/>
  <c r="E10" i="3"/>
  <c r="E6" i="3"/>
  <c r="E13" i="3"/>
  <c r="E9" i="3"/>
  <c r="E8" i="3"/>
  <c r="E53" i="3"/>
  <c r="E6" i="2"/>
  <c r="H6" i="2"/>
  <c r="D6" i="2"/>
  <c r="F9" i="2"/>
  <c r="F7" i="2"/>
  <c r="G9" i="2"/>
  <c r="G8" i="2"/>
  <c r="H9" i="2"/>
  <c r="D12" i="2"/>
  <c r="F8" i="2"/>
  <c r="C7" i="2"/>
  <c r="G7" i="2"/>
  <c r="G6" i="2"/>
  <c r="D7" i="2"/>
  <c r="H8" i="2"/>
  <c r="G10" i="2"/>
  <c r="C11" i="2"/>
  <c r="C10" i="2"/>
  <c r="E12" i="2"/>
  <c r="C8" i="2"/>
  <c r="D9" i="2"/>
  <c r="E10" i="2"/>
  <c r="F11" i="2"/>
  <c r="G12" i="2"/>
  <c r="C12" i="2"/>
  <c r="D11" i="2"/>
  <c r="C9" i="2"/>
  <c r="E11" i="2"/>
  <c r="F12" i="2"/>
  <c r="D8" i="2"/>
  <c r="E9" i="2"/>
  <c r="F10" i="2"/>
  <c r="G11" i="2"/>
  <c r="H12" i="2"/>
  <c r="D10" i="2"/>
  <c r="P22" i="3" l="1"/>
  <c r="F48" i="3"/>
  <c r="P45" i="3"/>
  <c r="H45" i="3"/>
  <c r="F12" i="3"/>
  <c r="H12" i="3" s="1"/>
  <c r="P48" i="3" l="1"/>
  <c r="F17" i="3"/>
  <c r="H29" i="3"/>
  <c r="H41" i="3"/>
  <c r="H28" i="3"/>
  <c r="H17" i="3" l="1"/>
  <c r="P17" i="3"/>
  <c r="F10" i="3"/>
  <c r="H10" i="3" s="1"/>
  <c r="H42" i="3"/>
  <c r="H40" i="3"/>
  <c r="H25" i="3"/>
  <c r="F7" i="3"/>
  <c r="H7" i="3" s="1"/>
  <c r="F20" i="3"/>
  <c r="F9" i="3"/>
  <c r="H9" i="3" s="1"/>
  <c r="H46" i="3"/>
  <c r="F18" i="3"/>
  <c r="H27" i="3"/>
  <c r="H35" i="3"/>
  <c r="H26" i="3"/>
  <c r="H39" i="3"/>
  <c r="H24" i="3"/>
  <c r="F19" i="3"/>
  <c r="H36" i="3"/>
  <c r="H30" i="3"/>
  <c r="H38" i="3"/>
  <c r="H37" i="3"/>
  <c r="H32" i="3"/>
  <c r="H34" i="3"/>
  <c r="H33" i="3"/>
  <c r="H22" i="3"/>
  <c r="F14" i="3"/>
  <c r="H14" i="3" s="1"/>
  <c r="H43" i="3"/>
  <c r="F6" i="3"/>
  <c r="F11" i="3"/>
  <c r="H11" i="3" s="1"/>
  <c r="F16" i="3"/>
  <c r="H31" i="3"/>
  <c r="H47" i="3"/>
  <c r="F13" i="3"/>
  <c r="H13" i="3" s="1"/>
  <c r="H53" i="3"/>
  <c r="F8" i="3"/>
  <c r="H8" i="3" s="1"/>
  <c r="F21" i="3" l="1"/>
  <c r="H19" i="3"/>
  <c r="P19" i="3"/>
  <c r="H18" i="3"/>
  <c r="P18" i="3"/>
  <c r="H16" i="3"/>
  <c r="P16" i="3"/>
  <c r="H20" i="3"/>
  <c r="P20" i="3"/>
  <c r="H6" i="3"/>
  <c r="H44" i="3"/>
  <c r="H48" i="3" s="1"/>
  <c r="H21" i="3" l="1"/>
  <c r="H49" i="3" s="1"/>
  <c r="D66" i="3" s="1"/>
  <c r="I8" i="3" s="1"/>
  <c r="P21" i="3"/>
  <c r="V23" i="3" l="1"/>
  <c r="W23" i="3" s="1"/>
  <c r="X23" i="3" s="1"/>
  <c r="V32" i="3"/>
  <c r="W32" i="3" s="1"/>
  <c r="X32" i="3" s="1"/>
  <c r="V47" i="3"/>
  <c r="W47" i="3" s="1"/>
  <c r="X47" i="3" s="1"/>
  <c r="V35" i="3"/>
  <c r="W35" i="3" s="1"/>
  <c r="X35" i="3" s="1"/>
  <c r="V22" i="3"/>
  <c r="W22" i="3" s="1"/>
  <c r="X22" i="3" s="1"/>
  <c r="V34" i="3"/>
  <c r="W34" i="3" s="1"/>
  <c r="X34" i="3" s="1"/>
  <c r="V30" i="3"/>
  <c r="W30" i="3" s="1"/>
  <c r="X30" i="3" s="1"/>
  <c r="V46" i="3"/>
  <c r="W46" i="3" s="1"/>
  <c r="X46" i="3" s="1"/>
  <c r="V43" i="3"/>
  <c r="W43" i="3" s="1"/>
  <c r="X43" i="3" s="1"/>
  <c r="V44" i="3"/>
  <c r="W44" i="3" s="1"/>
  <c r="X44" i="3" s="1"/>
  <c r="V28" i="3"/>
  <c r="W28" i="3" s="1"/>
  <c r="X28" i="3" s="1"/>
  <c r="V39" i="3"/>
  <c r="W39" i="3" s="1"/>
  <c r="X39" i="3" s="1"/>
  <c r="V40" i="3"/>
  <c r="W40" i="3" s="1"/>
  <c r="X40" i="3" s="1"/>
  <c r="V33" i="3"/>
  <c r="W33" i="3" s="1"/>
  <c r="X33" i="3" s="1"/>
  <c r="V41" i="3"/>
  <c r="W41" i="3" s="1"/>
  <c r="X41" i="3" s="1"/>
  <c r="V38" i="3"/>
  <c r="W38" i="3" s="1"/>
  <c r="X38" i="3" s="1"/>
  <c r="V36" i="3"/>
  <c r="W36" i="3" s="1"/>
  <c r="X36" i="3" s="1"/>
  <c r="V37" i="3"/>
  <c r="W37" i="3" s="1"/>
  <c r="X37" i="3" s="1"/>
  <c r="V42" i="3"/>
  <c r="W42" i="3" s="1"/>
  <c r="X42" i="3" s="1"/>
  <c r="V45" i="3"/>
  <c r="W45" i="3" s="1"/>
  <c r="X45" i="3" s="1"/>
  <c r="V24" i="3"/>
  <c r="W24" i="3" s="1"/>
  <c r="X24" i="3" s="1"/>
  <c r="V27" i="3"/>
  <c r="W27" i="3" s="1"/>
  <c r="X27" i="3" s="1"/>
  <c r="V31" i="3"/>
  <c r="W31" i="3" s="1"/>
  <c r="X31" i="3" s="1"/>
  <c r="V29" i="3"/>
  <c r="W29" i="3" s="1"/>
  <c r="X29" i="3" s="1"/>
  <c r="V13" i="3"/>
  <c r="W13" i="3" s="1"/>
  <c r="X13" i="3" s="1"/>
  <c r="V15" i="3"/>
  <c r="W15" i="3" s="1"/>
  <c r="X15" i="3" s="1"/>
  <c r="V12" i="3"/>
  <c r="W12" i="3" s="1"/>
  <c r="X12" i="3" s="1"/>
  <c r="V14" i="3"/>
  <c r="W14" i="3" s="1"/>
  <c r="X14" i="3" s="1"/>
  <c r="V26" i="3"/>
  <c r="W26" i="3" s="1"/>
  <c r="X26" i="3" s="1"/>
  <c r="V25" i="3"/>
  <c r="W25" i="3" s="1"/>
  <c r="X25" i="3" s="1"/>
  <c r="V17" i="3"/>
  <c r="W17" i="3" s="1"/>
  <c r="X17" i="3" s="1"/>
  <c r="V7" i="3"/>
  <c r="W7" i="3" s="1"/>
  <c r="X7" i="3" s="1"/>
  <c r="V11" i="3"/>
  <c r="W11" i="3" s="1"/>
  <c r="X11" i="3" s="1"/>
  <c r="V9" i="3"/>
  <c r="W9" i="3" s="1"/>
  <c r="X9" i="3" s="1"/>
  <c r="V18" i="3"/>
  <c r="W18" i="3" s="1"/>
  <c r="X18" i="3" s="1"/>
  <c r="V10" i="3"/>
  <c r="W10" i="3" s="1"/>
  <c r="X10" i="3" s="1"/>
  <c r="V16" i="3"/>
  <c r="W16" i="3" s="1"/>
  <c r="X16" i="3" s="1"/>
  <c r="V19" i="3"/>
  <c r="W19" i="3" s="1"/>
  <c r="X19" i="3" s="1"/>
  <c r="V6" i="3"/>
  <c r="W6" i="3" s="1"/>
  <c r="X6" i="3" s="1"/>
  <c r="V20" i="3"/>
  <c r="W20" i="3" s="1"/>
  <c r="X20" i="3" s="1"/>
  <c r="V8" i="3"/>
  <c r="W8" i="3" s="1"/>
  <c r="X8" i="3" s="1"/>
  <c r="I57" i="3"/>
  <c r="J57" i="3" s="1"/>
  <c r="K57" i="3" s="1"/>
  <c r="N57" i="3" s="1"/>
  <c r="I23" i="3"/>
  <c r="J23" i="3" s="1"/>
  <c r="K23" i="3" s="1"/>
  <c r="I30" i="3"/>
  <c r="J30" i="3" s="1"/>
  <c r="K30" i="3" s="1"/>
  <c r="I6" i="3"/>
  <c r="J6" i="3" s="1"/>
  <c r="I43" i="3"/>
  <c r="J43" i="3" s="1"/>
  <c r="K43" i="3" s="1"/>
  <c r="L43" i="3" s="1"/>
  <c r="I28" i="3"/>
  <c r="J28" i="3" s="1"/>
  <c r="K28" i="3" s="1"/>
  <c r="L28" i="3" s="1"/>
  <c r="I27" i="3"/>
  <c r="J27" i="3" s="1"/>
  <c r="K27" i="3" s="1"/>
  <c r="L27" i="3" s="1"/>
  <c r="Y27" i="3" s="1"/>
  <c r="I29" i="3"/>
  <c r="J29" i="3" s="1"/>
  <c r="K29" i="3" s="1"/>
  <c r="L29" i="3" s="1"/>
  <c r="I14" i="3"/>
  <c r="J14" i="3" s="1"/>
  <c r="K14" i="3" s="1"/>
  <c r="L14" i="3" s="1"/>
  <c r="Y14" i="3" s="1"/>
  <c r="I36" i="3"/>
  <c r="J36" i="3" s="1"/>
  <c r="K36" i="3" s="1"/>
  <c r="L36" i="3" s="1"/>
  <c r="Y36" i="3" s="1"/>
  <c r="I55" i="3"/>
  <c r="J55" i="3" s="1"/>
  <c r="I45" i="3"/>
  <c r="J45" i="3" s="1"/>
  <c r="K45" i="3" s="1"/>
  <c r="L45" i="3" s="1"/>
  <c r="Y45" i="3" s="1"/>
  <c r="I7" i="3"/>
  <c r="J7" i="3" s="1"/>
  <c r="K7" i="3" s="1"/>
  <c r="L7" i="3" s="1"/>
  <c r="I38" i="3"/>
  <c r="J38" i="3" s="1"/>
  <c r="K38" i="3" s="1"/>
  <c r="L38" i="3" s="1"/>
  <c r="I53" i="3"/>
  <c r="J53" i="3" s="1"/>
  <c r="I33" i="3"/>
  <c r="J33" i="3" s="1"/>
  <c r="K33" i="3" s="1"/>
  <c r="L33" i="3" s="1"/>
  <c r="Y33" i="3" s="1"/>
  <c r="I42" i="3"/>
  <c r="J42" i="3" s="1"/>
  <c r="K42" i="3" s="1"/>
  <c r="L42" i="3" s="1"/>
  <c r="I18" i="3"/>
  <c r="J18" i="3" s="1"/>
  <c r="K18" i="3" s="1"/>
  <c r="L18" i="3" s="1"/>
  <c r="Y18" i="3" s="1"/>
  <c r="I44" i="3"/>
  <c r="J44" i="3" s="1"/>
  <c r="K44" i="3" s="1"/>
  <c r="L44" i="3" s="1"/>
  <c r="Y44" i="3" s="1"/>
  <c r="I17" i="3"/>
  <c r="J17" i="3" s="1"/>
  <c r="K17" i="3" s="1"/>
  <c r="L17" i="3" s="1"/>
  <c r="I47" i="3"/>
  <c r="J47" i="3" s="1"/>
  <c r="K47" i="3" s="1"/>
  <c r="L47" i="3" s="1"/>
  <c r="I25" i="3"/>
  <c r="J25" i="3" s="1"/>
  <c r="K25" i="3" s="1"/>
  <c r="L25" i="3" s="1"/>
  <c r="Y25" i="3" s="1"/>
  <c r="I12" i="3"/>
  <c r="J12" i="3" s="1"/>
  <c r="K12" i="3" s="1"/>
  <c r="L12" i="3" s="1"/>
  <c r="I15" i="3"/>
  <c r="J15" i="3" s="1"/>
  <c r="K15" i="3" s="1"/>
  <c r="L15" i="3" s="1"/>
  <c r="Y15" i="3" s="1"/>
  <c r="J8" i="3"/>
  <c r="K8" i="3" s="1"/>
  <c r="L8" i="3" s="1"/>
  <c r="I13" i="3"/>
  <c r="J13" i="3" s="1"/>
  <c r="K13" i="3" s="1"/>
  <c r="L13" i="3" s="1"/>
  <c r="Y13" i="3" s="1"/>
  <c r="I34" i="3"/>
  <c r="J34" i="3" s="1"/>
  <c r="K34" i="3" s="1"/>
  <c r="L34" i="3" s="1"/>
  <c r="Y34" i="3" s="1"/>
  <c r="I20" i="3"/>
  <c r="J20" i="3" s="1"/>
  <c r="K20" i="3" s="1"/>
  <c r="L20" i="3" s="1"/>
  <c r="I26" i="3"/>
  <c r="J26" i="3" s="1"/>
  <c r="K26" i="3" s="1"/>
  <c r="L26" i="3" s="1"/>
  <c r="I35" i="3"/>
  <c r="J35" i="3" s="1"/>
  <c r="K35" i="3" s="1"/>
  <c r="L35" i="3" s="1"/>
  <c r="Y35" i="3" s="1"/>
  <c r="I22" i="3"/>
  <c r="I32" i="3"/>
  <c r="J32" i="3" s="1"/>
  <c r="K32" i="3" s="1"/>
  <c r="I11" i="3"/>
  <c r="J11" i="3" s="1"/>
  <c r="K11" i="3" s="1"/>
  <c r="L11" i="3" s="1"/>
  <c r="I16" i="3"/>
  <c r="J16" i="3" s="1"/>
  <c r="K16" i="3" s="1"/>
  <c r="L16" i="3" s="1"/>
  <c r="Y16" i="3" s="1"/>
  <c r="I10" i="3"/>
  <c r="J10" i="3" s="1"/>
  <c r="K10" i="3" s="1"/>
  <c r="L10" i="3" s="1"/>
  <c r="Y10" i="3" s="1"/>
  <c r="I19" i="3"/>
  <c r="J19" i="3" s="1"/>
  <c r="K19" i="3" s="1"/>
  <c r="L19" i="3" s="1"/>
  <c r="Y19" i="3" s="1"/>
  <c r="I54" i="3"/>
  <c r="I31" i="3"/>
  <c r="J31" i="3" s="1"/>
  <c r="K31" i="3" s="1"/>
  <c r="L31" i="3" s="1"/>
  <c r="Y31" i="3" s="1"/>
  <c r="I46" i="3"/>
  <c r="J46" i="3" s="1"/>
  <c r="K46" i="3" s="1"/>
  <c r="L46" i="3" s="1"/>
  <c r="Y46" i="3" s="1"/>
  <c r="I24" i="3"/>
  <c r="J24" i="3" s="1"/>
  <c r="K24" i="3" s="1"/>
  <c r="L24" i="3" s="1"/>
  <c r="Y24" i="3" s="1"/>
  <c r="I40" i="3"/>
  <c r="J40" i="3" s="1"/>
  <c r="K40" i="3" s="1"/>
  <c r="L40" i="3" s="1"/>
  <c r="Y40" i="3" s="1"/>
  <c r="I9" i="3"/>
  <c r="J9" i="3" s="1"/>
  <c r="K9" i="3" s="1"/>
  <c r="L9" i="3" s="1"/>
  <c r="Y9" i="3" s="1"/>
  <c r="I41" i="3"/>
  <c r="J41" i="3" s="1"/>
  <c r="K41" i="3" s="1"/>
  <c r="L41" i="3" s="1"/>
  <c r="I39" i="3"/>
  <c r="J39" i="3" s="1"/>
  <c r="K39" i="3" s="1"/>
  <c r="L39" i="3" s="1"/>
  <c r="Y39" i="3" s="1"/>
  <c r="I56" i="3"/>
  <c r="J56" i="3" s="1"/>
  <c r="I37" i="3"/>
  <c r="J37" i="3" s="1"/>
  <c r="K37" i="3" s="1"/>
  <c r="L37" i="3" s="1"/>
  <c r="Y37" i="3" s="1"/>
  <c r="Y12" i="3" l="1"/>
  <c r="Y47" i="3"/>
  <c r="Y43" i="3"/>
  <c r="Y28" i="3"/>
  <c r="Y11" i="3"/>
  <c r="Y8" i="3"/>
  <c r="Y42" i="3"/>
  <c r="Y7" i="3"/>
  <c r="Y20" i="3"/>
  <c r="Y17" i="3"/>
  <c r="Y41" i="3"/>
  <c r="Y38" i="3"/>
  <c r="Y29" i="3"/>
  <c r="N26" i="3"/>
  <c r="Y26" i="3"/>
  <c r="L30" i="3"/>
  <c r="N30" i="3" s="1"/>
  <c r="L23" i="3"/>
  <c r="L32" i="3"/>
  <c r="L57" i="3"/>
  <c r="C47" i="4" s="1"/>
  <c r="C89" i="4" s="1"/>
  <c r="J22" i="3"/>
  <c r="K22" i="3" s="1"/>
  <c r="I48" i="3"/>
  <c r="I21" i="3"/>
  <c r="K55" i="3"/>
  <c r="L55" i="3" s="1"/>
  <c r="C16" i="4" s="1"/>
  <c r="J54" i="3"/>
  <c r="K54" i="3" s="1"/>
  <c r="L54" i="3" s="1"/>
  <c r="C15" i="4" s="1"/>
  <c r="N47" i="3"/>
  <c r="N43" i="3"/>
  <c r="K56" i="3"/>
  <c r="L56" i="3" s="1"/>
  <c r="C24" i="4"/>
  <c r="N15" i="3"/>
  <c r="O15" i="3" s="1"/>
  <c r="C19" i="4"/>
  <c r="N39" i="3"/>
  <c r="C7" i="4"/>
  <c r="D7" i="4" s="1"/>
  <c r="N34" i="3"/>
  <c r="C66" i="4"/>
  <c r="N45" i="3"/>
  <c r="K6" i="3"/>
  <c r="N40" i="3"/>
  <c r="N14" i="3"/>
  <c r="O14" i="3" s="1"/>
  <c r="C42" i="4"/>
  <c r="C17" i="4"/>
  <c r="C18" i="4"/>
  <c r="N42" i="3"/>
  <c r="C73" i="4"/>
  <c r="C69" i="4"/>
  <c r="D69" i="4" s="1"/>
  <c r="N44" i="3"/>
  <c r="K53" i="3"/>
  <c r="L53" i="3" s="1"/>
  <c r="C14" i="4" s="1"/>
  <c r="C43" i="4"/>
  <c r="C12" i="4"/>
  <c r="N31" i="3"/>
  <c r="S31" i="3" s="1"/>
  <c r="C13" i="4"/>
  <c r="N20" i="3"/>
  <c r="C11" i="4"/>
  <c r="N25" i="3"/>
  <c r="N18" i="3"/>
  <c r="N38" i="3"/>
  <c r="C77" i="4"/>
  <c r="C44" i="4"/>
  <c r="C46" i="4" l="1"/>
  <c r="C62" i="4" s="1"/>
  <c r="Y32" i="3"/>
  <c r="N23" i="3"/>
  <c r="S23" i="3" s="1"/>
  <c r="Y23" i="3"/>
  <c r="C45" i="4"/>
  <c r="D45" i="4" s="1"/>
  <c r="Y30" i="3"/>
  <c r="C55" i="4"/>
  <c r="D55" i="4" s="1"/>
  <c r="C54" i="4"/>
  <c r="C96" i="4"/>
  <c r="L6" i="3"/>
  <c r="N6" i="3" s="1"/>
  <c r="L22" i="3"/>
  <c r="N22" i="3" s="1"/>
  <c r="S22" i="3" s="1"/>
  <c r="C63" i="4"/>
  <c r="D63" i="4" s="1"/>
  <c r="F63" i="4" s="1"/>
  <c r="C97" i="4"/>
  <c r="D97" i="4" s="1"/>
  <c r="C79" i="4"/>
  <c r="D79" i="4" s="1"/>
  <c r="C78" i="4"/>
  <c r="C22" i="4"/>
  <c r="D22" i="4" s="1"/>
  <c r="O17" i="3" s="1"/>
  <c r="Q17" i="3" s="1"/>
  <c r="C23" i="4"/>
  <c r="D23" i="4" s="1"/>
  <c r="C86" i="4"/>
  <c r="C52" i="4"/>
  <c r="C94" i="4"/>
  <c r="C60" i="4"/>
  <c r="C75" i="4"/>
  <c r="D75" i="4" s="1"/>
  <c r="C74" i="4"/>
  <c r="C84" i="4"/>
  <c r="C50" i="4"/>
  <c r="C92" i="4"/>
  <c r="C58" i="4"/>
  <c r="C85" i="4"/>
  <c r="D85" i="4" s="1"/>
  <c r="C51" i="4"/>
  <c r="D51" i="4" s="1"/>
  <c r="C93" i="4"/>
  <c r="D93" i="4" s="1"/>
  <c r="C59" i="4"/>
  <c r="D59" i="4" s="1"/>
  <c r="C71" i="4"/>
  <c r="D71" i="4" s="1"/>
  <c r="C68" i="4"/>
  <c r="D68" i="4" s="1"/>
  <c r="C67" i="4"/>
  <c r="D67" i="4" s="1"/>
  <c r="C70" i="4"/>
  <c r="C32" i="4"/>
  <c r="D32" i="4" s="1"/>
  <c r="C28" i="4"/>
  <c r="D28" i="4" s="1"/>
  <c r="C31" i="4"/>
  <c r="D31" i="4" s="1"/>
  <c r="C27" i="4"/>
  <c r="D27" i="4" s="1"/>
  <c r="O47" i="3" s="1"/>
  <c r="C29" i="4"/>
  <c r="D29" i="4" s="1"/>
  <c r="C30" i="4"/>
  <c r="D30" i="4" s="1"/>
  <c r="S30" i="3"/>
  <c r="D16" i="4"/>
  <c r="O55" i="3" s="1"/>
  <c r="N55" i="3"/>
  <c r="N54" i="3"/>
  <c r="D15" i="4"/>
  <c r="O54" i="3" s="1"/>
  <c r="N24" i="3"/>
  <c r="S24" i="3" s="1"/>
  <c r="N32" i="3"/>
  <c r="D46" i="4"/>
  <c r="O32" i="3" s="1"/>
  <c r="Q32" i="3" s="1"/>
  <c r="R32" i="3" s="1"/>
  <c r="D66" i="4"/>
  <c r="N28" i="3"/>
  <c r="S28" i="3" s="1"/>
  <c r="N36" i="3"/>
  <c r="S36" i="3" s="1"/>
  <c r="N27" i="3"/>
  <c r="S27" i="3" s="1"/>
  <c r="D43" i="4"/>
  <c r="O27" i="3" s="1"/>
  <c r="N35" i="3"/>
  <c r="S35" i="3" s="1"/>
  <c r="S44" i="3"/>
  <c r="N29" i="3"/>
  <c r="S29" i="3" s="1"/>
  <c r="N33" i="3"/>
  <c r="S34" i="3"/>
  <c r="S39" i="3"/>
  <c r="S15" i="3"/>
  <c r="N56" i="3"/>
  <c r="S47" i="3"/>
  <c r="D11" i="4"/>
  <c r="O8" i="3" s="1"/>
  <c r="Q8" i="3" s="1"/>
  <c r="N8" i="3"/>
  <c r="S8" i="3" s="1"/>
  <c r="N37" i="3"/>
  <c r="S37" i="3" s="1"/>
  <c r="S42" i="3"/>
  <c r="N46" i="3"/>
  <c r="D89" i="4"/>
  <c r="D47" i="4"/>
  <c r="S18" i="3"/>
  <c r="S25" i="3"/>
  <c r="N9" i="3"/>
  <c r="D12" i="4"/>
  <c r="O9" i="3" s="1"/>
  <c r="Q9" i="3" s="1"/>
  <c r="N53" i="3"/>
  <c r="D14" i="4"/>
  <c r="O53" i="3" s="1"/>
  <c r="S45" i="3"/>
  <c r="N17" i="3"/>
  <c r="N19" i="3"/>
  <c r="D19" i="4"/>
  <c r="N7" i="3"/>
  <c r="N16" i="3"/>
  <c r="D24" i="4"/>
  <c r="O16" i="3" s="1"/>
  <c r="Q16" i="3" s="1"/>
  <c r="S43" i="3"/>
  <c r="S38" i="3"/>
  <c r="S20" i="3"/>
  <c r="D13" i="4"/>
  <c r="O10" i="3" s="1"/>
  <c r="Q10" i="3" s="1"/>
  <c r="N10" i="3"/>
  <c r="S26" i="3"/>
  <c r="S14" i="3"/>
  <c r="N41" i="3"/>
  <c r="N13" i="3"/>
  <c r="D18" i="4"/>
  <c r="D17" i="4"/>
  <c r="N11" i="3"/>
  <c r="S40" i="3"/>
  <c r="C88" i="4" l="1"/>
  <c r="D88" i="4" s="1"/>
  <c r="J88" i="4" s="1"/>
  <c r="C95" i="4"/>
  <c r="D95" i="4" s="1"/>
  <c r="C53" i="4"/>
  <c r="D53" i="4" s="1"/>
  <c r="C87" i="4"/>
  <c r="D87" i="4" s="1"/>
  <c r="C61" i="4"/>
  <c r="D61" i="4" s="1"/>
  <c r="O45" i="3" s="1"/>
  <c r="Q45" i="3" s="1"/>
  <c r="C41" i="4"/>
  <c r="D41" i="4" s="1"/>
  <c r="J41" i="4" s="1"/>
  <c r="Y22" i="3"/>
  <c r="C10" i="4"/>
  <c r="D10" i="4" s="1"/>
  <c r="O6" i="3" s="1"/>
  <c r="Q6" i="3" s="1"/>
  <c r="R6" i="3" s="1"/>
  <c r="Y6" i="3"/>
  <c r="T8" i="3"/>
  <c r="D62" i="4"/>
  <c r="F62" i="4" s="1"/>
  <c r="D54" i="4"/>
  <c r="D96" i="4"/>
  <c r="D44" i="4"/>
  <c r="H44" i="4" s="1"/>
  <c r="D52" i="4"/>
  <c r="D94" i="4"/>
  <c r="D60" i="4"/>
  <c r="D86" i="4"/>
  <c r="J86" i="4" s="1"/>
  <c r="O31" i="3"/>
  <c r="Q31" i="3" s="1"/>
  <c r="R31" i="3" s="1"/>
  <c r="O30" i="3"/>
  <c r="Q30" i="3" s="1"/>
  <c r="O33" i="3"/>
  <c r="Q33" i="3" s="1"/>
  <c r="O46" i="3"/>
  <c r="Q46" i="3" s="1"/>
  <c r="O38" i="3"/>
  <c r="Q38" i="3" s="1"/>
  <c r="O34" i="3"/>
  <c r="Q34" i="3" s="1"/>
  <c r="D42" i="4"/>
  <c r="O25" i="3" s="1"/>
  <c r="Q25" i="3" s="1"/>
  <c r="R25" i="3" s="1"/>
  <c r="D92" i="4"/>
  <c r="D58" i="4"/>
  <c r="D84" i="4"/>
  <c r="F84" i="4" s="1"/>
  <c r="D50" i="4"/>
  <c r="O40" i="3" s="1"/>
  <c r="Q40" i="3" s="1"/>
  <c r="F59" i="4"/>
  <c r="O43" i="3"/>
  <c r="Q43" i="3" s="1"/>
  <c r="S32" i="3"/>
  <c r="D70" i="4"/>
  <c r="D73" i="4"/>
  <c r="O35" i="3" s="1"/>
  <c r="Q35" i="3" s="1"/>
  <c r="D77" i="4"/>
  <c r="O36" i="3" s="1"/>
  <c r="O37" i="3" s="1"/>
  <c r="Q37" i="3" s="1"/>
  <c r="R37" i="3" s="1"/>
  <c r="G66" i="4"/>
  <c r="J66" i="4"/>
  <c r="H66" i="4"/>
  <c r="F66" i="4"/>
  <c r="I66" i="4"/>
  <c r="Q27" i="3"/>
  <c r="R27" i="3" s="1"/>
  <c r="O7" i="3"/>
  <c r="Q7" i="3" s="1"/>
  <c r="R17" i="3"/>
  <c r="I45" i="4"/>
  <c r="H45" i="4"/>
  <c r="J45" i="4"/>
  <c r="F45" i="4"/>
  <c r="G45" i="4"/>
  <c r="O56" i="3"/>
  <c r="O18" i="3"/>
  <c r="Q18" i="3" s="1"/>
  <c r="H43" i="4"/>
  <c r="F43" i="4"/>
  <c r="G43" i="4"/>
  <c r="J43" i="4"/>
  <c r="I43" i="4"/>
  <c r="S10" i="3"/>
  <c r="T10" i="3" s="1"/>
  <c r="R16" i="3"/>
  <c r="S6" i="3"/>
  <c r="H89" i="4"/>
  <c r="J89" i="4"/>
  <c r="G89" i="4"/>
  <c r="F89" i="4"/>
  <c r="I89" i="4"/>
  <c r="R8" i="3"/>
  <c r="S33" i="3"/>
  <c r="S11" i="3"/>
  <c r="J46" i="4"/>
  <c r="I46" i="4"/>
  <c r="F46" i="4"/>
  <c r="H46" i="4"/>
  <c r="G46" i="4"/>
  <c r="O11" i="3"/>
  <c r="Q11" i="3" s="1"/>
  <c r="S41" i="3"/>
  <c r="R10" i="3"/>
  <c r="S16" i="3"/>
  <c r="T16" i="3" s="1"/>
  <c r="R9" i="3"/>
  <c r="H47" i="4"/>
  <c r="I47" i="4"/>
  <c r="J47" i="4"/>
  <c r="Q47" i="3"/>
  <c r="F47" i="4"/>
  <c r="G47" i="4"/>
  <c r="I85" i="4"/>
  <c r="F85" i="4"/>
  <c r="H85" i="4"/>
  <c r="G85" i="4"/>
  <c r="J85" i="4"/>
  <c r="S13" i="3"/>
  <c r="S19" i="3"/>
  <c r="O19" i="3"/>
  <c r="Q19" i="3" s="1"/>
  <c r="O20" i="3"/>
  <c r="Q20" i="3" s="1"/>
  <c r="S46" i="3"/>
  <c r="O13" i="3"/>
  <c r="Q14" i="3"/>
  <c r="S7" i="3"/>
  <c r="S17" i="3"/>
  <c r="T17" i="3" s="1"/>
  <c r="S9" i="3"/>
  <c r="T9" i="3" s="1"/>
  <c r="I87" i="4"/>
  <c r="H87" i="4"/>
  <c r="G87" i="4"/>
  <c r="J87" i="4"/>
  <c r="F87" i="4"/>
  <c r="C91" i="4" l="1"/>
  <c r="D91" i="4" s="1"/>
  <c r="C83" i="4"/>
  <c r="D83" i="4" s="1"/>
  <c r="H83" i="4" s="1"/>
  <c r="C49" i="4"/>
  <c r="D49" i="4" s="1"/>
  <c r="O39" i="3" s="1"/>
  <c r="Q39" i="3" s="1"/>
  <c r="T39" i="3" s="1"/>
  <c r="F61" i="4"/>
  <c r="C57" i="4"/>
  <c r="D57" i="4" s="1"/>
  <c r="F57" i="4" s="1"/>
  <c r="I83" i="4"/>
  <c r="O22" i="3"/>
  <c r="Q22" i="3" s="1"/>
  <c r="T22" i="3" s="1"/>
  <c r="G41" i="4"/>
  <c r="I41" i="4"/>
  <c r="F41" i="4"/>
  <c r="H41" i="4"/>
  <c r="O23" i="3"/>
  <c r="Q23" i="3" s="1"/>
  <c r="T23" i="3" s="1"/>
  <c r="Q36" i="3"/>
  <c r="R36" i="3" s="1"/>
  <c r="G88" i="4"/>
  <c r="F88" i="4"/>
  <c r="S48" i="3"/>
  <c r="S21" i="3"/>
  <c r="I44" i="4"/>
  <c r="F44" i="4"/>
  <c r="G86" i="4"/>
  <c r="H86" i="4"/>
  <c r="F86" i="4"/>
  <c r="G44" i="4"/>
  <c r="J44" i="4"/>
  <c r="I86" i="4"/>
  <c r="O24" i="3"/>
  <c r="Q24" i="3" s="1"/>
  <c r="R24" i="3" s="1"/>
  <c r="G42" i="4"/>
  <c r="F42" i="4"/>
  <c r="I88" i="4"/>
  <c r="H88" i="4"/>
  <c r="H42" i="4"/>
  <c r="I42" i="4"/>
  <c r="J42" i="4"/>
  <c r="O26" i="3"/>
  <c r="Q26" i="3" s="1"/>
  <c r="R26" i="3" s="1"/>
  <c r="H84" i="4"/>
  <c r="Q13" i="3"/>
  <c r="T13" i="3" s="1"/>
  <c r="Q15" i="3"/>
  <c r="R15" i="3" s="1"/>
  <c r="I84" i="4"/>
  <c r="J84" i="4"/>
  <c r="F58" i="4"/>
  <c r="O42" i="3"/>
  <c r="Q42" i="3" s="1"/>
  <c r="R42" i="3" s="1"/>
  <c r="G84" i="4"/>
  <c r="O29" i="3"/>
  <c r="Q29" i="3" s="1"/>
  <c r="T29" i="3" s="1"/>
  <c r="O28" i="3"/>
  <c r="Q28" i="3" s="1"/>
  <c r="R28" i="3" s="1"/>
  <c r="F60" i="4"/>
  <c r="O44" i="3"/>
  <c r="Q44" i="3" s="1"/>
  <c r="T44" i="3" s="1"/>
  <c r="J77" i="4"/>
  <c r="G77" i="4"/>
  <c r="F77" i="4"/>
  <c r="I77" i="4"/>
  <c r="H77" i="4"/>
  <c r="O57" i="3"/>
  <c r="D78" i="4"/>
  <c r="T27" i="3"/>
  <c r="G73" i="4"/>
  <c r="I73" i="4"/>
  <c r="F73" i="4"/>
  <c r="J73" i="4"/>
  <c r="H73" i="4"/>
  <c r="D74" i="4"/>
  <c r="T25" i="3"/>
  <c r="R33" i="3"/>
  <c r="T33" i="3"/>
  <c r="T32" i="3"/>
  <c r="R39" i="3"/>
  <c r="T40" i="3"/>
  <c r="R40" i="3"/>
  <c r="T6" i="3"/>
  <c r="T45" i="3"/>
  <c r="R45" i="3"/>
  <c r="R14" i="3"/>
  <c r="T14" i="3"/>
  <c r="R34" i="3"/>
  <c r="T34" i="3"/>
  <c r="R47" i="3"/>
  <c r="T47" i="3"/>
  <c r="R11" i="3"/>
  <c r="T11" i="3"/>
  <c r="R30" i="3"/>
  <c r="T30" i="3"/>
  <c r="T31" i="3"/>
  <c r="R18" i="3"/>
  <c r="T18" i="3"/>
  <c r="T38" i="3"/>
  <c r="R38" i="3"/>
  <c r="T37" i="3"/>
  <c r="T20" i="3"/>
  <c r="R20" i="3"/>
  <c r="R19" i="3"/>
  <c r="T19" i="3"/>
  <c r="R35" i="3"/>
  <c r="T35" i="3"/>
  <c r="R46" i="3"/>
  <c r="T46" i="3"/>
  <c r="R12" i="3"/>
  <c r="T43" i="3"/>
  <c r="R43" i="3"/>
  <c r="R7" i="3"/>
  <c r="T7" i="3"/>
  <c r="G83" i="4" l="1"/>
  <c r="O41" i="3"/>
  <c r="Q41" i="3" s="1"/>
  <c r="T41" i="3" s="1"/>
  <c r="J83" i="4"/>
  <c r="F83" i="4"/>
  <c r="T36" i="3"/>
  <c r="R22" i="3"/>
  <c r="R23" i="3"/>
  <c r="R13" i="3"/>
  <c r="R21" i="3" s="1"/>
  <c r="Q21" i="3"/>
  <c r="T15" i="3"/>
  <c r="T21" i="3" s="1"/>
  <c r="R29" i="3"/>
  <c r="T24" i="3"/>
  <c r="T28" i="3"/>
  <c r="T26" i="3"/>
  <c r="T42" i="3"/>
  <c r="R44" i="3"/>
  <c r="I49" i="3"/>
  <c r="D49" i="3"/>
  <c r="F49" i="3"/>
  <c r="S49" i="3"/>
  <c r="P49" i="3"/>
  <c r="Q48" i="3" l="1"/>
  <c r="R41" i="3"/>
  <c r="R48" i="3"/>
  <c r="Q49" i="3"/>
  <c r="T48" i="3"/>
  <c r="T49" i="3" s="1"/>
  <c r="S52" i="3"/>
  <c r="R52" i="3"/>
  <c r="S53" i="3" l="1"/>
  <c r="R53" i="3"/>
  <c r="R54" i="3" s="1"/>
  <c r="R49" i="3"/>
  <c r="B71" i="2" s="1"/>
  <c r="B72" i="2" s="1"/>
  <c r="R5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Akasha Leffler</author>
  </authors>
  <commentList>
    <comment ref="W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Akasha Leffler:</t>
        </r>
        <r>
          <rPr>
            <sz val="9"/>
            <color indexed="81"/>
            <rFont val="Tahoma"/>
            <family val="2"/>
          </rPr>
          <t xml:space="preserve">
From 2021 Quick Look Price Out</t>
        </r>
      </text>
    </comment>
    <comment ref="X6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Akasha Leffler:</t>
        </r>
        <r>
          <rPr>
            <sz val="9"/>
            <color indexed="81"/>
            <rFont val="Tahoma"/>
            <family val="2"/>
          </rPr>
          <t xml:space="preserve">
didn't have DF increase this year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Chelsea Paschke</author>
  </authors>
  <commentList>
    <comment ref="Q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Chelsea Paschke:</t>
        </r>
        <r>
          <rPr>
            <sz val="9"/>
            <color indexed="81"/>
            <rFont val="Tahoma"/>
            <family val="2"/>
          </rPr>
          <t xml:space="preserve">
New rates as of 1/1/18 per TG-171120.
</t>
        </r>
      </text>
    </comment>
  </commentList>
</comments>
</file>

<file path=xl/sharedStrings.xml><?xml version="1.0" encoding="utf-8"?>
<sst xmlns="http://schemas.openxmlformats.org/spreadsheetml/2006/main" count="589" uniqueCount="424">
  <si>
    <t>Total</t>
  </si>
  <si>
    <t>Service Code</t>
  </si>
  <si>
    <t>Service Code Description</t>
  </si>
  <si>
    <t>Rate</t>
  </si>
  <si>
    <t>Revenue</t>
  </si>
  <si>
    <t>Customers</t>
  </si>
  <si>
    <t>RESIDENTIAL SERVICES</t>
  </si>
  <si>
    <t>RESIDENTIAL GARBAGE</t>
  </si>
  <si>
    <t>RL020.0G1W001</t>
  </si>
  <si>
    <t>RL 20 GL 1X WK 1</t>
  </si>
  <si>
    <t>RL032.0G1M001</t>
  </si>
  <si>
    <t>RL 32 GL 1X MO 1</t>
  </si>
  <si>
    <t>RL032.0G1W001</t>
  </si>
  <si>
    <t>RL 32 GL 1X WK 1</t>
  </si>
  <si>
    <t>RL032.0G1W002</t>
  </si>
  <si>
    <t>RL 32 GL 1X WK 2</t>
  </si>
  <si>
    <t>RL032.0G1W003</t>
  </si>
  <si>
    <t>RL 32 GL 1X WK 3</t>
  </si>
  <si>
    <t>RL065.0G1W001</t>
  </si>
  <si>
    <t>RL 65 GL 1X WK 1</t>
  </si>
  <si>
    <t>RL090.0G1W001</t>
  </si>
  <si>
    <t>RL 90 GL 1X WK 1</t>
  </si>
  <si>
    <t>RL090.0G1W002</t>
  </si>
  <si>
    <t>RL 90 GL 1X WK 2</t>
  </si>
  <si>
    <t>RL32R-OC</t>
  </si>
  <si>
    <t>1 RL 32 GL ON CALL-RES</t>
  </si>
  <si>
    <t>EXTRA-RES</t>
  </si>
  <si>
    <t>EXTRA CAN, BAG, BOX-RES</t>
  </si>
  <si>
    <t>EXTRYDG-RES</t>
  </si>
  <si>
    <t>EXTRA YARDAGE - RES</t>
  </si>
  <si>
    <t>OS-RES</t>
  </si>
  <si>
    <t>OVERSIZE CAN - RES</t>
  </si>
  <si>
    <t>OW-RES</t>
  </si>
  <si>
    <t>OVERFILL/WEIGHT CAN-RES</t>
  </si>
  <si>
    <t>BULKY-RES</t>
  </si>
  <si>
    <t>BULKY ITEM PICK UP-RES</t>
  </si>
  <si>
    <t>REDEL-RES</t>
  </si>
  <si>
    <t>REDELIVERY FEE - RES</t>
  </si>
  <si>
    <t>REINSTATE-RES</t>
  </si>
  <si>
    <t>REINSTATE FEE - RES</t>
  </si>
  <si>
    <t>TOTAL RESIDENTIAL GARBAGE</t>
  </si>
  <si>
    <t>COMMERCIAL SERVICES</t>
  </si>
  <si>
    <t>COMMERCIAL GARBAGE</t>
  </si>
  <si>
    <t>RL001.0Y1W001</t>
  </si>
  <si>
    <t>RL 1 YD 1X WK 1</t>
  </si>
  <si>
    <t>RL001.5Y1W001</t>
  </si>
  <si>
    <t>RL 1.5 YD 1X WK 1</t>
  </si>
  <si>
    <t>RL001.5Y1W002</t>
  </si>
  <si>
    <t>RL 1.5 YD 1X WK 2</t>
  </si>
  <si>
    <t>RL001.5Y1W003</t>
  </si>
  <si>
    <t>RL 1.5 YD 1X WK 3</t>
  </si>
  <si>
    <t>RL002.0Y1W001</t>
  </si>
  <si>
    <t>RL 2 YD 1X WK 1</t>
  </si>
  <si>
    <t>RL003.0Y1W001</t>
  </si>
  <si>
    <t>RL 3 YD 1X WK 1</t>
  </si>
  <si>
    <t>RL003.0Y1W002</t>
  </si>
  <si>
    <t>RL 3 YD 1X WK 2</t>
  </si>
  <si>
    <t>RL004.0Y1W001</t>
  </si>
  <si>
    <t>RL 4 YD 1X WK 1</t>
  </si>
  <si>
    <t>RL004.0Y1W002</t>
  </si>
  <si>
    <t>RL 4 YD 1X WK 2</t>
  </si>
  <si>
    <t>RL006.0Y1W002</t>
  </si>
  <si>
    <t>RL 6 YD 1X WK 2</t>
  </si>
  <si>
    <t>RL032.0G1W001COMM</t>
  </si>
  <si>
    <t>RL 32 GL 1X WK COMM 1</t>
  </si>
  <si>
    <t>RL032.0G1W002COMM</t>
  </si>
  <si>
    <t>RL 32 GL 1X WK COMM 2</t>
  </si>
  <si>
    <t>RL065.0G1W001COMM</t>
  </si>
  <si>
    <t>RL 65 GL 1X WK COMM 1</t>
  </si>
  <si>
    <t>RL090.0G1W001COMM</t>
  </si>
  <si>
    <t>RL 90 GL 1X WK COMM 1</t>
  </si>
  <si>
    <t>RL090.0G1W002COMM</t>
  </si>
  <si>
    <t>RL 90 GL 1X WK COMM 2</t>
  </si>
  <si>
    <t>RL32C-OC</t>
  </si>
  <si>
    <t>1 RL 32 GL ON CALL - COMM</t>
  </si>
  <si>
    <t>EXTRA-COMM</t>
  </si>
  <si>
    <t>EXTRA CAN, BAG, BOX-COMM</t>
  </si>
  <si>
    <t>RL1C-OC</t>
  </si>
  <si>
    <t>1 RL 1 YD ON CALL-COMM</t>
  </si>
  <si>
    <t>RL1.5C-OC</t>
  </si>
  <si>
    <t>1 RL 1.5 YD ON CALL-COMM</t>
  </si>
  <si>
    <t>RL1.5TC-COMM</t>
  </si>
  <si>
    <t>RL TEMPORARY 1.5 YD-COMM</t>
  </si>
  <si>
    <t>RL1TC-COMM</t>
  </si>
  <si>
    <t>RL TEMPORARY 1 YD-COMM</t>
  </si>
  <si>
    <t>RL2TC-COMM</t>
  </si>
  <si>
    <t>RL TEMPORARY 2 YD-COMM</t>
  </si>
  <si>
    <t>RL3TC-COMM</t>
  </si>
  <si>
    <t>RL TEMPORARY 3 YD - COMM</t>
  </si>
  <si>
    <t>RL4TC-COMM</t>
  </si>
  <si>
    <t>RL TEMPORARY 4 YD-COMM</t>
  </si>
  <si>
    <t>EXTRAYDG-COMM</t>
  </si>
  <si>
    <t>EXTRA YARDAGE - COMM</t>
  </si>
  <si>
    <t>RENT1.5-COMM</t>
  </si>
  <si>
    <t>RENTAL FEE 1.5 YD COMM</t>
  </si>
  <si>
    <t>RENT1.5TEMP-COMM</t>
  </si>
  <si>
    <t xml:space="preserve">RENTAL FEE 1.5 YD TEMP - </t>
  </si>
  <si>
    <t>RENT1-COMM</t>
  </si>
  <si>
    <t>RENTAL FEE 1 YD COMM MA</t>
  </si>
  <si>
    <t>RENT1TEMP-COMM</t>
  </si>
  <si>
    <t>RENTAL FEE 1 YD TEMP - COMM</t>
  </si>
  <si>
    <t>RENT2-COMM</t>
  </si>
  <si>
    <t>RENTAL FEE 2 YD COMM</t>
  </si>
  <si>
    <t>RENT2TEMP-COMM</t>
  </si>
  <si>
    <t>RENTAL FEE 2 YD TEMP - COMM</t>
  </si>
  <si>
    <t>RENT3-COMM</t>
  </si>
  <si>
    <t>RENTAL FEE 3 YD COMM</t>
  </si>
  <si>
    <t>RENT3TEMP-COMM</t>
  </si>
  <si>
    <t>RENTAL FEE 3 YD TEMP - CO</t>
  </si>
  <si>
    <t>RENT4-COMM</t>
  </si>
  <si>
    <t>RENTAL FEE 4 YD COMM</t>
  </si>
  <si>
    <t>RENT4TEMP-COMM</t>
  </si>
  <si>
    <t>RENTAL FEE 4YD TEMP - COM</t>
  </si>
  <si>
    <t>RENT6-COMM</t>
  </si>
  <si>
    <t>RENTAL FEE 6 YD COMM</t>
  </si>
  <si>
    <t>DELTEMP-COMM</t>
  </si>
  <si>
    <t>DELIVERY FEE TEMP-COMM</t>
  </si>
  <si>
    <t>REINSTATE-COMM</t>
  </si>
  <si>
    <t>REINSTATE FEE - COMM</t>
  </si>
  <si>
    <t>TOTAL COMMERCIAL GARBAGE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</si>
  <si>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</si>
  <si>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</si>
  <si>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</si>
  <si>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</si>
  <si>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</si>
  <si>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</si>
  <si>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</si>
  <si>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</si>
  <si>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</si>
  <si>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</si>
  <si>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</si>
  <si>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</si>
  <si>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</si>
  <si>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</si>
  <si>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</si>
  <si>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</si>
  <si>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</si>
  <si>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</si>
  <si>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</si>
  <si>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</si>
  <si>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</si>
  <si>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</si>
  <si>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</si>
  <si>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</si>
  <si>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</si>
  <si>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</si>
  <si>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</si>
  <si>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</si>
  <si>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</si>
  <si>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Supercan 60</t>
  </si>
  <si>
    <t>Supercan 90</t>
  </si>
  <si>
    <t>Once a month</t>
  </si>
  <si>
    <t>Extras</t>
  </si>
  <si>
    <t>Com'l</t>
  </si>
  <si>
    <t>Cans</t>
  </si>
  <si>
    <t>1 yd container</t>
  </si>
  <si>
    <t>1.5 yd container</t>
  </si>
  <si>
    <t>1.5 yd container (2)</t>
  </si>
  <si>
    <t>*</t>
  </si>
  <si>
    <t>2 yd container</t>
  </si>
  <si>
    <t>3 yd container</t>
  </si>
  <si>
    <t>3 yd container (2)</t>
  </si>
  <si>
    <t>4 yd container</t>
  </si>
  <si>
    <t>4 yd container (2)</t>
  </si>
  <si>
    <t>6 yd container</t>
  </si>
  <si>
    <t>6 yd container (2)</t>
  </si>
  <si>
    <t>8 yd container</t>
  </si>
  <si>
    <t>1 yd packer/compactor</t>
  </si>
  <si>
    <t>1.5 yd packer/compactor</t>
  </si>
  <si>
    <t>2 yd packer/compactor</t>
  </si>
  <si>
    <t>3 yd packer/compactor</t>
  </si>
  <si>
    <t>4 yd packer/compactor</t>
  </si>
  <si>
    <t>5 yd packer/compactor</t>
  </si>
  <si>
    <t>6 yd packer/compactor</t>
  </si>
  <si>
    <t>8 yd packer/compactor</t>
  </si>
  <si>
    <t>Yards</t>
  </si>
  <si>
    <t>* not on meeks - calculated by staff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</si>
  <si>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</si>
  <si>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</si>
  <si>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</si>
  <si>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</si>
  <si>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</si>
  <si>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</si>
  <si>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</si>
  <si>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Increase</t>
  </si>
  <si>
    <t>Bad Debts</t>
  </si>
  <si>
    <t>Factor</t>
  </si>
  <si>
    <t>Residential</t>
  </si>
  <si>
    <t>Commercial</t>
  </si>
  <si>
    <t>Monthly Customers</t>
  </si>
  <si>
    <t>Monthly Frequency</t>
  </si>
  <si>
    <t>Annual Pickups</t>
  </si>
  <si>
    <t>Calculated Annual Pounds</t>
  </si>
  <si>
    <t>Adjusted Annual Pounds</t>
  </si>
  <si>
    <t>Gross Up</t>
  </si>
  <si>
    <t>Company Current Tariff</t>
  </si>
  <si>
    <t>Company Proposed Tariff</t>
  </si>
  <si>
    <t>Company Current Revenue</t>
  </si>
  <si>
    <t xml:space="preserve">  Average Monthly Cust divide by </t>
  </si>
  <si>
    <t>Tons</t>
  </si>
  <si>
    <t>Adjustment Factor Calculation</t>
  </si>
  <si>
    <t>Total Tonnage</t>
  </si>
  <si>
    <t>Total Pounds</t>
  </si>
  <si>
    <t>Total Pick Ups</t>
  </si>
  <si>
    <t>Adjustment factor</t>
  </si>
  <si>
    <t>Oversized Unit</t>
  </si>
  <si>
    <t>Mini Can</t>
  </si>
  <si>
    <t>1 Can Weekly</t>
  </si>
  <si>
    <t>2 Can Weekly</t>
  </si>
  <si>
    <t>3 Can Weekly</t>
  </si>
  <si>
    <t>4 Can Weekly</t>
  </si>
  <si>
    <t>5 Can Weekly</t>
  </si>
  <si>
    <t>6 Can Weekly</t>
  </si>
  <si>
    <t>65 Gal Weekly</t>
  </si>
  <si>
    <t>90 Gal Weekly</t>
  </si>
  <si>
    <t>32 Gal Extra</t>
  </si>
  <si>
    <t>Bag</t>
  </si>
  <si>
    <t>On-Call</t>
  </si>
  <si>
    <t>Loose Material 1-4yd</t>
  </si>
  <si>
    <t>Loose Material per Yard</t>
  </si>
  <si>
    <t>Loose Material Min Charge</t>
  </si>
  <si>
    <t>1 Yard</t>
  </si>
  <si>
    <t>1.5 Yard</t>
  </si>
  <si>
    <t>2 Yard</t>
  </si>
  <si>
    <t>3 Yard</t>
  </si>
  <si>
    <t>4 Yard</t>
  </si>
  <si>
    <t>6 Yard</t>
  </si>
  <si>
    <t>8 Yard</t>
  </si>
  <si>
    <t>1 Yard - Special</t>
  </si>
  <si>
    <t>1.5 Yard - Special</t>
  </si>
  <si>
    <t>2 Yard - Special</t>
  </si>
  <si>
    <t>3 Yard - Special</t>
  </si>
  <si>
    <t>4 Yard - Special</t>
  </si>
  <si>
    <t>6 Yard - Special</t>
  </si>
  <si>
    <t>8 Yard - Special</t>
  </si>
  <si>
    <t>1 Yard - Temp</t>
  </si>
  <si>
    <t>1.5 Yard - Temp</t>
  </si>
  <si>
    <t>2 Yard - Temp</t>
  </si>
  <si>
    <t>3 Yard - Temp</t>
  </si>
  <si>
    <t>4 Yard - Temp</t>
  </si>
  <si>
    <t>6 Yard - Temp</t>
  </si>
  <si>
    <t>8 Yard - Temp</t>
  </si>
  <si>
    <t>Monthly Minumum</t>
  </si>
  <si>
    <t>65 Gal</t>
  </si>
  <si>
    <t>90 Gal</t>
  </si>
  <si>
    <t>1 yard</t>
  </si>
  <si>
    <t>1.5 yard</t>
  </si>
  <si>
    <t>6  Yard</t>
  </si>
  <si>
    <t>8 yard</t>
  </si>
  <si>
    <t>1 yard - Special</t>
  </si>
  <si>
    <t>1.5 yard - Special</t>
  </si>
  <si>
    <t>6  Yard - Special</t>
  </si>
  <si>
    <t>8 yard - Special</t>
  </si>
  <si>
    <t>Add'l Cont</t>
  </si>
  <si>
    <t>Add'l PU's</t>
  </si>
  <si>
    <t>Company Proposed Revenue</t>
  </si>
  <si>
    <t>No Current Customers</t>
  </si>
  <si>
    <t>5 Can</t>
  </si>
  <si>
    <t>6 Can</t>
  </si>
  <si>
    <t>RL065.0G1W002</t>
  </si>
  <si>
    <t>RL 65 GL 1X WK 2</t>
  </si>
  <si>
    <t>DRIVEIN1-RES</t>
  </si>
  <si>
    <t xml:space="preserve">DRIVE IN 125-250' - RES </t>
  </si>
  <si>
    <t xml:space="preserve">DRIVEIN1-COMM </t>
  </si>
  <si>
    <t>DRIVE IN 125-250' - COMM</t>
  </si>
  <si>
    <t>Transfer Station</t>
  </si>
  <si>
    <t>Roll Off</t>
  </si>
  <si>
    <t>MSW</t>
  </si>
  <si>
    <t>$</t>
  </si>
  <si>
    <t>Lbs</t>
  </si>
  <si>
    <t>%</t>
  </si>
  <si>
    <t>Regulated</t>
  </si>
  <si>
    <t>Non-Regulated</t>
  </si>
  <si>
    <t>Empire Disposal, Inc. G-75</t>
  </si>
  <si>
    <t>Grossed Up Increase per ton</t>
  </si>
  <si>
    <t>Tons Collected</t>
  </si>
  <si>
    <t>Disposal Fee Revenue Increase</t>
  </si>
  <si>
    <t>Company Proposed Rates</t>
  </si>
  <si>
    <t>Res'l &amp; Com'l</t>
  </si>
  <si>
    <t>Revenue Inc from Co Proposed Rates</t>
  </si>
  <si>
    <t>Collected Revenue Excess/(Deficiency)</t>
  </si>
  <si>
    <t>Tariff Page</t>
  </si>
  <si>
    <t>Scheduled Service</t>
  </si>
  <si>
    <t>Tariff Rate Increase</t>
  </si>
  <si>
    <t>Company Calculated Rate</t>
  </si>
  <si>
    <t>Company Increased Revenue</t>
  </si>
  <si>
    <t>Check</t>
  </si>
  <si>
    <t xml:space="preserve"> Company Over/ (Under)</t>
  </si>
  <si>
    <t>Totals</t>
  </si>
  <si>
    <t>Current Tariff Rate</t>
  </si>
  <si>
    <t>Proposed Increase</t>
  </si>
  <si>
    <t>Item 230, Pg. 36</t>
  </si>
  <si>
    <t>90 Gal Special PU</t>
  </si>
  <si>
    <t>65 Gal Special PU</t>
  </si>
  <si>
    <t>32 Gal Special PU</t>
  </si>
  <si>
    <t>Resi.</t>
  </si>
  <si>
    <t>Empire Dump Fee Calc References</t>
  </si>
  <si>
    <t>1x</t>
  </si>
  <si>
    <t>2x</t>
  </si>
  <si>
    <t>3x</t>
  </si>
  <si>
    <t>4x</t>
  </si>
  <si>
    <t>5x</t>
  </si>
  <si>
    <t>Spokane Dump Fee Calculation</t>
  </si>
  <si>
    <t>Spokane County</t>
  </si>
  <si>
    <t xml:space="preserve"> Disposal Fees</t>
  </si>
  <si>
    <t>Spokane Waste to Energy</t>
  </si>
  <si>
    <t>Transfer Stations</t>
  </si>
  <si>
    <t>Waste to Energy</t>
  </si>
  <si>
    <t>Increase per ton</t>
  </si>
  <si>
    <t>Empire Disposal</t>
  </si>
  <si>
    <t>City of Spokane Transfer Stations Disposal Data</t>
  </si>
  <si>
    <t>Gate Rate 2015</t>
  </si>
  <si>
    <t>$102.39/Ton</t>
  </si>
  <si>
    <t>Gate Rate</t>
  </si>
  <si>
    <t>$101/Ton</t>
  </si>
  <si>
    <t>Gate Rate 2016</t>
  </si>
  <si>
    <t>$105.36/Ton</t>
  </si>
  <si>
    <t>Incinerator</t>
  </si>
  <si>
    <t>Dump Fee Allocation</t>
  </si>
  <si>
    <t>Spokane Disposal Summary</t>
  </si>
  <si>
    <t>Total Regulated Tonnage</t>
  </si>
  <si>
    <t>Transfer Sation</t>
  </si>
  <si>
    <t>Empire Disposal Inc.</t>
  </si>
  <si>
    <t>Spokane Co. Regulated - Price Out</t>
  </si>
  <si>
    <t>RL090.0G1W003</t>
  </si>
  <si>
    <t>RL 90 GL 1X WK 3</t>
  </si>
  <si>
    <t>TRIP-RES</t>
  </si>
  <si>
    <t>TRIP FEE - RES</t>
  </si>
  <si>
    <t>DIST-COM</t>
  </si>
  <si>
    <t>DISTANCE FEE - COMM</t>
  </si>
  <si>
    <t>4 Can</t>
  </si>
  <si>
    <t>Item 55, Pg. 21-A</t>
  </si>
  <si>
    <t>Item 100, Pg. 26A</t>
  </si>
  <si>
    <t>Item 100, Pg. 27-A</t>
  </si>
  <si>
    <t>Item 150, Pg. 30-A</t>
  </si>
  <si>
    <t>Item 240, Pg. 37-A</t>
  </si>
  <si>
    <t>Item 245, Pg 38-A</t>
  </si>
  <si>
    <t>Item 255, Pg 39-A</t>
  </si>
  <si>
    <t>RO Increase</t>
  </si>
  <si>
    <t>T-Stn</t>
  </si>
  <si>
    <t>WTE</t>
  </si>
  <si>
    <t>21-A</t>
  </si>
  <si>
    <t>26-A</t>
  </si>
  <si>
    <t>27-A</t>
  </si>
  <si>
    <t>30-A</t>
  </si>
  <si>
    <t>Spokane WTE</t>
  </si>
  <si>
    <t>Spokane TFS</t>
  </si>
  <si>
    <t>37-A</t>
  </si>
  <si>
    <t>38-A</t>
  </si>
  <si>
    <t>Spokane County Transfer Stations</t>
  </si>
  <si>
    <t>Rev Change</t>
  </si>
  <si>
    <t>% Change</t>
  </si>
  <si>
    <t>Bulky Material 1-4yd</t>
  </si>
  <si>
    <t>Bulky Material per Yard</t>
  </si>
  <si>
    <t>Bulky Material Min Charge</t>
  </si>
  <si>
    <t>First, Additional</t>
  </si>
  <si>
    <t>32 Gal Each Pickup</t>
  </si>
  <si>
    <t>32 Gal - Over 5 Grouped</t>
  </si>
  <si>
    <t>32 Gal - Not Grouped</t>
  </si>
  <si>
    <t>Each Add'l unit</t>
  </si>
  <si>
    <t>BILL AREAS: SPOKANE CO., TOWN OF LATAH</t>
  </si>
  <si>
    <t>Jan 17 - March 17</t>
  </si>
  <si>
    <t>April 17 - Dec 17</t>
  </si>
  <si>
    <t xml:space="preserve">Avg Cust </t>
  </si>
  <si>
    <t>Packer &amp; Roll-off</t>
  </si>
  <si>
    <t>Annual Increase</t>
  </si>
  <si>
    <t>As of Jan 1, 2018</t>
  </si>
  <si>
    <t>Proposed</t>
  </si>
  <si>
    <t>per Month</t>
  </si>
  <si>
    <t>Tariff Rate</t>
  </si>
  <si>
    <t>Annual Revenue</t>
  </si>
  <si>
    <t>Plug to Match LG</t>
  </si>
  <si>
    <t>RL001.0Y1M001</t>
  </si>
  <si>
    <t>RL 1 YD 1X MO 1</t>
  </si>
  <si>
    <t>DROP BOX SERVICES</t>
  </si>
  <si>
    <t>DROP BOX HAULS/RENTAL</t>
  </si>
  <si>
    <t>HAUL25-RO</t>
  </si>
  <si>
    <t>HAUL 25 YD - RO</t>
  </si>
  <si>
    <t>HAUL25TEMP-RO</t>
  </si>
  <si>
    <t>HAUL 25 YD TEMP - RO</t>
  </si>
  <si>
    <t>HAUL40TEMP-RO</t>
  </si>
  <si>
    <t>HAUL 40 YD TEMP - RO</t>
  </si>
  <si>
    <t>HAUL-CP</t>
  </si>
  <si>
    <t>COMPACTOR HAUL - RO</t>
  </si>
  <si>
    <t>RENT25MO-RO</t>
  </si>
  <si>
    <t>RENTAL FEE 25YD MONTHLY</t>
  </si>
  <si>
    <t>RENT40MO-RO</t>
  </si>
  <si>
    <t>RENTAL FEE 40 YD MONTHLY</t>
  </si>
  <si>
    <t>DEL-RO</t>
  </si>
  <si>
    <t>DELIVERY FEE - RO</t>
  </si>
  <si>
    <t>MILE-RO</t>
  </si>
  <si>
    <t>MILEAGE FEE - RO</t>
  </si>
  <si>
    <t>TOTAL DROP BOX HAULS/RENTAL</t>
  </si>
  <si>
    <t>DROP BOX RECYLING</t>
  </si>
  <si>
    <t>DROP BOX RECYLING (NON-REG)</t>
  </si>
  <si>
    <t>HAULREC-RO</t>
  </si>
  <si>
    <t>HAUL RECYCLE - RO</t>
  </si>
  <si>
    <t>TOTAL DROP BOX RECYCLING</t>
  </si>
  <si>
    <t>PASSTHROUGH DISPOSAL</t>
  </si>
  <si>
    <t>DISP-RO</t>
  </si>
  <si>
    <t>DISPOSAL CHARGE - RO</t>
  </si>
  <si>
    <t>TOTAL PASSTHROUGH DISPOSAL</t>
  </si>
  <si>
    <t>Service Charges</t>
  </si>
  <si>
    <t>FINCHG</t>
  </si>
  <si>
    <t>FINANCE CHARGE</t>
  </si>
  <si>
    <t>RETCKC</t>
  </si>
  <si>
    <t>RETURN CHECK CHARGE</t>
  </si>
  <si>
    <t>TOTAL SERVICE CHARGES</t>
  </si>
  <si>
    <t>TOTAL REVENUE</t>
  </si>
  <si>
    <t>Note from Heather Garland: Customer Counts and Disposal Schedule have been copied from TG-180153.  The information shaded gray was taken directly from the audited file.</t>
  </si>
  <si>
    <t>Note from Heather Garland: Customer Counts and Disposal Schedule have been copied from TG-180153.</t>
  </si>
  <si>
    <t>Jan. 1, 2017 - Dec. 31, 2017</t>
  </si>
  <si>
    <t>Resi Cust Count</t>
  </si>
  <si>
    <t>Comm Cust Count</t>
  </si>
  <si>
    <t>Spokane</t>
  </si>
  <si>
    <t>Whitman</t>
  </si>
  <si>
    <t>Total for TL</t>
  </si>
  <si>
    <t>RO Cust Count</t>
  </si>
  <si>
    <t>1 Can Monthly</t>
  </si>
  <si>
    <t>Effective 1-1-2022</t>
  </si>
  <si>
    <t>2020 PT $</t>
  </si>
  <si>
    <t>Proposed Spokane Rates Effective 1-1-2023</t>
  </si>
  <si>
    <t>New 1/1/2023 Rate</t>
  </si>
  <si>
    <t>imm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</si>
</sst>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0.0%"/>
    <numFmt numFmtId="167" formatCode="_(&quot;$&quot;* #,##0.000_);_(&quot;$&quot;* \(#,##0.000\);_(&quot;$&quot;* &quot;-&quot;??_);_(@_)"/>
    <numFmt numFmtId="168" formatCode="_(* #,##0.000000_);_(* \(#,##0.000000\);_(* &quot;-&quot;??_);_(@_)"/>
    <numFmt numFmtId="169" formatCode="_(&quot;$&quot;* #,##0.000000_);_(&quot;$&quot;* \(#,##0.000000\);_(&quot;$&quot;* &quot;-&quot;??_);_(@_)"/>
    <numFmt numFmtId="170" formatCode="0.0000%"/>
    <numFmt numFmtId="171" formatCode="0.000000"/>
    <numFmt numFmtId="172" formatCode="&quot;$&quot;#,##0\ ;\(&quot;$&quot;#,##0\)"/>
    <numFmt numFmtId="173" formatCode="_([$$-409]* #,##0.00_);_([$$-409]* \(#,##0.00\);_([$$-409]* &quot;-&quot;??_);_(@_)"/>
    <numFmt numFmtId="174" formatCode="_(* #,##0.000_);_(* \(#,##0.000\);_(* &quot;-&quot;??_);_(@_)"/>
    <numFmt numFmtId="175" formatCode="mm\-yy;\-0;;@"/>
    <numFmt numFmtId="176" formatCode=".00#####;\-.00####;;@"/>
    <numFmt numFmtId="177" formatCode="_(&quot;$&quot;* #,##0.0000_);_(&quot;$&quot;* \(#,##0.0000\);_(&quot;$&quot;* &quot;-&quot;??_);_(@_)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0"/>
      <name val="Times New Roman"/>
      <family val="1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sz val="12"/>
      <name val="Arial"/>
      <family val="2"/>
    </font>
    <font>
      <i/>
      <sz val="10"/>
      <color indexed="10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 MT"/>
    </font>
    <font>
      <b/>
      <u/>
      <sz val="11"/>
      <name val="Arial"/>
      <family val="2"/>
    </font>
    <font>
      <b/>
      <sz val="18"/>
      <color indexed="61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51"/>
      <name val="Calibri"/>
      <family val="2"/>
    </font>
    <font>
      <sz val="12"/>
      <name val="CG Omega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u/>
      <sz val="11"/>
      <color theme="10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 val="singleAccounting"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9.5"/>
      <color indexed="8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12"/>
      <color indexed="12"/>
      <name val="Times New Roman"/>
      <family val="1"/>
    </font>
    <font>
      <b/>
      <sz val="11"/>
      <color indexed="18"/>
      <name val="Britannic Bold"/>
      <family val="2"/>
    </font>
    <font>
      <sz val="12"/>
      <color theme="1"/>
      <name val="Calibri"/>
      <family val="2"/>
      <scheme val="minor"/>
    </font>
    <font>
      <sz val="11"/>
      <name val="Bookman Old Style"/>
      <family val="1"/>
    </font>
    <font>
      <u/>
      <sz val="10"/>
      <name val="Arial"/>
      <family val="2"/>
    </font>
    <font>
      <u/>
      <sz val="9.35"/>
      <color theme="10"/>
      <name val="Calibri"/>
      <family val="2"/>
    </font>
    <font>
      <u/>
      <sz val="8.8000000000000007"/>
      <color theme="10"/>
      <name val="Calibri"/>
      <family val="2"/>
    </font>
    <font>
      <u/>
      <sz val="7.5"/>
      <color indexed="12"/>
      <name val="Arial"/>
      <family val="2"/>
    </font>
    <font>
      <b/>
      <sz val="10"/>
      <name val="Times New Roman"/>
      <family val="1"/>
    </font>
    <font>
      <sz val="10"/>
      <color indexed="10"/>
      <name val="Arial"/>
      <family val="2"/>
    </font>
    <font>
      <sz val="11"/>
      <color rgb="FF00206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7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8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indexed="5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9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6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2" borderId="0" applyNumberFormat="0" applyBorder="0" applyAlignment="0" applyProtection="0"/>
    <xf numFmtId="0" fontId="5" fillId="17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3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41" fontId="3" fillId="0" borderId="0"/>
    <xf numFmtId="41" fontId="3" fillId="0" borderId="0"/>
    <xf numFmtId="41" fontId="3" fillId="0" borderId="0"/>
    <xf numFmtId="41" fontId="3" fillId="0" borderId="0"/>
    <xf numFmtId="0" fontId="6" fillId="11" borderId="0" applyNumberFormat="0" applyBorder="0" applyAlignment="0" applyProtection="0"/>
    <xf numFmtId="0" fontId="6" fillId="7" borderId="0" applyNumberFormat="0" applyBorder="0" applyAlignment="0" applyProtection="0"/>
    <xf numFmtId="3" fontId="3" fillId="0" borderId="0"/>
    <xf numFmtId="3" fontId="3" fillId="0" borderId="0"/>
    <xf numFmtId="3" fontId="3" fillId="0" borderId="0"/>
    <xf numFmtId="3" fontId="3" fillId="0" borderId="0"/>
    <xf numFmtId="0" fontId="7" fillId="24" borderId="3" applyNumberFormat="0" applyAlignment="0" applyProtection="0"/>
    <xf numFmtId="0" fontId="7" fillId="2" borderId="3" applyNumberFormat="0" applyAlignment="0" applyProtection="0"/>
    <xf numFmtId="0" fontId="8" fillId="24" borderId="3" applyNumberFormat="0" applyAlignment="0" applyProtection="0"/>
    <xf numFmtId="0" fontId="9" fillId="25" borderId="4" applyNumberFormat="0" applyAlignment="0" applyProtection="0"/>
    <xf numFmtId="0" fontId="9" fillId="26" borderId="5" applyNumberFormat="0" applyAlignment="0" applyProtection="0"/>
    <xf numFmtId="0" fontId="3" fillId="27" borderId="0">
      <alignment horizontal="center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" fillId="0" borderId="0"/>
    <xf numFmtId="0" fontId="12" fillId="0" borderId="0"/>
    <xf numFmtId="0" fontId="12" fillId="0" borderId="0"/>
    <xf numFmtId="0" fontId="13" fillId="28" borderId="6" applyAlignment="0">
      <alignment horizontal="right"/>
      <protection locked="0"/>
    </xf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5" fillId="29" borderId="0">
      <alignment horizontal="right"/>
      <protection locked="0"/>
    </xf>
    <xf numFmtId="14" fontId="3" fillId="0" borderId="0"/>
    <xf numFmtId="0" fontId="16" fillId="0" borderId="0" applyNumberFormat="0" applyFill="0" applyBorder="0" applyAlignment="0" applyProtection="0"/>
    <xf numFmtId="2" fontId="15" fillId="29" borderId="0">
      <alignment horizontal="right"/>
      <protection locked="0"/>
    </xf>
    <xf numFmtId="1" fontId="3" fillId="0" borderId="0">
      <alignment horizontal="center"/>
    </xf>
    <xf numFmtId="0" fontId="17" fillId="30" borderId="0" applyNumberFormat="0" applyBorder="0" applyAlignment="0" applyProtection="0"/>
    <xf numFmtId="0" fontId="17" fillId="9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8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0" applyNumberFormat="0" applyFill="0" applyAlignment="0" applyProtection="0"/>
    <xf numFmtId="0" fontId="20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2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10" borderId="3" applyNumberFormat="0" applyAlignment="0" applyProtection="0"/>
    <xf numFmtId="0" fontId="28" fillId="10" borderId="3" applyNumberFormat="0" applyAlignment="0" applyProtection="0"/>
    <xf numFmtId="3" fontId="29" fillId="31" borderId="0">
      <protection locked="0"/>
    </xf>
    <xf numFmtId="4" fontId="29" fillId="31" borderId="0">
      <protection locked="0"/>
    </xf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2" fillId="10" borderId="0" applyNumberFormat="0" applyBorder="0" applyAlignment="0" applyProtection="0"/>
    <xf numFmtId="0" fontId="33" fillId="10" borderId="0" applyNumberFormat="0" applyBorder="0" applyAlignment="0" applyProtection="0"/>
    <xf numFmtId="43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4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4" fillId="0" borderId="0"/>
    <xf numFmtId="0" fontId="11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4" fillId="0" borderId="0"/>
    <xf numFmtId="0" fontId="3" fillId="0" borderId="0"/>
    <xf numFmtId="0" fontId="3" fillId="0" borderId="0"/>
    <xf numFmtId="0" fontId="4" fillId="6" borderId="17" applyNumberFormat="0" applyFont="0" applyAlignment="0" applyProtection="0"/>
    <xf numFmtId="0" fontId="10" fillId="6" borderId="17" applyNumberFormat="0" applyFont="0" applyAlignment="0" applyProtection="0"/>
    <xf numFmtId="0" fontId="34" fillId="6" borderId="17" applyNumberFormat="0" applyFont="0" applyAlignment="0" applyProtection="0"/>
    <xf numFmtId="166" fontId="36" fillId="0" borderId="0" applyNumberFormat="0"/>
    <xf numFmtId="0" fontId="22" fillId="24" borderId="18" applyNumberFormat="0" applyAlignment="0" applyProtection="0"/>
    <xf numFmtId="0" fontId="37" fillId="24" borderId="19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 applyNumberFormat="0" applyFont="0" applyFill="0" applyBorder="0" applyAlignment="0" applyProtection="0">
      <alignment horizontal="left"/>
    </xf>
    <xf numFmtId="0" fontId="39" fillId="0" borderId="20">
      <alignment horizont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 applyNumberFormat="0" applyBorder="0" applyAlignment="0"/>
    <xf numFmtId="37" fontId="41" fillId="0" borderId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1" applyNumberFormat="0" applyFill="0" applyAlignment="0" applyProtection="0"/>
    <xf numFmtId="0" fontId="44" fillId="0" borderId="22" applyNumberFormat="0" applyFill="0" applyAlignment="0" applyProtection="0"/>
    <xf numFmtId="0" fontId="44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5" fillId="5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47" fillId="0" borderId="0" applyNumberFormat="0" applyFont="0" applyFill="0" applyBorder="0">
      <alignment horizontal="left" indent="4"/>
      <protection locked="0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8" fillId="33" borderId="0" applyNumberFormat="0" applyFont="0" applyBorder="0" applyAlignment="0" applyProtection="0"/>
    <xf numFmtId="0" fontId="31" fillId="0" borderId="0" applyNumberFormat="0" applyFill="0" applyBorder="0" applyAlignment="0" applyProtection="0"/>
    <xf numFmtId="164" fontId="35" fillId="34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5" fillId="13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23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3" borderId="0" applyNumberFormat="0" applyBorder="0" applyAlignment="0" applyProtection="0"/>
    <xf numFmtId="0" fontId="5" fillId="23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12" borderId="0" applyNumberFormat="0" applyBorder="0" applyAlignment="0" applyProtection="0"/>
    <xf numFmtId="0" fontId="5" fillId="22" borderId="0" applyNumberFormat="0" applyBorder="0" applyAlignment="0" applyProtection="0"/>
    <xf numFmtId="0" fontId="5" fillId="15" borderId="0" applyNumberFormat="0" applyBorder="0" applyAlignment="0" applyProtection="0"/>
    <xf numFmtId="0" fontId="5" fillId="37" borderId="0" applyNumberFormat="0" applyBorder="0" applyAlignment="0" applyProtection="0"/>
    <xf numFmtId="0" fontId="5" fillId="20" borderId="0" applyNumberFormat="0" applyBorder="0" applyAlignment="0" applyProtection="0"/>
    <xf numFmtId="0" fontId="6" fillId="7" borderId="0" applyNumberFormat="0" applyBorder="0" applyAlignment="0" applyProtection="0"/>
    <xf numFmtId="0" fontId="7" fillId="24" borderId="3" applyNumberFormat="0" applyAlignment="0" applyProtection="0"/>
    <xf numFmtId="0" fontId="50" fillId="24" borderId="3" applyNumberFormat="0" applyAlignment="0" applyProtection="0"/>
    <xf numFmtId="0" fontId="7" fillId="2" borderId="3" applyNumberFormat="0" applyAlignment="0" applyProtection="0"/>
    <xf numFmtId="0" fontId="8" fillId="24" borderId="3" applyNumberFormat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172" fontId="38" fillId="0" borderId="0" applyFont="0" applyFill="0" applyBorder="0" applyAlignment="0" applyProtection="0"/>
    <xf numFmtId="0" fontId="3" fillId="0" borderId="0"/>
    <xf numFmtId="0" fontId="17" fillId="9" borderId="0" applyNumberFormat="0" applyBorder="0" applyAlignment="0" applyProtection="0"/>
    <xf numFmtId="0" fontId="49" fillId="36" borderId="0" applyNumberFormat="0" applyBorder="0" applyAlignment="0" applyProtection="0"/>
    <xf numFmtId="0" fontId="18" fillId="0" borderId="7" applyNumberFormat="0" applyFill="0" applyAlignment="0" applyProtection="0"/>
    <xf numFmtId="0" fontId="52" fillId="0" borderId="25" applyNumberFormat="0" applyFill="0" applyAlignment="0" applyProtection="0"/>
    <xf numFmtId="0" fontId="19" fillId="0" borderId="8" applyNumberFormat="0" applyFill="0" applyAlignment="0" applyProtection="0"/>
    <xf numFmtId="0" fontId="18" fillId="0" borderId="9" applyNumberFormat="0" applyFill="0" applyAlignment="0" applyProtection="0"/>
    <xf numFmtId="0" fontId="20" fillId="0" borderId="10" applyNumberFormat="0" applyFill="0" applyAlignment="0" applyProtection="0"/>
    <xf numFmtId="0" fontId="53" fillId="0" borderId="10" applyNumberFormat="0" applyFill="0" applyAlignment="0" applyProtection="0"/>
    <xf numFmtId="0" fontId="21" fillId="0" borderId="10" applyNumberFormat="0" applyFill="0" applyAlignment="0" applyProtection="0"/>
    <xf numFmtId="0" fontId="20" fillId="0" borderId="11" applyNumberFormat="0" applyFill="0" applyAlignment="0" applyProtection="0"/>
    <xf numFmtId="0" fontId="22" fillId="0" borderId="12" applyNumberFormat="0" applyFill="0" applyAlignment="0" applyProtection="0"/>
    <xf numFmtId="0" fontId="24" fillId="0" borderId="26" applyNumberFormat="0" applyFill="0" applyAlignment="0" applyProtection="0"/>
    <xf numFmtId="0" fontId="23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28" fillId="10" borderId="3" applyNumberFormat="0" applyAlignment="0" applyProtection="0"/>
    <xf numFmtId="0" fontId="30" fillId="0" borderId="15" applyNumberFormat="0" applyFill="0" applyAlignment="0" applyProtection="0"/>
    <xf numFmtId="0" fontId="55" fillId="0" borderId="27" applyNumberFormat="0" applyFill="0" applyAlignment="0" applyProtection="0"/>
    <xf numFmtId="0" fontId="31" fillId="0" borderId="16" applyNumberFormat="0" applyFill="0" applyAlignment="0" applyProtection="0"/>
    <xf numFmtId="0" fontId="32" fillId="10" borderId="0" applyNumberFormat="0" applyBorder="0" applyAlignment="0" applyProtection="0"/>
    <xf numFmtId="0" fontId="56" fillId="10" borderId="0" applyNumberFormat="0" applyBorder="0" applyAlignment="0" applyProtection="0"/>
    <xf numFmtId="0" fontId="33" fillId="10" borderId="0" applyNumberFormat="0" applyBorder="0" applyAlignment="0" applyProtection="0"/>
    <xf numFmtId="0" fontId="4" fillId="0" borderId="0"/>
    <xf numFmtId="0" fontId="4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57" fillId="0" borderId="0"/>
    <xf numFmtId="0" fontId="3" fillId="0" borderId="0"/>
    <xf numFmtId="0" fontId="1" fillId="0" borderId="0"/>
    <xf numFmtId="0" fontId="57" fillId="0" borderId="0"/>
    <xf numFmtId="0" fontId="4" fillId="0" borderId="0"/>
    <xf numFmtId="0" fontId="51" fillId="0" borderId="0"/>
    <xf numFmtId="0" fontId="3" fillId="0" borderId="0"/>
    <xf numFmtId="0" fontId="1" fillId="0" borderId="0"/>
    <xf numFmtId="0" fontId="51" fillId="0" borderId="0"/>
    <xf numFmtId="0" fontId="4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165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4" fillId="0" borderId="0"/>
    <xf numFmtId="165" fontId="34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6" borderId="17" applyNumberFormat="0" applyFont="0" applyAlignment="0" applyProtection="0"/>
    <xf numFmtId="0" fontId="11" fillId="6" borderId="17" applyNumberFormat="0" applyFont="0" applyAlignment="0" applyProtection="0"/>
    <xf numFmtId="0" fontId="10" fillId="6" borderId="17" applyNumberFormat="0" applyFont="0" applyAlignment="0" applyProtection="0"/>
    <xf numFmtId="0" fontId="34" fillId="6" borderId="17" applyNumberFormat="0" applyFont="0" applyAlignment="0" applyProtection="0"/>
    <xf numFmtId="0" fontId="37" fillId="24" borderId="19" applyNumberFormat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1" applyNumberFormat="0" applyFill="0" applyAlignment="0" applyProtection="0"/>
    <xf numFmtId="0" fontId="44" fillId="0" borderId="28" applyNumberFormat="0" applyFill="0" applyAlignment="0" applyProtection="0"/>
    <xf numFmtId="0" fontId="44" fillId="0" borderId="22" applyNumberFormat="0" applyFill="0" applyAlignment="0" applyProtection="0"/>
    <xf numFmtId="0" fontId="44" fillId="0" borderId="23" applyNumberFormat="0" applyFill="0" applyAlignment="0" applyProtection="0"/>
    <xf numFmtId="0" fontId="3" fillId="0" borderId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" fillId="4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4" fillId="2" borderId="0" applyNumberFormat="0" applyBorder="0" applyAlignment="0" applyProtection="0"/>
    <xf numFmtId="0" fontId="4" fillId="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4" fillId="2" borderId="0" applyNumberFormat="0" applyBorder="0" applyAlignment="0" applyProtection="0"/>
    <xf numFmtId="0" fontId="4" fillId="11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4" fillId="10" borderId="0" applyNumberFormat="0" applyBorder="0" applyAlignment="0" applyProtection="0"/>
    <xf numFmtId="0" fontId="4" fillId="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5" fillId="9" borderId="0" applyNumberFormat="0" applyBorder="0" applyAlignment="0" applyProtection="0"/>
    <xf numFmtId="0" fontId="79" fillId="49" borderId="0" applyNumberFormat="0" applyBorder="0" applyAlignment="0" applyProtection="0"/>
    <xf numFmtId="0" fontId="5" fillId="5" borderId="0" applyNumberFormat="0" applyBorder="0" applyAlignment="0" applyProtection="0"/>
    <xf numFmtId="0" fontId="5" fillId="15" borderId="0" applyNumberFormat="0" applyBorder="0" applyAlignment="0" applyProtection="0"/>
    <xf numFmtId="0" fontId="79" fillId="53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79" fillId="57" borderId="0" applyNumberFormat="0" applyBorder="0" applyAlignment="0" applyProtection="0"/>
    <xf numFmtId="0" fontId="5" fillId="2" borderId="0" applyNumberFormat="0" applyBorder="0" applyAlignment="0" applyProtection="0"/>
    <xf numFmtId="0" fontId="5" fillId="11" borderId="0" applyNumberFormat="0" applyBorder="0" applyAlignment="0" applyProtection="0"/>
    <xf numFmtId="0" fontId="79" fillId="61" borderId="0" applyNumberFormat="0" applyBorder="0" applyAlignment="0" applyProtection="0"/>
    <xf numFmtId="0" fontId="5" fillId="9" borderId="0" applyNumberFormat="0" applyBorder="0" applyAlignment="0" applyProtection="0"/>
    <xf numFmtId="0" fontId="79" fillId="65" borderId="0" applyNumberFormat="0" applyBorder="0" applyAlignment="0" applyProtection="0"/>
    <xf numFmtId="0" fontId="79" fillId="69" borderId="0" applyNumberFormat="0" applyBorder="0" applyAlignment="0" applyProtection="0"/>
    <xf numFmtId="0" fontId="5" fillId="19" borderId="0" applyNumberFormat="0" applyBorder="0" applyAlignment="0" applyProtection="0"/>
    <xf numFmtId="0" fontId="79" fillId="46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79" fillId="50" borderId="0" applyNumberFormat="0" applyBorder="0" applyAlignment="0" applyProtection="0"/>
    <xf numFmtId="0" fontId="5" fillId="12" borderId="0" applyNumberFormat="0" applyBorder="0" applyAlignment="0" applyProtection="0"/>
    <xf numFmtId="0" fontId="79" fillId="5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79" fillId="58" borderId="0" applyNumberFormat="0" applyBorder="0" applyAlignment="0" applyProtection="0"/>
    <xf numFmtId="0" fontId="5" fillId="23" borderId="0" applyNumberFormat="0" applyBorder="0" applyAlignment="0" applyProtection="0"/>
    <xf numFmtId="0" fontId="5" fillId="13" borderId="0" applyNumberFormat="0" applyBorder="0" applyAlignment="0" applyProtection="0"/>
    <xf numFmtId="0" fontId="79" fillId="62" borderId="0" applyNumberFormat="0" applyBorder="0" applyAlignment="0" applyProtection="0"/>
    <xf numFmtId="0" fontId="5" fillId="20" borderId="0" applyNumberFormat="0" applyBorder="0" applyAlignment="0" applyProtection="0"/>
    <xf numFmtId="0" fontId="79" fillId="66" borderId="0" applyNumberFormat="0" applyBorder="0" applyAlignment="0" applyProtection="0"/>
    <xf numFmtId="49" fontId="96" fillId="0" borderId="0" applyFill="0" applyBorder="0" applyAlignment="0" applyProtection="0"/>
    <xf numFmtId="0" fontId="97" fillId="0" borderId="29" applyBorder="0">
      <alignment horizontal="center" vertical="center" wrapText="1"/>
    </xf>
    <xf numFmtId="0" fontId="6" fillId="11" borderId="0" applyNumberFormat="0" applyBorder="0" applyAlignment="0" applyProtection="0"/>
    <xf numFmtId="0" fontId="6" fillId="7" borderId="0" applyNumberFormat="0" applyBorder="0" applyAlignment="0" applyProtection="0"/>
    <xf numFmtId="0" fontId="71" fillId="40" borderId="0" applyNumberFormat="0" applyBorder="0" applyAlignment="0" applyProtection="0"/>
    <xf numFmtId="0" fontId="8" fillId="24" borderId="3" applyNumberFormat="0" applyAlignment="0" applyProtection="0"/>
    <xf numFmtId="0" fontId="75" fillId="43" borderId="43" applyNumberFormat="0" applyAlignment="0" applyProtection="0"/>
    <xf numFmtId="0" fontId="9" fillId="25" borderId="4" applyNumberFormat="0" applyAlignment="0" applyProtection="0"/>
    <xf numFmtId="0" fontId="9" fillId="26" borderId="5" applyNumberFormat="0" applyAlignment="0" applyProtection="0"/>
    <xf numFmtId="0" fontId="77" fillId="44" borderId="46" applyNumberFormat="0" applyAlignment="0" applyProtection="0"/>
    <xf numFmtId="0" fontId="98" fillId="70" borderId="0" applyNumberFormat="0" applyBorder="0" applyAlignment="0" applyProtection="0">
      <alignment horizontal="center"/>
      <protection hidden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>
      <alignment wrapText="1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30" borderId="0" applyNumberFormat="0" applyBorder="0" applyAlignment="0" applyProtection="0"/>
    <xf numFmtId="0" fontId="17" fillId="9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18" fillId="0" borderId="9" applyNumberFormat="0" applyFill="0" applyAlignment="0" applyProtection="0"/>
    <xf numFmtId="0" fontId="68" fillId="0" borderId="40" applyNumberFormat="0" applyFill="0" applyAlignment="0" applyProtection="0"/>
    <xf numFmtId="0" fontId="20" fillId="0" borderId="11" applyNumberFormat="0" applyFill="0" applyAlignment="0" applyProtection="0"/>
    <xf numFmtId="0" fontId="69" fillId="0" borderId="41" applyNumberFormat="0" applyFill="0" applyAlignment="0" applyProtection="0"/>
    <xf numFmtId="0" fontId="22" fillId="0" borderId="14" applyNumberFormat="0" applyFill="0" applyAlignment="0" applyProtection="0"/>
    <xf numFmtId="0" fontId="70" fillId="0" borderId="42" applyNumberFormat="0" applyFill="0" applyAlignment="0" applyProtection="0"/>
    <xf numFmtId="0" fontId="2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>
      <alignment vertical="top"/>
      <protection locked="0"/>
    </xf>
    <xf numFmtId="0" fontId="27" fillId="10" borderId="3" applyNumberFormat="0" applyAlignment="0" applyProtection="0"/>
    <xf numFmtId="0" fontId="28" fillId="10" borderId="3" applyNumberFormat="0" applyAlignment="0" applyProtection="0"/>
    <xf numFmtId="0" fontId="28" fillId="10" borderId="3" applyNumberFormat="0" applyAlignment="0" applyProtection="0"/>
    <xf numFmtId="0" fontId="73" fillId="42" borderId="43" applyNumberFormat="0" applyAlignment="0" applyProtection="0"/>
    <xf numFmtId="0" fontId="97" fillId="0" borderId="29" applyBorder="0">
      <alignment horizontal="center" vertical="center" wrapText="1"/>
    </xf>
    <xf numFmtId="0" fontId="31" fillId="0" borderId="16" applyNumberFormat="0" applyFill="0" applyAlignment="0" applyProtection="0"/>
    <xf numFmtId="0" fontId="76" fillId="0" borderId="45" applyNumberFormat="0" applyFill="0" applyAlignment="0" applyProtection="0"/>
    <xf numFmtId="0" fontId="33" fillId="10" borderId="0" applyNumberFormat="0" applyBorder="0" applyAlignment="0" applyProtection="0"/>
    <xf numFmtId="0" fontId="72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8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" fillId="0" borderId="0"/>
    <xf numFmtId="0" fontId="57" fillId="0" borderId="0"/>
    <xf numFmtId="0" fontId="34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40" fontId="100" fillId="0" borderId="0"/>
    <xf numFmtId="0" fontId="3" fillId="0" borderId="0"/>
    <xf numFmtId="40" fontId="100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3" fillId="0" borderId="0">
      <alignment vertical="top"/>
    </xf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34" fillId="0" borderId="0"/>
    <xf numFmtId="0" fontId="11" fillId="0" borderId="0">
      <alignment vertical="top"/>
    </xf>
    <xf numFmtId="0" fontId="34" fillId="0" borderId="0"/>
    <xf numFmtId="0" fontId="1" fillId="0" borderId="0"/>
    <xf numFmtId="0" fontId="3" fillId="0" borderId="0"/>
    <xf numFmtId="0" fontId="34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34" fillId="0" borderId="0"/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34" fillId="0" borderId="0"/>
    <xf numFmtId="0" fontId="34" fillId="0" borderId="0"/>
    <xf numFmtId="0" fontId="1" fillId="0" borderId="0"/>
    <xf numFmtId="0" fontId="11" fillId="0" borderId="0">
      <alignment vertical="top"/>
    </xf>
    <xf numFmtId="0" fontId="3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3" fillId="0" borderId="0"/>
    <xf numFmtId="0" fontId="34" fillId="0" borderId="0"/>
    <xf numFmtId="0" fontId="11" fillId="0" borderId="0">
      <alignment vertical="top"/>
    </xf>
    <xf numFmtId="0" fontId="3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4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6" borderId="17" applyNumberFormat="0" applyFont="0" applyAlignment="0" applyProtection="0"/>
    <xf numFmtId="0" fontId="4" fillId="6" borderId="17" applyNumberFormat="0" applyFont="0" applyAlignment="0" applyProtection="0"/>
    <xf numFmtId="0" fontId="1" fillId="45" borderId="47" applyNumberFormat="0" applyFont="0" applyAlignment="0" applyProtection="0"/>
    <xf numFmtId="0" fontId="1" fillId="45" borderId="47" applyNumberFormat="0" applyFont="0" applyAlignment="0" applyProtection="0"/>
    <xf numFmtId="0" fontId="22" fillId="24" borderId="18" applyNumberFormat="0" applyAlignment="0" applyProtection="0"/>
    <xf numFmtId="0" fontId="37" fillId="24" borderId="19" applyNumberFormat="0" applyAlignment="0" applyProtection="0"/>
    <xf numFmtId="0" fontId="37" fillId="24" borderId="19" applyNumberFormat="0" applyAlignment="0" applyProtection="0"/>
    <xf numFmtId="0" fontId="74" fillId="43" borderId="44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>
      <alignment wrapText="1"/>
    </xf>
    <xf numFmtId="175" fontId="14" fillId="0" borderId="0">
      <alignment horizontal="center"/>
    </xf>
    <xf numFmtId="0" fontId="11" fillId="0" borderId="0" applyNumberFormat="0" applyBorder="0" applyAlignment="0"/>
    <xf numFmtId="176" fontId="105" fillId="71" borderId="0" applyFill="0" applyBorder="0" applyProtection="0">
      <alignment horizontal="center"/>
      <protection hidden="1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0" borderId="48" applyNumberFormat="0" applyFill="0" applyAlignment="0" applyProtection="0"/>
    <xf numFmtId="0" fontId="106" fillId="0" borderId="0">
      <alignment horizontal="center"/>
    </xf>
    <xf numFmtId="0" fontId="46" fillId="0" borderId="0" applyNumberFormat="0" applyFill="0" applyBorder="0" applyAlignment="0" applyProtection="0"/>
  </cellStyleXfs>
  <cellXfs count="245">
    <xf numFmtId="0" fontId="0" fillId="0" borderId="0" xfId="0"/>
    <xf numFmtId="0" fontId="0" fillId="0" borderId="6" xfId="0" applyBorder="1" applyAlignment="1">
      <alignment horizontal="center"/>
    </xf>
    <xf numFmtId="43" fontId="0" fillId="0" borderId="0" xfId="80" applyFont="1"/>
    <xf numFmtId="43" fontId="0" fillId="0" borderId="0" xfId="0" applyNumberFormat="1" applyAlignment="1">
      <alignment horizontal="center"/>
    </xf>
    <xf numFmtId="43" fontId="0" fillId="0" borderId="0" xfId="0" applyNumberFormat="1"/>
    <xf numFmtId="0" fontId="45" fillId="0" borderId="0" xfId="0" applyFont="1"/>
    <xf numFmtId="43" fontId="0" fillId="0" borderId="0" xfId="80" applyFont="1" applyAlignment="1">
      <alignment horizontal="center"/>
    </xf>
    <xf numFmtId="0" fontId="0" fillId="0" borderId="0" xfId="0" applyAlignment="1">
      <alignment horizontal="left" indent="1"/>
    </xf>
    <xf numFmtId="164" fontId="0" fillId="0" borderId="0" xfId="80" applyNumberFormat="1" applyFont="1"/>
    <xf numFmtId="0" fontId="46" fillId="0" borderId="0" xfId="0" applyFont="1"/>
    <xf numFmtId="0" fontId="46" fillId="0" borderId="0" xfId="0" applyFont="1" applyAlignment="1">
      <alignment horizontal="center"/>
    </xf>
    <xf numFmtId="168" fontId="0" fillId="0" borderId="0" xfId="80" applyNumberFormat="1" applyFont="1"/>
    <xf numFmtId="168" fontId="0" fillId="0" borderId="0" xfId="80" applyNumberFormat="1" applyFont="1" applyBorder="1"/>
    <xf numFmtId="168" fontId="0" fillId="0" borderId="6" xfId="80" applyNumberFormat="1" applyFont="1" applyBorder="1"/>
    <xf numFmtId="170" fontId="0" fillId="0" borderId="0" xfId="0" applyNumberFormat="1"/>
    <xf numFmtId="171" fontId="0" fillId="0" borderId="0" xfId="0" applyNumberFormat="1"/>
    <xf numFmtId="0" fontId="0" fillId="0" borderId="0" xfId="0" applyAlignment="1">
      <alignment horizontal="left"/>
    </xf>
    <xf numFmtId="164" fontId="0" fillId="0" borderId="0" xfId="80" applyNumberFormat="1" applyFont="1" applyFill="1" applyBorder="1"/>
    <xf numFmtId="44" fontId="0" fillId="0" borderId="0" xfId="1" applyFont="1" applyFill="1" applyBorder="1"/>
    <xf numFmtId="167" fontId="0" fillId="0" borderId="0" xfId="1" applyNumberFormat="1" applyFont="1" applyFill="1" applyBorder="1"/>
    <xf numFmtId="169" fontId="0" fillId="0" borderId="0" xfId="1" applyNumberFormat="1" applyFont="1" applyFill="1" applyBorder="1"/>
    <xf numFmtId="44" fontId="0" fillId="0" borderId="0" xfId="0" applyNumberFormat="1"/>
    <xf numFmtId="44" fontId="45" fillId="0" borderId="0" xfId="0" applyNumberFormat="1" applyFont="1"/>
    <xf numFmtId="0" fontId="0" fillId="0" borderId="0" xfId="0" applyAlignment="1">
      <alignment horizontal="center"/>
    </xf>
    <xf numFmtId="164" fontId="45" fillId="0" borderId="6" xfId="332" applyNumberFormat="1" applyFont="1" applyBorder="1" applyAlignment="1">
      <alignment horizontal="center"/>
    </xf>
    <xf numFmtId="164" fontId="0" fillId="0" borderId="0" xfId="332" applyNumberFormat="1" applyFont="1" applyBorder="1"/>
    <xf numFmtId="164" fontId="0" fillId="0" borderId="0" xfId="332" applyNumberFormat="1" applyFont="1" applyBorder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35" borderId="0" xfId="0" applyFill="1"/>
    <xf numFmtId="0" fontId="0" fillId="35" borderId="0" xfId="0" applyFill="1" applyAlignment="1">
      <alignment horizontal="center"/>
    </xf>
    <xf numFmtId="0" fontId="45" fillId="35" borderId="0" xfId="0" applyFont="1" applyFill="1"/>
    <xf numFmtId="164" fontId="0" fillId="35" borderId="0" xfId="332" applyNumberFormat="1" applyFont="1" applyFill="1" applyBorder="1"/>
    <xf numFmtId="0" fontId="48" fillId="0" borderId="0" xfId="314" applyFont="1"/>
    <xf numFmtId="164" fontId="0" fillId="0" borderId="6" xfId="332" applyNumberFormat="1" applyFont="1" applyBorder="1"/>
    <xf numFmtId="164" fontId="0" fillId="0" borderId="0" xfId="332" applyNumberFormat="1" applyFont="1" applyFill="1" applyBorder="1"/>
    <xf numFmtId="0" fontId="48" fillId="0" borderId="0" xfId="317" applyFont="1"/>
    <xf numFmtId="0" fontId="0" fillId="0" borderId="0" xfId="0" applyAlignment="1">
      <alignment horizontal="center" vertical="center" textRotation="90"/>
    </xf>
    <xf numFmtId="0" fontId="61" fillId="32" borderId="6" xfId="0" applyFont="1" applyFill="1" applyBorder="1"/>
    <xf numFmtId="3" fontId="0" fillId="32" borderId="6" xfId="0" applyNumberFormat="1" applyFill="1" applyBorder="1" applyAlignment="1">
      <alignment horizontal="center"/>
    </xf>
    <xf numFmtId="0" fontId="62" fillId="0" borderId="0" xfId="0" applyFont="1" applyAlignment="1">
      <alignment horizontal="left"/>
    </xf>
    <xf numFmtId="0" fontId="0" fillId="32" borderId="6" xfId="0" applyFill="1" applyBorder="1"/>
    <xf numFmtId="0" fontId="45" fillId="32" borderId="6" xfId="0" applyFont="1" applyFill="1" applyBorder="1"/>
    <xf numFmtId="0" fontId="0" fillId="32" borderId="6" xfId="0" applyFill="1" applyBorder="1" applyAlignment="1">
      <alignment horizontal="center"/>
    </xf>
    <xf numFmtId="42" fontId="45" fillId="0" borderId="0" xfId="0" applyNumberFormat="1" applyFont="1"/>
    <xf numFmtId="0" fontId="45" fillId="32" borderId="6" xfId="0" applyFont="1" applyFill="1" applyBorder="1" applyAlignment="1">
      <alignment horizontal="center" wrapText="1"/>
    </xf>
    <xf numFmtId="43" fontId="45" fillId="0" borderId="0" xfId="332" applyFont="1"/>
    <xf numFmtId="164" fontId="0" fillId="0" borderId="0" xfId="332" applyNumberFormat="1" applyFont="1"/>
    <xf numFmtId="164" fontId="45" fillId="32" borderId="6" xfId="332" applyNumberFormat="1" applyFont="1" applyFill="1" applyBorder="1"/>
    <xf numFmtId="164" fontId="0" fillId="32" borderId="6" xfId="332" applyNumberFormat="1" applyFont="1" applyFill="1" applyBorder="1"/>
    <xf numFmtId="164" fontId="0" fillId="0" borderId="0" xfId="332" applyNumberFormat="1" applyFont="1" applyFill="1"/>
    <xf numFmtId="164" fontId="45" fillId="0" borderId="0" xfId="332" applyNumberFormat="1" applyFont="1"/>
    <xf numFmtId="164" fontId="0" fillId="35" borderId="0" xfId="332" applyNumberFormat="1" applyFont="1" applyFill="1" applyBorder="1" applyAlignment="1">
      <alignment horizontal="right"/>
    </xf>
    <xf numFmtId="164" fontId="0" fillId="0" borderId="0" xfId="332" applyNumberFormat="1" applyFont="1" applyFill="1" applyBorder="1" applyAlignment="1"/>
    <xf numFmtId="43" fontId="0" fillId="0" borderId="0" xfId="332" applyFont="1"/>
    <xf numFmtId="43" fontId="0" fillId="32" borderId="6" xfId="332" applyFont="1" applyFill="1" applyBorder="1"/>
    <xf numFmtId="43" fontId="0" fillId="35" borderId="0" xfId="332" applyFont="1" applyFill="1" applyBorder="1"/>
    <xf numFmtId="43" fontId="0" fillId="0" borderId="0" xfId="332" applyFont="1" applyBorder="1"/>
    <xf numFmtId="43" fontId="0" fillId="0" borderId="6" xfId="332" applyFont="1" applyBorder="1"/>
    <xf numFmtId="43" fontId="0" fillId="0" borderId="0" xfId="332" applyFont="1" applyFill="1" applyBorder="1"/>
    <xf numFmtId="43" fontId="0" fillId="0" borderId="0" xfId="332" applyFont="1" applyFill="1" applyBorder="1" applyAlignment="1"/>
    <xf numFmtId="173" fontId="0" fillId="0" borderId="0" xfId="0" applyNumberFormat="1"/>
    <xf numFmtId="173" fontId="45" fillId="32" borderId="6" xfId="0" applyNumberFormat="1" applyFont="1" applyFill="1" applyBorder="1"/>
    <xf numFmtId="173" fontId="0" fillId="32" borderId="6" xfId="0" applyNumberFormat="1" applyFill="1" applyBorder="1"/>
    <xf numFmtId="173" fontId="45" fillId="0" borderId="0" xfId="0" applyNumberFormat="1" applyFont="1"/>
    <xf numFmtId="173" fontId="0" fillId="35" borderId="0" xfId="332" applyNumberFormat="1" applyFont="1" applyFill="1" applyBorder="1"/>
    <xf numFmtId="173" fontId="0" fillId="35" borderId="0" xfId="0" applyNumberFormat="1" applyFill="1"/>
    <xf numFmtId="173" fontId="0" fillId="0" borderId="0" xfId="1" applyNumberFormat="1" applyFont="1" applyBorder="1"/>
    <xf numFmtId="173" fontId="0" fillId="0" borderId="6" xfId="0" applyNumberFormat="1" applyBorder="1"/>
    <xf numFmtId="173" fontId="0" fillId="0" borderId="0" xfId="1" applyNumberFormat="1" applyFont="1" applyFill="1" applyBorder="1"/>
    <xf numFmtId="43" fontId="0" fillId="38" borderId="0" xfId="0" applyNumberFormat="1" applyFill="1"/>
    <xf numFmtId="0" fontId="61" fillId="38" borderId="0" xfId="152" applyFont="1" applyFill="1"/>
    <xf numFmtId="44" fontId="48" fillId="38" borderId="0" xfId="333" applyFont="1" applyFill="1"/>
    <xf numFmtId="0" fontId="48" fillId="38" borderId="0" xfId="152" applyFont="1" applyFill="1"/>
    <xf numFmtId="43" fontId="48" fillId="38" borderId="0" xfId="4" applyFont="1" applyFill="1"/>
    <xf numFmtId="44" fontId="0" fillId="0" borderId="36" xfId="1" applyFont="1" applyFill="1" applyBorder="1"/>
    <xf numFmtId="10" fontId="0" fillId="38" borderId="0" xfId="2" applyNumberFormat="1" applyFont="1" applyFill="1" applyBorder="1"/>
    <xf numFmtId="0" fontId="58" fillId="0" borderId="0" xfId="0" applyFont="1"/>
    <xf numFmtId="10" fontId="0" fillId="0" borderId="0" xfId="2" applyNumberFormat="1" applyFont="1" applyBorder="1" applyAlignment="1">
      <alignment horizontal="right"/>
    </xf>
    <xf numFmtId="0" fontId="45" fillId="0" borderId="32" xfId="0" applyFont="1" applyBorder="1"/>
    <xf numFmtId="0" fontId="0" fillId="0" borderId="35" xfId="0" applyBorder="1"/>
    <xf numFmtId="164" fontId="0" fillId="0" borderId="0" xfId="332" applyNumberFormat="1" applyFont="1" applyFill="1" applyBorder="1" applyAlignment="1">
      <alignment horizontal="right"/>
    </xf>
    <xf numFmtId="0" fontId="0" fillId="0" borderId="37" xfId="0" applyBorder="1"/>
    <xf numFmtId="0" fontId="0" fillId="0" borderId="38" xfId="0" applyBorder="1"/>
    <xf numFmtId="3" fontId="0" fillId="32" borderId="39" xfId="0" applyNumberFormat="1" applyFill="1" applyBorder="1" applyAlignment="1">
      <alignment horizontal="center"/>
    </xf>
    <xf numFmtId="43" fontId="45" fillId="32" borderId="0" xfId="332" applyFont="1" applyFill="1" applyBorder="1" applyAlignment="1">
      <alignment horizontal="center" wrapText="1"/>
    </xf>
    <xf numFmtId="0" fontId="45" fillId="38" borderId="6" xfId="0" applyFont="1" applyFill="1" applyBorder="1" applyAlignment="1">
      <alignment horizontal="center"/>
    </xf>
    <xf numFmtId="0" fontId="45" fillId="38" borderId="0" xfId="0" applyFont="1" applyFill="1"/>
    <xf numFmtId="0" fontId="0" fillId="38" borderId="0" xfId="0" applyFill="1"/>
    <xf numFmtId="44" fontId="0" fillId="0" borderId="0" xfId="1" applyFont="1" applyFill="1"/>
    <xf numFmtId="167" fontId="0" fillId="0" borderId="0" xfId="1" applyNumberFormat="1" applyFont="1" applyFill="1"/>
    <xf numFmtId="167" fontId="0" fillId="0" borderId="6" xfId="1" applyNumberFormat="1" applyFont="1" applyFill="1" applyBorder="1"/>
    <xf numFmtId="169" fontId="0" fillId="0" borderId="0" xfId="1" applyNumberFormat="1" applyFont="1" applyFill="1"/>
    <xf numFmtId="43" fontId="0" fillId="0" borderId="0" xfId="332" applyFont="1" applyFill="1"/>
    <xf numFmtId="10" fontId="0" fillId="0" borderId="0" xfId="2" applyNumberFormat="1" applyFont="1" applyFill="1" applyBorder="1"/>
    <xf numFmtId="10" fontId="0" fillId="0" borderId="0" xfId="0" applyNumberFormat="1"/>
    <xf numFmtId="164" fontId="0" fillId="0" borderId="0" xfId="0" applyNumberFormat="1"/>
    <xf numFmtId="43" fontId="0" fillId="38" borderId="0" xfId="4" applyFont="1" applyFill="1" applyAlignment="1">
      <alignment horizontal="center"/>
    </xf>
    <xf numFmtId="0" fontId="45" fillId="38" borderId="35" xfId="0" applyFont="1" applyFill="1" applyBorder="1"/>
    <xf numFmtId="0" fontId="59" fillId="38" borderId="35" xfId="0" applyFont="1" applyFill="1" applyBorder="1"/>
    <xf numFmtId="0" fontId="60" fillId="38" borderId="35" xfId="0" applyFont="1" applyFill="1" applyBorder="1"/>
    <xf numFmtId="174" fontId="0" fillId="0" borderId="0" xfId="0" applyNumberFormat="1" applyAlignment="1">
      <alignment horizontal="right"/>
    </xf>
    <xf numFmtId="0" fontId="48" fillId="0" borderId="0" xfId="553" applyFont="1"/>
    <xf numFmtId="43" fontId="0" fillId="0" borderId="0" xfId="332" applyFont="1" applyFill="1" applyBorder="1" applyAlignment="1">
      <alignment horizontal="right"/>
    </xf>
    <xf numFmtId="43" fontId="0" fillId="0" borderId="6" xfId="332" applyFont="1" applyFill="1" applyBorder="1" applyAlignment="1">
      <alignment horizontal="right"/>
    </xf>
    <xf numFmtId="43" fontId="45" fillId="0" borderId="0" xfId="332" applyFont="1" applyFill="1" applyBorder="1" applyAlignment="1">
      <alignment horizontal="right"/>
    </xf>
    <xf numFmtId="0" fontId="0" fillId="0" borderId="0" xfId="0" applyAlignment="1">
      <alignment vertical="center" textRotation="90" wrapText="1"/>
    </xf>
    <xf numFmtId="0" fontId="0" fillId="0" borderId="6" xfId="0" applyBorder="1" applyAlignment="1">
      <alignment vertical="center" textRotation="90" wrapText="1"/>
    </xf>
    <xf numFmtId="3" fontId="0" fillId="0" borderId="6" xfId="0" applyNumberFormat="1" applyBorder="1" applyAlignment="1">
      <alignment horizontal="center"/>
    </xf>
    <xf numFmtId="0" fontId="0" fillId="0" borderId="6" xfId="0" applyBorder="1"/>
    <xf numFmtId="173" fontId="45" fillId="0" borderId="0" xfId="0" applyNumberFormat="1" applyFont="1" applyAlignment="1">
      <alignment horizontal="right"/>
    </xf>
    <xf numFmtId="173" fontId="63" fillId="0" borderId="0" xfId="0" applyNumberFormat="1" applyFont="1" applyAlignment="1">
      <alignment horizontal="right"/>
    </xf>
    <xf numFmtId="173" fontId="45" fillId="0" borderId="24" xfId="0" applyNumberFormat="1" applyFont="1" applyBorder="1"/>
    <xf numFmtId="10" fontId="0" fillId="0" borderId="0" xfId="2" applyNumberFormat="1" applyFont="1" applyAlignment="1">
      <alignment horizontal="left"/>
    </xf>
    <xf numFmtId="43" fontId="0" fillId="0" borderId="0" xfId="332" applyFont="1" applyAlignment="1">
      <alignment horizontal="center"/>
    </xf>
    <xf numFmtId="0" fontId="0" fillId="38" borderId="32" xfId="0" applyFill="1" applyBorder="1"/>
    <xf numFmtId="0" fontId="0" fillId="38" borderId="33" xfId="0" applyFill="1" applyBorder="1"/>
    <xf numFmtId="0" fontId="0" fillId="38" borderId="34" xfId="0" applyFill="1" applyBorder="1"/>
    <xf numFmtId="0" fontId="0" fillId="38" borderId="36" xfId="0" applyFill="1" applyBorder="1"/>
    <xf numFmtId="0" fontId="0" fillId="38" borderId="35" xfId="0" applyFill="1" applyBorder="1"/>
    <xf numFmtId="43" fontId="0" fillId="38" borderId="6" xfId="0" applyNumberFormat="1" applyFill="1" applyBorder="1"/>
    <xf numFmtId="0" fontId="0" fillId="38" borderId="37" xfId="0" applyFill="1" applyBorder="1"/>
    <xf numFmtId="0" fontId="0" fillId="38" borderId="20" xfId="0" applyFill="1" applyBorder="1"/>
    <xf numFmtId="0" fontId="0" fillId="38" borderId="38" xfId="0" applyFill="1" applyBorder="1"/>
    <xf numFmtId="0" fontId="61" fillId="38" borderId="0" xfId="525" applyFont="1" applyFill="1"/>
    <xf numFmtId="43" fontId="48" fillId="38" borderId="0" xfId="4" applyFont="1" applyFill="1" applyBorder="1"/>
    <xf numFmtId="44" fontId="48" fillId="38" borderId="0" xfId="333" applyFont="1" applyFill="1" applyBorder="1"/>
    <xf numFmtId="0" fontId="48" fillId="38" borderId="0" xfId="525" applyFont="1" applyFill="1"/>
    <xf numFmtId="43" fontId="61" fillId="38" borderId="0" xfId="4" applyFont="1" applyFill="1" applyBorder="1"/>
    <xf numFmtId="43" fontId="61" fillId="38" borderId="0" xfId="4" applyFont="1" applyFill="1" applyBorder="1" applyAlignment="1">
      <alignment horizontal="center"/>
    </xf>
    <xf numFmtId="43" fontId="48" fillId="38" borderId="6" xfId="4" applyFont="1" applyFill="1" applyBorder="1" applyAlignment="1">
      <alignment horizontal="center"/>
    </xf>
    <xf numFmtId="44" fontId="48" fillId="38" borderId="6" xfId="333" applyFont="1" applyFill="1" applyBorder="1" applyAlignment="1">
      <alignment horizontal="center"/>
    </xf>
    <xf numFmtId="44" fontId="48" fillId="38" borderId="0" xfId="333" applyFont="1" applyFill="1" applyBorder="1" applyAlignment="1">
      <alignment horizontal="center"/>
    </xf>
    <xf numFmtId="17" fontId="48" fillId="38" borderId="0" xfId="525" applyNumberFormat="1" applyFont="1" applyFill="1" applyAlignment="1">
      <alignment horizontal="left"/>
    </xf>
    <xf numFmtId="43" fontId="48" fillId="38" borderId="0" xfId="4" applyFont="1" applyFill="1" applyAlignment="1">
      <alignment horizontal="right"/>
    </xf>
    <xf numFmtId="43" fontId="48" fillId="38" borderId="0" xfId="4" quotePrefix="1" applyFont="1" applyFill="1" applyAlignment="1">
      <alignment horizontal="right"/>
    </xf>
    <xf numFmtId="44" fontId="48" fillId="38" borderId="0" xfId="333" quotePrefix="1" applyFont="1" applyFill="1" applyAlignment="1">
      <alignment horizontal="right"/>
    </xf>
    <xf numFmtId="43" fontId="64" fillId="38" borderId="0" xfId="4" applyFont="1" applyFill="1" applyAlignment="1">
      <alignment horizontal="right"/>
    </xf>
    <xf numFmtId="44" fontId="64" fillId="38" borderId="0" xfId="333" applyFont="1" applyFill="1"/>
    <xf numFmtId="43" fontId="64" fillId="38" borderId="0" xfId="4" quotePrefix="1" applyFont="1" applyFill="1" applyAlignment="1">
      <alignment horizontal="right"/>
    </xf>
    <xf numFmtId="43" fontId="64" fillId="38" borderId="0" xfId="4" applyFont="1" applyFill="1"/>
    <xf numFmtId="43" fontId="48" fillId="38" borderId="31" xfId="4" applyFont="1" applyFill="1" applyBorder="1"/>
    <xf numFmtId="44" fontId="48" fillId="38" borderId="31" xfId="333" applyFont="1" applyFill="1" applyBorder="1"/>
    <xf numFmtId="173" fontId="45" fillId="0" borderId="0" xfId="0" applyNumberFormat="1" applyFont="1" applyAlignment="1">
      <alignment horizontal="center"/>
    </xf>
    <xf numFmtId="0" fontId="60" fillId="0" borderId="0" xfId="0" applyFont="1"/>
    <xf numFmtId="44" fontId="0" fillId="38" borderId="0" xfId="0" applyNumberFormat="1" applyFill="1"/>
    <xf numFmtId="43" fontId="0" fillId="38" borderId="0" xfId="332" applyFont="1" applyFill="1"/>
    <xf numFmtId="0" fontId="82" fillId="38" borderId="0" xfId="3" applyFont="1" applyFill="1" applyAlignment="1">
      <alignment horizontal="left"/>
    </xf>
    <xf numFmtId="0" fontId="80" fillId="38" borderId="0" xfId="0" applyFont="1" applyFill="1"/>
    <xf numFmtId="0" fontId="81" fillId="38" borderId="0" xfId="3" applyFont="1" applyFill="1"/>
    <xf numFmtId="0" fontId="82" fillId="38" borderId="0" xfId="3" applyFont="1" applyFill="1"/>
    <xf numFmtId="0" fontId="81" fillId="38" borderId="0" xfId="3" applyFont="1" applyFill="1" applyAlignment="1">
      <alignment horizontal="center"/>
    </xf>
    <xf numFmtId="0" fontId="83" fillId="38" borderId="0" xfId="0" applyFont="1" applyFill="1"/>
    <xf numFmtId="164" fontId="83" fillId="38" borderId="0" xfId="332" applyNumberFormat="1" applyFont="1" applyFill="1"/>
    <xf numFmtId="43" fontId="84" fillId="38" borderId="0" xfId="3" applyNumberFormat="1" applyFont="1" applyFill="1"/>
    <xf numFmtId="43" fontId="81" fillId="38" borderId="0" xfId="3" applyNumberFormat="1" applyFont="1" applyFill="1"/>
    <xf numFmtId="0" fontId="85" fillId="38" borderId="0" xfId="3" applyFont="1" applyFill="1" applyAlignment="1">
      <alignment horizontal="left"/>
    </xf>
    <xf numFmtId="2" fontId="81" fillId="38" borderId="0" xfId="3" applyNumberFormat="1" applyFont="1" applyFill="1"/>
    <xf numFmtId="0" fontId="85" fillId="38" borderId="0" xfId="3" applyFont="1" applyFill="1" applyAlignment="1">
      <alignment horizontal="center" wrapText="1"/>
    </xf>
    <xf numFmtId="0" fontId="86" fillId="38" borderId="0" xfId="3" applyFont="1" applyFill="1" applyAlignment="1">
      <alignment horizontal="center"/>
    </xf>
    <xf numFmtId="17" fontId="86" fillId="38" borderId="0" xfId="3" applyNumberFormat="1" applyFont="1" applyFill="1" applyAlignment="1">
      <alignment horizontal="center"/>
    </xf>
    <xf numFmtId="0" fontId="86" fillId="38" borderId="0" xfId="3" applyFont="1" applyFill="1" applyAlignment="1">
      <alignment horizontal="center" wrapText="1"/>
    </xf>
    <xf numFmtId="17" fontId="85" fillId="38" borderId="0" xfId="3" applyNumberFormat="1" applyFont="1" applyFill="1" applyAlignment="1">
      <alignment horizontal="center"/>
    </xf>
    <xf numFmtId="0" fontId="80" fillId="38" borderId="0" xfId="0" applyFont="1" applyFill="1" applyAlignment="1">
      <alignment horizontal="center" wrapText="1"/>
    </xf>
    <xf numFmtId="0" fontId="87" fillId="38" borderId="0" xfId="3" applyFont="1" applyFill="1" applyAlignment="1">
      <alignment horizontal="center"/>
    </xf>
    <xf numFmtId="0" fontId="85" fillId="38" borderId="0" xfId="3" applyFont="1" applyFill="1" applyAlignment="1">
      <alignment horizontal="center"/>
    </xf>
    <xf numFmtId="14" fontId="85" fillId="38" borderId="0" xfId="3" applyNumberFormat="1" applyFont="1" applyFill="1" applyAlignment="1">
      <alignment horizontal="center" wrapText="1"/>
    </xf>
    <xf numFmtId="10" fontId="80" fillId="38" borderId="0" xfId="2" applyNumberFormat="1" applyFont="1" applyFill="1" applyAlignment="1">
      <alignment horizontal="center" wrapText="1"/>
    </xf>
    <xf numFmtId="0" fontId="89" fillId="38" borderId="0" xfId="0" applyFont="1" applyFill="1"/>
    <xf numFmtId="0" fontId="90" fillId="38" borderId="0" xfId="0" applyFont="1" applyFill="1" applyAlignment="1">
      <alignment horizontal="right"/>
    </xf>
    <xf numFmtId="10" fontId="90" fillId="38" borderId="0" xfId="2" applyNumberFormat="1" applyFont="1" applyFill="1"/>
    <xf numFmtId="164" fontId="81" fillId="38" borderId="0" xfId="332" applyNumberFormat="1" applyFont="1" applyFill="1"/>
    <xf numFmtId="0" fontId="91" fillId="38" borderId="0" xfId="3" applyFont="1" applyFill="1" applyAlignment="1">
      <alignment horizontal="left"/>
    </xf>
    <xf numFmtId="43" fontId="81" fillId="38" borderId="0" xfId="4" applyFont="1" applyFill="1" applyAlignment="1">
      <alignment horizontal="center"/>
    </xf>
    <xf numFmtId="164" fontId="81" fillId="38" borderId="0" xfId="4" applyNumberFormat="1" applyFont="1" applyFill="1"/>
    <xf numFmtId="43" fontId="83" fillId="38" borderId="0" xfId="4" applyFont="1" applyFill="1"/>
    <xf numFmtId="164" fontId="83" fillId="38" borderId="0" xfId="4" applyNumberFormat="1" applyFont="1" applyFill="1"/>
    <xf numFmtId="4" fontId="81" fillId="38" borderId="0" xfId="3" applyNumberFormat="1" applyFont="1" applyFill="1"/>
    <xf numFmtId="164" fontId="81" fillId="38" borderId="0" xfId="3" applyNumberFormat="1" applyFont="1" applyFill="1"/>
    <xf numFmtId="0" fontId="92" fillId="38" borderId="0" xfId="0" applyFont="1" applyFill="1"/>
    <xf numFmtId="0" fontId="85" fillId="38" borderId="0" xfId="3" applyFont="1" applyFill="1" applyAlignment="1">
      <alignment horizontal="right"/>
    </xf>
    <xf numFmtId="44" fontId="93" fillId="38" borderId="1" xfId="333" applyFont="1" applyFill="1" applyBorder="1"/>
    <xf numFmtId="164" fontId="85" fillId="38" borderId="2" xfId="4" applyNumberFormat="1" applyFont="1" applyFill="1" applyBorder="1"/>
    <xf numFmtId="164" fontId="85" fillId="38" borderId="0" xfId="4" applyNumberFormat="1" applyFont="1" applyFill="1" applyBorder="1"/>
    <xf numFmtId="164" fontId="85" fillId="38" borderId="1" xfId="332" applyNumberFormat="1" applyFont="1" applyFill="1" applyBorder="1"/>
    <xf numFmtId="164" fontId="81" fillId="38" borderId="0" xfId="332" applyNumberFormat="1" applyFont="1" applyFill="1" applyBorder="1"/>
    <xf numFmtId="44" fontId="85" fillId="38" borderId="1" xfId="332" applyNumberFormat="1" applyFont="1" applyFill="1" applyBorder="1"/>
    <xf numFmtId="0" fontId="81" fillId="38" borderId="0" xfId="0" applyFont="1" applyFill="1" applyAlignment="1">
      <alignment vertical="top"/>
    </xf>
    <xf numFmtId="164" fontId="80" fillId="38" borderId="2" xfId="4" applyNumberFormat="1" applyFont="1" applyFill="1" applyBorder="1"/>
    <xf numFmtId="164" fontId="80" fillId="38" borderId="0" xfId="4" applyNumberFormat="1" applyFont="1" applyFill="1" applyBorder="1"/>
    <xf numFmtId="0" fontId="91" fillId="38" borderId="0" xfId="3" applyFont="1" applyFill="1" applyAlignment="1">
      <alignment horizontal="center"/>
    </xf>
    <xf numFmtId="0" fontId="85" fillId="38" borderId="0" xfId="3" applyFont="1" applyFill="1"/>
    <xf numFmtId="2" fontId="83" fillId="38" borderId="0" xfId="0" applyNumberFormat="1" applyFont="1" applyFill="1"/>
    <xf numFmtId="4" fontId="83" fillId="38" borderId="0" xfId="0" applyNumberFormat="1" applyFont="1" applyFill="1"/>
    <xf numFmtId="164" fontId="80" fillId="38" borderId="1" xfId="332" applyNumberFormat="1" applyFont="1" applyFill="1" applyBorder="1"/>
    <xf numFmtId="164" fontId="83" fillId="38" borderId="0" xfId="332" applyNumberFormat="1" applyFont="1" applyFill="1" applyBorder="1"/>
    <xf numFmtId="44" fontId="80" fillId="38" borderId="1" xfId="332" applyNumberFormat="1" applyFont="1" applyFill="1" applyBorder="1"/>
    <xf numFmtId="44" fontId="93" fillId="38" borderId="0" xfId="333" applyFont="1" applyFill="1" applyBorder="1"/>
    <xf numFmtId="164" fontId="83" fillId="38" borderId="24" xfId="332" applyNumberFormat="1" applyFont="1" applyFill="1" applyBorder="1"/>
    <xf numFmtId="164" fontId="83" fillId="38" borderId="0" xfId="0" applyNumberFormat="1" applyFont="1" applyFill="1"/>
    <xf numFmtId="0" fontId="94" fillId="38" borderId="0" xfId="0" applyFont="1" applyFill="1" applyAlignment="1">
      <alignment horizontal="right"/>
    </xf>
    <xf numFmtId="43" fontId="83" fillId="38" borderId="0" xfId="0" applyNumberFormat="1" applyFont="1" applyFill="1"/>
    <xf numFmtId="44" fontId="83" fillId="38" borderId="0" xfId="0" applyNumberFormat="1" applyFont="1" applyFill="1"/>
    <xf numFmtId="0" fontId="95" fillId="38" borderId="0" xfId="0" applyFont="1" applyFill="1"/>
    <xf numFmtId="10" fontId="0" fillId="0" borderId="0" xfId="2" applyNumberFormat="1" applyFont="1"/>
    <xf numFmtId="177" fontId="0" fillId="38" borderId="0" xfId="0" applyNumberFormat="1" applyFill="1"/>
    <xf numFmtId="43" fontId="48" fillId="0" borderId="0" xfId="332" applyFont="1"/>
    <xf numFmtId="43" fontId="61" fillId="32" borderId="0" xfId="332" applyFont="1" applyFill="1" applyBorder="1" applyAlignment="1">
      <alignment horizontal="center" wrapText="1"/>
    </xf>
    <xf numFmtId="43" fontId="48" fillId="0" borderId="0" xfId="332" applyFont="1" applyFill="1"/>
    <xf numFmtId="0" fontId="0" fillId="72" borderId="0" xfId="0" applyFill="1"/>
    <xf numFmtId="44" fontId="81" fillId="38" borderId="0" xfId="3" applyNumberFormat="1" applyFont="1" applyFill="1"/>
    <xf numFmtId="44" fontId="0" fillId="39" borderId="6" xfId="1" applyFont="1" applyFill="1" applyBorder="1"/>
    <xf numFmtId="44" fontId="0" fillId="39" borderId="0" xfId="1" applyFont="1" applyFill="1"/>
    <xf numFmtId="44" fontId="0" fillId="39" borderId="0" xfId="1" applyFont="1" applyFill="1" applyBorder="1"/>
    <xf numFmtId="164" fontId="0" fillId="39" borderId="6" xfId="332" applyNumberFormat="1" applyFont="1" applyFill="1" applyBorder="1"/>
    <xf numFmtId="0" fontId="45" fillId="72" borderId="0" xfId="0" applyFont="1" applyFill="1"/>
    <xf numFmtId="0" fontId="0" fillId="72" borderId="0" xfId="0" applyFill="1" applyAlignment="1">
      <alignment horizontal="center"/>
    </xf>
    <xf numFmtId="0" fontId="0" fillId="73" borderId="0" xfId="0" applyFill="1"/>
    <xf numFmtId="43" fontId="0" fillId="73" borderId="0" xfId="332" applyFont="1" applyFill="1"/>
    <xf numFmtId="43" fontId="48" fillId="73" borderId="0" xfId="332" applyFont="1" applyFill="1"/>
    <xf numFmtId="173" fontId="0" fillId="0" borderId="0" xfId="0" applyNumberFormat="1" applyAlignment="1">
      <alignment horizontal="right"/>
    </xf>
    <xf numFmtId="10" fontId="45" fillId="0" borderId="0" xfId="2" applyNumberFormat="1" applyFont="1" applyFill="1" applyBorder="1"/>
    <xf numFmtId="173" fontId="0" fillId="74" borderId="0" xfId="0" applyNumberFormat="1" applyFill="1"/>
    <xf numFmtId="0" fontId="108" fillId="0" borderId="0" xfId="0" applyFont="1"/>
    <xf numFmtId="0" fontId="107" fillId="74" borderId="0" xfId="0" applyFont="1" applyFill="1"/>
    <xf numFmtId="0" fontId="107" fillId="74" borderId="0" xfId="0" applyFont="1" applyFill="1" applyAlignment="1">
      <alignment horizontal="right"/>
    </xf>
    <xf numFmtId="164" fontId="107" fillId="74" borderId="0" xfId="0" applyNumberFormat="1" applyFont="1" applyFill="1"/>
    <xf numFmtId="164" fontId="107" fillId="74" borderId="0" xfId="332" applyNumberFormat="1" applyFont="1" applyFill="1"/>
    <xf numFmtId="0" fontId="0" fillId="32" borderId="0" xfId="0" applyFill="1" applyAlignment="1">
      <alignment horizontal="center"/>
    </xf>
    <xf numFmtId="0" fontId="0" fillId="0" borderId="0" xfId="0" applyAlignment="1">
      <alignment horizontal="left"/>
    </xf>
    <xf numFmtId="0" fontId="45" fillId="32" borderId="6" xfId="0" applyFont="1" applyFill="1" applyBorder="1" applyAlignment="1">
      <alignment horizontal="center"/>
    </xf>
    <xf numFmtId="173" fontId="45" fillId="0" borderId="0" xfId="0" applyNumberFormat="1" applyFont="1" applyAlignment="1">
      <alignment horizontal="center" wrapText="1"/>
    </xf>
    <xf numFmtId="0" fontId="0" fillId="0" borderId="24" xfId="0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0" fontId="0" fillId="0" borderId="0" xfId="0" applyAlignment="1">
      <alignment horizontal="center" vertical="center" textRotation="90"/>
    </xf>
    <xf numFmtId="0" fontId="0" fillId="0" borderId="24" xfId="0" applyBorder="1" applyAlignment="1">
      <alignment horizontal="center" vertical="center" textRotation="90"/>
    </xf>
    <xf numFmtId="0" fontId="58" fillId="38" borderId="0" xfId="0" applyFont="1" applyFill="1" applyAlignment="1">
      <alignment horizontal="left" wrapText="1"/>
    </xf>
    <xf numFmtId="43" fontId="61" fillId="38" borderId="29" xfId="4" applyFont="1" applyFill="1" applyBorder="1" applyAlignment="1">
      <alignment horizontal="center"/>
    </xf>
    <xf numFmtId="43" fontId="61" fillId="38" borderId="1" xfId="4" applyFont="1" applyFill="1" applyBorder="1" applyAlignment="1">
      <alignment horizontal="center"/>
    </xf>
    <xf numFmtId="43" fontId="61" fillId="38" borderId="30" xfId="4" applyFont="1" applyFill="1" applyBorder="1" applyAlignment="1">
      <alignment horizontal="center"/>
    </xf>
    <xf numFmtId="0" fontId="61" fillId="38" borderId="29" xfId="525" applyFont="1" applyFill="1" applyBorder="1" applyAlignment="1">
      <alignment horizontal="center"/>
    </xf>
    <xf numFmtId="0" fontId="61" fillId="38" borderId="30" xfId="525" applyFont="1" applyFill="1" applyBorder="1" applyAlignment="1">
      <alignment horizontal="center"/>
    </xf>
    <xf numFmtId="43" fontId="48" fillId="38" borderId="0" xfId="4" applyFont="1" applyFill="1" applyAlignment="1">
      <alignment horizontal="center"/>
    </xf>
    <xf numFmtId="164" fontId="80" fillId="38" borderId="0" xfId="332" applyNumberFormat="1" applyFont="1" applyFill="1" applyAlignment="1">
      <alignment horizontal="center" wrapText="1"/>
    </xf>
    <xf numFmtId="0" fontId="88" fillId="38" borderId="0" xfId="0" applyFont="1" applyFill="1" applyAlignment="1">
      <alignment horizontal="center"/>
    </xf>
  </cellXfs>
  <cellStyles count="1262">
    <cellStyle name="20% - Accent1 2" xfId="6" xr:uid="{00000000-0005-0000-0000-000000000000}"/>
    <cellStyle name="20% - Accent1 2 2" xfId="334" xr:uid="{00000000-0005-0000-0000-000001000000}"/>
    <cellStyle name="20% - Accent1 2 3" xfId="335" xr:uid="{00000000-0005-0000-0000-000002000000}"/>
    <cellStyle name="20% - Accent1 2 4" xfId="564" xr:uid="{00000000-0005-0000-0000-000003000000}"/>
    <cellStyle name="20% - Accent1 3" xfId="7" xr:uid="{00000000-0005-0000-0000-000004000000}"/>
    <cellStyle name="20% - Accent1 3 2" xfId="336" xr:uid="{00000000-0005-0000-0000-000005000000}"/>
    <cellStyle name="20% - Accent1 3 3" xfId="337" xr:uid="{00000000-0005-0000-0000-000006000000}"/>
    <cellStyle name="20% - Accent1 4" xfId="8" xr:uid="{00000000-0005-0000-0000-000007000000}"/>
    <cellStyle name="20% - Accent1 4 2" xfId="565" xr:uid="{00000000-0005-0000-0000-000008000000}"/>
    <cellStyle name="20% - Accent1 5" xfId="566" xr:uid="{00000000-0005-0000-0000-000009000000}"/>
    <cellStyle name="20% - Accent2 2" xfId="9" xr:uid="{00000000-0005-0000-0000-00000A000000}"/>
    <cellStyle name="20% - Accent2 3" xfId="297" xr:uid="{00000000-0005-0000-0000-00000B000000}"/>
    <cellStyle name="20% - Accent2 3 2" xfId="338" xr:uid="{00000000-0005-0000-0000-00000C000000}"/>
    <cellStyle name="20% - Accent2 4" xfId="567" xr:uid="{00000000-0005-0000-0000-00000D000000}"/>
    <cellStyle name="20% - Accent2 5" xfId="568" xr:uid="{00000000-0005-0000-0000-00000E000000}"/>
    <cellStyle name="20% - Accent3 2" xfId="10" xr:uid="{00000000-0005-0000-0000-00000F000000}"/>
    <cellStyle name="20% - Accent3 3" xfId="298" xr:uid="{00000000-0005-0000-0000-000010000000}"/>
    <cellStyle name="20% - Accent3 3 2" xfId="339" xr:uid="{00000000-0005-0000-0000-000011000000}"/>
    <cellStyle name="20% - Accent3 4" xfId="569" xr:uid="{00000000-0005-0000-0000-000012000000}"/>
    <cellStyle name="20% - Accent3 5" xfId="570" xr:uid="{00000000-0005-0000-0000-000013000000}"/>
    <cellStyle name="20% - Accent4 2" xfId="11" xr:uid="{00000000-0005-0000-0000-000014000000}"/>
    <cellStyle name="20% - Accent4 2 2" xfId="340" xr:uid="{00000000-0005-0000-0000-000015000000}"/>
    <cellStyle name="20% - Accent4 2 3" xfId="341" xr:uid="{00000000-0005-0000-0000-000016000000}"/>
    <cellStyle name="20% - Accent4 3" xfId="12" xr:uid="{00000000-0005-0000-0000-000017000000}"/>
    <cellStyle name="20% - Accent4 3 2" xfId="342" xr:uid="{00000000-0005-0000-0000-000018000000}"/>
    <cellStyle name="20% - Accent4 3 3" xfId="343" xr:uid="{00000000-0005-0000-0000-000019000000}"/>
    <cellStyle name="20% - Accent4 4" xfId="13" xr:uid="{00000000-0005-0000-0000-00001A000000}"/>
    <cellStyle name="20% - Accent4 4 2" xfId="571" xr:uid="{00000000-0005-0000-0000-00001B000000}"/>
    <cellStyle name="20% - Accent4 5" xfId="572" xr:uid="{00000000-0005-0000-0000-00001C000000}"/>
    <cellStyle name="20% - Accent5 2" xfId="14" xr:uid="{00000000-0005-0000-0000-00001D000000}"/>
    <cellStyle name="20% - Accent5 3" xfId="299" xr:uid="{00000000-0005-0000-0000-00001E000000}"/>
    <cellStyle name="20% - Accent5 4" xfId="573" xr:uid="{00000000-0005-0000-0000-00001F000000}"/>
    <cellStyle name="20% - Accent5 5" xfId="574" xr:uid="{00000000-0005-0000-0000-000020000000}"/>
    <cellStyle name="20% - Accent6 2" xfId="15" xr:uid="{00000000-0005-0000-0000-000021000000}"/>
    <cellStyle name="20% - Accent6 3" xfId="300" xr:uid="{00000000-0005-0000-0000-000022000000}"/>
    <cellStyle name="20% - Accent6 3 2" xfId="344" xr:uid="{00000000-0005-0000-0000-000023000000}"/>
    <cellStyle name="20% - Accent6 4" xfId="575" xr:uid="{00000000-0005-0000-0000-000024000000}"/>
    <cellStyle name="20% - Accent6 5" xfId="576" xr:uid="{00000000-0005-0000-0000-000025000000}"/>
    <cellStyle name="40% - Accent1 2" xfId="16" xr:uid="{00000000-0005-0000-0000-000026000000}"/>
    <cellStyle name="40% - Accent1 2 2" xfId="577" xr:uid="{00000000-0005-0000-0000-000027000000}"/>
    <cellStyle name="40% - Accent1 2 3" xfId="578" xr:uid="{00000000-0005-0000-0000-000028000000}"/>
    <cellStyle name="40% - Accent1 3" xfId="17" xr:uid="{00000000-0005-0000-0000-000029000000}"/>
    <cellStyle name="40% - Accent1 3 2" xfId="345" xr:uid="{00000000-0005-0000-0000-00002A000000}"/>
    <cellStyle name="40% - Accent1 3 3" xfId="346" xr:uid="{00000000-0005-0000-0000-00002B000000}"/>
    <cellStyle name="40% - Accent1 4" xfId="18" xr:uid="{00000000-0005-0000-0000-00002C000000}"/>
    <cellStyle name="40% - Accent1 4 2" xfId="579" xr:uid="{00000000-0005-0000-0000-00002D000000}"/>
    <cellStyle name="40% - Accent1 5" xfId="580" xr:uid="{00000000-0005-0000-0000-00002E000000}"/>
    <cellStyle name="40% - Accent2 2" xfId="19" xr:uid="{00000000-0005-0000-0000-00002F000000}"/>
    <cellStyle name="40% - Accent2 3" xfId="301" xr:uid="{00000000-0005-0000-0000-000030000000}"/>
    <cellStyle name="40% - Accent2 4" xfId="581" xr:uid="{00000000-0005-0000-0000-000031000000}"/>
    <cellStyle name="40% - Accent2 5" xfId="582" xr:uid="{00000000-0005-0000-0000-000032000000}"/>
    <cellStyle name="40% - Accent3 2" xfId="20" xr:uid="{00000000-0005-0000-0000-000033000000}"/>
    <cellStyle name="40% - Accent3 3" xfId="302" xr:uid="{00000000-0005-0000-0000-000034000000}"/>
    <cellStyle name="40% - Accent3 3 2" xfId="347" xr:uid="{00000000-0005-0000-0000-000035000000}"/>
    <cellStyle name="40% - Accent3 4" xfId="583" xr:uid="{00000000-0005-0000-0000-000036000000}"/>
    <cellStyle name="40% - Accent3 5" xfId="584" xr:uid="{00000000-0005-0000-0000-000037000000}"/>
    <cellStyle name="40% - Accent4 2" xfId="21" xr:uid="{00000000-0005-0000-0000-000038000000}"/>
    <cellStyle name="40% - Accent4 2 2" xfId="585" xr:uid="{00000000-0005-0000-0000-000039000000}"/>
    <cellStyle name="40% - Accent4 2 3" xfId="586" xr:uid="{00000000-0005-0000-0000-00003A000000}"/>
    <cellStyle name="40% - Accent4 3" xfId="22" xr:uid="{00000000-0005-0000-0000-00003B000000}"/>
    <cellStyle name="40% - Accent4 3 2" xfId="348" xr:uid="{00000000-0005-0000-0000-00003C000000}"/>
    <cellStyle name="40% - Accent4 3 3" xfId="349" xr:uid="{00000000-0005-0000-0000-00003D000000}"/>
    <cellStyle name="40% - Accent4 4" xfId="23" xr:uid="{00000000-0005-0000-0000-00003E000000}"/>
    <cellStyle name="40% - Accent4 4 2" xfId="587" xr:uid="{00000000-0005-0000-0000-00003F000000}"/>
    <cellStyle name="40% - Accent4 5" xfId="588" xr:uid="{00000000-0005-0000-0000-000040000000}"/>
    <cellStyle name="40% - Accent5 2" xfId="24" xr:uid="{00000000-0005-0000-0000-000041000000}"/>
    <cellStyle name="40% - Accent5 2 2" xfId="589" xr:uid="{00000000-0005-0000-0000-000042000000}"/>
    <cellStyle name="40% - Accent5 2 3" xfId="590" xr:uid="{00000000-0005-0000-0000-000043000000}"/>
    <cellStyle name="40% - Accent5 3" xfId="25" xr:uid="{00000000-0005-0000-0000-000044000000}"/>
    <cellStyle name="40% - Accent5 3 2" xfId="350" xr:uid="{00000000-0005-0000-0000-000045000000}"/>
    <cellStyle name="40% - Accent5 4" xfId="591" xr:uid="{00000000-0005-0000-0000-000046000000}"/>
    <cellStyle name="40% - Accent5 5" xfId="592" xr:uid="{00000000-0005-0000-0000-000047000000}"/>
    <cellStyle name="40% - Accent6 2" xfId="26" xr:uid="{00000000-0005-0000-0000-000048000000}"/>
    <cellStyle name="40% - Accent6 2 2" xfId="593" xr:uid="{00000000-0005-0000-0000-000049000000}"/>
    <cellStyle name="40% - Accent6 2 3" xfId="594" xr:uid="{00000000-0005-0000-0000-00004A000000}"/>
    <cellStyle name="40% - Accent6 3" xfId="27" xr:uid="{00000000-0005-0000-0000-00004B000000}"/>
    <cellStyle name="40% - Accent6 3 2" xfId="351" xr:uid="{00000000-0005-0000-0000-00004C000000}"/>
    <cellStyle name="40% - Accent6 3 3" xfId="352" xr:uid="{00000000-0005-0000-0000-00004D000000}"/>
    <cellStyle name="40% - Accent6 4" xfId="28" xr:uid="{00000000-0005-0000-0000-00004E000000}"/>
    <cellStyle name="40% - Accent6 4 2" xfId="595" xr:uid="{00000000-0005-0000-0000-00004F000000}"/>
    <cellStyle name="40% - Accent6 5" xfId="596" xr:uid="{00000000-0005-0000-0000-000050000000}"/>
    <cellStyle name="60% - Accent1 2" xfId="29" xr:uid="{00000000-0005-0000-0000-000051000000}"/>
    <cellStyle name="60% - Accent1 2 2" xfId="353" xr:uid="{00000000-0005-0000-0000-000052000000}"/>
    <cellStyle name="60% - Accent1 2 3" xfId="354" xr:uid="{00000000-0005-0000-0000-000053000000}"/>
    <cellStyle name="60% - Accent1 2 4" xfId="597" xr:uid="{00000000-0005-0000-0000-000054000000}"/>
    <cellStyle name="60% - Accent1 3" xfId="30" xr:uid="{00000000-0005-0000-0000-000055000000}"/>
    <cellStyle name="60% - Accent1 3 2" xfId="355" xr:uid="{00000000-0005-0000-0000-000056000000}"/>
    <cellStyle name="60% - Accent1 3 3" xfId="356" xr:uid="{00000000-0005-0000-0000-000057000000}"/>
    <cellStyle name="60% - Accent1 4" xfId="31" xr:uid="{00000000-0005-0000-0000-000058000000}"/>
    <cellStyle name="60% - Accent1 4 2" xfId="598" xr:uid="{00000000-0005-0000-0000-000059000000}"/>
    <cellStyle name="60% - Accent2 2" xfId="32" xr:uid="{00000000-0005-0000-0000-00005A000000}"/>
    <cellStyle name="60% - Accent2 2 2" xfId="599" xr:uid="{00000000-0005-0000-0000-00005B000000}"/>
    <cellStyle name="60% - Accent2 2 3" xfId="600" xr:uid="{00000000-0005-0000-0000-00005C000000}"/>
    <cellStyle name="60% - Accent2 3" xfId="33" xr:uid="{00000000-0005-0000-0000-00005D000000}"/>
    <cellStyle name="60% - Accent2 3 2" xfId="357" xr:uid="{00000000-0005-0000-0000-00005E000000}"/>
    <cellStyle name="60% - Accent2 4" xfId="601" xr:uid="{00000000-0005-0000-0000-00005F000000}"/>
    <cellStyle name="60% - Accent3 2" xfId="34" xr:uid="{00000000-0005-0000-0000-000060000000}"/>
    <cellStyle name="60% - Accent3 2 2" xfId="602" xr:uid="{00000000-0005-0000-0000-000061000000}"/>
    <cellStyle name="60% - Accent3 2 3" xfId="603" xr:uid="{00000000-0005-0000-0000-000062000000}"/>
    <cellStyle name="60% - Accent3 3" xfId="35" xr:uid="{00000000-0005-0000-0000-000063000000}"/>
    <cellStyle name="60% - Accent3 3 2" xfId="358" xr:uid="{00000000-0005-0000-0000-000064000000}"/>
    <cellStyle name="60% - Accent3 3 3" xfId="359" xr:uid="{00000000-0005-0000-0000-000065000000}"/>
    <cellStyle name="60% - Accent3 4" xfId="36" xr:uid="{00000000-0005-0000-0000-000066000000}"/>
    <cellStyle name="60% - Accent3 4 2" xfId="604" xr:uid="{00000000-0005-0000-0000-000067000000}"/>
    <cellStyle name="60% - Accent4 2" xfId="37" xr:uid="{00000000-0005-0000-0000-000068000000}"/>
    <cellStyle name="60% - Accent4 2 2" xfId="605" xr:uid="{00000000-0005-0000-0000-000069000000}"/>
    <cellStyle name="60% - Accent4 2 3" xfId="606" xr:uid="{00000000-0005-0000-0000-00006A000000}"/>
    <cellStyle name="60% - Accent4 3" xfId="38" xr:uid="{00000000-0005-0000-0000-00006B000000}"/>
    <cellStyle name="60% - Accent4 3 2" xfId="360" xr:uid="{00000000-0005-0000-0000-00006C000000}"/>
    <cellStyle name="60% - Accent4 3 3" xfId="361" xr:uid="{00000000-0005-0000-0000-00006D000000}"/>
    <cellStyle name="60% - Accent4 4" xfId="39" xr:uid="{00000000-0005-0000-0000-00006E000000}"/>
    <cellStyle name="60% - Accent4 4 2" xfId="607" xr:uid="{00000000-0005-0000-0000-00006F000000}"/>
    <cellStyle name="60% - Accent5 2" xfId="40" xr:uid="{00000000-0005-0000-0000-000070000000}"/>
    <cellStyle name="60% - Accent5 2 2" xfId="362" xr:uid="{00000000-0005-0000-0000-000071000000}"/>
    <cellStyle name="60% - Accent5 2 3" xfId="363" xr:uid="{00000000-0005-0000-0000-000072000000}"/>
    <cellStyle name="60% - Accent5 2 4" xfId="608" xr:uid="{00000000-0005-0000-0000-000073000000}"/>
    <cellStyle name="60% - Accent5 3" xfId="41" xr:uid="{00000000-0005-0000-0000-000074000000}"/>
    <cellStyle name="60% - Accent5 3 2" xfId="364" xr:uid="{00000000-0005-0000-0000-000075000000}"/>
    <cellStyle name="60% - Accent5 4" xfId="609" xr:uid="{00000000-0005-0000-0000-000076000000}"/>
    <cellStyle name="60% - Accent6 2" xfId="42" xr:uid="{00000000-0005-0000-0000-000077000000}"/>
    <cellStyle name="60% - Accent6 3" xfId="303" xr:uid="{00000000-0005-0000-0000-000078000000}"/>
    <cellStyle name="60% - Accent6 3 2" xfId="365" xr:uid="{00000000-0005-0000-0000-000079000000}"/>
    <cellStyle name="60% - Accent6 4" xfId="610" xr:uid="{00000000-0005-0000-0000-00007A000000}"/>
    <cellStyle name="Accent1 2" xfId="43" xr:uid="{00000000-0005-0000-0000-00007B000000}"/>
    <cellStyle name="Accent1 2 2" xfId="366" xr:uid="{00000000-0005-0000-0000-00007C000000}"/>
    <cellStyle name="Accent1 2 3" xfId="367" xr:uid="{00000000-0005-0000-0000-00007D000000}"/>
    <cellStyle name="Accent1 2 4" xfId="611" xr:uid="{00000000-0005-0000-0000-00007E000000}"/>
    <cellStyle name="Accent1 3" xfId="44" xr:uid="{00000000-0005-0000-0000-00007F000000}"/>
    <cellStyle name="Accent1 3 2" xfId="368" xr:uid="{00000000-0005-0000-0000-000080000000}"/>
    <cellStyle name="Accent1 3 3" xfId="369" xr:uid="{00000000-0005-0000-0000-000081000000}"/>
    <cellStyle name="Accent1 4" xfId="45" xr:uid="{00000000-0005-0000-0000-000082000000}"/>
    <cellStyle name="Accent1 4 2" xfId="612" xr:uid="{00000000-0005-0000-0000-000083000000}"/>
    <cellStyle name="Accent2 2" xfId="46" xr:uid="{00000000-0005-0000-0000-000084000000}"/>
    <cellStyle name="Accent2 2 2" xfId="613" xr:uid="{00000000-0005-0000-0000-000085000000}"/>
    <cellStyle name="Accent2 2 3" xfId="614" xr:uid="{00000000-0005-0000-0000-000086000000}"/>
    <cellStyle name="Accent2 3" xfId="47" xr:uid="{00000000-0005-0000-0000-000087000000}"/>
    <cellStyle name="Accent2 3 2" xfId="370" xr:uid="{00000000-0005-0000-0000-000088000000}"/>
    <cellStyle name="Accent2 4" xfId="615" xr:uid="{00000000-0005-0000-0000-000089000000}"/>
    <cellStyle name="Accent3 2" xfId="48" xr:uid="{00000000-0005-0000-0000-00008A000000}"/>
    <cellStyle name="Accent3 2 2" xfId="371" xr:uid="{00000000-0005-0000-0000-00008B000000}"/>
    <cellStyle name="Accent3 2 3" xfId="372" xr:uid="{00000000-0005-0000-0000-00008C000000}"/>
    <cellStyle name="Accent3 2 4" xfId="616" xr:uid="{00000000-0005-0000-0000-00008D000000}"/>
    <cellStyle name="Accent3 3" xfId="49" xr:uid="{00000000-0005-0000-0000-00008E000000}"/>
    <cellStyle name="Accent3 3 2" xfId="373" xr:uid="{00000000-0005-0000-0000-00008F000000}"/>
    <cellStyle name="Accent3 4" xfId="617" xr:uid="{00000000-0005-0000-0000-000090000000}"/>
    <cellStyle name="Accent4 2" xfId="50" xr:uid="{00000000-0005-0000-0000-000091000000}"/>
    <cellStyle name="Accent4 2 2" xfId="618" xr:uid="{00000000-0005-0000-0000-000092000000}"/>
    <cellStyle name="Accent4 2 2 2" xfId="619" xr:uid="{00000000-0005-0000-0000-000093000000}"/>
    <cellStyle name="Accent4 2 3" xfId="620" xr:uid="{00000000-0005-0000-0000-000094000000}"/>
    <cellStyle name="Accent4 3" xfId="51" xr:uid="{00000000-0005-0000-0000-000095000000}"/>
    <cellStyle name="Accent4 3 2" xfId="374" xr:uid="{00000000-0005-0000-0000-000096000000}"/>
    <cellStyle name="Accent4 4" xfId="621" xr:uid="{00000000-0005-0000-0000-000097000000}"/>
    <cellStyle name="Accent5 2" xfId="52" xr:uid="{00000000-0005-0000-0000-000098000000}"/>
    <cellStyle name="Accent5 2 2" xfId="622" xr:uid="{00000000-0005-0000-0000-000099000000}"/>
    <cellStyle name="Accent5 2 3" xfId="623" xr:uid="{00000000-0005-0000-0000-00009A000000}"/>
    <cellStyle name="Accent5 3" xfId="53" xr:uid="{00000000-0005-0000-0000-00009B000000}"/>
    <cellStyle name="Accent5 4" xfId="624" xr:uid="{00000000-0005-0000-0000-00009C000000}"/>
    <cellStyle name="Accent6 2" xfId="54" xr:uid="{00000000-0005-0000-0000-00009D000000}"/>
    <cellStyle name="Accent6 2 2" xfId="375" xr:uid="{00000000-0005-0000-0000-00009E000000}"/>
    <cellStyle name="Accent6 2 3" xfId="376" xr:uid="{00000000-0005-0000-0000-00009F000000}"/>
    <cellStyle name="Accent6 2 4" xfId="625" xr:uid="{00000000-0005-0000-0000-0000A0000000}"/>
    <cellStyle name="Accent6 3" xfId="55" xr:uid="{00000000-0005-0000-0000-0000A1000000}"/>
    <cellStyle name="Accent6 3 2" xfId="377" xr:uid="{00000000-0005-0000-0000-0000A2000000}"/>
    <cellStyle name="Accent6 4" xfId="626" xr:uid="{00000000-0005-0000-0000-0000A3000000}"/>
    <cellStyle name="Accounting" xfId="56" xr:uid="{00000000-0005-0000-0000-0000A4000000}"/>
    <cellStyle name="Accounting 2" xfId="57" xr:uid="{00000000-0005-0000-0000-0000A5000000}"/>
    <cellStyle name="Accounting 3" xfId="58" xr:uid="{00000000-0005-0000-0000-0000A6000000}"/>
    <cellStyle name="Accounting_2011-11" xfId="59" xr:uid="{00000000-0005-0000-0000-0000A7000000}"/>
    <cellStyle name="APS" xfId="627" xr:uid="{00000000-0005-0000-0000-0000A8000000}"/>
    <cellStyle name="APSLabels" xfId="628" xr:uid="{00000000-0005-0000-0000-0000A9000000}"/>
    <cellStyle name="Bad 2" xfId="60" xr:uid="{00000000-0005-0000-0000-0000AA000000}"/>
    <cellStyle name="Bad 2 2" xfId="629" xr:uid="{00000000-0005-0000-0000-0000AB000000}"/>
    <cellStyle name="Bad 2 3" xfId="630" xr:uid="{00000000-0005-0000-0000-0000AC000000}"/>
    <cellStyle name="Bad 3" xfId="61" xr:uid="{00000000-0005-0000-0000-0000AD000000}"/>
    <cellStyle name="Bad 3 2" xfId="378" xr:uid="{00000000-0005-0000-0000-0000AE000000}"/>
    <cellStyle name="Bad 4" xfId="631" xr:uid="{00000000-0005-0000-0000-0000AF000000}"/>
    <cellStyle name="Budget" xfId="62" xr:uid="{00000000-0005-0000-0000-0000B0000000}"/>
    <cellStyle name="Budget 2" xfId="63" xr:uid="{00000000-0005-0000-0000-0000B1000000}"/>
    <cellStyle name="Budget 3" xfId="64" xr:uid="{00000000-0005-0000-0000-0000B2000000}"/>
    <cellStyle name="Budget_2011-11" xfId="65" xr:uid="{00000000-0005-0000-0000-0000B3000000}"/>
    <cellStyle name="Calculation 2" xfId="66" xr:uid="{00000000-0005-0000-0000-0000B4000000}"/>
    <cellStyle name="Calculation 2 2" xfId="379" xr:uid="{00000000-0005-0000-0000-0000B5000000}"/>
    <cellStyle name="Calculation 2 3" xfId="380" xr:uid="{00000000-0005-0000-0000-0000B6000000}"/>
    <cellStyle name="Calculation 2 4" xfId="632" xr:uid="{00000000-0005-0000-0000-0000B7000000}"/>
    <cellStyle name="Calculation 3" xfId="67" xr:uid="{00000000-0005-0000-0000-0000B8000000}"/>
    <cellStyle name="Calculation 3 2" xfId="381" xr:uid="{00000000-0005-0000-0000-0000B9000000}"/>
    <cellStyle name="Calculation 3 3" xfId="382" xr:uid="{00000000-0005-0000-0000-0000BA000000}"/>
    <cellStyle name="Calculation 4" xfId="68" xr:uid="{00000000-0005-0000-0000-0000BB000000}"/>
    <cellStyle name="Calculation 4 2" xfId="633" xr:uid="{00000000-0005-0000-0000-0000BC000000}"/>
    <cellStyle name="Check Cell 2" xfId="69" xr:uid="{00000000-0005-0000-0000-0000BD000000}"/>
    <cellStyle name="Check Cell 2 2" xfId="634" xr:uid="{00000000-0005-0000-0000-0000BE000000}"/>
    <cellStyle name="Check Cell 2 3" xfId="635" xr:uid="{00000000-0005-0000-0000-0000BF000000}"/>
    <cellStyle name="Check Cell 3" xfId="70" xr:uid="{00000000-0005-0000-0000-0000C0000000}"/>
    <cellStyle name="Check Cell 4" xfId="636" xr:uid="{00000000-0005-0000-0000-0000C1000000}"/>
    <cellStyle name="Color" xfId="637" xr:uid="{00000000-0005-0000-0000-0000C2000000}"/>
    <cellStyle name="combo" xfId="71" xr:uid="{00000000-0005-0000-0000-0000C3000000}"/>
    <cellStyle name="Comma" xfId="332" builtinId="3"/>
    <cellStyle name="Comma 10" xfId="4" xr:uid="{00000000-0005-0000-0000-0000C5000000}"/>
    <cellStyle name="Comma 10 2" xfId="638" xr:uid="{00000000-0005-0000-0000-0000C6000000}"/>
    <cellStyle name="Comma 11" xfId="72" xr:uid="{00000000-0005-0000-0000-0000C7000000}"/>
    <cellStyle name="Comma 11 2" xfId="639" xr:uid="{00000000-0005-0000-0000-0000C8000000}"/>
    <cellStyle name="Comma 11 2 2" xfId="640" xr:uid="{00000000-0005-0000-0000-0000C9000000}"/>
    <cellStyle name="Comma 11 2 2 2" xfId="641" xr:uid="{00000000-0005-0000-0000-0000CA000000}"/>
    <cellStyle name="Comma 11 2 3" xfId="642" xr:uid="{00000000-0005-0000-0000-0000CB000000}"/>
    <cellStyle name="Comma 11 3" xfId="643" xr:uid="{00000000-0005-0000-0000-0000CC000000}"/>
    <cellStyle name="Comma 11 3 2" xfId="644" xr:uid="{00000000-0005-0000-0000-0000CD000000}"/>
    <cellStyle name="Comma 11 4" xfId="645" xr:uid="{00000000-0005-0000-0000-0000CE000000}"/>
    <cellStyle name="Comma 12" xfId="73" xr:uid="{00000000-0005-0000-0000-0000CF000000}"/>
    <cellStyle name="Comma 12 2" xfId="304" xr:uid="{00000000-0005-0000-0000-0000D0000000}"/>
    <cellStyle name="Comma 12 2 2" xfId="383" xr:uid="{00000000-0005-0000-0000-0000D1000000}"/>
    <cellStyle name="Comma 12 3" xfId="384" xr:uid="{00000000-0005-0000-0000-0000D2000000}"/>
    <cellStyle name="Comma 12 4" xfId="385" xr:uid="{00000000-0005-0000-0000-0000D3000000}"/>
    <cellStyle name="Comma 12 5" xfId="386" xr:uid="{00000000-0005-0000-0000-0000D4000000}"/>
    <cellStyle name="Comma 13" xfId="74" xr:uid="{00000000-0005-0000-0000-0000D5000000}"/>
    <cellStyle name="Comma 13 2" xfId="387" xr:uid="{00000000-0005-0000-0000-0000D6000000}"/>
    <cellStyle name="Comma 13 3" xfId="646" xr:uid="{00000000-0005-0000-0000-0000D7000000}"/>
    <cellStyle name="Comma 14" xfId="75" xr:uid="{00000000-0005-0000-0000-0000D8000000}"/>
    <cellStyle name="Comma 15" xfId="76" xr:uid="{00000000-0005-0000-0000-0000D9000000}"/>
    <cellStyle name="Comma 15 2" xfId="388" xr:uid="{00000000-0005-0000-0000-0000DA000000}"/>
    <cellStyle name="Comma 15 3" xfId="647" xr:uid="{00000000-0005-0000-0000-0000DB000000}"/>
    <cellStyle name="Comma 16" xfId="77" xr:uid="{00000000-0005-0000-0000-0000DC000000}"/>
    <cellStyle name="Comma 16 2" xfId="648" xr:uid="{00000000-0005-0000-0000-0000DD000000}"/>
    <cellStyle name="Comma 16 3" xfId="649" xr:uid="{00000000-0005-0000-0000-0000DE000000}"/>
    <cellStyle name="Comma 17" xfId="78" xr:uid="{00000000-0005-0000-0000-0000DF000000}"/>
    <cellStyle name="Comma 17 2" xfId="389" xr:uid="{00000000-0005-0000-0000-0000E0000000}"/>
    <cellStyle name="Comma 17 2 2" xfId="562" xr:uid="{00000000-0005-0000-0000-0000E1000000}"/>
    <cellStyle name="Comma 17 3" xfId="650" xr:uid="{00000000-0005-0000-0000-0000E2000000}"/>
    <cellStyle name="Comma 17 4" xfId="651" xr:uid="{00000000-0005-0000-0000-0000E3000000}"/>
    <cellStyle name="Comma 18" xfId="79" xr:uid="{00000000-0005-0000-0000-0000E4000000}"/>
    <cellStyle name="Comma 18 2" xfId="390" xr:uid="{00000000-0005-0000-0000-0000E5000000}"/>
    <cellStyle name="Comma 18 3" xfId="391" xr:uid="{00000000-0005-0000-0000-0000E6000000}"/>
    <cellStyle name="Comma 18 4" xfId="557" xr:uid="{00000000-0005-0000-0000-0000E7000000}"/>
    <cellStyle name="Comma 19" xfId="80" xr:uid="{00000000-0005-0000-0000-0000E8000000}"/>
    <cellStyle name="Comma 2" xfId="81" xr:uid="{00000000-0005-0000-0000-0000E9000000}"/>
    <cellStyle name="Comma 2 2" xfId="82" xr:uid="{00000000-0005-0000-0000-0000EA000000}"/>
    <cellStyle name="Comma 2 2 2" xfId="83" xr:uid="{00000000-0005-0000-0000-0000EB000000}"/>
    <cellStyle name="Comma 2 2 2 2" xfId="652" xr:uid="{00000000-0005-0000-0000-0000EC000000}"/>
    <cellStyle name="Comma 2 2 2 2 2" xfId="653" xr:uid="{00000000-0005-0000-0000-0000ED000000}"/>
    <cellStyle name="Comma 2 2 3" xfId="654" xr:uid="{00000000-0005-0000-0000-0000EE000000}"/>
    <cellStyle name="Comma 2 3" xfId="84" xr:uid="{00000000-0005-0000-0000-0000EF000000}"/>
    <cellStyle name="Comma 2 3 2" xfId="655" xr:uid="{00000000-0005-0000-0000-0000F0000000}"/>
    <cellStyle name="Comma 2 4" xfId="85" xr:uid="{00000000-0005-0000-0000-0000F1000000}"/>
    <cellStyle name="Comma 2 4 2" xfId="392" xr:uid="{00000000-0005-0000-0000-0000F2000000}"/>
    <cellStyle name="Comma 2 4 2 2" xfId="563" xr:uid="{00000000-0005-0000-0000-0000F3000000}"/>
    <cellStyle name="Comma 2 4 3" xfId="393" xr:uid="{00000000-0005-0000-0000-0000F4000000}"/>
    <cellStyle name="Comma 2 4 4" xfId="558" xr:uid="{00000000-0005-0000-0000-0000F5000000}"/>
    <cellStyle name="Comma 2 5" xfId="561" xr:uid="{00000000-0005-0000-0000-0000F6000000}"/>
    <cellStyle name="Comma 2 5 2" xfId="656" xr:uid="{00000000-0005-0000-0000-0000F7000000}"/>
    <cellStyle name="Comma 2 6" xfId="305" xr:uid="{00000000-0005-0000-0000-0000F8000000}"/>
    <cellStyle name="Comma 2 6 2" xfId="306" xr:uid="{00000000-0005-0000-0000-0000F9000000}"/>
    <cellStyle name="Comma 2 6 2 2" xfId="657" xr:uid="{00000000-0005-0000-0000-0000FA000000}"/>
    <cellStyle name="Comma 2 6 3" xfId="658" xr:uid="{00000000-0005-0000-0000-0000FB000000}"/>
    <cellStyle name="Comma 2 7" xfId="659" xr:uid="{00000000-0005-0000-0000-0000FC000000}"/>
    <cellStyle name="Comma 2 7 2" xfId="660" xr:uid="{00000000-0005-0000-0000-0000FD000000}"/>
    <cellStyle name="Comma 2 8" xfId="661" xr:uid="{00000000-0005-0000-0000-0000FE000000}"/>
    <cellStyle name="Comma 20" xfId="394" xr:uid="{00000000-0005-0000-0000-0000FF000000}"/>
    <cellStyle name="Comma 20 2" xfId="662" xr:uid="{00000000-0005-0000-0000-000000010000}"/>
    <cellStyle name="Comma 21" xfId="395" xr:uid="{00000000-0005-0000-0000-000001010000}"/>
    <cellStyle name="Comma 21 2" xfId="663" xr:uid="{00000000-0005-0000-0000-000002010000}"/>
    <cellStyle name="Comma 22" xfId="664" xr:uid="{00000000-0005-0000-0000-000003010000}"/>
    <cellStyle name="Comma 23" xfId="665" xr:uid="{00000000-0005-0000-0000-000004010000}"/>
    <cellStyle name="Comma 3" xfId="86" xr:uid="{00000000-0005-0000-0000-000005010000}"/>
    <cellStyle name="Comma 3 2" xfId="87" xr:uid="{00000000-0005-0000-0000-000006010000}"/>
    <cellStyle name="Comma 3 2 2" xfId="88" xr:uid="{00000000-0005-0000-0000-000007010000}"/>
    <cellStyle name="Comma 3 3" xfId="89" xr:uid="{00000000-0005-0000-0000-000008010000}"/>
    <cellStyle name="Comma 3 4" xfId="90" xr:uid="{00000000-0005-0000-0000-000009010000}"/>
    <cellStyle name="Comma 4" xfId="91" xr:uid="{00000000-0005-0000-0000-00000A010000}"/>
    <cellStyle name="Comma 4 2" xfId="92" xr:uid="{00000000-0005-0000-0000-00000B010000}"/>
    <cellStyle name="Comma 4 2 2" xfId="396" xr:uid="{00000000-0005-0000-0000-00000C010000}"/>
    <cellStyle name="Comma 4 2 2 2" xfId="666" xr:uid="{00000000-0005-0000-0000-00000D010000}"/>
    <cellStyle name="Comma 4 2 2 2 2" xfId="667" xr:uid="{00000000-0005-0000-0000-00000E010000}"/>
    <cellStyle name="Comma 4 2 2 3" xfId="668" xr:uid="{00000000-0005-0000-0000-00000F010000}"/>
    <cellStyle name="Comma 4 2 2 3 2" xfId="669" xr:uid="{00000000-0005-0000-0000-000010010000}"/>
    <cellStyle name="Comma 4 2 2 4" xfId="670" xr:uid="{00000000-0005-0000-0000-000011010000}"/>
    <cellStyle name="Comma 4 2 3" xfId="397" xr:uid="{00000000-0005-0000-0000-000012010000}"/>
    <cellStyle name="Comma 4 2 3 2" xfId="671" xr:uid="{00000000-0005-0000-0000-000013010000}"/>
    <cellStyle name="Comma 4 2 4" xfId="672" xr:uid="{00000000-0005-0000-0000-000014010000}"/>
    <cellStyle name="Comma 4 2 4 2" xfId="673" xr:uid="{00000000-0005-0000-0000-000015010000}"/>
    <cellStyle name="Comma 4 2 4 3" xfId="674" xr:uid="{00000000-0005-0000-0000-000016010000}"/>
    <cellStyle name="Comma 4 2 5" xfId="675" xr:uid="{00000000-0005-0000-0000-000017010000}"/>
    <cellStyle name="Comma 4 3" xfId="93" xr:uid="{00000000-0005-0000-0000-000018010000}"/>
    <cellStyle name="Comma 4 3 2" xfId="398" xr:uid="{00000000-0005-0000-0000-000019010000}"/>
    <cellStyle name="Comma 4 3 2 2" xfId="676" xr:uid="{00000000-0005-0000-0000-00001A010000}"/>
    <cellStyle name="Comma 4 3 3" xfId="399" xr:uid="{00000000-0005-0000-0000-00001B010000}"/>
    <cellStyle name="Comma 4 3 3 2" xfId="677" xr:uid="{00000000-0005-0000-0000-00001C010000}"/>
    <cellStyle name="Comma 4 3 4" xfId="678" xr:uid="{00000000-0005-0000-0000-00001D010000}"/>
    <cellStyle name="Comma 4 3 4 2" xfId="679" xr:uid="{00000000-0005-0000-0000-00001E010000}"/>
    <cellStyle name="Comma 4 4" xfId="94" xr:uid="{00000000-0005-0000-0000-00001F010000}"/>
    <cellStyle name="Comma 4 4 2" xfId="400" xr:uid="{00000000-0005-0000-0000-000020010000}"/>
    <cellStyle name="Comma 4 4 2 2" xfId="680" xr:uid="{00000000-0005-0000-0000-000021010000}"/>
    <cellStyle name="Comma 4 4 3" xfId="401" xr:uid="{00000000-0005-0000-0000-000022010000}"/>
    <cellStyle name="Comma 4 4 3 2" xfId="681" xr:uid="{00000000-0005-0000-0000-000023010000}"/>
    <cellStyle name="Comma 4 4 4" xfId="682" xr:uid="{00000000-0005-0000-0000-000024010000}"/>
    <cellStyle name="Comma 4 4 4 2" xfId="683" xr:uid="{00000000-0005-0000-0000-000025010000}"/>
    <cellStyle name="Comma 4 5" xfId="95" xr:uid="{00000000-0005-0000-0000-000026010000}"/>
    <cellStyle name="Comma 4 5 2" xfId="402" xr:uid="{00000000-0005-0000-0000-000027010000}"/>
    <cellStyle name="Comma 4 5 2 2" xfId="684" xr:uid="{00000000-0005-0000-0000-000028010000}"/>
    <cellStyle name="Comma 4 6" xfId="403" xr:uid="{00000000-0005-0000-0000-000029010000}"/>
    <cellStyle name="Comma 4 6 2" xfId="555" xr:uid="{00000000-0005-0000-0000-00002A010000}"/>
    <cellStyle name="Comma 4 7" xfId="685" xr:uid="{00000000-0005-0000-0000-00002B010000}"/>
    <cellStyle name="Comma 5" xfId="96" xr:uid="{00000000-0005-0000-0000-00002C010000}"/>
    <cellStyle name="Comma 5 2" xfId="404" xr:uid="{00000000-0005-0000-0000-00002D010000}"/>
    <cellStyle name="Comma 5 2 2" xfId="686" xr:uid="{00000000-0005-0000-0000-00002E010000}"/>
    <cellStyle name="Comma 5 2 2 2" xfId="687" xr:uid="{00000000-0005-0000-0000-00002F010000}"/>
    <cellStyle name="Comma 5 2 2 2 2" xfId="688" xr:uid="{00000000-0005-0000-0000-000030010000}"/>
    <cellStyle name="Comma 5 2 2 3" xfId="689" xr:uid="{00000000-0005-0000-0000-000031010000}"/>
    <cellStyle name="Comma 5 2 3" xfId="690" xr:uid="{00000000-0005-0000-0000-000032010000}"/>
    <cellStyle name="Comma 5 2 3 2" xfId="691" xr:uid="{00000000-0005-0000-0000-000033010000}"/>
    <cellStyle name="Comma 5 2 4" xfId="692" xr:uid="{00000000-0005-0000-0000-000034010000}"/>
    <cellStyle name="Comma 5 3" xfId="405" xr:uid="{00000000-0005-0000-0000-000035010000}"/>
    <cellStyle name="Comma 5 3 2" xfId="693" xr:uid="{00000000-0005-0000-0000-000036010000}"/>
    <cellStyle name="Comma 5 3 2 2" xfId="694" xr:uid="{00000000-0005-0000-0000-000037010000}"/>
    <cellStyle name="Comma 5 3 3" xfId="695" xr:uid="{00000000-0005-0000-0000-000038010000}"/>
    <cellStyle name="Comma 5 4" xfId="406" xr:uid="{00000000-0005-0000-0000-000039010000}"/>
    <cellStyle name="Comma 5 4 2" xfId="696" xr:uid="{00000000-0005-0000-0000-00003A010000}"/>
    <cellStyle name="Comma 5 5" xfId="697" xr:uid="{00000000-0005-0000-0000-00003B010000}"/>
    <cellStyle name="Comma 5 5 2" xfId="698" xr:uid="{00000000-0005-0000-0000-00003C010000}"/>
    <cellStyle name="Comma 5 6" xfId="699" xr:uid="{00000000-0005-0000-0000-00003D010000}"/>
    <cellStyle name="Comma 6" xfId="97" xr:uid="{00000000-0005-0000-0000-00003E010000}"/>
    <cellStyle name="Comma 6 2" xfId="98" xr:uid="{00000000-0005-0000-0000-00003F010000}"/>
    <cellStyle name="Comma 6 2 2" xfId="700" xr:uid="{00000000-0005-0000-0000-000040010000}"/>
    <cellStyle name="Comma 6 2 2 2" xfId="701" xr:uid="{00000000-0005-0000-0000-000041010000}"/>
    <cellStyle name="Comma 6 2 2 2 2" xfId="702" xr:uid="{00000000-0005-0000-0000-000042010000}"/>
    <cellStyle name="Comma 6 2 2 3" xfId="703" xr:uid="{00000000-0005-0000-0000-000043010000}"/>
    <cellStyle name="Comma 6 2 3" xfId="704" xr:uid="{00000000-0005-0000-0000-000044010000}"/>
    <cellStyle name="Comma 6 2 3 2" xfId="705" xr:uid="{00000000-0005-0000-0000-000045010000}"/>
    <cellStyle name="Comma 6 2 4" xfId="706" xr:uid="{00000000-0005-0000-0000-000046010000}"/>
    <cellStyle name="Comma 6 3" xfId="707" xr:uid="{00000000-0005-0000-0000-000047010000}"/>
    <cellStyle name="Comma 6 3 2" xfId="708" xr:uid="{00000000-0005-0000-0000-000048010000}"/>
    <cellStyle name="Comma 6 3 2 2" xfId="709" xr:uid="{00000000-0005-0000-0000-000049010000}"/>
    <cellStyle name="Comma 6 3 3" xfId="710" xr:uid="{00000000-0005-0000-0000-00004A010000}"/>
    <cellStyle name="Comma 6 4" xfId="711" xr:uid="{00000000-0005-0000-0000-00004B010000}"/>
    <cellStyle name="Comma 6 4 2" xfId="712" xr:uid="{00000000-0005-0000-0000-00004C010000}"/>
    <cellStyle name="Comma 6 5" xfId="713" xr:uid="{00000000-0005-0000-0000-00004D010000}"/>
    <cellStyle name="Comma 7" xfId="99" xr:uid="{00000000-0005-0000-0000-00004E010000}"/>
    <cellStyle name="Comma 7 2" xfId="714" xr:uid="{00000000-0005-0000-0000-00004F010000}"/>
    <cellStyle name="Comma 7 2 2" xfId="715" xr:uid="{00000000-0005-0000-0000-000050010000}"/>
    <cellStyle name="Comma 7 2 2 2" xfId="716" xr:uid="{00000000-0005-0000-0000-000051010000}"/>
    <cellStyle name="Comma 7 2 2 2 2" xfId="717" xr:uid="{00000000-0005-0000-0000-000052010000}"/>
    <cellStyle name="Comma 7 2 2 3" xfId="718" xr:uid="{00000000-0005-0000-0000-000053010000}"/>
    <cellStyle name="Comma 7 2 3" xfId="719" xr:uid="{00000000-0005-0000-0000-000054010000}"/>
    <cellStyle name="Comma 7 2 3 2" xfId="720" xr:uid="{00000000-0005-0000-0000-000055010000}"/>
    <cellStyle name="Comma 7 2 4" xfId="721" xr:uid="{00000000-0005-0000-0000-000056010000}"/>
    <cellStyle name="Comma 7 3" xfId="722" xr:uid="{00000000-0005-0000-0000-000057010000}"/>
    <cellStyle name="Comma 7 3 2" xfId="723" xr:uid="{00000000-0005-0000-0000-000058010000}"/>
    <cellStyle name="Comma 7 3 2 2" xfId="724" xr:uid="{00000000-0005-0000-0000-000059010000}"/>
    <cellStyle name="Comma 7 3 3" xfId="725" xr:uid="{00000000-0005-0000-0000-00005A010000}"/>
    <cellStyle name="Comma 7 4" xfId="726" xr:uid="{00000000-0005-0000-0000-00005B010000}"/>
    <cellStyle name="Comma 7 4 2" xfId="727" xr:uid="{00000000-0005-0000-0000-00005C010000}"/>
    <cellStyle name="Comma 7 5" xfId="728" xr:uid="{00000000-0005-0000-0000-00005D010000}"/>
    <cellStyle name="Comma 8" xfId="100" xr:uid="{00000000-0005-0000-0000-00005E010000}"/>
    <cellStyle name="Comma 8 2" xfId="729" xr:uid="{00000000-0005-0000-0000-00005F010000}"/>
    <cellStyle name="Comma 8 2 2" xfId="730" xr:uid="{00000000-0005-0000-0000-000060010000}"/>
    <cellStyle name="Comma 8 2 2 2" xfId="731" xr:uid="{00000000-0005-0000-0000-000061010000}"/>
    <cellStyle name="Comma 8 2 2 3" xfId="732" xr:uid="{00000000-0005-0000-0000-000062010000}"/>
    <cellStyle name="Comma 8 2 3" xfId="733" xr:uid="{00000000-0005-0000-0000-000063010000}"/>
    <cellStyle name="Comma 8 3" xfId="734" xr:uid="{00000000-0005-0000-0000-000064010000}"/>
    <cellStyle name="Comma 8 3 2" xfId="735" xr:uid="{00000000-0005-0000-0000-000065010000}"/>
    <cellStyle name="Comma 8 4" xfId="736" xr:uid="{00000000-0005-0000-0000-000066010000}"/>
    <cellStyle name="Comma 9" xfId="101" xr:uid="{00000000-0005-0000-0000-000067010000}"/>
    <cellStyle name="Comma 9 2" xfId="737" xr:uid="{00000000-0005-0000-0000-000068010000}"/>
    <cellStyle name="Comma(2)" xfId="102" xr:uid="{00000000-0005-0000-0000-000069010000}"/>
    <cellStyle name="Comma0" xfId="407" xr:uid="{00000000-0005-0000-0000-00006A010000}"/>
    <cellStyle name="Comma0 - Style2" xfId="103" xr:uid="{00000000-0005-0000-0000-00006B010000}"/>
    <cellStyle name="Comma1 - Style1" xfId="104" xr:uid="{00000000-0005-0000-0000-00006C010000}"/>
    <cellStyle name="Comments" xfId="105" xr:uid="{00000000-0005-0000-0000-00006D010000}"/>
    <cellStyle name="Currency" xfId="1" builtinId="4"/>
    <cellStyle name="Currency 10" xfId="106" xr:uid="{00000000-0005-0000-0000-00006F010000}"/>
    <cellStyle name="Currency 10 2" xfId="738" xr:uid="{00000000-0005-0000-0000-000070010000}"/>
    <cellStyle name="Currency 11" xfId="333" xr:uid="{00000000-0005-0000-0000-000071010000}"/>
    <cellStyle name="Currency 11 2" xfId="739" xr:uid="{00000000-0005-0000-0000-000072010000}"/>
    <cellStyle name="Currency 12" xfId="408" xr:uid="{00000000-0005-0000-0000-000073010000}"/>
    <cellStyle name="Currency 13" xfId="409" xr:uid="{00000000-0005-0000-0000-000074010000}"/>
    <cellStyle name="Currency 14" xfId="740" xr:uid="{00000000-0005-0000-0000-000075010000}"/>
    <cellStyle name="Currency 15" xfId="741" xr:uid="{00000000-0005-0000-0000-000076010000}"/>
    <cellStyle name="Currency 2" xfId="107" xr:uid="{00000000-0005-0000-0000-000077010000}"/>
    <cellStyle name="Currency 2 2" xfId="108" xr:uid="{00000000-0005-0000-0000-000078010000}"/>
    <cellStyle name="Currency 2 2 2" xfId="307" xr:uid="{00000000-0005-0000-0000-000079010000}"/>
    <cellStyle name="Currency 2 2 3" xfId="410" xr:uid="{00000000-0005-0000-0000-00007A010000}"/>
    <cellStyle name="Currency 2 2 3 2" xfId="742" xr:uid="{00000000-0005-0000-0000-00007B010000}"/>
    <cellStyle name="Currency 2 2 4" xfId="743" xr:uid="{00000000-0005-0000-0000-00007C010000}"/>
    <cellStyle name="Currency 2 3" xfId="109" xr:uid="{00000000-0005-0000-0000-00007D010000}"/>
    <cellStyle name="Currency 2 3 2" xfId="411" xr:uid="{00000000-0005-0000-0000-00007E010000}"/>
    <cellStyle name="Currency 2 3 3" xfId="412" xr:uid="{00000000-0005-0000-0000-00007F010000}"/>
    <cellStyle name="Currency 2 4" xfId="413" xr:uid="{00000000-0005-0000-0000-000080010000}"/>
    <cellStyle name="Currency 2 4 2" xfId="744" xr:uid="{00000000-0005-0000-0000-000081010000}"/>
    <cellStyle name="Currency 2 4 3" xfId="745" xr:uid="{00000000-0005-0000-0000-000082010000}"/>
    <cellStyle name="Currency 2 5" xfId="746" xr:uid="{00000000-0005-0000-0000-000083010000}"/>
    <cellStyle name="Currency 2 5 2" xfId="747" xr:uid="{00000000-0005-0000-0000-000084010000}"/>
    <cellStyle name="Currency 2 6" xfId="308" xr:uid="{00000000-0005-0000-0000-000085010000}"/>
    <cellStyle name="Currency 2 6 2" xfId="309" xr:uid="{00000000-0005-0000-0000-000086010000}"/>
    <cellStyle name="Currency 2 6 3" xfId="748" xr:uid="{00000000-0005-0000-0000-000087010000}"/>
    <cellStyle name="Currency 2 7" xfId="749" xr:uid="{00000000-0005-0000-0000-000088010000}"/>
    <cellStyle name="Currency 3" xfId="110" xr:uid="{00000000-0005-0000-0000-000089010000}"/>
    <cellStyle name="Currency 3 2" xfId="5" xr:uid="{00000000-0005-0000-0000-00008A010000}"/>
    <cellStyle name="Currency 3 2 2" xfId="750" xr:uid="{00000000-0005-0000-0000-00008B010000}"/>
    <cellStyle name="Currency 3 2 2 2" xfId="751" xr:uid="{00000000-0005-0000-0000-00008C010000}"/>
    <cellStyle name="Currency 3 2 2 2 2" xfId="752" xr:uid="{00000000-0005-0000-0000-00008D010000}"/>
    <cellStyle name="Currency 3 2 2 3" xfId="753" xr:uid="{00000000-0005-0000-0000-00008E010000}"/>
    <cellStyle name="Currency 3 2 3" xfId="754" xr:uid="{00000000-0005-0000-0000-00008F010000}"/>
    <cellStyle name="Currency 3 2 3 2" xfId="755" xr:uid="{00000000-0005-0000-0000-000090010000}"/>
    <cellStyle name="Currency 3 2 4" xfId="756" xr:uid="{00000000-0005-0000-0000-000091010000}"/>
    <cellStyle name="Currency 3 3" xfId="111" xr:uid="{00000000-0005-0000-0000-000092010000}"/>
    <cellStyle name="Currency 3 3 2" xfId="414" xr:uid="{00000000-0005-0000-0000-000093010000}"/>
    <cellStyle name="Currency 3 3 2 2" xfId="757" xr:uid="{00000000-0005-0000-0000-000094010000}"/>
    <cellStyle name="Currency 3 3 3" xfId="554" xr:uid="{00000000-0005-0000-0000-000095010000}"/>
    <cellStyle name="Currency 3 3 4" xfId="758" xr:uid="{00000000-0005-0000-0000-000096010000}"/>
    <cellStyle name="Currency 3 4" xfId="415" xr:uid="{00000000-0005-0000-0000-000097010000}"/>
    <cellStyle name="Currency 3 4 2" xfId="759" xr:uid="{00000000-0005-0000-0000-000098010000}"/>
    <cellStyle name="Currency 3 5" xfId="416" xr:uid="{00000000-0005-0000-0000-000099010000}"/>
    <cellStyle name="Currency 4" xfId="112" xr:uid="{00000000-0005-0000-0000-00009A010000}"/>
    <cellStyle name="Currency 4 2" xfId="310" xr:uid="{00000000-0005-0000-0000-00009B010000}"/>
    <cellStyle name="Currency 4 2 2" xfId="760" xr:uid="{00000000-0005-0000-0000-00009C010000}"/>
    <cellStyle name="Currency 4 2 2 2" xfId="761" xr:uid="{00000000-0005-0000-0000-00009D010000}"/>
    <cellStyle name="Currency 4 2 2 2 2" xfId="762" xr:uid="{00000000-0005-0000-0000-00009E010000}"/>
    <cellStyle name="Currency 4 2 2 3" xfId="763" xr:uid="{00000000-0005-0000-0000-00009F010000}"/>
    <cellStyle name="Currency 4 2 3" xfId="764" xr:uid="{00000000-0005-0000-0000-0000A0010000}"/>
    <cellStyle name="Currency 4 2 3 2" xfId="765" xr:uid="{00000000-0005-0000-0000-0000A1010000}"/>
    <cellStyle name="Currency 4 2 4" xfId="766" xr:uid="{00000000-0005-0000-0000-0000A2010000}"/>
    <cellStyle name="Currency 4 3" xfId="417" xr:uid="{00000000-0005-0000-0000-0000A3010000}"/>
    <cellStyle name="Currency 4 3 2" xfId="767" xr:uid="{00000000-0005-0000-0000-0000A4010000}"/>
    <cellStyle name="Currency 4 3 2 2" xfId="768" xr:uid="{00000000-0005-0000-0000-0000A5010000}"/>
    <cellStyle name="Currency 4 3 3" xfId="769" xr:uid="{00000000-0005-0000-0000-0000A6010000}"/>
    <cellStyle name="Currency 4 4" xfId="418" xr:uid="{00000000-0005-0000-0000-0000A7010000}"/>
    <cellStyle name="Currency 4 4 2" xfId="770" xr:uid="{00000000-0005-0000-0000-0000A8010000}"/>
    <cellStyle name="Currency 4 5" xfId="771" xr:uid="{00000000-0005-0000-0000-0000A9010000}"/>
    <cellStyle name="Currency 5" xfId="113" xr:uid="{00000000-0005-0000-0000-0000AA010000}"/>
    <cellStyle name="Currency 5 2" xfId="311" xr:uid="{00000000-0005-0000-0000-0000AB010000}"/>
    <cellStyle name="Currency 5 2 2" xfId="772" xr:uid="{00000000-0005-0000-0000-0000AC010000}"/>
    <cellStyle name="Currency 5 2 2 2" xfId="773" xr:uid="{00000000-0005-0000-0000-0000AD010000}"/>
    <cellStyle name="Currency 5 2 3" xfId="774" xr:uid="{00000000-0005-0000-0000-0000AE010000}"/>
    <cellStyle name="Currency 5 3" xfId="419" xr:uid="{00000000-0005-0000-0000-0000AF010000}"/>
    <cellStyle name="Currency 5 3 2" xfId="775" xr:uid="{00000000-0005-0000-0000-0000B0010000}"/>
    <cellStyle name="Currency 5 4" xfId="776" xr:uid="{00000000-0005-0000-0000-0000B1010000}"/>
    <cellStyle name="Currency 6" xfId="114" xr:uid="{00000000-0005-0000-0000-0000B2010000}"/>
    <cellStyle name="Currency 7" xfId="115" xr:uid="{00000000-0005-0000-0000-0000B3010000}"/>
    <cellStyle name="Currency 8" xfId="116" xr:uid="{00000000-0005-0000-0000-0000B4010000}"/>
    <cellStyle name="Currency 8 2" xfId="420" xr:uid="{00000000-0005-0000-0000-0000B5010000}"/>
    <cellStyle name="Currency 8 2 2" xfId="777" xr:uid="{00000000-0005-0000-0000-0000B6010000}"/>
    <cellStyle name="Currency 8 2 2 2" xfId="778" xr:uid="{00000000-0005-0000-0000-0000B7010000}"/>
    <cellStyle name="Currency 8 2 3" xfId="779" xr:uid="{00000000-0005-0000-0000-0000B8010000}"/>
    <cellStyle name="Currency 8 3" xfId="559" xr:uid="{00000000-0005-0000-0000-0000B9010000}"/>
    <cellStyle name="Currency 8 3 2" xfId="780" xr:uid="{00000000-0005-0000-0000-0000BA010000}"/>
    <cellStyle name="Currency 8 3 3" xfId="781" xr:uid="{00000000-0005-0000-0000-0000BB010000}"/>
    <cellStyle name="Currency 8 4" xfId="782" xr:uid="{00000000-0005-0000-0000-0000BC010000}"/>
    <cellStyle name="Currency 9" xfId="117" xr:uid="{00000000-0005-0000-0000-0000BD010000}"/>
    <cellStyle name="Currency 9 2" xfId="783" xr:uid="{00000000-0005-0000-0000-0000BE010000}"/>
    <cellStyle name="Currency 9 2 2" xfId="784" xr:uid="{00000000-0005-0000-0000-0000BF010000}"/>
    <cellStyle name="Currency 9 3" xfId="785" xr:uid="{00000000-0005-0000-0000-0000C0010000}"/>
    <cellStyle name="Currency0" xfId="421" xr:uid="{00000000-0005-0000-0000-0000C1010000}"/>
    <cellStyle name="Data Enter" xfId="118" xr:uid="{00000000-0005-0000-0000-0000C2010000}"/>
    <cellStyle name="date" xfId="119" xr:uid="{00000000-0005-0000-0000-0000C3010000}"/>
    <cellStyle name="Explanatory Text 2" xfId="120" xr:uid="{00000000-0005-0000-0000-0000C4010000}"/>
    <cellStyle name="Explanatory Text 3" xfId="312" xr:uid="{00000000-0005-0000-0000-0000C5010000}"/>
    <cellStyle name="Explanatory Text 4" xfId="786" xr:uid="{00000000-0005-0000-0000-0000C6010000}"/>
    <cellStyle name="F9ReportControlStyle_ctpInquire" xfId="422" xr:uid="{00000000-0005-0000-0000-0000C7010000}"/>
    <cellStyle name="FactSheet" xfId="121" xr:uid="{00000000-0005-0000-0000-0000C8010000}"/>
    <cellStyle name="fish" xfId="122" xr:uid="{00000000-0005-0000-0000-0000C9010000}"/>
    <cellStyle name="Good 2" xfId="123" xr:uid="{00000000-0005-0000-0000-0000CA010000}"/>
    <cellStyle name="Good 2 2" xfId="787" xr:uid="{00000000-0005-0000-0000-0000CB010000}"/>
    <cellStyle name="Good 2 2 2" xfId="788" xr:uid="{00000000-0005-0000-0000-0000CC010000}"/>
    <cellStyle name="Good 2 3" xfId="789" xr:uid="{00000000-0005-0000-0000-0000CD010000}"/>
    <cellStyle name="Good 3" xfId="124" xr:uid="{00000000-0005-0000-0000-0000CE010000}"/>
    <cellStyle name="Good 3 2" xfId="423" xr:uid="{00000000-0005-0000-0000-0000CF010000}"/>
    <cellStyle name="Good 3 3" xfId="790" xr:uid="{00000000-0005-0000-0000-0000D0010000}"/>
    <cellStyle name="Good 4" xfId="424" xr:uid="{00000000-0005-0000-0000-0000D1010000}"/>
    <cellStyle name="Good 5" xfId="791" xr:uid="{00000000-0005-0000-0000-0000D2010000}"/>
    <cellStyle name="Heading 1 2" xfId="125" xr:uid="{00000000-0005-0000-0000-0000D3010000}"/>
    <cellStyle name="Heading 1 2 2" xfId="425" xr:uid="{00000000-0005-0000-0000-0000D4010000}"/>
    <cellStyle name="Heading 1 2 3" xfId="426" xr:uid="{00000000-0005-0000-0000-0000D5010000}"/>
    <cellStyle name="Heading 1 2 4" xfId="792" xr:uid="{00000000-0005-0000-0000-0000D6010000}"/>
    <cellStyle name="Heading 1 3" xfId="126" xr:uid="{00000000-0005-0000-0000-0000D7010000}"/>
    <cellStyle name="Heading 1 3 2" xfId="427" xr:uid="{00000000-0005-0000-0000-0000D8010000}"/>
    <cellStyle name="Heading 1 3 3" xfId="428" xr:uid="{00000000-0005-0000-0000-0000D9010000}"/>
    <cellStyle name="Heading 1 4" xfId="127" xr:uid="{00000000-0005-0000-0000-0000DA010000}"/>
    <cellStyle name="Heading 1 4 2" xfId="793" xr:uid="{00000000-0005-0000-0000-0000DB010000}"/>
    <cellStyle name="Heading 2 2" xfId="128" xr:uid="{00000000-0005-0000-0000-0000DC010000}"/>
    <cellStyle name="Heading 2 2 2" xfId="429" xr:uid="{00000000-0005-0000-0000-0000DD010000}"/>
    <cellStyle name="Heading 2 2 3" xfId="430" xr:uid="{00000000-0005-0000-0000-0000DE010000}"/>
    <cellStyle name="Heading 2 2 4" xfId="794" xr:uid="{00000000-0005-0000-0000-0000DF010000}"/>
    <cellStyle name="Heading 2 3" xfId="129" xr:uid="{00000000-0005-0000-0000-0000E0010000}"/>
    <cellStyle name="Heading 2 3 2" xfId="431" xr:uid="{00000000-0005-0000-0000-0000E1010000}"/>
    <cellStyle name="Heading 2 3 3" xfId="432" xr:uid="{00000000-0005-0000-0000-0000E2010000}"/>
    <cellStyle name="Heading 2 4" xfId="130" xr:uid="{00000000-0005-0000-0000-0000E3010000}"/>
    <cellStyle name="Heading 2 4 2" xfId="795" xr:uid="{00000000-0005-0000-0000-0000E4010000}"/>
    <cellStyle name="Heading 3 2" xfId="131" xr:uid="{00000000-0005-0000-0000-0000E5010000}"/>
    <cellStyle name="Heading 3 2 2" xfId="433" xr:uid="{00000000-0005-0000-0000-0000E6010000}"/>
    <cellStyle name="Heading 3 2 3" xfId="434" xr:uid="{00000000-0005-0000-0000-0000E7010000}"/>
    <cellStyle name="Heading 3 2 4" xfId="796" xr:uid="{00000000-0005-0000-0000-0000E8010000}"/>
    <cellStyle name="Heading 3 3" xfId="132" xr:uid="{00000000-0005-0000-0000-0000E9010000}"/>
    <cellStyle name="Heading 3 3 2" xfId="435" xr:uid="{00000000-0005-0000-0000-0000EA010000}"/>
    <cellStyle name="Heading 3 3 3" xfId="436" xr:uid="{00000000-0005-0000-0000-0000EB010000}"/>
    <cellStyle name="Heading 3 4" xfId="133" xr:uid="{00000000-0005-0000-0000-0000EC010000}"/>
    <cellStyle name="Heading 3 4 2" xfId="797" xr:uid="{00000000-0005-0000-0000-0000ED010000}"/>
    <cellStyle name="Heading 4 2" xfId="134" xr:uid="{00000000-0005-0000-0000-0000EE010000}"/>
    <cellStyle name="Heading 4 2 2" xfId="798" xr:uid="{00000000-0005-0000-0000-0000EF010000}"/>
    <cellStyle name="Heading 4 2 2 2" xfId="799" xr:uid="{00000000-0005-0000-0000-0000F0010000}"/>
    <cellStyle name="Heading 4 2 3" xfId="800" xr:uid="{00000000-0005-0000-0000-0000F1010000}"/>
    <cellStyle name="Heading 4 3" xfId="135" xr:uid="{00000000-0005-0000-0000-0000F2010000}"/>
    <cellStyle name="Heading 4 3 2" xfId="437" xr:uid="{00000000-0005-0000-0000-0000F3010000}"/>
    <cellStyle name="Heading 4 4" xfId="801" xr:uid="{00000000-0005-0000-0000-0000F4010000}"/>
    <cellStyle name="Hyperlink 2" xfId="136" xr:uid="{00000000-0005-0000-0000-0000F5010000}"/>
    <cellStyle name="Hyperlink 2 2" xfId="802" xr:uid="{00000000-0005-0000-0000-0000F6010000}"/>
    <cellStyle name="Hyperlink 2 2 2" xfId="803" xr:uid="{00000000-0005-0000-0000-0000F7010000}"/>
    <cellStyle name="Hyperlink 2 2 3" xfId="804" xr:uid="{00000000-0005-0000-0000-0000F8010000}"/>
    <cellStyle name="Hyperlink 2 2 4" xfId="805" xr:uid="{00000000-0005-0000-0000-0000F9010000}"/>
    <cellStyle name="Hyperlink 2 3" xfId="806" xr:uid="{00000000-0005-0000-0000-0000FA010000}"/>
    <cellStyle name="Hyperlink 3" xfId="137" xr:uid="{00000000-0005-0000-0000-0000FB010000}"/>
    <cellStyle name="Hyperlink 3 2" xfId="438" xr:uid="{00000000-0005-0000-0000-0000FC010000}"/>
    <cellStyle name="Hyperlink 3 2 2" xfId="807" xr:uid="{00000000-0005-0000-0000-0000FD010000}"/>
    <cellStyle name="Hyperlink 3 3" xfId="808" xr:uid="{00000000-0005-0000-0000-0000FE010000}"/>
    <cellStyle name="Input 2" xfId="138" xr:uid="{00000000-0005-0000-0000-0000FF010000}"/>
    <cellStyle name="Input 2 2" xfId="809" xr:uid="{00000000-0005-0000-0000-000000020000}"/>
    <cellStyle name="Input 2 2 2" xfId="810" xr:uid="{00000000-0005-0000-0000-000001020000}"/>
    <cellStyle name="Input 2 3" xfId="811" xr:uid="{00000000-0005-0000-0000-000002020000}"/>
    <cellStyle name="Input 3" xfId="139" xr:uid="{00000000-0005-0000-0000-000003020000}"/>
    <cellStyle name="Input 3 2" xfId="439" xr:uid="{00000000-0005-0000-0000-000004020000}"/>
    <cellStyle name="Input 4" xfId="812" xr:uid="{00000000-0005-0000-0000-000005020000}"/>
    <cellStyle name="input(0)" xfId="140" xr:uid="{00000000-0005-0000-0000-000006020000}"/>
    <cellStyle name="Input(2)" xfId="141" xr:uid="{00000000-0005-0000-0000-000007020000}"/>
    <cellStyle name="Labels" xfId="813" xr:uid="{00000000-0005-0000-0000-000008020000}"/>
    <cellStyle name="Linked Cell 2" xfId="142" xr:uid="{00000000-0005-0000-0000-000009020000}"/>
    <cellStyle name="Linked Cell 2 2" xfId="440" xr:uid="{00000000-0005-0000-0000-00000A020000}"/>
    <cellStyle name="Linked Cell 2 3" xfId="441" xr:uid="{00000000-0005-0000-0000-00000B020000}"/>
    <cellStyle name="Linked Cell 2 4" xfId="814" xr:uid="{00000000-0005-0000-0000-00000C020000}"/>
    <cellStyle name="Linked Cell 3" xfId="143" xr:uid="{00000000-0005-0000-0000-00000D020000}"/>
    <cellStyle name="Linked Cell 3 2" xfId="442" xr:uid="{00000000-0005-0000-0000-00000E020000}"/>
    <cellStyle name="Linked Cell 4" xfId="815" xr:uid="{00000000-0005-0000-0000-00000F020000}"/>
    <cellStyle name="Neutral 2" xfId="144" xr:uid="{00000000-0005-0000-0000-000010020000}"/>
    <cellStyle name="Neutral 2 2" xfId="443" xr:uid="{00000000-0005-0000-0000-000011020000}"/>
    <cellStyle name="Neutral 2 3" xfId="444" xr:uid="{00000000-0005-0000-0000-000012020000}"/>
    <cellStyle name="Neutral 2 4" xfId="816" xr:uid="{00000000-0005-0000-0000-000013020000}"/>
    <cellStyle name="Neutral 3" xfId="145" xr:uid="{00000000-0005-0000-0000-000014020000}"/>
    <cellStyle name="Neutral 3 2" xfId="445" xr:uid="{00000000-0005-0000-0000-000015020000}"/>
    <cellStyle name="Neutral 4" xfId="817" xr:uid="{00000000-0005-0000-0000-000016020000}"/>
    <cellStyle name="New_normal" xfId="146" xr:uid="{00000000-0005-0000-0000-000017020000}"/>
    <cellStyle name="Normal" xfId="0" builtinId="0"/>
    <cellStyle name="Normal - Style1" xfId="147" xr:uid="{00000000-0005-0000-0000-000019020000}"/>
    <cellStyle name="Normal - Style2" xfId="148" xr:uid="{00000000-0005-0000-0000-00001A020000}"/>
    <cellStyle name="Normal - Style3" xfId="149" xr:uid="{00000000-0005-0000-0000-00001B020000}"/>
    <cellStyle name="Normal - Style4" xfId="150" xr:uid="{00000000-0005-0000-0000-00001C020000}"/>
    <cellStyle name="Normal - Style5" xfId="151" xr:uid="{00000000-0005-0000-0000-00001D020000}"/>
    <cellStyle name="Normal 10" xfId="152" xr:uid="{00000000-0005-0000-0000-00001E020000}"/>
    <cellStyle name="Normal 10 2" xfId="153" xr:uid="{00000000-0005-0000-0000-00001F020000}"/>
    <cellStyle name="Normal 10 2 2" xfId="154" xr:uid="{00000000-0005-0000-0000-000020020000}"/>
    <cellStyle name="Normal 10 2 2 2" xfId="818" xr:uid="{00000000-0005-0000-0000-000021020000}"/>
    <cellStyle name="Normal 10 2 2 2 2" xfId="819" xr:uid="{00000000-0005-0000-0000-000022020000}"/>
    <cellStyle name="Normal 10 2 2 3" xfId="820" xr:uid="{00000000-0005-0000-0000-000023020000}"/>
    <cellStyle name="Normal 10 2 3" xfId="446" xr:uid="{00000000-0005-0000-0000-000024020000}"/>
    <cellStyle name="Normal 10 2 3 2" xfId="821" xr:uid="{00000000-0005-0000-0000-000025020000}"/>
    <cellStyle name="Normal 10 2 4" xfId="447" xr:uid="{00000000-0005-0000-0000-000026020000}"/>
    <cellStyle name="Normal 10 2 4 2" xfId="822" xr:uid="{00000000-0005-0000-0000-000027020000}"/>
    <cellStyle name="Normal 10 2 5" xfId="553" xr:uid="{00000000-0005-0000-0000-000028020000}"/>
    <cellStyle name="Normal 10 3" xfId="448" xr:uid="{00000000-0005-0000-0000-000029020000}"/>
    <cellStyle name="Normal 10 3 2" xfId="823" xr:uid="{00000000-0005-0000-0000-00002A020000}"/>
    <cellStyle name="Normal 10 3 2 2" xfId="824" xr:uid="{00000000-0005-0000-0000-00002B020000}"/>
    <cellStyle name="Normal 10 3 3" xfId="825" xr:uid="{00000000-0005-0000-0000-00002C020000}"/>
    <cellStyle name="Normal 10 4" xfId="826" xr:uid="{00000000-0005-0000-0000-00002D020000}"/>
    <cellStyle name="Normal 10 4 2" xfId="827" xr:uid="{00000000-0005-0000-0000-00002E020000}"/>
    <cellStyle name="Normal 10 5" xfId="828" xr:uid="{00000000-0005-0000-0000-00002F020000}"/>
    <cellStyle name="Normal 10_2112 DF Schedule" xfId="155" xr:uid="{00000000-0005-0000-0000-000030020000}"/>
    <cellStyle name="Normal 100" xfId="449" xr:uid="{00000000-0005-0000-0000-000031020000}"/>
    <cellStyle name="Normal 100 2" xfId="829" xr:uid="{00000000-0005-0000-0000-000032020000}"/>
    <cellStyle name="Normal 101" xfId="450" xr:uid="{00000000-0005-0000-0000-000033020000}"/>
    <cellStyle name="Normal 101 2" xfId="830" xr:uid="{00000000-0005-0000-0000-000034020000}"/>
    <cellStyle name="Normal 102" xfId="451" xr:uid="{00000000-0005-0000-0000-000035020000}"/>
    <cellStyle name="Normal 102 2" xfId="831" xr:uid="{00000000-0005-0000-0000-000036020000}"/>
    <cellStyle name="Normal 103" xfId="452" xr:uid="{00000000-0005-0000-0000-000037020000}"/>
    <cellStyle name="Normal 103 2" xfId="832" xr:uid="{00000000-0005-0000-0000-000038020000}"/>
    <cellStyle name="Normal 104" xfId="453" xr:uid="{00000000-0005-0000-0000-000039020000}"/>
    <cellStyle name="Normal 104 2" xfId="833" xr:uid="{00000000-0005-0000-0000-00003A020000}"/>
    <cellStyle name="Normal 105" xfId="454" xr:uid="{00000000-0005-0000-0000-00003B020000}"/>
    <cellStyle name="Normal 105 2" xfId="834" xr:uid="{00000000-0005-0000-0000-00003C020000}"/>
    <cellStyle name="Normal 106" xfId="455" xr:uid="{00000000-0005-0000-0000-00003D020000}"/>
    <cellStyle name="Normal 107" xfId="456" xr:uid="{00000000-0005-0000-0000-00003E020000}"/>
    <cellStyle name="Normal 107 2" xfId="835" xr:uid="{00000000-0005-0000-0000-00003F020000}"/>
    <cellStyle name="Normal 108" xfId="457" xr:uid="{00000000-0005-0000-0000-000040020000}"/>
    <cellStyle name="Normal 108 2" xfId="836" xr:uid="{00000000-0005-0000-0000-000041020000}"/>
    <cellStyle name="Normal 109" xfId="458" xr:uid="{00000000-0005-0000-0000-000042020000}"/>
    <cellStyle name="Normal 109 2" xfId="837" xr:uid="{00000000-0005-0000-0000-000043020000}"/>
    <cellStyle name="Normal 109 3" xfId="838" xr:uid="{00000000-0005-0000-0000-000044020000}"/>
    <cellStyle name="Normal 11" xfId="156" xr:uid="{00000000-0005-0000-0000-000045020000}"/>
    <cellStyle name="Normal 11 2" xfId="459" xr:uid="{00000000-0005-0000-0000-000046020000}"/>
    <cellStyle name="Normal 11 2 2" xfId="460" xr:uid="{00000000-0005-0000-0000-000047020000}"/>
    <cellStyle name="Normal 11 2 2 2" xfId="839" xr:uid="{00000000-0005-0000-0000-000048020000}"/>
    <cellStyle name="Normal 11 2 2 2 2" xfId="840" xr:uid="{00000000-0005-0000-0000-000049020000}"/>
    <cellStyle name="Normal 11 2 2 3" xfId="841" xr:uid="{00000000-0005-0000-0000-00004A020000}"/>
    <cellStyle name="Normal 11 2 3" xfId="842" xr:uid="{00000000-0005-0000-0000-00004B020000}"/>
    <cellStyle name="Normal 11 2 3 2" xfId="843" xr:uid="{00000000-0005-0000-0000-00004C020000}"/>
    <cellStyle name="Normal 11 2 4" xfId="844" xr:uid="{00000000-0005-0000-0000-00004D020000}"/>
    <cellStyle name="Normal 11 3" xfId="845" xr:uid="{00000000-0005-0000-0000-00004E020000}"/>
    <cellStyle name="Normal 11 3 2" xfId="846" xr:uid="{00000000-0005-0000-0000-00004F020000}"/>
    <cellStyle name="Normal 11 3 2 2" xfId="847" xr:uid="{00000000-0005-0000-0000-000050020000}"/>
    <cellStyle name="Normal 11 3 3" xfId="848" xr:uid="{00000000-0005-0000-0000-000051020000}"/>
    <cellStyle name="Normal 11 4" xfId="849" xr:uid="{00000000-0005-0000-0000-000052020000}"/>
    <cellStyle name="Normal 11 4 2" xfId="850" xr:uid="{00000000-0005-0000-0000-000053020000}"/>
    <cellStyle name="Normal 11 5" xfId="851" xr:uid="{00000000-0005-0000-0000-000054020000}"/>
    <cellStyle name="Normal 110" xfId="461" xr:uid="{00000000-0005-0000-0000-000055020000}"/>
    <cellStyle name="Normal 110 2" xfId="852" xr:uid="{00000000-0005-0000-0000-000056020000}"/>
    <cellStyle name="Normal 111" xfId="462" xr:uid="{00000000-0005-0000-0000-000057020000}"/>
    <cellStyle name="Normal 111 2" xfId="853" xr:uid="{00000000-0005-0000-0000-000058020000}"/>
    <cellStyle name="Normal 111 3" xfId="854" xr:uid="{00000000-0005-0000-0000-000059020000}"/>
    <cellStyle name="Normal 112" xfId="855" xr:uid="{00000000-0005-0000-0000-00005A020000}"/>
    <cellStyle name="Normal 112 2" xfId="856" xr:uid="{00000000-0005-0000-0000-00005B020000}"/>
    <cellStyle name="Normal 112 3" xfId="857" xr:uid="{00000000-0005-0000-0000-00005C020000}"/>
    <cellStyle name="Normal 113" xfId="858" xr:uid="{00000000-0005-0000-0000-00005D020000}"/>
    <cellStyle name="Normal 113 2" xfId="859" xr:uid="{00000000-0005-0000-0000-00005E020000}"/>
    <cellStyle name="Normal 113 3" xfId="860" xr:uid="{00000000-0005-0000-0000-00005F020000}"/>
    <cellStyle name="Normal 114" xfId="861" xr:uid="{00000000-0005-0000-0000-000060020000}"/>
    <cellStyle name="Normal 115" xfId="862" xr:uid="{00000000-0005-0000-0000-000061020000}"/>
    <cellStyle name="Normal 116" xfId="863" xr:uid="{00000000-0005-0000-0000-000062020000}"/>
    <cellStyle name="Normal 117" xfId="864" xr:uid="{00000000-0005-0000-0000-000063020000}"/>
    <cellStyle name="Normal 117 2" xfId="865" xr:uid="{00000000-0005-0000-0000-000064020000}"/>
    <cellStyle name="Normal 118" xfId="866" xr:uid="{00000000-0005-0000-0000-000065020000}"/>
    <cellStyle name="Normal 12" xfId="157" xr:uid="{00000000-0005-0000-0000-000066020000}"/>
    <cellStyle name="Normal 12 2" xfId="463" xr:uid="{00000000-0005-0000-0000-000067020000}"/>
    <cellStyle name="Normal 12 2 2" xfId="867" xr:uid="{00000000-0005-0000-0000-000068020000}"/>
    <cellStyle name="Normal 12 2 2 2" xfId="868" xr:uid="{00000000-0005-0000-0000-000069020000}"/>
    <cellStyle name="Normal 12 2 2 2 2" xfId="869" xr:uid="{00000000-0005-0000-0000-00006A020000}"/>
    <cellStyle name="Normal 12 2 2 3" xfId="870" xr:uid="{00000000-0005-0000-0000-00006B020000}"/>
    <cellStyle name="Normal 12 2 3" xfId="871" xr:uid="{00000000-0005-0000-0000-00006C020000}"/>
    <cellStyle name="Normal 12 2 3 2" xfId="872" xr:uid="{00000000-0005-0000-0000-00006D020000}"/>
    <cellStyle name="Normal 12 2 4" xfId="873" xr:uid="{00000000-0005-0000-0000-00006E020000}"/>
    <cellStyle name="Normal 12 3" xfId="464" xr:uid="{00000000-0005-0000-0000-00006F020000}"/>
    <cellStyle name="Normal 12 3 2" xfId="874" xr:uid="{00000000-0005-0000-0000-000070020000}"/>
    <cellStyle name="Normal 12 3 2 2" xfId="875" xr:uid="{00000000-0005-0000-0000-000071020000}"/>
    <cellStyle name="Normal 12 3 3" xfId="876" xr:uid="{00000000-0005-0000-0000-000072020000}"/>
    <cellStyle name="Normal 12 4" xfId="465" xr:uid="{00000000-0005-0000-0000-000073020000}"/>
    <cellStyle name="Normal 12 4 2" xfId="877" xr:uid="{00000000-0005-0000-0000-000074020000}"/>
    <cellStyle name="Normal 12 5" xfId="466" xr:uid="{00000000-0005-0000-0000-000075020000}"/>
    <cellStyle name="Normal 12 6" xfId="878" xr:uid="{00000000-0005-0000-0000-000076020000}"/>
    <cellStyle name="Normal 12 7" xfId="879" xr:uid="{00000000-0005-0000-0000-000077020000}"/>
    <cellStyle name="Normal 12_Sheet1" xfId="467" xr:uid="{00000000-0005-0000-0000-000078020000}"/>
    <cellStyle name="Normal 13" xfId="158" xr:uid="{00000000-0005-0000-0000-000079020000}"/>
    <cellStyle name="Normal 13 2" xfId="468" xr:uid="{00000000-0005-0000-0000-00007A020000}"/>
    <cellStyle name="Normal 13 2 2" xfId="880" xr:uid="{00000000-0005-0000-0000-00007B020000}"/>
    <cellStyle name="Normal 13 2 2 2" xfId="881" xr:uid="{00000000-0005-0000-0000-00007C020000}"/>
    <cellStyle name="Normal 13 2 2 2 2" xfId="882" xr:uid="{00000000-0005-0000-0000-00007D020000}"/>
    <cellStyle name="Normal 13 2 2 3" xfId="883" xr:uid="{00000000-0005-0000-0000-00007E020000}"/>
    <cellStyle name="Normal 13 2 3" xfId="884" xr:uid="{00000000-0005-0000-0000-00007F020000}"/>
    <cellStyle name="Normal 13 2 3 2" xfId="885" xr:uid="{00000000-0005-0000-0000-000080020000}"/>
    <cellStyle name="Normal 13 2 4" xfId="886" xr:uid="{00000000-0005-0000-0000-000081020000}"/>
    <cellStyle name="Normal 13 3" xfId="469" xr:uid="{00000000-0005-0000-0000-000082020000}"/>
    <cellStyle name="Normal 13 3 2" xfId="887" xr:uid="{00000000-0005-0000-0000-000083020000}"/>
    <cellStyle name="Normal 13 3 2 2" xfId="888" xr:uid="{00000000-0005-0000-0000-000084020000}"/>
    <cellStyle name="Normal 13 3 3" xfId="889" xr:uid="{00000000-0005-0000-0000-000085020000}"/>
    <cellStyle name="Normal 13 4" xfId="470" xr:uid="{00000000-0005-0000-0000-000086020000}"/>
    <cellStyle name="Normal 13 4 2" xfId="890" xr:uid="{00000000-0005-0000-0000-000087020000}"/>
    <cellStyle name="Normal 13 5" xfId="471" xr:uid="{00000000-0005-0000-0000-000088020000}"/>
    <cellStyle name="Normal 13 6" xfId="891" xr:uid="{00000000-0005-0000-0000-000089020000}"/>
    <cellStyle name="Normal 13 7" xfId="892" xr:uid="{00000000-0005-0000-0000-00008A020000}"/>
    <cellStyle name="Normal 13_Sheet1" xfId="472" xr:uid="{00000000-0005-0000-0000-00008B020000}"/>
    <cellStyle name="Normal 14" xfId="159" xr:uid="{00000000-0005-0000-0000-00008C020000}"/>
    <cellStyle name="Normal 14 2" xfId="473" xr:uid="{00000000-0005-0000-0000-00008D020000}"/>
    <cellStyle name="Normal 14 2 2" xfId="893" xr:uid="{00000000-0005-0000-0000-00008E020000}"/>
    <cellStyle name="Normal 14 2 2 2" xfId="894" xr:uid="{00000000-0005-0000-0000-00008F020000}"/>
    <cellStyle name="Normal 14 2 3" xfId="895" xr:uid="{00000000-0005-0000-0000-000090020000}"/>
    <cellStyle name="Normal 14 3" xfId="474" xr:uid="{00000000-0005-0000-0000-000091020000}"/>
    <cellStyle name="Normal 14 3 2" xfId="896" xr:uid="{00000000-0005-0000-0000-000092020000}"/>
    <cellStyle name="Normal 14 4" xfId="475" xr:uid="{00000000-0005-0000-0000-000093020000}"/>
    <cellStyle name="Normal 14 5" xfId="897" xr:uid="{00000000-0005-0000-0000-000094020000}"/>
    <cellStyle name="Normal 14_Sheet1" xfId="476" xr:uid="{00000000-0005-0000-0000-000095020000}"/>
    <cellStyle name="Normal 15" xfId="160" xr:uid="{00000000-0005-0000-0000-000096020000}"/>
    <cellStyle name="Normal 15 2" xfId="477" xr:uid="{00000000-0005-0000-0000-000097020000}"/>
    <cellStyle name="Normal 15 2 2" xfId="898" xr:uid="{00000000-0005-0000-0000-000098020000}"/>
    <cellStyle name="Normal 15 2 2 2" xfId="899" xr:uid="{00000000-0005-0000-0000-000099020000}"/>
    <cellStyle name="Normal 15 2 3" xfId="900" xr:uid="{00000000-0005-0000-0000-00009A020000}"/>
    <cellStyle name="Normal 15 3" xfId="478" xr:uid="{00000000-0005-0000-0000-00009B020000}"/>
    <cellStyle name="Normal 15 3 2" xfId="901" xr:uid="{00000000-0005-0000-0000-00009C020000}"/>
    <cellStyle name="Normal 15 4" xfId="479" xr:uid="{00000000-0005-0000-0000-00009D020000}"/>
    <cellStyle name="Normal 15 5" xfId="902" xr:uid="{00000000-0005-0000-0000-00009E020000}"/>
    <cellStyle name="Normal 16" xfId="161" xr:uid="{00000000-0005-0000-0000-00009F020000}"/>
    <cellStyle name="Normal 16 2" xfId="480" xr:uid="{00000000-0005-0000-0000-0000A0020000}"/>
    <cellStyle name="Normal 16 2 2" xfId="903" xr:uid="{00000000-0005-0000-0000-0000A1020000}"/>
    <cellStyle name="Normal 16 2 2 2" xfId="904" xr:uid="{00000000-0005-0000-0000-0000A2020000}"/>
    <cellStyle name="Normal 16 3" xfId="481" xr:uid="{00000000-0005-0000-0000-0000A3020000}"/>
    <cellStyle name="Normal 16 3 2" xfId="905" xr:uid="{00000000-0005-0000-0000-0000A4020000}"/>
    <cellStyle name="Normal 16 3 2 2" xfId="906" xr:uid="{00000000-0005-0000-0000-0000A5020000}"/>
    <cellStyle name="Normal 16 3 3" xfId="907" xr:uid="{00000000-0005-0000-0000-0000A6020000}"/>
    <cellStyle name="Normal 16 4" xfId="908" xr:uid="{00000000-0005-0000-0000-0000A7020000}"/>
    <cellStyle name="Normal 16 4 2" xfId="909" xr:uid="{00000000-0005-0000-0000-0000A8020000}"/>
    <cellStyle name="Normal 16 5" xfId="910" xr:uid="{00000000-0005-0000-0000-0000A9020000}"/>
    <cellStyle name="Normal 16 6" xfId="911" xr:uid="{00000000-0005-0000-0000-0000AA020000}"/>
    <cellStyle name="Normal 17" xfId="162" xr:uid="{00000000-0005-0000-0000-0000AB020000}"/>
    <cellStyle name="Normal 17 2" xfId="482" xr:uid="{00000000-0005-0000-0000-0000AC020000}"/>
    <cellStyle name="Normal 17 2 2" xfId="912" xr:uid="{00000000-0005-0000-0000-0000AD020000}"/>
    <cellStyle name="Normal 17 2 2 2" xfId="913" xr:uid="{00000000-0005-0000-0000-0000AE020000}"/>
    <cellStyle name="Normal 17 3" xfId="483" xr:uid="{00000000-0005-0000-0000-0000AF020000}"/>
    <cellStyle name="Normal 17 3 2" xfId="914" xr:uid="{00000000-0005-0000-0000-0000B0020000}"/>
    <cellStyle name="Normal 17 4" xfId="915" xr:uid="{00000000-0005-0000-0000-0000B1020000}"/>
    <cellStyle name="Normal 18" xfId="163" xr:uid="{00000000-0005-0000-0000-0000B2020000}"/>
    <cellStyle name="Normal 18 2" xfId="484" xr:uid="{00000000-0005-0000-0000-0000B3020000}"/>
    <cellStyle name="Normal 18 2 2" xfId="916" xr:uid="{00000000-0005-0000-0000-0000B4020000}"/>
    <cellStyle name="Normal 18 2 2 2" xfId="917" xr:uid="{00000000-0005-0000-0000-0000B5020000}"/>
    <cellStyle name="Normal 18 2 3" xfId="918" xr:uid="{00000000-0005-0000-0000-0000B6020000}"/>
    <cellStyle name="Normal 18 3" xfId="485" xr:uid="{00000000-0005-0000-0000-0000B7020000}"/>
    <cellStyle name="Normal 18 3 2" xfId="919" xr:uid="{00000000-0005-0000-0000-0000B8020000}"/>
    <cellStyle name="Normal 18 3 2 2" xfId="920" xr:uid="{00000000-0005-0000-0000-0000B9020000}"/>
    <cellStyle name="Normal 18 3 3" xfId="921" xr:uid="{00000000-0005-0000-0000-0000BA020000}"/>
    <cellStyle name="Normal 18 4" xfId="922" xr:uid="{00000000-0005-0000-0000-0000BB020000}"/>
    <cellStyle name="Normal 18 4 2" xfId="923" xr:uid="{00000000-0005-0000-0000-0000BC020000}"/>
    <cellStyle name="Normal 18 5" xfId="924" xr:uid="{00000000-0005-0000-0000-0000BD020000}"/>
    <cellStyle name="Normal 18 5 2" xfId="925" xr:uid="{00000000-0005-0000-0000-0000BE020000}"/>
    <cellStyle name="Normal 18 6" xfId="926" xr:uid="{00000000-0005-0000-0000-0000BF020000}"/>
    <cellStyle name="Normal 18 7" xfId="927" xr:uid="{00000000-0005-0000-0000-0000C0020000}"/>
    <cellStyle name="Normal 19" xfId="164" xr:uid="{00000000-0005-0000-0000-0000C1020000}"/>
    <cellStyle name="Normal 19 2" xfId="486" xr:uid="{00000000-0005-0000-0000-0000C2020000}"/>
    <cellStyle name="Normal 19 2 2" xfId="928" xr:uid="{00000000-0005-0000-0000-0000C3020000}"/>
    <cellStyle name="Normal 19 3" xfId="487" xr:uid="{00000000-0005-0000-0000-0000C4020000}"/>
    <cellStyle name="Normal 19 3 2" xfId="929" xr:uid="{00000000-0005-0000-0000-0000C5020000}"/>
    <cellStyle name="Normal 19 4" xfId="930" xr:uid="{00000000-0005-0000-0000-0000C6020000}"/>
    <cellStyle name="Normal 2" xfId="165" xr:uid="{00000000-0005-0000-0000-0000C7020000}"/>
    <cellStyle name="Normal 2 10" xfId="488" xr:uid="{00000000-0005-0000-0000-0000C8020000}"/>
    <cellStyle name="Normal 2 11" xfId="489" xr:uid="{00000000-0005-0000-0000-0000C9020000}"/>
    <cellStyle name="Normal 2 2" xfId="166" xr:uid="{00000000-0005-0000-0000-0000CA020000}"/>
    <cellStyle name="Normal 2 2 2" xfId="167" xr:uid="{00000000-0005-0000-0000-0000CB020000}"/>
    <cellStyle name="Normal 2 2 2 2" xfId="490" xr:uid="{00000000-0005-0000-0000-0000CC020000}"/>
    <cellStyle name="Normal 2 2 2_JE_IS11" xfId="931" xr:uid="{00000000-0005-0000-0000-0000CD020000}"/>
    <cellStyle name="Normal 2 2 3" xfId="168" xr:uid="{00000000-0005-0000-0000-0000CE020000}"/>
    <cellStyle name="Normal 2 2 4" xfId="491" xr:uid="{00000000-0005-0000-0000-0000CF020000}"/>
    <cellStyle name="Normal 2 2 5" xfId="932" xr:uid="{00000000-0005-0000-0000-0000D0020000}"/>
    <cellStyle name="Normal 2 2 6" xfId="933" xr:uid="{00000000-0005-0000-0000-0000D1020000}"/>
    <cellStyle name="Normal 2 2 7" xfId="934" xr:uid="{00000000-0005-0000-0000-0000D2020000}"/>
    <cellStyle name="Normal 2 2 8" xfId="935" xr:uid="{00000000-0005-0000-0000-0000D3020000}"/>
    <cellStyle name="Normal 2 2_4MthProj2" xfId="492" xr:uid="{00000000-0005-0000-0000-0000D4020000}"/>
    <cellStyle name="Normal 2 3" xfId="169" xr:uid="{00000000-0005-0000-0000-0000D5020000}"/>
    <cellStyle name="Normal 2 3 2" xfId="170" xr:uid="{00000000-0005-0000-0000-0000D6020000}"/>
    <cellStyle name="Normal 2 3 2 2" xfId="936" xr:uid="{00000000-0005-0000-0000-0000D7020000}"/>
    <cellStyle name="Normal 2 3 2 3" xfId="937" xr:uid="{00000000-0005-0000-0000-0000D8020000}"/>
    <cellStyle name="Normal 2 3 3" xfId="171" xr:uid="{00000000-0005-0000-0000-0000D9020000}"/>
    <cellStyle name="Normal 2 3 3 2" xfId="938" xr:uid="{00000000-0005-0000-0000-0000DA020000}"/>
    <cellStyle name="Normal 2 3 3 2 2" xfId="939" xr:uid="{00000000-0005-0000-0000-0000DB020000}"/>
    <cellStyle name="Normal 2 3 3 3" xfId="940" xr:uid="{00000000-0005-0000-0000-0000DC020000}"/>
    <cellStyle name="Normal 2 3 4" xfId="941" xr:uid="{00000000-0005-0000-0000-0000DD020000}"/>
    <cellStyle name="Normal 2 3 4 2" xfId="942" xr:uid="{00000000-0005-0000-0000-0000DE020000}"/>
    <cellStyle name="Normal 2 3 5" xfId="943" xr:uid="{00000000-0005-0000-0000-0000DF020000}"/>
    <cellStyle name="Normal 2 3_4MthProj2" xfId="493" xr:uid="{00000000-0005-0000-0000-0000E0020000}"/>
    <cellStyle name="Normal 2 4" xfId="172" xr:uid="{00000000-0005-0000-0000-0000E1020000}"/>
    <cellStyle name="Normal 2 4 2" xfId="494" xr:uid="{00000000-0005-0000-0000-0000E2020000}"/>
    <cellStyle name="Normal 2 4 2 2" xfId="944" xr:uid="{00000000-0005-0000-0000-0000E3020000}"/>
    <cellStyle name="Normal 2 4 3" xfId="945" xr:uid="{00000000-0005-0000-0000-0000E4020000}"/>
    <cellStyle name="Normal 2 4 3 2" xfId="946" xr:uid="{00000000-0005-0000-0000-0000E5020000}"/>
    <cellStyle name="Normal 2 5" xfId="173" xr:uid="{00000000-0005-0000-0000-0000E6020000}"/>
    <cellStyle name="Normal 2 5 2" xfId="947" xr:uid="{00000000-0005-0000-0000-0000E7020000}"/>
    <cellStyle name="Normal 2 5 3" xfId="948" xr:uid="{00000000-0005-0000-0000-0000E8020000}"/>
    <cellStyle name="Normal 2 6" xfId="174" xr:uid="{00000000-0005-0000-0000-0000E9020000}"/>
    <cellStyle name="Normal 2 6 2" xfId="560" xr:uid="{00000000-0005-0000-0000-0000EA020000}"/>
    <cellStyle name="Normal 2 6 2 2" xfId="949" xr:uid="{00000000-0005-0000-0000-0000EB020000}"/>
    <cellStyle name="Normal 2 6 3" xfId="950" xr:uid="{00000000-0005-0000-0000-0000EC020000}"/>
    <cellStyle name="Normal 2 7" xfId="495" xr:uid="{00000000-0005-0000-0000-0000ED020000}"/>
    <cellStyle name="Normal 2 7 2" xfId="951" xr:uid="{00000000-0005-0000-0000-0000EE020000}"/>
    <cellStyle name="Normal 2 8" xfId="496" xr:uid="{00000000-0005-0000-0000-0000EF020000}"/>
    <cellStyle name="Normal 2 9" xfId="497" xr:uid="{00000000-0005-0000-0000-0000F0020000}"/>
    <cellStyle name="Normal 2_2009 Regulated Price Out" xfId="498" xr:uid="{00000000-0005-0000-0000-0000F1020000}"/>
    <cellStyle name="Normal 20" xfId="175" xr:uid="{00000000-0005-0000-0000-0000F2020000}"/>
    <cellStyle name="Normal 20 2" xfId="499" xr:uid="{00000000-0005-0000-0000-0000F3020000}"/>
    <cellStyle name="Normal 20 2 2" xfId="952" xr:uid="{00000000-0005-0000-0000-0000F4020000}"/>
    <cellStyle name="Normal 20 2 3" xfId="953" xr:uid="{00000000-0005-0000-0000-0000F5020000}"/>
    <cellStyle name="Normal 20 3" xfId="500" xr:uid="{00000000-0005-0000-0000-0000F6020000}"/>
    <cellStyle name="Normal 20 4" xfId="954" xr:uid="{00000000-0005-0000-0000-0000F7020000}"/>
    <cellStyle name="Normal 20 4 2" xfId="955" xr:uid="{00000000-0005-0000-0000-0000F8020000}"/>
    <cellStyle name="Normal 20 5" xfId="956" xr:uid="{00000000-0005-0000-0000-0000F9020000}"/>
    <cellStyle name="Normal 20 6" xfId="957" xr:uid="{00000000-0005-0000-0000-0000FA020000}"/>
    <cellStyle name="Normal 21" xfId="176" xr:uid="{00000000-0005-0000-0000-0000FB020000}"/>
    <cellStyle name="Normal 21 2" xfId="501" xr:uid="{00000000-0005-0000-0000-0000FC020000}"/>
    <cellStyle name="Normal 21 2 2" xfId="958" xr:uid="{00000000-0005-0000-0000-0000FD020000}"/>
    <cellStyle name="Normal 21 3" xfId="959" xr:uid="{00000000-0005-0000-0000-0000FE020000}"/>
    <cellStyle name="Normal 21 3 2" xfId="960" xr:uid="{00000000-0005-0000-0000-0000FF020000}"/>
    <cellStyle name="Normal 21 4" xfId="961" xr:uid="{00000000-0005-0000-0000-000000030000}"/>
    <cellStyle name="Normal 22" xfId="177" xr:uid="{00000000-0005-0000-0000-000001030000}"/>
    <cellStyle name="Normal 22 2" xfId="502" xr:uid="{00000000-0005-0000-0000-000002030000}"/>
    <cellStyle name="Normal 22 2 2" xfId="962" xr:uid="{00000000-0005-0000-0000-000003030000}"/>
    <cellStyle name="Normal 22 3" xfId="963" xr:uid="{00000000-0005-0000-0000-000004030000}"/>
    <cellStyle name="Normal 22 3 2" xfId="964" xr:uid="{00000000-0005-0000-0000-000005030000}"/>
    <cellStyle name="Normal 22 4" xfId="965" xr:uid="{00000000-0005-0000-0000-000006030000}"/>
    <cellStyle name="Normal 23" xfId="178" xr:uid="{00000000-0005-0000-0000-000007030000}"/>
    <cellStyle name="Normal 23 2" xfId="503" xr:uid="{00000000-0005-0000-0000-000008030000}"/>
    <cellStyle name="Normal 23 2 2" xfId="966" xr:uid="{00000000-0005-0000-0000-000009030000}"/>
    <cellStyle name="Normal 23 2 3" xfId="967" xr:uid="{00000000-0005-0000-0000-00000A030000}"/>
    <cellStyle name="Normal 23 3" xfId="968" xr:uid="{00000000-0005-0000-0000-00000B030000}"/>
    <cellStyle name="Normal 23 3 2" xfId="969" xr:uid="{00000000-0005-0000-0000-00000C030000}"/>
    <cellStyle name="Normal 23 3 3" xfId="970" xr:uid="{00000000-0005-0000-0000-00000D030000}"/>
    <cellStyle name="Normal 23 4" xfId="971" xr:uid="{00000000-0005-0000-0000-00000E030000}"/>
    <cellStyle name="Normal 24" xfId="179" xr:uid="{00000000-0005-0000-0000-00000F030000}"/>
    <cellStyle name="Normal 24 2" xfId="504" xr:uid="{00000000-0005-0000-0000-000010030000}"/>
    <cellStyle name="Normal 24 2 2" xfId="972" xr:uid="{00000000-0005-0000-0000-000011030000}"/>
    <cellStyle name="Normal 24 2 3" xfId="973" xr:uid="{00000000-0005-0000-0000-000012030000}"/>
    <cellStyle name="Normal 24 3" xfId="974" xr:uid="{00000000-0005-0000-0000-000013030000}"/>
    <cellStyle name="Normal 24 3 2" xfId="975" xr:uid="{00000000-0005-0000-0000-000014030000}"/>
    <cellStyle name="Normal 24 4" xfId="976" xr:uid="{00000000-0005-0000-0000-000015030000}"/>
    <cellStyle name="Normal 25" xfId="180" xr:uid="{00000000-0005-0000-0000-000016030000}"/>
    <cellStyle name="Normal 25 2" xfId="977" xr:uid="{00000000-0005-0000-0000-000017030000}"/>
    <cellStyle name="Normal 25 2 2" xfId="978" xr:uid="{00000000-0005-0000-0000-000018030000}"/>
    <cellStyle name="Normal 25 3" xfId="979" xr:uid="{00000000-0005-0000-0000-000019030000}"/>
    <cellStyle name="Normal 25 4" xfId="980" xr:uid="{00000000-0005-0000-0000-00001A030000}"/>
    <cellStyle name="Normal 26" xfId="181" xr:uid="{00000000-0005-0000-0000-00001B030000}"/>
    <cellStyle name="Normal 26 2" xfId="981" xr:uid="{00000000-0005-0000-0000-00001C030000}"/>
    <cellStyle name="Normal 26 2 2" xfId="982" xr:uid="{00000000-0005-0000-0000-00001D030000}"/>
    <cellStyle name="Normal 26 3" xfId="983" xr:uid="{00000000-0005-0000-0000-00001E030000}"/>
    <cellStyle name="Normal 26 4" xfId="984" xr:uid="{00000000-0005-0000-0000-00001F030000}"/>
    <cellStyle name="Normal 27" xfId="182" xr:uid="{00000000-0005-0000-0000-000020030000}"/>
    <cellStyle name="Normal 27 2" xfId="505" xr:uid="{00000000-0005-0000-0000-000021030000}"/>
    <cellStyle name="Normal 27 2 2" xfId="985" xr:uid="{00000000-0005-0000-0000-000022030000}"/>
    <cellStyle name="Normal 27 2 2 2" xfId="986" xr:uid="{00000000-0005-0000-0000-000023030000}"/>
    <cellStyle name="Normal 27 3" xfId="987" xr:uid="{00000000-0005-0000-0000-000024030000}"/>
    <cellStyle name="Normal 27 3 2" xfId="988" xr:uid="{00000000-0005-0000-0000-000025030000}"/>
    <cellStyle name="Normal 27 4" xfId="989" xr:uid="{00000000-0005-0000-0000-000026030000}"/>
    <cellStyle name="Normal 27 5" xfId="990" xr:uid="{00000000-0005-0000-0000-000027030000}"/>
    <cellStyle name="Normal 28" xfId="183" xr:uid="{00000000-0005-0000-0000-000028030000}"/>
    <cellStyle name="Normal 28 2" xfId="991" xr:uid="{00000000-0005-0000-0000-000029030000}"/>
    <cellStyle name="Normal 28 2 2" xfId="992" xr:uid="{00000000-0005-0000-0000-00002A030000}"/>
    <cellStyle name="Normal 28 3" xfId="993" xr:uid="{00000000-0005-0000-0000-00002B030000}"/>
    <cellStyle name="Normal 28 4" xfId="994" xr:uid="{00000000-0005-0000-0000-00002C030000}"/>
    <cellStyle name="Normal 29" xfId="184" xr:uid="{00000000-0005-0000-0000-00002D030000}"/>
    <cellStyle name="Normal 29 2" xfId="995" xr:uid="{00000000-0005-0000-0000-00002E030000}"/>
    <cellStyle name="Normal 29 3" xfId="996" xr:uid="{00000000-0005-0000-0000-00002F030000}"/>
    <cellStyle name="Normal 29 4" xfId="997" xr:uid="{00000000-0005-0000-0000-000030030000}"/>
    <cellStyle name="Normal 3" xfId="185" xr:uid="{00000000-0005-0000-0000-000031030000}"/>
    <cellStyle name="Normal 3 2" xfId="186" xr:uid="{00000000-0005-0000-0000-000032030000}"/>
    <cellStyle name="Normal 3 2 2" xfId="506" xr:uid="{00000000-0005-0000-0000-000033030000}"/>
    <cellStyle name="Normal 3 2 2 2" xfId="998" xr:uid="{00000000-0005-0000-0000-000034030000}"/>
    <cellStyle name="Normal 3 2 2 2 2" xfId="999" xr:uid="{00000000-0005-0000-0000-000035030000}"/>
    <cellStyle name="Normal 3 2 3" xfId="1000" xr:uid="{00000000-0005-0000-0000-000036030000}"/>
    <cellStyle name="Normal 3 2 3 2" xfId="1001" xr:uid="{00000000-0005-0000-0000-000037030000}"/>
    <cellStyle name="Normal 3 3" xfId="187" xr:uid="{00000000-0005-0000-0000-000038030000}"/>
    <cellStyle name="Normal 3 3 2" xfId="507" xr:uid="{00000000-0005-0000-0000-000039030000}"/>
    <cellStyle name="Normal 3 3 2 2" xfId="1002" xr:uid="{00000000-0005-0000-0000-00003A030000}"/>
    <cellStyle name="Normal 3 3 3" xfId="1003" xr:uid="{00000000-0005-0000-0000-00003B030000}"/>
    <cellStyle name="Normal 3 3 4" xfId="1004" xr:uid="{00000000-0005-0000-0000-00003C030000}"/>
    <cellStyle name="Normal 3 4" xfId="508" xr:uid="{00000000-0005-0000-0000-00003D030000}"/>
    <cellStyle name="Normal 3 4 2" xfId="556" xr:uid="{00000000-0005-0000-0000-00003E030000}"/>
    <cellStyle name="Normal 3_2012 PR" xfId="188" xr:uid="{00000000-0005-0000-0000-00003F030000}"/>
    <cellStyle name="Normal 30" xfId="189" xr:uid="{00000000-0005-0000-0000-000040030000}"/>
    <cellStyle name="Normal 30 2" xfId="1005" xr:uid="{00000000-0005-0000-0000-000041030000}"/>
    <cellStyle name="Normal 30 3" xfId="1006" xr:uid="{00000000-0005-0000-0000-000042030000}"/>
    <cellStyle name="Normal 30 4" xfId="1007" xr:uid="{00000000-0005-0000-0000-000043030000}"/>
    <cellStyle name="Normal 31" xfId="190" xr:uid="{00000000-0005-0000-0000-000044030000}"/>
    <cellStyle name="Normal 31 2" xfId="509" xr:uid="{00000000-0005-0000-0000-000045030000}"/>
    <cellStyle name="Normal 31 2 2" xfId="1008" xr:uid="{00000000-0005-0000-0000-000046030000}"/>
    <cellStyle name="Normal 31 2 2 2" xfId="1009" xr:uid="{00000000-0005-0000-0000-000047030000}"/>
    <cellStyle name="Normal 31 2 3" xfId="1010" xr:uid="{00000000-0005-0000-0000-000048030000}"/>
    <cellStyle name="Normal 31 3" xfId="1011" xr:uid="{00000000-0005-0000-0000-000049030000}"/>
    <cellStyle name="Normal 31 3 2" xfId="1012" xr:uid="{00000000-0005-0000-0000-00004A030000}"/>
    <cellStyle name="Normal 31 3 3" xfId="1013" xr:uid="{00000000-0005-0000-0000-00004B030000}"/>
    <cellStyle name="Normal 31 4" xfId="1014" xr:uid="{00000000-0005-0000-0000-00004C030000}"/>
    <cellStyle name="Normal 31 4 2" xfId="1015" xr:uid="{00000000-0005-0000-0000-00004D030000}"/>
    <cellStyle name="Normal 32" xfId="191" xr:uid="{00000000-0005-0000-0000-00004E030000}"/>
    <cellStyle name="Normal 32 2" xfId="1016" xr:uid="{00000000-0005-0000-0000-00004F030000}"/>
    <cellStyle name="Normal 32 2 2" xfId="1017" xr:uid="{00000000-0005-0000-0000-000050030000}"/>
    <cellStyle name="Normal 32 2 2 2" xfId="1018" xr:uid="{00000000-0005-0000-0000-000051030000}"/>
    <cellStyle name="Normal 32 2 3" xfId="1019" xr:uid="{00000000-0005-0000-0000-000052030000}"/>
    <cellStyle name="Normal 32 3" xfId="1020" xr:uid="{00000000-0005-0000-0000-000053030000}"/>
    <cellStyle name="Normal 32 3 2" xfId="1021" xr:uid="{00000000-0005-0000-0000-000054030000}"/>
    <cellStyle name="Normal 32 4" xfId="1022" xr:uid="{00000000-0005-0000-0000-000055030000}"/>
    <cellStyle name="Normal 32 4 2" xfId="1023" xr:uid="{00000000-0005-0000-0000-000056030000}"/>
    <cellStyle name="Normal 33" xfId="192" xr:uid="{00000000-0005-0000-0000-000057030000}"/>
    <cellStyle name="Normal 33 2" xfId="1024" xr:uid="{00000000-0005-0000-0000-000058030000}"/>
    <cellStyle name="Normal 33 3" xfId="1025" xr:uid="{00000000-0005-0000-0000-000059030000}"/>
    <cellStyle name="Normal 34" xfId="193" xr:uid="{00000000-0005-0000-0000-00005A030000}"/>
    <cellStyle name="Normal 34 2" xfId="1026" xr:uid="{00000000-0005-0000-0000-00005B030000}"/>
    <cellStyle name="Normal 34 3" xfId="1027" xr:uid="{00000000-0005-0000-0000-00005C030000}"/>
    <cellStyle name="Normal 35" xfId="194" xr:uid="{00000000-0005-0000-0000-00005D030000}"/>
    <cellStyle name="Normal 35 2" xfId="1028" xr:uid="{00000000-0005-0000-0000-00005E030000}"/>
    <cellStyle name="Normal 35 2 2" xfId="1029" xr:uid="{00000000-0005-0000-0000-00005F030000}"/>
    <cellStyle name="Normal 35 3" xfId="1030" xr:uid="{00000000-0005-0000-0000-000060030000}"/>
    <cellStyle name="Normal 35 3 2" xfId="1031" xr:uid="{00000000-0005-0000-0000-000061030000}"/>
    <cellStyle name="Normal 36" xfId="195" xr:uid="{00000000-0005-0000-0000-000062030000}"/>
    <cellStyle name="Normal 36 2" xfId="1032" xr:uid="{00000000-0005-0000-0000-000063030000}"/>
    <cellStyle name="Normal 36 2 2" xfId="1033" xr:uid="{00000000-0005-0000-0000-000064030000}"/>
    <cellStyle name="Normal 36 3" xfId="1034" xr:uid="{00000000-0005-0000-0000-000065030000}"/>
    <cellStyle name="Normal 37" xfId="196" xr:uid="{00000000-0005-0000-0000-000066030000}"/>
    <cellStyle name="Normal 37 2" xfId="1035" xr:uid="{00000000-0005-0000-0000-000067030000}"/>
    <cellStyle name="Normal 37 2 2" xfId="1036" xr:uid="{00000000-0005-0000-0000-000068030000}"/>
    <cellStyle name="Normal 37 3" xfId="1037" xr:uid="{00000000-0005-0000-0000-000069030000}"/>
    <cellStyle name="Normal 38" xfId="197" xr:uid="{00000000-0005-0000-0000-00006A030000}"/>
    <cellStyle name="Normal 38 2" xfId="1038" xr:uid="{00000000-0005-0000-0000-00006B030000}"/>
    <cellStyle name="Normal 38 2 2" xfId="1039" xr:uid="{00000000-0005-0000-0000-00006C030000}"/>
    <cellStyle name="Normal 38 3" xfId="1040" xr:uid="{00000000-0005-0000-0000-00006D030000}"/>
    <cellStyle name="Normal 39" xfId="198" xr:uid="{00000000-0005-0000-0000-00006E030000}"/>
    <cellStyle name="Normal 39 2" xfId="1041" xr:uid="{00000000-0005-0000-0000-00006F030000}"/>
    <cellStyle name="Normal 39 2 2" xfId="1042" xr:uid="{00000000-0005-0000-0000-000070030000}"/>
    <cellStyle name="Normal 39 3" xfId="1043" xr:uid="{00000000-0005-0000-0000-000071030000}"/>
    <cellStyle name="Normal 4" xfId="199" xr:uid="{00000000-0005-0000-0000-000072030000}"/>
    <cellStyle name="Normal 4 2" xfId="200" xr:uid="{00000000-0005-0000-0000-000073030000}"/>
    <cellStyle name="Normal 4 2 2" xfId="510" xr:uid="{00000000-0005-0000-0000-000074030000}"/>
    <cellStyle name="Normal 4 2 2 2" xfId="1044" xr:uid="{00000000-0005-0000-0000-000075030000}"/>
    <cellStyle name="Normal 4 2 3" xfId="1045" xr:uid="{00000000-0005-0000-0000-000076030000}"/>
    <cellStyle name="Normal 4 2 4" xfId="1046" xr:uid="{00000000-0005-0000-0000-000077030000}"/>
    <cellStyle name="Normal 4 3" xfId="511" xr:uid="{00000000-0005-0000-0000-000078030000}"/>
    <cellStyle name="Normal 4 3 2" xfId="512" xr:uid="{00000000-0005-0000-0000-000079030000}"/>
    <cellStyle name="Normal 4 3 2 2" xfId="1047" xr:uid="{00000000-0005-0000-0000-00007A030000}"/>
    <cellStyle name="Normal 4 3 3" xfId="1048" xr:uid="{00000000-0005-0000-0000-00007B030000}"/>
    <cellStyle name="Normal 4 4" xfId="1049" xr:uid="{00000000-0005-0000-0000-00007C030000}"/>
    <cellStyle name="Normal 4 4 2" xfId="1050" xr:uid="{00000000-0005-0000-0000-00007D030000}"/>
    <cellStyle name="Normal 4 5" xfId="1051" xr:uid="{00000000-0005-0000-0000-00007E030000}"/>
    <cellStyle name="Normal 4_B&amp;O Taxes" xfId="1052" xr:uid="{00000000-0005-0000-0000-00007F030000}"/>
    <cellStyle name="Normal 40" xfId="201" xr:uid="{00000000-0005-0000-0000-000080030000}"/>
    <cellStyle name="Normal 40 2" xfId="1053" xr:uid="{00000000-0005-0000-0000-000081030000}"/>
    <cellStyle name="Normal 40 2 2" xfId="1054" xr:uid="{00000000-0005-0000-0000-000082030000}"/>
    <cellStyle name="Normal 40 3" xfId="1055" xr:uid="{00000000-0005-0000-0000-000083030000}"/>
    <cellStyle name="Normal 41" xfId="202" xr:uid="{00000000-0005-0000-0000-000084030000}"/>
    <cellStyle name="Normal 41 2" xfId="1056" xr:uid="{00000000-0005-0000-0000-000085030000}"/>
    <cellStyle name="Normal 41 2 2" xfId="1057" xr:uid="{00000000-0005-0000-0000-000086030000}"/>
    <cellStyle name="Normal 41 3" xfId="1058" xr:uid="{00000000-0005-0000-0000-000087030000}"/>
    <cellStyle name="Normal 42" xfId="203" xr:uid="{00000000-0005-0000-0000-000088030000}"/>
    <cellStyle name="Normal 42 2" xfId="1059" xr:uid="{00000000-0005-0000-0000-000089030000}"/>
    <cellStyle name="Normal 42 3" xfId="1060" xr:uid="{00000000-0005-0000-0000-00008A030000}"/>
    <cellStyle name="Normal 43" xfId="204" xr:uid="{00000000-0005-0000-0000-00008B030000}"/>
    <cellStyle name="Normal 43 2" xfId="1061" xr:uid="{00000000-0005-0000-0000-00008C030000}"/>
    <cellStyle name="Normal 43 3" xfId="1062" xr:uid="{00000000-0005-0000-0000-00008D030000}"/>
    <cellStyle name="Normal 44" xfId="205" xr:uid="{00000000-0005-0000-0000-00008E030000}"/>
    <cellStyle name="Normal 44 2" xfId="1063" xr:uid="{00000000-0005-0000-0000-00008F030000}"/>
    <cellStyle name="Normal 44 2 2" xfId="1064" xr:uid="{00000000-0005-0000-0000-000090030000}"/>
    <cellStyle name="Normal 44 3" xfId="1065" xr:uid="{00000000-0005-0000-0000-000091030000}"/>
    <cellStyle name="Normal 45" xfId="206" xr:uid="{00000000-0005-0000-0000-000092030000}"/>
    <cellStyle name="Normal 45 2" xfId="1066" xr:uid="{00000000-0005-0000-0000-000093030000}"/>
    <cellStyle name="Normal 45 3" xfId="1067" xr:uid="{00000000-0005-0000-0000-000094030000}"/>
    <cellStyle name="Normal 46" xfId="207" xr:uid="{00000000-0005-0000-0000-000095030000}"/>
    <cellStyle name="Normal 46 2" xfId="1068" xr:uid="{00000000-0005-0000-0000-000096030000}"/>
    <cellStyle name="Normal 46 3" xfId="1069" xr:uid="{00000000-0005-0000-0000-000097030000}"/>
    <cellStyle name="Normal 47" xfId="208" xr:uid="{00000000-0005-0000-0000-000098030000}"/>
    <cellStyle name="Normal 47 2" xfId="1070" xr:uid="{00000000-0005-0000-0000-000099030000}"/>
    <cellStyle name="Normal 47 3" xfId="1071" xr:uid="{00000000-0005-0000-0000-00009A030000}"/>
    <cellStyle name="Normal 48" xfId="209" xr:uid="{00000000-0005-0000-0000-00009B030000}"/>
    <cellStyle name="Normal 48 2" xfId="1072" xr:uid="{00000000-0005-0000-0000-00009C030000}"/>
    <cellStyle name="Normal 48 3" xfId="1073" xr:uid="{00000000-0005-0000-0000-00009D030000}"/>
    <cellStyle name="Normal 49" xfId="210" xr:uid="{00000000-0005-0000-0000-00009E030000}"/>
    <cellStyle name="Normal 49 2" xfId="1074" xr:uid="{00000000-0005-0000-0000-00009F030000}"/>
    <cellStyle name="Normal 49 3" xfId="1075" xr:uid="{00000000-0005-0000-0000-0000A0030000}"/>
    <cellStyle name="Normal 5" xfId="211" xr:uid="{00000000-0005-0000-0000-0000A1030000}"/>
    <cellStyle name="Normal 5 2" xfId="212" xr:uid="{00000000-0005-0000-0000-0000A2030000}"/>
    <cellStyle name="Normal 5 2 2" xfId="1076" xr:uid="{00000000-0005-0000-0000-0000A3030000}"/>
    <cellStyle name="Normal 5 2 2 2" xfId="1077" xr:uid="{00000000-0005-0000-0000-0000A4030000}"/>
    <cellStyle name="Normal 5 2 2 2 2" xfId="1078" xr:uid="{00000000-0005-0000-0000-0000A5030000}"/>
    <cellStyle name="Normal 5 2 2 3" xfId="1079" xr:uid="{00000000-0005-0000-0000-0000A6030000}"/>
    <cellStyle name="Normal 5 2 3" xfId="1080" xr:uid="{00000000-0005-0000-0000-0000A7030000}"/>
    <cellStyle name="Normal 5 2 3 2" xfId="1081" xr:uid="{00000000-0005-0000-0000-0000A8030000}"/>
    <cellStyle name="Normal 5 2 4" xfId="1082" xr:uid="{00000000-0005-0000-0000-0000A9030000}"/>
    <cellStyle name="Normal 5 3" xfId="513" xr:uid="{00000000-0005-0000-0000-0000AA030000}"/>
    <cellStyle name="Normal 5 3 2" xfId="1083" xr:uid="{00000000-0005-0000-0000-0000AB030000}"/>
    <cellStyle name="Normal 5 3 2 2" xfId="1084" xr:uid="{00000000-0005-0000-0000-0000AC030000}"/>
    <cellStyle name="Normal 5 3 3" xfId="1085" xr:uid="{00000000-0005-0000-0000-0000AD030000}"/>
    <cellStyle name="Normal 5 4" xfId="514" xr:uid="{00000000-0005-0000-0000-0000AE030000}"/>
    <cellStyle name="Normal 5 4 2" xfId="1086" xr:uid="{00000000-0005-0000-0000-0000AF030000}"/>
    <cellStyle name="Normal 5 5" xfId="1087" xr:uid="{00000000-0005-0000-0000-0000B0030000}"/>
    <cellStyle name="Normal 5_2112 DF Schedule" xfId="213" xr:uid="{00000000-0005-0000-0000-0000B1030000}"/>
    <cellStyle name="Normal 50" xfId="214" xr:uid="{00000000-0005-0000-0000-0000B2030000}"/>
    <cellStyle name="Normal 50 2" xfId="1088" xr:uid="{00000000-0005-0000-0000-0000B3030000}"/>
    <cellStyle name="Normal 50 3" xfId="1089" xr:uid="{00000000-0005-0000-0000-0000B4030000}"/>
    <cellStyle name="Normal 51" xfId="215" xr:uid="{00000000-0005-0000-0000-0000B5030000}"/>
    <cellStyle name="Normal 51 2" xfId="1090" xr:uid="{00000000-0005-0000-0000-0000B6030000}"/>
    <cellStyle name="Normal 51 3" xfId="1091" xr:uid="{00000000-0005-0000-0000-0000B7030000}"/>
    <cellStyle name="Normal 52" xfId="216" xr:uid="{00000000-0005-0000-0000-0000B8030000}"/>
    <cellStyle name="Normal 52 2" xfId="1092" xr:uid="{00000000-0005-0000-0000-0000B9030000}"/>
    <cellStyle name="Normal 52 3" xfId="1093" xr:uid="{00000000-0005-0000-0000-0000BA030000}"/>
    <cellStyle name="Normal 53" xfId="217" xr:uid="{00000000-0005-0000-0000-0000BB030000}"/>
    <cellStyle name="Normal 53 2" xfId="1094" xr:uid="{00000000-0005-0000-0000-0000BC030000}"/>
    <cellStyle name="Normal 53 3" xfId="1095" xr:uid="{00000000-0005-0000-0000-0000BD030000}"/>
    <cellStyle name="Normal 54" xfId="218" xr:uid="{00000000-0005-0000-0000-0000BE030000}"/>
    <cellStyle name="Normal 54 2" xfId="1096" xr:uid="{00000000-0005-0000-0000-0000BF030000}"/>
    <cellStyle name="Normal 54 3" xfId="1097" xr:uid="{00000000-0005-0000-0000-0000C0030000}"/>
    <cellStyle name="Normal 55" xfId="219" xr:uid="{00000000-0005-0000-0000-0000C1030000}"/>
    <cellStyle name="Normal 55 2" xfId="1098" xr:uid="{00000000-0005-0000-0000-0000C2030000}"/>
    <cellStyle name="Normal 55 3" xfId="1099" xr:uid="{00000000-0005-0000-0000-0000C3030000}"/>
    <cellStyle name="Normal 56" xfId="220" xr:uid="{00000000-0005-0000-0000-0000C4030000}"/>
    <cellStyle name="Normal 56 2" xfId="1100" xr:uid="{00000000-0005-0000-0000-0000C5030000}"/>
    <cellStyle name="Normal 56 3" xfId="1101" xr:uid="{00000000-0005-0000-0000-0000C6030000}"/>
    <cellStyle name="Normal 57" xfId="221" xr:uid="{00000000-0005-0000-0000-0000C7030000}"/>
    <cellStyle name="Normal 57 2" xfId="1102" xr:uid="{00000000-0005-0000-0000-0000C8030000}"/>
    <cellStyle name="Normal 57 3" xfId="1103" xr:uid="{00000000-0005-0000-0000-0000C9030000}"/>
    <cellStyle name="Normal 58" xfId="222" xr:uid="{00000000-0005-0000-0000-0000CA030000}"/>
    <cellStyle name="Normal 58 2" xfId="1104" xr:uid="{00000000-0005-0000-0000-0000CB030000}"/>
    <cellStyle name="Normal 58 3" xfId="1105" xr:uid="{00000000-0005-0000-0000-0000CC030000}"/>
    <cellStyle name="Normal 59" xfId="223" xr:uid="{00000000-0005-0000-0000-0000CD030000}"/>
    <cellStyle name="Normal 59 2" xfId="1106" xr:uid="{00000000-0005-0000-0000-0000CE030000}"/>
    <cellStyle name="Normal 59 3" xfId="1107" xr:uid="{00000000-0005-0000-0000-0000CF030000}"/>
    <cellStyle name="Normal 6" xfId="224" xr:uid="{00000000-0005-0000-0000-0000D0030000}"/>
    <cellStyle name="Normal 6 2" xfId="313" xr:uid="{00000000-0005-0000-0000-0000D1030000}"/>
    <cellStyle name="Normal 6 2 2" xfId="515" xr:uid="{00000000-0005-0000-0000-0000D2030000}"/>
    <cellStyle name="Normal 6 2 2 2" xfId="1108" xr:uid="{00000000-0005-0000-0000-0000D3030000}"/>
    <cellStyle name="Normal 6 2 2 2 2" xfId="1109" xr:uid="{00000000-0005-0000-0000-0000D4030000}"/>
    <cellStyle name="Normal 6 2 2 3" xfId="1110" xr:uid="{00000000-0005-0000-0000-0000D5030000}"/>
    <cellStyle name="Normal 6 2 3" xfId="1111" xr:uid="{00000000-0005-0000-0000-0000D6030000}"/>
    <cellStyle name="Normal 6 2 3 2" xfId="1112" xr:uid="{00000000-0005-0000-0000-0000D7030000}"/>
    <cellStyle name="Normal 6 2 4" xfId="1113" xr:uid="{00000000-0005-0000-0000-0000D8030000}"/>
    <cellStyle name="Normal 6 3" xfId="516" xr:uid="{00000000-0005-0000-0000-0000D9030000}"/>
    <cellStyle name="Normal 6 3 2" xfId="1114" xr:uid="{00000000-0005-0000-0000-0000DA030000}"/>
    <cellStyle name="Normal 6 3 2 2" xfId="1115" xr:uid="{00000000-0005-0000-0000-0000DB030000}"/>
    <cellStyle name="Normal 6 3 3" xfId="1116" xr:uid="{00000000-0005-0000-0000-0000DC030000}"/>
    <cellStyle name="Normal 6 4" xfId="1117" xr:uid="{00000000-0005-0000-0000-0000DD030000}"/>
    <cellStyle name="Normal 6 4 2" xfId="1118" xr:uid="{00000000-0005-0000-0000-0000DE030000}"/>
    <cellStyle name="Normal 6 5" xfId="1119" xr:uid="{00000000-0005-0000-0000-0000DF030000}"/>
    <cellStyle name="Normal 60" xfId="225" xr:uid="{00000000-0005-0000-0000-0000E0030000}"/>
    <cellStyle name="Normal 60 2" xfId="1120" xr:uid="{00000000-0005-0000-0000-0000E1030000}"/>
    <cellStyle name="Normal 60 3" xfId="1121" xr:uid="{00000000-0005-0000-0000-0000E2030000}"/>
    <cellStyle name="Normal 61" xfId="226" xr:uid="{00000000-0005-0000-0000-0000E3030000}"/>
    <cellStyle name="Normal 61 2" xfId="1122" xr:uid="{00000000-0005-0000-0000-0000E4030000}"/>
    <cellStyle name="Normal 61 3" xfId="1123" xr:uid="{00000000-0005-0000-0000-0000E5030000}"/>
    <cellStyle name="Normal 62" xfId="227" xr:uid="{00000000-0005-0000-0000-0000E6030000}"/>
    <cellStyle name="Normal 62 2" xfId="1124" xr:uid="{00000000-0005-0000-0000-0000E7030000}"/>
    <cellStyle name="Normal 62 3" xfId="1125" xr:uid="{00000000-0005-0000-0000-0000E8030000}"/>
    <cellStyle name="Normal 63" xfId="228" xr:uid="{00000000-0005-0000-0000-0000E9030000}"/>
    <cellStyle name="Normal 63 2" xfId="1126" xr:uid="{00000000-0005-0000-0000-0000EA030000}"/>
    <cellStyle name="Normal 63 3" xfId="1127" xr:uid="{00000000-0005-0000-0000-0000EB030000}"/>
    <cellStyle name="Normal 64" xfId="229" xr:uid="{00000000-0005-0000-0000-0000EC030000}"/>
    <cellStyle name="Normal 64 2" xfId="1128" xr:uid="{00000000-0005-0000-0000-0000ED030000}"/>
    <cellStyle name="Normal 64 3" xfId="1129" xr:uid="{00000000-0005-0000-0000-0000EE030000}"/>
    <cellStyle name="Normal 65" xfId="230" xr:uid="{00000000-0005-0000-0000-0000EF030000}"/>
    <cellStyle name="Normal 65 2" xfId="1130" xr:uid="{00000000-0005-0000-0000-0000F0030000}"/>
    <cellStyle name="Normal 65 3" xfId="1131" xr:uid="{00000000-0005-0000-0000-0000F1030000}"/>
    <cellStyle name="Normal 66" xfId="231" xr:uid="{00000000-0005-0000-0000-0000F2030000}"/>
    <cellStyle name="Normal 66 2" xfId="1132" xr:uid="{00000000-0005-0000-0000-0000F3030000}"/>
    <cellStyle name="Normal 66 3" xfId="1133" xr:uid="{00000000-0005-0000-0000-0000F4030000}"/>
    <cellStyle name="Normal 67" xfId="232" xr:uid="{00000000-0005-0000-0000-0000F5030000}"/>
    <cellStyle name="Normal 67 2" xfId="1134" xr:uid="{00000000-0005-0000-0000-0000F6030000}"/>
    <cellStyle name="Normal 67 3" xfId="1135" xr:uid="{00000000-0005-0000-0000-0000F7030000}"/>
    <cellStyle name="Normal 68" xfId="233" xr:uid="{00000000-0005-0000-0000-0000F8030000}"/>
    <cellStyle name="Normal 68 2" xfId="1136" xr:uid="{00000000-0005-0000-0000-0000F9030000}"/>
    <cellStyle name="Normal 68 3" xfId="1137" xr:uid="{00000000-0005-0000-0000-0000FA030000}"/>
    <cellStyle name="Normal 69" xfId="234" xr:uid="{00000000-0005-0000-0000-0000FB030000}"/>
    <cellStyle name="Normal 69 2" xfId="1138" xr:uid="{00000000-0005-0000-0000-0000FC030000}"/>
    <cellStyle name="Normal 69 3" xfId="1139" xr:uid="{00000000-0005-0000-0000-0000FD030000}"/>
    <cellStyle name="Normal 7" xfId="235" xr:uid="{00000000-0005-0000-0000-0000FE030000}"/>
    <cellStyle name="Normal 7 2" xfId="236" xr:uid="{00000000-0005-0000-0000-0000FF030000}"/>
    <cellStyle name="Normal 7 2 2" xfId="517" xr:uid="{00000000-0005-0000-0000-000000040000}"/>
    <cellStyle name="Normal 7 2 2 2" xfId="1140" xr:uid="{00000000-0005-0000-0000-000001040000}"/>
    <cellStyle name="Normal 7 2 2 2 2" xfId="1141" xr:uid="{00000000-0005-0000-0000-000002040000}"/>
    <cellStyle name="Normal 7 2 2 2 2 2" xfId="1142" xr:uid="{00000000-0005-0000-0000-000003040000}"/>
    <cellStyle name="Normal 7 2 2 2 3" xfId="1143" xr:uid="{00000000-0005-0000-0000-000004040000}"/>
    <cellStyle name="Normal 7 2 2 3" xfId="1144" xr:uid="{00000000-0005-0000-0000-000005040000}"/>
    <cellStyle name="Normal 7 2 2 3 2" xfId="1145" xr:uid="{00000000-0005-0000-0000-000006040000}"/>
    <cellStyle name="Normal 7 2 2 4" xfId="1146" xr:uid="{00000000-0005-0000-0000-000007040000}"/>
    <cellStyle name="Normal 7 2 3" xfId="1147" xr:uid="{00000000-0005-0000-0000-000008040000}"/>
    <cellStyle name="Normal 7 2 3 2" xfId="1148" xr:uid="{00000000-0005-0000-0000-000009040000}"/>
    <cellStyle name="Normal 7 2 3 2 2" xfId="1149" xr:uid="{00000000-0005-0000-0000-00000A040000}"/>
    <cellStyle name="Normal 7 2 3 3" xfId="1150" xr:uid="{00000000-0005-0000-0000-00000B040000}"/>
    <cellStyle name="Normal 7 2 4" xfId="1151" xr:uid="{00000000-0005-0000-0000-00000C040000}"/>
    <cellStyle name="Normal 7 2 4 2" xfId="1152" xr:uid="{00000000-0005-0000-0000-00000D040000}"/>
    <cellStyle name="Normal 7 2 5" xfId="1153" xr:uid="{00000000-0005-0000-0000-00000E040000}"/>
    <cellStyle name="Normal 7 3" xfId="1154" xr:uid="{00000000-0005-0000-0000-00000F040000}"/>
    <cellStyle name="Normal 7 3 2" xfId="1155" xr:uid="{00000000-0005-0000-0000-000010040000}"/>
    <cellStyle name="Normal 7 3 2 2" xfId="1156" xr:uid="{00000000-0005-0000-0000-000011040000}"/>
    <cellStyle name="Normal 7 3 2 2 2" xfId="1157" xr:uid="{00000000-0005-0000-0000-000012040000}"/>
    <cellStyle name="Normal 7 3 2 3" xfId="1158" xr:uid="{00000000-0005-0000-0000-000013040000}"/>
    <cellStyle name="Normal 7 3 3" xfId="1159" xr:uid="{00000000-0005-0000-0000-000014040000}"/>
    <cellStyle name="Normal 7 3 3 2" xfId="1160" xr:uid="{00000000-0005-0000-0000-000015040000}"/>
    <cellStyle name="Normal 7 3 4" xfId="1161" xr:uid="{00000000-0005-0000-0000-000016040000}"/>
    <cellStyle name="Normal 7 4" xfId="1162" xr:uid="{00000000-0005-0000-0000-000017040000}"/>
    <cellStyle name="Normal 7 4 2" xfId="1163" xr:uid="{00000000-0005-0000-0000-000018040000}"/>
    <cellStyle name="Normal 7 4 2 2" xfId="1164" xr:uid="{00000000-0005-0000-0000-000019040000}"/>
    <cellStyle name="Normal 7 4 3" xfId="1165" xr:uid="{00000000-0005-0000-0000-00001A040000}"/>
    <cellStyle name="Normal 7 5" xfId="1166" xr:uid="{00000000-0005-0000-0000-00001B040000}"/>
    <cellStyle name="Normal 7 5 2" xfId="1167" xr:uid="{00000000-0005-0000-0000-00001C040000}"/>
    <cellStyle name="Normal 7 6" xfId="1168" xr:uid="{00000000-0005-0000-0000-00001D040000}"/>
    <cellStyle name="Normal 70" xfId="237" xr:uid="{00000000-0005-0000-0000-00001E040000}"/>
    <cellStyle name="Normal 70 2" xfId="1169" xr:uid="{00000000-0005-0000-0000-00001F040000}"/>
    <cellStyle name="Normal 70 3" xfId="1170" xr:uid="{00000000-0005-0000-0000-000020040000}"/>
    <cellStyle name="Normal 71" xfId="238" xr:uid="{00000000-0005-0000-0000-000021040000}"/>
    <cellStyle name="Normal 72" xfId="239" xr:uid="{00000000-0005-0000-0000-000022040000}"/>
    <cellStyle name="Normal 73" xfId="240" xr:uid="{00000000-0005-0000-0000-000023040000}"/>
    <cellStyle name="Normal 74" xfId="241" xr:uid="{00000000-0005-0000-0000-000024040000}"/>
    <cellStyle name="Normal 75" xfId="242" xr:uid="{00000000-0005-0000-0000-000025040000}"/>
    <cellStyle name="Normal 76" xfId="243" xr:uid="{00000000-0005-0000-0000-000026040000}"/>
    <cellStyle name="Normal 77" xfId="244" xr:uid="{00000000-0005-0000-0000-000027040000}"/>
    <cellStyle name="Normal 78" xfId="245" xr:uid="{00000000-0005-0000-0000-000028040000}"/>
    <cellStyle name="Normal 79" xfId="246" xr:uid="{00000000-0005-0000-0000-000029040000}"/>
    <cellStyle name="Normal 8" xfId="247" xr:uid="{00000000-0005-0000-0000-00002A040000}"/>
    <cellStyle name="Normal 8 2" xfId="518" xr:uid="{00000000-0005-0000-0000-00002B040000}"/>
    <cellStyle name="Normal 8 2 2" xfId="519" xr:uid="{00000000-0005-0000-0000-00002C040000}"/>
    <cellStyle name="Normal 8 2 2 2" xfId="1171" xr:uid="{00000000-0005-0000-0000-00002D040000}"/>
    <cellStyle name="Normal 8 2 2 2 2" xfId="1172" xr:uid="{00000000-0005-0000-0000-00002E040000}"/>
    <cellStyle name="Normal 8 2 2 3" xfId="1173" xr:uid="{00000000-0005-0000-0000-00002F040000}"/>
    <cellStyle name="Normal 8 2 3" xfId="1174" xr:uid="{00000000-0005-0000-0000-000030040000}"/>
    <cellStyle name="Normal 8 2 3 2" xfId="1175" xr:uid="{00000000-0005-0000-0000-000031040000}"/>
    <cellStyle name="Normal 8 2 4" xfId="1176" xr:uid="{00000000-0005-0000-0000-000032040000}"/>
    <cellStyle name="Normal 8 3" xfId="1177" xr:uid="{00000000-0005-0000-0000-000033040000}"/>
    <cellStyle name="Normal 8 3 2" xfId="1178" xr:uid="{00000000-0005-0000-0000-000034040000}"/>
    <cellStyle name="Normal 8 3 2 2" xfId="1179" xr:uid="{00000000-0005-0000-0000-000035040000}"/>
    <cellStyle name="Normal 8 3 3" xfId="1180" xr:uid="{00000000-0005-0000-0000-000036040000}"/>
    <cellStyle name="Normal 8 4" xfId="1181" xr:uid="{00000000-0005-0000-0000-000037040000}"/>
    <cellStyle name="Normal 8 4 2" xfId="1182" xr:uid="{00000000-0005-0000-0000-000038040000}"/>
    <cellStyle name="Normal 8 5" xfId="1183" xr:uid="{00000000-0005-0000-0000-000039040000}"/>
    <cellStyle name="Normal 80" xfId="248" xr:uid="{00000000-0005-0000-0000-00003A040000}"/>
    <cellStyle name="Normal 81" xfId="249" xr:uid="{00000000-0005-0000-0000-00003B040000}"/>
    <cellStyle name="Normal 82" xfId="250" xr:uid="{00000000-0005-0000-0000-00003C040000}"/>
    <cellStyle name="Normal 83" xfId="251" xr:uid="{00000000-0005-0000-0000-00003D040000}"/>
    <cellStyle name="Normal 84" xfId="252" xr:uid="{00000000-0005-0000-0000-00003E040000}"/>
    <cellStyle name="Normal 84 2" xfId="314" xr:uid="{00000000-0005-0000-0000-00003F040000}"/>
    <cellStyle name="Normal 84 3" xfId="520" xr:uid="{00000000-0005-0000-0000-000040040000}"/>
    <cellStyle name="Normal 85" xfId="253" xr:uid="{00000000-0005-0000-0000-000041040000}"/>
    <cellStyle name="Normal 85 2" xfId="521" xr:uid="{00000000-0005-0000-0000-000042040000}"/>
    <cellStyle name="Normal 85 2 2" xfId="1184" xr:uid="{00000000-0005-0000-0000-000043040000}"/>
    <cellStyle name="Normal 85 3" xfId="522" xr:uid="{00000000-0005-0000-0000-000044040000}"/>
    <cellStyle name="Normal 86" xfId="315" xr:uid="{00000000-0005-0000-0000-000045040000}"/>
    <cellStyle name="Normal 86 2" xfId="1185" xr:uid="{00000000-0005-0000-0000-000046040000}"/>
    <cellStyle name="Normal 86 3" xfId="1186" xr:uid="{00000000-0005-0000-0000-000047040000}"/>
    <cellStyle name="Normal 87" xfId="316" xr:uid="{00000000-0005-0000-0000-000048040000}"/>
    <cellStyle name="Normal 87 2" xfId="1187" xr:uid="{00000000-0005-0000-0000-000049040000}"/>
    <cellStyle name="Normal 88" xfId="317" xr:uid="{00000000-0005-0000-0000-00004A040000}"/>
    <cellStyle name="Normal 88 2" xfId="1188" xr:uid="{00000000-0005-0000-0000-00004B040000}"/>
    <cellStyle name="Normal 89" xfId="318" xr:uid="{00000000-0005-0000-0000-00004C040000}"/>
    <cellStyle name="Normal 9" xfId="254" xr:uid="{00000000-0005-0000-0000-00004D040000}"/>
    <cellStyle name="Normal 9 2" xfId="523" xr:uid="{00000000-0005-0000-0000-00004E040000}"/>
    <cellStyle name="Normal 9 2 2" xfId="524" xr:uid="{00000000-0005-0000-0000-00004F040000}"/>
    <cellStyle name="Normal 9 2 2 2" xfId="1189" xr:uid="{00000000-0005-0000-0000-000050040000}"/>
    <cellStyle name="Normal 9 2 2 2 2" xfId="1190" xr:uid="{00000000-0005-0000-0000-000051040000}"/>
    <cellStyle name="Normal 9 2 2 3" xfId="1191" xr:uid="{00000000-0005-0000-0000-000052040000}"/>
    <cellStyle name="Normal 9 2 3" xfId="1192" xr:uid="{00000000-0005-0000-0000-000053040000}"/>
    <cellStyle name="Normal 9 2 3 2" xfId="1193" xr:uid="{00000000-0005-0000-0000-000054040000}"/>
    <cellStyle name="Normal 9 2 4" xfId="1194" xr:uid="{00000000-0005-0000-0000-000055040000}"/>
    <cellStyle name="Normal 9 3" xfId="1195" xr:uid="{00000000-0005-0000-0000-000056040000}"/>
    <cellStyle name="Normal 9 3 2" xfId="1196" xr:uid="{00000000-0005-0000-0000-000057040000}"/>
    <cellStyle name="Normal 9 3 2 2" xfId="1197" xr:uid="{00000000-0005-0000-0000-000058040000}"/>
    <cellStyle name="Normal 9 3 3" xfId="1198" xr:uid="{00000000-0005-0000-0000-000059040000}"/>
    <cellStyle name="Normal 9 4" xfId="1199" xr:uid="{00000000-0005-0000-0000-00005A040000}"/>
    <cellStyle name="Normal 9 4 2" xfId="1200" xr:uid="{00000000-0005-0000-0000-00005B040000}"/>
    <cellStyle name="Normal 9 5" xfId="1201" xr:uid="{00000000-0005-0000-0000-00005C040000}"/>
    <cellStyle name="Normal 90" xfId="319" xr:uid="{00000000-0005-0000-0000-00005D040000}"/>
    <cellStyle name="Normal 91" xfId="320" xr:uid="{00000000-0005-0000-0000-00005E040000}"/>
    <cellStyle name="Normal 92" xfId="525" xr:uid="{00000000-0005-0000-0000-00005F040000}"/>
    <cellStyle name="Normal 92 2" xfId="1202" xr:uid="{00000000-0005-0000-0000-000060040000}"/>
    <cellStyle name="Normal 93" xfId="526" xr:uid="{00000000-0005-0000-0000-000061040000}"/>
    <cellStyle name="Normal 93 2" xfId="1203" xr:uid="{00000000-0005-0000-0000-000062040000}"/>
    <cellStyle name="Normal 94" xfId="527" xr:uid="{00000000-0005-0000-0000-000063040000}"/>
    <cellStyle name="Normal 94 2" xfId="1204" xr:uid="{00000000-0005-0000-0000-000064040000}"/>
    <cellStyle name="Normal 95" xfId="528" xr:uid="{00000000-0005-0000-0000-000065040000}"/>
    <cellStyle name="Normal 95 2" xfId="1205" xr:uid="{00000000-0005-0000-0000-000066040000}"/>
    <cellStyle name="Normal 96" xfId="529" xr:uid="{00000000-0005-0000-0000-000067040000}"/>
    <cellStyle name="Normal 96 2" xfId="1206" xr:uid="{00000000-0005-0000-0000-000068040000}"/>
    <cellStyle name="Normal 97" xfId="530" xr:uid="{00000000-0005-0000-0000-000069040000}"/>
    <cellStyle name="Normal 97 2" xfId="1207" xr:uid="{00000000-0005-0000-0000-00006A040000}"/>
    <cellStyle name="Normal 98" xfId="531" xr:uid="{00000000-0005-0000-0000-00006B040000}"/>
    <cellStyle name="Normal 98 2" xfId="1208" xr:uid="{00000000-0005-0000-0000-00006C040000}"/>
    <cellStyle name="Normal 99" xfId="532" xr:uid="{00000000-0005-0000-0000-00006D040000}"/>
    <cellStyle name="Normal 99 2" xfId="1209" xr:uid="{00000000-0005-0000-0000-00006E040000}"/>
    <cellStyle name="Normal_Regulated Price Out 9-6-2011 Final HL" xfId="3" xr:uid="{00000000-0005-0000-0000-00006F040000}"/>
    <cellStyle name="Note 2" xfId="255" xr:uid="{00000000-0005-0000-0000-000070040000}"/>
    <cellStyle name="Note 2 2" xfId="533" xr:uid="{00000000-0005-0000-0000-000071040000}"/>
    <cellStyle name="Note 2 3" xfId="534" xr:uid="{00000000-0005-0000-0000-000072040000}"/>
    <cellStyle name="Note 2 4" xfId="1210" xr:uid="{00000000-0005-0000-0000-000073040000}"/>
    <cellStyle name="Note 3" xfId="256" xr:uid="{00000000-0005-0000-0000-000074040000}"/>
    <cellStyle name="Note 3 2" xfId="535" xr:uid="{00000000-0005-0000-0000-000075040000}"/>
    <cellStyle name="Note 3 3" xfId="536" xr:uid="{00000000-0005-0000-0000-000076040000}"/>
    <cellStyle name="Note 3 4" xfId="1211" xr:uid="{00000000-0005-0000-0000-000077040000}"/>
    <cellStyle name="Note 4" xfId="257" xr:uid="{00000000-0005-0000-0000-000078040000}"/>
    <cellStyle name="Note 4 2" xfId="1212" xr:uid="{00000000-0005-0000-0000-000079040000}"/>
    <cellStyle name="Note 5" xfId="1213" xr:uid="{00000000-0005-0000-0000-00007A040000}"/>
    <cellStyle name="Notes" xfId="258" xr:uid="{00000000-0005-0000-0000-00007B040000}"/>
    <cellStyle name="Output 2" xfId="259" xr:uid="{00000000-0005-0000-0000-00007C040000}"/>
    <cellStyle name="Output 2 2" xfId="1214" xr:uid="{00000000-0005-0000-0000-00007D040000}"/>
    <cellStyle name="Output 2 2 2" xfId="1215" xr:uid="{00000000-0005-0000-0000-00007E040000}"/>
    <cellStyle name="Output 2 3" xfId="1216" xr:uid="{00000000-0005-0000-0000-00007F040000}"/>
    <cellStyle name="Output 3" xfId="260" xr:uid="{00000000-0005-0000-0000-000080040000}"/>
    <cellStyle name="Output 3 2" xfId="537" xr:uid="{00000000-0005-0000-0000-000081040000}"/>
    <cellStyle name="Output 4" xfId="1217" xr:uid="{00000000-0005-0000-0000-000082040000}"/>
    <cellStyle name="Percent" xfId="2" builtinId="5"/>
    <cellStyle name="Percent 10" xfId="538" xr:uid="{00000000-0005-0000-0000-000084040000}"/>
    <cellStyle name="Percent 10 2" xfId="1218" xr:uid="{00000000-0005-0000-0000-000085040000}"/>
    <cellStyle name="Percent 10 3" xfId="1219" xr:uid="{00000000-0005-0000-0000-000086040000}"/>
    <cellStyle name="Percent 2" xfId="261" xr:uid="{00000000-0005-0000-0000-000087040000}"/>
    <cellStyle name="Percent 2 2" xfId="262" xr:uid="{00000000-0005-0000-0000-000088040000}"/>
    <cellStyle name="Percent 2 2 2" xfId="321" xr:uid="{00000000-0005-0000-0000-000089040000}"/>
    <cellStyle name="Percent 2 2 3" xfId="539" xr:uid="{00000000-0005-0000-0000-00008A040000}"/>
    <cellStyle name="Percent 2 3" xfId="263" xr:uid="{00000000-0005-0000-0000-00008B040000}"/>
    <cellStyle name="Percent 2 4" xfId="540" xr:uid="{00000000-0005-0000-0000-00008C040000}"/>
    <cellStyle name="Percent 2 6" xfId="322" xr:uid="{00000000-0005-0000-0000-00008D040000}"/>
    <cellStyle name="Percent 3" xfId="264" xr:uid="{00000000-0005-0000-0000-00008E040000}"/>
    <cellStyle name="Percent 3 2" xfId="323" xr:uid="{00000000-0005-0000-0000-00008F040000}"/>
    <cellStyle name="Percent 3 2 2" xfId="541" xr:uid="{00000000-0005-0000-0000-000090040000}"/>
    <cellStyle name="Percent 3 2 2 2" xfId="1220" xr:uid="{00000000-0005-0000-0000-000091040000}"/>
    <cellStyle name="Percent 3 2 2 2 2" xfId="1221" xr:uid="{00000000-0005-0000-0000-000092040000}"/>
    <cellStyle name="Percent 3 2 2 3" xfId="1222" xr:uid="{00000000-0005-0000-0000-000093040000}"/>
    <cellStyle name="Percent 3 2 3" xfId="1223" xr:uid="{00000000-0005-0000-0000-000094040000}"/>
    <cellStyle name="Percent 3 2 3 2" xfId="1224" xr:uid="{00000000-0005-0000-0000-000095040000}"/>
    <cellStyle name="Percent 3 2 4" xfId="1225" xr:uid="{00000000-0005-0000-0000-000096040000}"/>
    <cellStyle name="Percent 3 3" xfId="1226" xr:uid="{00000000-0005-0000-0000-000097040000}"/>
    <cellStyle name="Percent 3 3 2" xfId="1227" xr:uid="{00000000-0005-0000-0000-000098040000}"/>
    <cellStyle name="Percent 3 3 2 2" xfId="1228" xr:uid="{00000000-0005-0000-0000-000099040000}"/>
    <cellStyle name="Percent 3 3 3" xfId="1229" xr:uid="{00000000-0005-0000-0000-00009A040000}"/>
    <cellStyle name="Percent 3 4" xfId="1230" xr:uid="{00000000-0005-0000-0000-00009B040000}"/>
    <cellStyle name="Percent 3 4 2" xfId="1231" xr:uid="{00000000-0005-0000-0000-00009C040000}"/>
    <cellStyle name="Percent 3 5" xfId="1232" xr:uid="{00000000-0005-0000-0000-00009D040000}"/>
    <cellStyle name="Percent 3 5 2" xfId="1233" xr:uid="{00000000-0005-0000-0000-00009E040000}"/>
    <cellStyle name="Percent 3 6" xfId="1234" xr:uid="{00000000-0005-0000-0000-00009F040000}"/>
    <cellStyle name="Percent 4" xfId="265" xr:uid="{00000000-0005-0000-0000-0000A0040000}"/>
    <cellStyle name="Percent 4 2" xfId="266" xr:uid="{00000000-0005-0000-0000-0000A1040000}"/>
    <cellStyle name="Percent 4 3" xfId="542" xr:uid="{00000000-0005-0000-0000-0000A2040000}"/>
    <cellStyle name="Percent 4 4" xfId="543" xr:uid="{00000000-0005-0000-0000-0000A3040000}"/>
    <cellStyle name="Percent 4 4 2" xfId="1235" xr:uid="{00000000-0005-0000-0000-0000A4040000}"/>
    <cellStyle name="Percent 4 4 2 2" xfId="1236" xr:uid="{00000000-0005-0000-0000-0000A5040000}"/>
    <cellStyle name="Percent 5" xfId="267" xr:uid="{00000000-0005-0000-0000-0000A6040000}"/>
    <cellStyle name="Percent 5 2" xfId="544" xr:uid="{00000000-0005-0000-0000-0000A7040000}"/>
    <cellStyle name="Percent 5 2 2" xfId="1237" xr:uid="{00000000-0005-0000-0000-0000A8040000}"/>
    <cellStyle name="Percent 5 2 2 2" xfId="1238" xr:uid="{00000000-0005-0000-0000-0000A9040000}"/>
    <cellStyle name="Percent 5 2 3" xfId="1239" xr:uid="{00000000-0005-0000-0000-0000AA040000}"/>
    <cellStyle name="Percent 5 3" xfId="1240" xr:uid="{00000000-0005-0000-0000-0000AB040000}"/>
    <cellStyle name="Percent 5 3 2" xfId="1241" xr:uid="{00000000-0005-0000-0000-0000AC040000}"/>
    <cellStyle name="Percent 5 4" xfId="1242" xr:uid="{00000000-0005-0000-0000-0000AD040000}"/>
    <cellStyle name="Percent 5 4 2" xfId="1243" xr:uid="{00000000-0005-0000-0000-0000AE040000}"/>
    <cellStyle name="Percent 6" xfId="268" xr:uid="{00000000-0005-0000-0000-0000AF040000}"/>
    <cellStyle name="Percent 6 2" xfId="545" xr:uid="{00000000-0005-0000-0000-0000B0040000}"/>
    <cellStyle name="Percent 6 2 2" xfId="1244" xr:uid="{00000000-0005-0000-0000-0000B1040000}"/>
    <cellStyle name="Percent 6 3" xfId="1245" xr:uid="{00000000-0005-0000-0000-0000B2040000}"/>
    <cellStyle name="Percent 7" xfId="269" xr:uid="{00000000-0005-0000-0000-0000B3040000}"/>
    <cellStyle name="Percent 7 2" xfId="324" xr:uid="{00000000-0005-0000-0000-0000B4040000}"/>
    <cellStyle name="Percent 7 2 2" xfId="1246" xr:uid="{00000000-0005-0000-0000-0000B5040000}"/>
    <cellStyle name="Percent 7 3" xfId="546" xr:uid="{00000000-0005-0000-0000-0000B6040000}"/>
    <cellStyle name="Percent 7 4" xfId="1247" xr:uid="{00000000-0005-0000-0000-0000B7040000}"/>
    <cellStyle name="Percent 8" xfId="270" xr:uid="{00000000-0005-0000-0000-0000B8040000}"/>
    <cellStyle name="Percent 8 2" xfId="1248" xr:uid="{00000000-0005-0000-0000-0000B9040000}"/>
    <cellStyle name="Percent 9" xfId="547" xr:uid="{00000000-0005-0000-0000-0000BA040000}"/>
    <cellStyle name="Percent 9 2" xfId="1249" xr:uid="{00000000-0005-0000-0000-0000BB040000}"/>
    <cellStyle name="Percent 9 3" xfId="1250" xr:uid="{00000000-0005-0000-0000-0000BC040000}"/>
    <cellStyle name="Percent(1)" xfId="271" xr:uid="{00000000-0005-0000-0000-0000BD040000}"/>
    <cellStyle name="Percent(2)" xfId="272" xr:uid="{00000000-0005-0000-0000-0000BE040000}"/>
    <cellStyle name="Posting_Period" xfId="1251" xr:uid="{00000000-0005-0000-0000-0000BF040000}"/>
    <cellStyle name="PRM" xfId="273" xr:uid="{00000000-0005-0000-0000-0000C0040000}"/>
    <cellStyle name="PRM 2" xfId="274" xr:uid="{00000000-0005-0000-0000-0000C1040000}"/>
    <cellStyle name="PRM 3" xfId="275" xr:uid="{00000000-0005-0000-0000-0000C2040000}"/>
    <cellStyle name="PRM_2011-11" xfId="276" xr:uid="{00000000-0005-0000-0000-0000C3040000}"/>
    <cellStyle name="PS_Comma" xfId="325" xr:uid="{00000000-0005-0000-0000-0000C4040000}"/>
    <cellStyle name="PSChar" xfId="277" xr:uid="{00000000-0005-0000-0000-0000C5040000}"/>
    <cellStyle name="PSDate" xfId="326" xr:uid="{00000000-0005-0000-0000-0000C6040000}"/>
    <cellStyle name="PSDec" xfId="327" xr:uid="{00000000-0005-0000-0000-0000C7040000}"/>
    <cellStyle name="PSHeading" xfId="278" xr:uid="{00000000-0005-0000-0000-0000C8040000}"/>
    <cellStyle name="PSInt" xfId="328" xr:uid="{00000000-0005-0000-0000-0000C9040000}"/>
    <cellStyle name="PSSpacer" xfId="329" xr:uid="{00000000-0005-0000-0000-0000CA040000}"/>
    <cellStyle name="STYL0 - Style1" xfId="279" xr:uid="{00000000-0005-0000-0000-0000CB040000}"/>
    <cellStyle name="STYL1 - Style2" xfId="280" xr:uid="{00000000-0005-0000-0000-0000CC040000}"/>
    <cellStyle name="STYL2 - Style3" xfId="281" xr:uid="{00000000-0005-0000-0000-0000CD040000}"/>
    <cellStyle name="STYL3 - Style4" xfId="282" xr:uid="{00000000-0005-0000-0000-0000CE040000}"/>
    <cellStyle name="STYL4 - Style5" xfId="283" xr:uid="{00000000-0005-0000-0000-0000CF040000}"/>
    <cellStyle name="STYL5 - Style6" xfId="284" xr:uid="{00000000-0005-0000-0000-0000D0040000}"/>
    <cellStyle name="STYL6 - Style7" xfId="285" xr:uid="{00000000-0005-0000-0000-0000D1040000}"/>
    <cellStyle name="STYL7 - Style8" xfId="286" xr:uid="{00000000-0005-0000-0000-0000D2040000}"/>
    <cellStyle name="Style 1" xfId="287" xr:uid="{00000000-0005-0000-0000-0000D3040000}"/>
    <cellStyle name="Style 1 2" xfId="288" xr:uid="{00000000-0005-0000-0000-0000D4040000}"/>
    <cellStyle name="STYLE1" xfId="289" xr:uid="{00000000-0005-0000-0000-0000D5040000}"/>
    <cellStyle name="STYLE1 2" xfId="1252" xr:uid="{00000000-0005-0000-0000-0000D6040000}"/>
    <cellStyle name="sub heading" xfId="290" xr:uid="{00000000-0005-0000-0000-0000D7040000}"/>
    <cellStyle name="Tax_Rate" xfId="1253" xr:uid="{00000000-0005-0000-0000-0000D8040000}"/>
    <cellStyle name="Title 2" xfId="291" xr:uid="{00000000-0005-0000-0000-0000D9040000}"/>
    <cellStyle name="Title 2 2" xfId="1254" xr:uid="{00000000-0005-0000-0000-0000DA040000}"/>
    <cellStyle name="Title 2 2 2" xfId="1255" xr:uid="{00000000-0005-0000-0000-0000DB040000}"/>
    <cellStyle name="Title 2 3" xfId="1256" xr:uid="{00000000-0005-0000-0000-0000DC040000}"/>
    <cellStyle name="Title 3" xfId="292" xr:uid="{00000000-0005-0000-0000-0000DD040000}"/>
    <cellStyle name="Title 3 2" xfId="548" xr:uid="{00000000-0005-0000-0000-0000DE040000}"/>
    <cellStyle name="Title 4" xfId="1257" xr:uid="{00000000-0005-0000-0000-0000DF040000}"/>
    <cellStyle name="Total 2" xfId="293" xr:uid="{00000000-0005-0000-0000-0000E0040000}"/>
    <cellStyle name="Total 2 2" xfId="549" xr:uid="{00000000-0005-0000-0000-0000E1040000}"/>
    <cellStyle name="Total 2 3" xfId="550" xr:uid="{00000000-0005-0000-0000-0000E2040000}"/>
    <cellStyle name="Total 2 4" xfId="1258" xr:uid="{00000000-0005-0000-0000-0000E3040000}"/>
    <cellStyle name="Total 3" xfId="294" xr:uid="{00000000-0005-0000-0000-0000E4040000}"/>
    <cellStyle name="Total 3 2" xfId="551" xr:uid="{00000000-0005-0000-0000-0000E5040000}"/>
    <cellStyle name="Total 3 3" xfId="552" xr:uid="{00000000-0005-0000-0000-0000E6040000}"/>
    <cellStyle name="Total 4" xfId="295" xr:uid="{00000000-0005-0000-0000-0000E7040000}"/>
    <cellStyle name="Total 4 2" xfId="1259" xr:uid="{00000000-0005-0000-0000-0000E8040000}"/>
    <cellStyle name="Transcript_Date" xfId="1260" xr:uid="{00000000-0005-0000-0000-0000E9040000}"/>
    <cellStyle name="Warning Text 2" xfId="296" xr:uid="{00000000-0005-0000-0000-0000EA040000}"/>
    <cellStyle name="Warning Text 3" xfId="330" xr:uid="{00000000-0005-0000-0000-0000EB040000}"/>
    <cellStyle name="Warning Text 4" xfId="1261" xr:uid="{00000000-0005-0000-0000-0000EC040000}"/>
    <cellStyle name="WM_STANDARD" xfId="331" xr:uid="{00000000-0005-0000-0000-0000ED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customXml" Target="../customXml/item2.xml"/><Relationship Id="rId21" Type="http://schemas.openxmlformats.org/officeDocument/2006/relationships/externalLink" Target="externalLinks/externalLink16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District\Joe_Garza\mark%20gregg\WUTC%20Files\Eastside\Eastside%20Rate%20Case%202006\Eastside%20RC%202006%20Filing%20Docs\Proforma%20Eastside%202005%204.17.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Western%20Region\WUTC\WUTC-Columbia%202025\General%20Filing%204-15-2016\Filed%204-15-16\CRD%20Pro%20forma%203-31-20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Western%20Region\ControllerDir\Brent_Blair_Kortney\PO%20Report%20by%20Division\PO%20Report_v3b%202013-08-26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Vashon\Rate%20Incr%201-1-2012\Vashon%20Pro%20Form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rmgardw\Local%20Settings\Temporary%20Internet%20Files\Content.Outlook\1ZKX32J2\Proforma%209-14-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Western%20Region\WUTC\WIP%20Files\2010%20Clark%20County-%202009%20Vancouver\12.31.2010%20Test%20Year\Proforma%20Clark%20County%20101231%20Filing-Draft-FINAL%20VERSI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Annual%20Reports\2180%20LeMay\2009\LeMay%20Annual%20Report%200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4\home$\LeMay\Master%20Truck%20Schedule\South_LeMay%20Master%20Truck%20Schedule-Share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LeMay\Master%20Truck%20Schedule\South_LeMay%20Master%20Truck%20Schedule-Shar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Empire\Dump%20Fee\DF%20Incr%201-1-2015\Empire%20-%20Spokane%20DF%20Calculations%201-1-2015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Western%20Region\WUTC\WUTC-Empire%202120\Annual%20Report\Report%202020\Empire%20Solid%20Waste%20Class%20A%20and%20B%20Annual%20Report%20Form%20202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IP%20Files/2120%20Empire/Annual%20Report/2021/From%20District/Empire%20Price%20Out%202021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SRC%20Reports\SRC%20Format\Bonus%20Schedule\PNWR%20SRC%20Bonus%20Schedule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LeMay\2183-1%20Pacific%20Disp,%20Butlers%20Cove\Filing%20Possibly%202012\Filing\Audit\Final%20Outcome%208-14-2012\Pro%20Forma%20Pacific%20Disposal_Staf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2183-1%20Pacific%20Disp,%20Butlers%20Cove\Filing%20Possibly%202012\Filing\Audit\Final%20Outcome%208-14-2012\Pro%20Forma%20Pacific%20Disposal_Staf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-file01\DistShare$\Mason\Rate%20Increase%201-1-2013\1%20Filing%2011-14-2012\Revised%202-21-2013\staff%20Mason%20Proforma%209-30-2012-Linked%20Cust%20Count%20Fix%2012-2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son\Rate%20Increase%201-1-2013\1%20Filing%2011-14-2012\Revised%202-21-2013\staff%20Mason%20Proforma%209-30-2012-Linked%20Cust%20Count%20Fix%2012-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BS"/>
      <sheetName val="2025 IS"/>
      <sheetName val="Consolidated IS"/>
      <sheetName val="Pro-forma"/>
      <sheetName val="Restating Adj"/>
      <sheetName val="Restating Expl"/>
      <sheetName val="Pro Forma Adj"/>
      <sheetName val="Ratios"/>
      <sheetName val="LG"/>
      <sheetName val="LG G-48"/>
      <sheetName val="LG G-51"/>
      <sheetName val="G-48 Price Out"/>
      <sheetName val="G-51 Price Out"/>
      <sheetName val="Rate Schedule G-48"/>
      <sheetName val="References"/>
      <sheetName val="G-48 DF Calc"/>
      <sheetName val="DF Schedule"/>
      <sheetName val="Depr Summary"/>
      <sheetName val="Depreciation"/>
      <sheetName val="Payroll Detail"/>
      <sheetName val="DivCon-DVP Alloc In"/>
      <sheetName val="Corp-OH"/>
      <sheetName val="Region OH Calc"/>
      <sheetName val="Corp-BS"/>
      <sheetName val="Corp-IS"/>
      <sheetName val="38000 Other Rev"/>
      <sheetName val="2025 BS 3-31-2015"/>
    </sheetNames>
    <sheetDataSet>
      <sheetData sheetId="0"/>
      <sheetData sheetId="1"/>
      <sheetData sheetId="2"/>
      <sheetData sheetId="3" refreshError="1"/>
      <sheetData sheetId="4"/>
      <sheetData sheetId="5">
        <row r="78">
          <cell r="D78">
            <v>13340.018881532844</v>
          </cell>
        </row>
      </sheetData>
      <sheetData sheetId="6">
        <row r="27">
          <cell r="B27">
            <v>353.32367365298381</v>
          </cell>
        </row>
      </sheetData>
      <sheetData sheetId="7">
        <row r="13">
          <cell r="B13">
            <v>0.89361089902323576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60">
          <cell r="C60">
            <v>178633.12500000003</v>
          </cell>
        </row>
      </sheetData>
      <sheetData sheetId="17">
        <row r="1">
          <cell r="A1" t="str">
            <v>Columbia River Disposal, Inc. G-48/G-51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6">
          <cell r="D6">
            <v>10000</v>
          </cell>
        </row>
        <row r="8">
          <cell r="H8" t="str">
            <v>2016-06</v>
          </cell>
        </row>
        <row r="12">
          <cell r="G12" t="str">
            <v>2015-04</v>
          </cell>
        </row>
        <row r="13">
          <cell r="G13" t="str">
            <v>2016-03</v>
          </cell>
        </row>
      </sheetData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Consolidated BS"/>
      <sheetName val="IS-2120"/>
      <sheetName val="IS-2121"/>
      <sheetName val="Consolidated IS"/>
      <sheetName val="Proforma"/>
      <sheetName val="Restate-Regulated"/>
      <sheetName val="Restating Expl"/>
      <sheetName val="Pro forma Adj"/>
      <sheetName val="LG"/>
      <sheetName val="LG-Pckr Rts"/>
      <sheetName val="LG-RO"/>
      <sheetName val="LG-Recycl"/>
      <sheetName val="Price-out"/>
      <sheetName val="Rate Schedule"/>
      <sheetName val="2120 Depr Summary"/>
      <sheetName val="2120 Depr"/>
      <sheetName val="2121 Depr Summary"/>
      <sheetName val="2121 Depr"/>
      <sheetName val="2120 Fuel "/>
      <sheetName val="DF-Summary"/>
      <sheetName val="Whitman"/>
      <sheetName val="Spokane"/>
      <sheetName val="Lincoln"/>
      <sheetName val="Med Waste"/>
      <sheetName val="Payroll, 2120"/>
      <sheetName val="Contract-Rev,Cust Cnt"/>
      <sheetName val="Time Allocation"/>
    </sheetNames>
    <sheetDataSet>
      <sheetData sheetId="0"/>
      <sheetData sheetId="1"/>
      <sheetData sheetId="2"/>
      <sheetData sheetId="3"/>
      <sheetData sheetId="4">
        <row r="91">
          <cell r="C91">
            <v>8686.3100000000013</v>
          </cell>
        </row>
      </sheetData>
      <sheetData sheetId="5"/>
      <sheetData sheetId="6">
        <row r="19">
          <cell r="G19">
            <v>2099422.06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  <sheetName val="PL_ActReview3"/>
    </sheetNames>
    <sheetDataSet>
      <sheetData sheetId="0"/>
      <sheetData sheetId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Staff Calcs "/>
      <sheetName val="Rate Schedule"/>
      <sheetName val="Co Provided Price Out"/>
    </sheetNames>
    <sheetDataSet>
      <sheetData sheetId="0">
        <row r="56">
          <cell r="G56">
            <v>0.98072499999999996</v>
          </cell>
        </row>
      </sheetData>
      <sheetData sheetId="1"/>
      <sheetData sheetId="2"/>
      <sheetData sheetId="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Qs-Instructions-Information"/>
      <sheetName val="Affiliated Interest Rules"/>
      <sheetName val="Cover Sheet"/>
      <sheetName val="Ownership- Industry Info"/>
      <sheetName val="Complaint Contact Information"/>
      <sheetName val="Sch 1 Veh-Mileage-Accident Info"/>
      <sheetName val="Sch 2 Vehicle Listings"/>
      <sheetName val="Sch 3 Fuel Consumption Stats"/>
      <sheetName val="Sch 4 Employee Class-Compen"/>
      <sheetName val="Sch 5 Operating Property"/>
      <sheetName val="Sch 6 Bal Sheet Assests -Total"/>
      <sheetName val="Sch 7 Bal Sheet Liab-Equity"/>
      <sheetName val="Sch 8 Revenues"/>
      <sheetName val="Sch 9 Customers"/>
      <sheetName val="Sch 10 Income Statement"/>
      <sheetName val="Sch 11 Reg Recycle Program"/>
      <sheetName val="Sch 12 Yard Waste-Organics Prog"/>
      <sheetName val="Sch 13 Garbage Disposal Fees"/>
      <sheetName val="Sch 14 Medical Waste "/>
      <sheetName val="Sch 15 Other Disp-Process Exp"/>
      <sheetName val="Sch 16 Contracted Cities"/>
      <sheetName val="Reg Fee Calc Schedule"/>
      <sheetName val="Company Info-Certification Page"/>
      <sheetName val="Payment and Fil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1">
          <cell r="J11">
            <v>18458.88</v>
          </cell>
        </row>
        <row r="12">
          <cell r="J12">
            <v>11598.333000000002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Summary"/>
      <sheetName val="Cust Count Summary"/>
      <sheetName val="2120_IS210"/>
      <sheetName val="Spokane Reg - Price out"/>
      <sheetName val="Whitman Reg - Price Out"/>
      <sheetName val="Army Non-Reg - Price Out"/>
      <sheetName val="Latah Co Non-Reg - Price Out"/>
      <sheetName val="Rockford Non-Reg - Price Out"/>
      <sheetName val="Spangle Non-Reg - Price Out"/>
      <sheetName val="Starbuck Non-Reg - Price Out"/>
      <sheetName val="Tekoa Non-Reg - Price Out"/>
      <sheetName val="2021 Rev Tool"/>
    </sheetNames>
    <sheetDataSet>
      <sheetData sheetId="0" refreshError="1"/>
      <sheetData sheetId="1" refreshError="1"/>
      <sheetData sheetId="2" refreshError="1"/>
      <sheetData sheetId="3">
        <row r="36">
          <cell r="AD36">
            <v>1425.2101907878748</v>
          </cell>
        </row>
        <row r="84">
          <cell r="AD84">
            <v>111.66760612684044</v>
          </cell>
        </row>
        <row r="101">
          <cell r="AD101">
            <v>5.0379296688761537</v>
          </cell>
        </row>
      </sheetData>
      <sheetData sheetId="4">
        <row r="38">
          <cell r="AD38">
            <v>3572.7325660006491</v>
          </cell>
        </row>
        <row r="135">
          <cell r="AD135">
            <v>826.92291309843961</v>
          </cell>
        </row>
        <row r="167">
          <cell r="AD167">
            <v>12.858370400294405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  <sheetName val="Sch 4 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 refreshError="1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K86"/>
  <sheetViews>
    <sheetView tabSelected="1" view="pageBreakPreview" topLeftCell="A37" zoomScaleNormal="85" zoomScaleSheetLayoutView="100" workbookViewId="0">
      <selection activeCell="D63" sqref="D63"/>
    </sheetView>
  </sheetViews>
  <sheetFormatPr defaultColWidth="9.140625" defaultRowHeight="15"/>
  <cols>
    <col min="1" max="1" width="36.28515625" bestFit="1" customWidth="1"/>
    <col min="2" max="2" width="19" bestFit="1" customWidth="1"/>
    <col min="3" max="3" width="16" bestFit="1" customWidth="1"/>
    <col min="4" max="4" width="13.140625" customWidth="1"/>
    <col min="5" max="5" width="7" bestFit="1" customWidth="1"/>
    <col min="6" max="6" width="11.42578125" bestFit="1" customWidth="1"/>
    <col min="7" max="7" width="10" bestFit="1" customWidth="1"/>
    <col min="8" max="8" width="8" bestFit="1" customWidth="1"/>
    <col min="9" max="9" width="15.85546875" bestFit="1" customWidth="1"/>
    <col min="10" max="10" width="12" bestFit="1" customWidth="1"/>
  </cols>
  <sheetData>
    <row r="1" spans="1:8">
      <c r="A1" s="5" t="s">
        <v>273</v>
      </c>
    </row>
    <row r="2" spans="1:8">
      <c r="A2" s="5" t="s">
        <v>296</v>
      </c>
    </row>
    <row r="4" spans="1:8">
      <c r="A4" s="228" t="s">
        <v>120</v>
      </c>
      <c r="B4" s="228"/>
      <c r="C4" s="228"/>
      <c r="D4" s="228"/>
      <c r="E4" s="228"/>
      <c r="F4" s="228"/>
      <c r="G4" s="228"/>
      <c r="H4" s="228"/>
    </row>
    <row r="5" spans="1:8">
      <c r="A5" t="s">
        <v>121</v>
      </c>
      <c r="B5" s="1" t="s">
        <v>122</v>
      </c>
      <c r="C5" s="1" t="s">
        <v>123</v>
      </c>
      <c r="D5" s="1" t="s">
        <v>124</v>
      </c>
      <c r="E5" s="1" t="s">
        <v>125</v>
      </c>
      <c r="F5" s="1" t="s">
        <v>126</v>
      </c>
      <c r="G5" s="1" t="s">
        <v>127</v>
      </c>
      <c r="H5" s="1" t="s">
        <v>128</v>
      </c>
    </row>
    <row r="6" spans="1:8">
      <c r="A6" t="s">
        <v>129</v>
      </c>
      <c r="B6" s="2">
        <f>52*5/12</f>
        <v>21.666666666666668</v>
      </c>
      <c r="C6" s="3">
        <f>$B$6*2</f>
        <v>43.333333333333336</v>
      </c>
      <c r="D6" s="3">
        <f>$B$6*3</f>
        <v>65</v>
      </c>
      <c r="E6" s="3">
        <f>$B$6*4</f>
        <v>86.666666666666671</v>
      </c>
      <c r="F6" s="3">
        <f>$B$6*5</f>
        <v>108.33333333333334</v>
      </c>
      <c r="G6" s="3">
        <f>$B$6*6</f>
        <v>130</v>
      </c>
      <c r="H6" s="3">
        <f>$B$6*7</f>
        <v>151.66666666666669</v>
      </c>
    </row>
    <row r="7" spans="1:8">
      <c r="A7" t="s">
        <v>130</v>
      </c>
      <c r="B7" s="2">
        <f>52*4/12</f>
        <v>17.333333333333332</v>
      </c>
      <c r="C7" s="3">
        <f>$B$7*2</f>
        <v>34.666666666666664</v>
      </c>
      <c r="D7" s="3">
        <f>$B$7*3</f>
        <v>52</v>
      </c>
      <c r="E7" s="3">
        <f>$B$7*4</f>
        <v>69.333333333333329</v>
      </c>
      <c r="F7" s="3">
        <f>$B$7*5</f>
        <v>86.666666666666657</v>
      </c>
      <c r="G7" s="3">
        <f>$B$7*6</f>
        <v>104</v>
      </c>
      <c r="H7" s="3">
        <f>$B$7*7</f>
        <v>121.33333333333333</v>
      </c>
    </row>
    <row r="8" spans="1:8">
      <c r="A8" t="s">
        <v>131</v>
      </c>
      <c r="B8" s="2">
        <f>52*3/12</f>
        <v>13</v>
      </c>
      <c r="C8" s="3">
        <f>$B$8*2</f>
        <v>26</v>
      </c>
      <c r="D8" s="3">
        <f>$B$8*3</f>
        <v>39</v>
      </c>
      <c r="E8" s="3">
        <f>$B$8*4</f>
        <v>52</v>
      </c>
      <c r="F8" s="3">
        <f>$B$8*5</f>
        <v>65</v>
      </c>
      <c r="G8" s="3">
        <f>$B$8*6</f>
        <v>78</v>
      </c>
      <c r="H8" s="3">
        <f>$B$8*7</f>
        <v>91</v>
      </c>
    </row>
    <row r="9" spans="1:8">
      <c r="A9" t="s">
        <v>132</v>
      </c>
      <c r="B9" s="2">
        <f>52*2/12</f>
        <v>8.6666666666666661</v>
      </c>
      <c r="C9" s="4">
        <f>$B$9*2</f>
        <v>17.333333333333332</v>
      </c>
      <c r="D9" s="4">
        <f>$B$9*3</f>
        <v>26</v>
      </c>
      <c r="E9" s="4">
        <f>$B$9*4</f>
        <v>34.666666666666664</v>
      </c>
      <c r="F9" s="4">
        <f>$B$9*5</f>
        <v>43.333333333333329</v>
      </c>
      <c r="G9" s="4">
        <f>$B$9*6</f>
        <v>52</v>
      </c>
      <c r="H9" s="4">
        <f>$B$9*7</f>
        <v>60.666666666666664</v>
      </c>
    </row>
    <row r="10" spans="1:8">
      <c r="A10" t="s">
        <v>133</v>
      </c>
      <c r="B10" s="2">
        <f>52/12</f>
        <v>4.333333333333333</v>
      </c>
      <c r="C10" s="4">
        <f>$B$10*2</f>
        <v>8.6666666666666661</v>
      </c>
      <c r="D10" s="4">
        <f>$B$10*3</f>
        <v>13</v>
      </c>
      <c r="E10" s="4">
        <f>$B$10*4</f>
        <v>17.333333333333332</v>
      </c>
      <c r="F10" s="4">
        <f>$B$10*5</f>
        <v>21.666666666666664</v>
      </c>
      <c r="G10" s="4">
        <f>$B$10*6</f>
        <v>26</v>
      </c>
      <c r="H10" s="4">
        <f>$B$10*7</f>
        <v>30.333333333333332</v>
      </c>
    </row>
    <row r="11" spans="1:8">
      <c r="A11" t="s">
        <v>134</v>
      </c>
      <c r="B11" s="2">
        <f>26/12</f>
        <v>2.1666666666666665</v>
      </c>
      <c r="C11" s="4">
        <f>$B$11*2</f>
        <v>4.333333333333333</v>
      </c>
      <c r="D11" s="4">
        <f>$B$11*3</f>
        <v>6.5</v>
      </c>
      <c r="E11" s="4">
        <f>$B$11*4</f>
        <v>8.6666666666666661</v>
      </c>
      <c r="F11" s="4">
        <f>$B$11*5</f>
        <v>10.833333333333332</v>
      </c>
      <c r="G11" s="4">
        <f>$B$11*6</f>
        <v>13</v>
      </c>
      <c r="H11" s="4">
        <f>$B$11*7</f>
        <v>15.166666666666666</v>
      </c>
    </row>
    <row r="12" spans="1:8">
      <c r="A12" t="s">
        <v>135</v>
      </c>
      <c r="B12" s="2">
        <f>12/12</f>
        <v>1</v>
      </c>
      <c r="C12" s="4">
        <f>$B$12*2</f>
        <v>2</v>
      </c>
      <c r="D12" s="4">
        <f>$B$12*3</f>
        <v>3</v>
      </c>
      <c r="E12" s="4">
        <f>$B$12*4</f>
        <v>4</v>
      </c>
      <c r="F12" s="4">
        <f>$B$12*5</f>
        <v>5</v>
      </c>
      <c r="G12" s="4">
        <f>$B$12*6</f>
        <v>6</v>
      </c>
      <c r="H12" s="4">
        <f>$B$12*7</f>
        <v>7</v>
      </c>
    </row>
    <row r="13" spans="1:8">
      <c r="B13" s="2"/>
      <c r="C13" s="4"/>
      <c r="D13" s="4"/>
      <c r="E13" s="4"/>
      <c r="F13" s="4"/>
      <c r="G13" s="4"/>
      <c r="H13" s="4"/>
    </row>
    <row r="14" spans="1:8">
      <c r="A14" s="228" t="s">
        <v>136</v>
      </c>
      <c r="B14" s="228"/>
      <c r="C14" s="4"/>
      <c r="D14" s="4"/>
      <c r="E14" s="4"/>
      <c r="F14" s="4"/>
      <c r="G14" s="4"/>
      <c r="H14" s="4"/>
    </row>
    <row r="15" spans="1:8">
      <c r="A15" s="5" t="s">
        <v>137</v>
      </c>
      <c r="B15" s="6" t="s">
        <v>138</v>
      </c>
      <c r="C15" s="4"/>
      <c r="D15" s="4"/>
      <c r="E15" s="4"/>
      <c r="F15" s="4"/>
      <c r="G15" s="4"/>
      <c r="H15" s="4"/>
    </row>
    <row r="16" spans="1:8">
      <c r="A16" s="7" t="s">
        <v>139</v>
      </c>
      <c r="B16" s="8">
        <v>20</v>
      </c>
      <c r="C16" s="4"/>
      <c r="D16" s="4"/>
      <c r="E16" s="4"/>
      <c r="F16" s="4"/>
      <c r="G16" s="4"/>
      <c r="H16" s="4"/>
    </row>
    <row r="17" spans="1:8">
      <c r="A17" s="7" t="s">
        <v>140</v>
      </c>
      <c r="B17" s="8">
        <v>34</v>
      </c>
      <c r="C17" s="4"/>
      <c r="D17" s="4"/>
      <c r="E17" s="4"/>
      <c r="F17" s="4"/>
      <c r="G17" s="4"/>
      <c r="H17" s="4"/>
    </row>
    <row r="18" spans="1:8">
      <c r="A18" s="7" t="s">
        <v>141</v>
      </c>
      <c r="B18" s="8">
        <v>51</v>
      </c>
      <c r="C18" s="4"/>
      <c r="D18" s="4"/>
      <c r="E18" s="4"/>
      <c r="F18" s="4"/>
      <c r="G18" s="4"/>
      <c r="H18" s="4"/>
    </row>
    <row r="19" spans="1:8">
      <c r="A19" s="7" t="s">
        <v>142</v>
      </c>
      <c r="B19" s="8">
        <v>77</v>
      </c>
      <c r="C19" s="4"/>
      <c r="D19" s="4"/>
      <c r="E19" s="4"/>
      <c r="F19" t="s">
        <v>143</v>
      </c>
      <c r="G19" s="8">
        <v>2000</v>
      </c>
      <c r="H19" s="4"/>
    </row>
    <row r="20" spans="1:8">
      <c r="A20" s="7" t="s">
        <v>144</v>
      </c>
      <c r="B20" s="8">
        <v>97</v>
      </c>
      <c r="C20" s="4"/>
      <c r="D20" s="4"/>
      <c r="E20" s="4"/>
      <c r="F20" t="s">
        <v>145</v>
      </c>
      <c r="G20" s="23" t="s">
        <v>146</v>
      </c>
      <c r="H20" s="4"/>
    </row>
    <row r="21" spans="1:8">
      <c r="A21" s="7" t="s">
        <v>147</v>
      </c>
      <c r="B21" s="8">
        <v>117</v>
      </c>
      <c r="C21" s="4"/>
      <c r="D21" s="4"/>
      <c r="E21" s="4"/>
      <c r="H21" s="4"/>
    </row>
    <row r="22" spans="1:8">
      <c r="A22" s="7" t="s">
        <v>148</v>
      </c>
      <c r="B22" s="8">
        <v>157</v>
      </c>
      <c r="C22" s="4"/>
      <c r="D22" s="4"/>
      <c r="E22" s="4"/>
      <c r="F22" s="9"/>
      <c r="G22" s="10"/>
      <c r="H22" s="4"/>
    </row>
    <row r="23" spans="1:8">
      <c r="A23" s="7" t="s">
        <v>149</v>
      </c>
      <c r="B23" s="8">
        <v>47</v>
      </c>
      <c r="C23" s="4"/>
      <c r="D23" s="4" t="s">
        <v>253</v>
      </c>
      <c r="E23" s="4"/>
      <c r="F23" s="4" t="s">
        <v>254</v>
      </c>
      <c r="G23" s="4"/>
      <c r="H23" s="4"/>
    </row>
    <row r="24" spans="1:8">
      <c r="A24" s="7" t="s">
        <v>150</v>
      </c>
      <c r="B24" s="8">
        <v>68</v>
      </c>
      <c r="C24" s="4"/>
      <c r="D24" s="28">
        <v>2</v>
      </c>
      <c r="E24" s="4"/>
      <c r="F24" s="28">
        <v>2</v>
      </c>
      <c r="G24" s="4"/>
      <c r="H24" s="4"/>
    </row>
    <row r="25" spans="1:8">
      <c r="A25" s="7" t="s">
        <v>151</v>
      </c>
      <c r="B25" s="8">
        <v>34</v>
      </c>
      <c r="C25" s="4"/>
      <c r="D25" s="28">
        <v>3</v>
      </c>
      <c r="E25" s="4"/>
      <c r="F25" s="28">
        <v>3</v>
      </c>
      <c r="G25" s="4"/>
      <c r="H25" s="4"/>
    </row>
    <row r="26" spans="1:8">
      <c r="A26" s="7" t="s">
        <v>152</v>
      </c>
      <c r="B26" s="8">
        <v>34</v>
      </c>
      <c r="C26" s="4"/>
      <c r="D26" s="28">
        <v>4</v>
      </c>
      <c r="E26" s="4"/>
      <c r="F26" s="28">
        <v>4</v>
      </c>
      <c r="G26" s="4"/>
      <c r="H26" s="4"/>
    </row>
    <row r="27" spans="1:8">
      <c r="A27" s="5" t="s">
        <v>153</v>
      </c>
      <c r="B27" s="8"/>
      <c r="C27" s="4"/>
      <c r="D27" s="28">
        <v>5</v>
      </c>
      <c r="E27" s="4"/>
      <c r="F27" s="28">
        <v>5</v>
      </c>
      <c r="G27" s="4"/>
      <c r="H27" s="4"/>
    </row>
    <row r="28" spans="1:8">
      <c r="A28" s="7" t="s">
        <v>154</v>
      </c>
      <c r="B28" s="8">
        <v>29</v>
      </c>
      <c r="C28" s="4"/>
      <c r="D28" s="4"/>
      <c r="E28" s="4"/>
      <c r="F28" s="4"/>
      <c r="G28" s="4"/>
      <c r="H28" s="4"/>
    </row>
    <row r="29" spans="1:8">
      <c r="A29" s="7" t="s">
        <v>155</v>
      </c>
      <c r="B29" s="8">
        <v>175</v>
      </c>
      <c r="C29" s="4"/>
      <c r="D29" s="4"/>
      <c r="E29" s="4"/>
      <c r="F29" s="4"/>
      <c r="G29" s="4"/>
      <c r="H29" s="4"/>
    </row>
    <row r="30" spans="1:8">
      <c r="A30" s="7" t="s">
        <v>156</v>
      </c>
      <c r="B30" s="8">
        <v>250</v>
      </c>
      <c r="C30" s="4"/>
      <c r="D30" s="4"/>
      <c r="E30" s="4"/>
      <c r="F30" s="4"/>
      <c r="G30" s="4"/>
      <c r="H30" s="4"/>
    </row>
    <row r="31" spans="1:8">
      <c r="A31" s="7" t="s">
        <v>157</v>
      </c>
      <c r="B31" s="8">
        <v>375</v>
      </c>
      <c r="C31" s="4" t="s">
        <v>158</v>
      </c>
      <c r="D31" s="4"/>
      <c r="E31" s="4"/>
      <c r="F31" s="4"/>
      <c r="G31" s="4"/>
      <c r="H31" s="4"/>
    </row>
    <row r="32" spans="1:8">
      <c r="A32" s="7" t="s">
        <v>159</v>
      </c>
      <c r="B32" s="8">
        <v>324</v>
      </c>
      <c r="C32" s="4"/>
      <c r="D32" s="4"/>
      <c r="E32" s="4"/>
      <c r="F32" s="4"/>
      <c r="G32" s="4"/>
      <c r="H32" s="4"/>
    </row>
    <row r="33" spans="1:8">
      <c r="A33" s="7" t="s">
        <v>160</v>
      </c>
      <c r="B33" s="8">
        <v>473</v>
      </c>
      <c r="C33" s="4"/>
      <c r="D33" s="4"/>
      <c r="E33" s="4"/>
      <c r="F33" s="4"/>
      <c r="G33" s="4"/>
      <c r="H33" s="4"/>
    </row>
    <row r="34" spans="1:8">
      <c r="A34" s="7" t="s">
        <v>161</v>
      </c>
      <c r="B34" s="8">
        <v>710</v>
      </c>
      <c r="C34" s="4" t="s">
        <v>158</v>
      </c>
      <c r="D34" s="4"/>
      <c r="E34" s="4"/>
      <c r="F34" s="4"/>
      <c r="G34" s="4"/>
      <c r="H34" s="4"/>
    </row>
    <row r="35" spans="1:8">
      <c r="A35" s="7" t="s">
        <v>162</v>
      </c>
      <c r="B35" s="8">
        <v>613</v>
      </c>
      <c r="C35" s="4"/>
      <c r="D35" s="4"/>
      <c r="E35" s="4"/>
      <c r="F35" s="4"/>
      <c r="G35" s="4"/>
      <c r="H35" s="4"/>
    </row>
    <row r="36" spans="1:8">
      <c r="A36" s="7" t="s">
        <v>163</v>
      </c>
      <c r="B36" s="8">
        <v>920</v>
      </c>
      <c r="C36" s="4" t="s">
        <v>158</v>
      </c>
      <c r="D36" s="4"/>
      <c r="E36" s="4"/>
      <c r="F36" s="4"/>
      <c r="G36" s="4"/>
      <c r="H36" s="4"/>
    </row>
    <row r="37" spans="1:8">
      <c r="A37" s="7" t="s">
        <v>164</v>
      </c>
      <c r="B37" s="8">
        <v>840</v>
      </c>
      <c r="C37" s="4"/>
      <c r="D37" s="4"/>
      <c r="E37" s="4"/>
      <c r="F37" s="4"/>
      <c r="G37" s="4"/>
      <c r="H37" s="4"/>
    </row>
    <row r="38" spans="1:8">
      <c r="A38" s="7" t="s">
        <v>165</v>
      </c>
      <c r="B38" s="8">
        <v>1260</v>
      </c>
      <c r="C38" s="4" t="s">
        <v>158</v>
      </c>
      <c r="D38" s="4"/>
      <c r="E38" s="4"/>
      <c r="F38" s="4"/>
      <c r="G38" s="4"/>
      <c r="H38" s="4"/>
    </row>
    <row r="39" spans="1:8">
      <c r="A39" s="7" t="s">
        <v>166</v>
      </c>
      <c r="B39" s="8">
        <v>980</v>
      </c>
      <c r="C39" s="4"/>
      <c r="D39" s="4"/>
      <c r="E39" s="4"/>
      <c r="F39" s="4"/>
      <c r="G39" s="4"/>
      <c r="H39" s="4"/>
    </row>
    <row r="40" spans="1:8">
      <c r="A40" s="7" t="s">
        <v>167</v>
      </c>
      <c r="B40" s="8">
        <v>482</v>
      </c>
      <c r="C40" s="4" t="s">
        <v>158</v>
      </c>
      <c r="D40" s="4"/>
      <c r="E40" s="4"/>
      <c r="F40" s="4"/>
      <c r="G40" s="4"/>
      <c r="H40" s="4"/>
    </row>
    <row r="41" spans="1:8">
      <c r="A41" s="7" t="s">
        <v>168</v>
      </c>
      <c r="B41" s="8">
        <v>689</v>
      </c>
      <c r="C41" s="4" t="s">
        <v>158</v>
      </c>
      <c r="D41" s="4"/>
      <c r="E41" s="4"/>
      <c r="F41" s="4"/>
      <c r="G41" s="4"/>
      <c r="H41" s="4"/>
    </row>
    <row r="42" spans="1:8">
      <c r="A42" s="7" t="s">
        <v>169</v>
      </c>
      <c r="B42" s="8">
        <v>892</v>
      </c>
      <c r="C42" s="4" t="s">
        <v>158</v>
      </c>
      <c r="D42" s="4"/>
      <c r="E42" s="4"/>
      <c r="F42" s="4"/>
      <c r="G42" s="4"/>
      <c r="H42" s="4"/>
    </row>
    <row r="43" spans="1:8">
      <c r="A43" s="7" t="s">
        <v>170</v>
      </c>
      <c r="B43" s="8">
        <v>1301</v>
      </c>
      <c r="C43" s="4"/>
      <c r="D43" s="4"/>
      <c r="E43" s="4"/>
      <c r="F43" s="4"/>
      <c r="G43" s="4"/>
      <c r="H43" s="4"/>
    </row>
    <row r="44" spans="1:8">
      <c r="A44" s="7" t="s">
        <v>171</v>
      </c>
      <c r="B44" s="8">
        <v>1686</v>
      </c>
      <c r="C44" s="4"/>
      <c r="D44" s="4"/>
      <c r="E44" s="4"/>
      <c r="F44" s="4"/>
      <c r="G44" s="4"/>
      <c r="H44" s="4"/>
    </row>
    <row r="45" spans="1:8">
      <c r="A45" s="7" t="s">
        <v>172</v>
      </c>
      <c r="B45" s="8">
        <v>2046</v>
      </c>
      <c r="C45" s="4"/>
      <c r="D45" s="4"/>
      <c r="E45" s="4"/>
      <c r="F45" s="4"/>
      <c r="G45" s="4"/>
      <c r="H45" s="4"/>
    </row>
    <row r="46" spans="1:8">
      <c r="A46" s="7" t="s">
        <v>173</v>
      </c>
      <c r="B46" s="8">
        <v>2310</v>
      </c>
      <c r="C46" s="4"/>
      <c r="D46" s="4"/>
      <c r="E46" s="4"/>
      <c r="F46" s="4"/>
      <c r="G46" s="4"/>
      <c r="H46" s="4"/>
    </row>
    <row r="47" spans="1:8">
      <c r="A47" s="7" t="s">
        <v>174</v>
      </c>
      <c r="B47" s="8">
        <v>2800</v>
      </c>
      <c r="C47" s="4" t="s">
        <v>158</v>
      </c>
      <c r="D47" s="4"/>
      <c r="E47" s="4"/>
      <c r="F47" s="4"/>
      <c r="G47" s="4"/>
      <c r="H47" s="4"/>
    </row>
    <row r="48" spans="1:8">
      <c r="A48" s="7" t="s">
        <v>175</v>
      </c>
      <c r="B48" s="8">
        <v>125</v>
      </c>
      <c r="C48" s="4"/>
      <c r="D48" s="4"/>
      <c r="E48" s="4"/>
      <c r="F48" s="4"/>
      <c r="G48" s="4"/>
      <c r="H48" s="4"/>
    </row>
    <row r="49" spans="1:10">
      <c r="B49" s="229" t="s">
        <v>176</v>
      </c>
      <c r="C49" s="229"/>
    </row>
    <row r="50" spans="1:10">
      <c r="A50" s="7" t="s">
        <v>198</v>
      </c>
      <c r="B50" s="17">
        <v>12</v>
      </c>
    </row>
    <row r="52" spans="1:10">
      <c r="F52" s="230" t="s">
        <v>179</v>
      </c>
      <c r="G52" s="230"/>
    </row>
    <row r="53" spans="1:10">
      <c r="A53" s="42" t="s">
        <v>304</v>
      </c>
      <c r="B53" s="43" t="s">
        <v>177</v>
      </c>
      <c r="C53" s="43" t="s">
        <v>178</v>
      </c>
      <c r="F53" t="s">
        <v>181</v>
      </c>
      <c r="G53" s="11">
        <f>0.0175</f>
        <v>1.7500000000000002E-2</v>
      </c>
      <c r="I53" s="18"/>
      <c r="J53" s="19"/>
    </row>
    <row r="54" spans="1:10">
      <c r="A54" s="5" t="s">
        <v>305</v>
      </c>
      <c r="F54" t="s">
        <v>183</v>
      </c>
      <c r="G54" s="12">
        <v>5.1000000000000004E-3</v>
      </c>
      <c r="I54" s="18"/>
      <c r="J54" s="19"/>
    </row>
    <row r="55" spans="1:10">
      <c r="A55" s="16" t="s">
        <v>180</v>
      </c>
      <c r="B55" s="213">
        <v>117.16</v>
      </c>
      <c r="C55" s="90">
        <f>B55/2000</f>
        <v>5.858E-2</v>
      </c>
      <c r="F55" t="s">
        <v>185</v>
      </c>
      <c r="G55" s="13"/>
      <c r="I55" s="18"/>
      <c r="J55" s="20"/>
    </row>
    <row r="56" spans="1:10">
      <c r="A56" s="16" t="s">
        <v>182</v>
      </c>
      <c r="B56" s="211">
        <v>120.56</v>
      </c>
      <c r="C56" s="91">
        <f>B56/2000</f>
        <v>6.028E-2</v>
      </c>
      <c r="F56" t="s">
        <v>0</v>
      </c>
      <c r="G56" s="14">
        <f>SUM(G53:G55)</f>
        <v>2.2600000000000002E-2</v>
      </c>
      <c r="I56" s="18"/>
      <c r="J56" s="19"/>
    </row>
    <row r="57" spans="1:10">
      <c r="A57" s="7" t="s">
        <v>184</v>
      </c>
      <c r="B57" s="89">
        <f>B56-B55</f>
        <v>3.4000000000000057</v>
      </c>
      <c r="C57" s="92">
        <f>C56-C55</f>
        <v>1.7000000000000001E-3</v>
      </c>
      <c r="D57" s="95">
        <f>B57/B55</f>
        <v>2.902014339364976E-2</v>
      </c>
      <c r="I57" s="18"/>
      <c r="J57" s="19"/>
    </row>
    <row r="58" spans="1:10">
      <c r="A58" s="5" t="s">
        <v>349</v>
      </c>
      <c r="B58" s="89"/>
      <c r="C58" s="90"/>
      <c r="F58" t="s">
        <v>186</v>
      </c>
      <c r="G58" s="15">
        <f>1-G56</f>
        <v>0.97740000000000005</v>
      </c>
      <c r="I58" s="18"/>
      <c r="J58" s="19"/>
    </row>
    <row r="59" spans="1:10">
      <c r="A59" t="s">
        <v>180</v>
      </c>
      <c r="B59" s="212">
        <v>112</v>
      </c>
      <c r="C59" s="90">
        <f>B59/2000</f>
        <v>5.6000000000000001E-2</v>
      </c>
      <c r="I59" s="18"/>
      <c r="J59" s="20"/>
    </row>
    <row r="60" spans="1:10">
      <c r="A60" s="16" t="s">
        <v>182</v>
      </c>
      <c r="B60" s="211">
        <v>114</v>
      </c>
      <c r="C60" s="91">
        <f>B60/2000</f>
        <v>5.7000000000000002E-2</v>
      </c>
    </row>
    <row r="61" spans="1:10">
      <c r="A61" s="7" t="s">
        <v>184</v>
      </c>
      <c r="B61" s="89">
        <f>B60-B59</f>
        <v>2</v>
      </c>
      <c r="C61" s="92">
        <f>C60-C59</f>
        <v>1.0000000000000009E-3</v>
      </c>
      <c r="D61" s="95">
        <f>B61/B59</f>
        <v>1.7857142857142856E-2</v>
      </c>
    </row>
    <row r="62" spans="1:10">
      <c r="D62" s="95"/>
    </row>
    <row r="63" spans="1:10">
      <c r="B63" s="43" t="s">
        <v>307</v>
      </c>
      <c r="C63" s="43" t="s">
        <v>306</v>
      </c>
    </row>
    <row r="64" spans="1:10">
      <c r="A64" t="s">
        <v>308</v>
      </c>
      <c r="B64" s="21">
        <f>B57</f>
        <v>3.4000000000000057</v>
      </c>
      <c r="C64" s="21">
        <f>B61</f>
        <v>2</v>
      </c>
    </row>
    <row r="65" spans="1:11">
      <c r="A65" t="s">
        <v>274</v>
      </c>
      <c r="B65" s="21">
        <f>B64/$G$58</f>
        <v>3.4786167382852522</v>
      </c>
      <c r="C65" s="21">
        <f>C64/$G$58</f>
        <v>2.0462451401677919</v>
      </c>
    </row>
    <row r="66" spans="1:11">
      <c r="A66" t="s">
        <v>275</v>
      </c>
      <c r="B66" s="214">
        <f>'Disposal Schedule'!L25*'Disposal Schedule'!C34</f>
        <v>393.55849951921283</v>
      </c>
      <c r="C66" s="214">
        <f>'Disposal Schedule'!E25*'Disposal Schedule'!C34</f>
        <v>1006.1703185869482</v>
      </c>
      <c r="D66" s="96"/>
    </row>
    <row r="67" spans="1:11">
      <c r="A67" s="5" t="s">
        <v>276</v>
      </c>
      <c r="B67" s="22">
        <f>B65*B66</f>
        <v>1369.0391839219621</v>
      </c>
      <c r="C67" s="22">
        <f t="shared" ref="C67" si="0">C65*C66</f>
        <v>2058.8711245896216</v>
      </c>
      <c r="D67" s="22">
        <f>SUM(B67:C67)</f>
        <v>3427.9103085115839</v>
      </c>
    </row>
    <row r="69" spans="1:11" ht="15.75" thickBot="1">
      <c r="B69" s="44"/>
    </row>
    <row r="70" spans="1:11">
      <c r="A70" s="79" t="s">
        <v>277</v>
      </c>
      <c r="B70" s="84" t="s">
        <v>278</v>
      </c>
    </row>
    <row r="71" spans="1:11">
      <c r="A71" s="80" t="s">
        <v>279</v>
      </c>
      <c r="B71" s="75">
        <f>'Spokane DF Calc'!R49</f>
        <v>3421.8837656746637</v>
      </c>
    </row>
    <row r="72" spans="1:11">
      <c r="A72" s="80" t="s">
        <v>280</v>
      </c>
      <c r="B72" s="75">
        <f>B71-D67</f>
        <v>-6.0265428369202709</v>
      </c>
      <c r="C72" s="94"/>
    </row>
    <row r="73" spans="1:11" ht="15.75" thickBot="1">
      <c r="A73" s="82"/>
      <c r="B73" s="83"/>
    </row>
    <row r="74" spans="1:11">
      <c r="B74" s="27"/>
      <c r="C74" s="17"/>
      <c r="I74" s="17"/>
      <c r="J74" s="17"/>
    </row>
    <row r="75" spans="1:11">
      <c r="B75" s="17"/>
      <c r="C75" s="22"/>
      <c r="D75" s="21"/>
      <c r="I75" s="22"/>
      <c r="J75" s="22"/>
      <c r="K75" s="21"/>
    </row>
    <row r="76" spans="1:11">
      <c r="A76" s="5"/>
      <c r="B76" s="22"/>
      <c r="C76" s="21"/>
      <c r="D76" s="21"/>
    </row>
    <row r="80" spans="1:11">
      <c r="A80" s="5"/>
      <c r="B80" s="23"/>
    </row>
    <row r="81" spans="1:2">
      <c r="B81" s="18"/>
    </row>
    <row r="82" spans="1:2">
      <c r="B82" s="18"/>
    </row>
    <row r="84" spans="1:2">
      <c r="A84" s="5"/>
      <c r="B84" s="23"/>
    </row>
    <row r="85" spans="1:2">
      <c r="B85" s="18"/>
    </row>
    <row r="86" spans="1:2">
      <c r="A86" s="16"/>
      <c r="B86" s="18"/>
    </row>
  </sheetData>
  <mergeCells count="4">
    <mergeCell ref="A4:H4"/>
    <mergeCell ref="A14:B14"/>
    <mergeCell ref="B49:C49"/>
    <mergeCell ref="F52:G52"/>
  </mergeCells>
  <pageMargins left="0.7" right="0.7" top="0.75" bottom="0.75" header="0.3" footer="0.3"/>
  <pageSetup scale="64" orientation="portrait" r:id="rId1"/>
  <headerFooter>
    <oddFooter>&amp;L&amp;F - 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  <pageSetUpPr fitToPage="1"/>
  </sheetPr>
  <dimension ref="A1:Z73"/>
  <sheetViews>
    <sheetView view="pageBreakPreview" zoomScale="85" zoomScaleNormal="85" zoomScaleSheetLayoutView="85" workbookViewId="0">
      <pane xSplit="3" ySplit="5" topLeftCell="D18" activePane="bottomRight" state="frozen"/>
      <selection activeCell="J43" sqref="J43"/>
      <selection pane="topRight" activeCell="J43" sqref="J43"/>
      <selection pane="bottomLeft" activeCell="J43" sqref="J43"/>
      <selection pane="bottomRight" activeCell="T27" sqref="T27"/>
    </sheetView>
  </sheetViews>
  <sheetFormatPr defaultColWidth="9.140625" defaultRowHeight="15"/>
  <cols>
    <col min="1" max="1" width="4.140625" customWidth="1"/>
    <col min="2" max="2" width="7.7109375" style="23" customWidth="1"/>
    <col min="3" max="3" width="26.140625" customWidth="1"/>
    <col min="4" max="4" width="32.85546875" style="47" customWidth="1"/>
    <col min="5" max="5" width="10.7109375" style="54" customWidth="1"/>
    <col min="6" max="6" width="14.5703125" style="47" bestFit="1" customWidth="1"/>
    <col min="7" max="7" width="15" style="47" bestFit="1" customWidth="1"/>
    <col min="8" max="9" width="12" style="47" customWidth="1"/>
    <col min="10" max="10" width="9" style="61" bestFit="1" customWidth="1"/>
    <col min="11" max="11" width="11.5703125" style="61" bestFit="1" customWidth="1"/>
    <col min="12" max="12" width="10.28515625" style="61" customWidth="1"/>
    <col min="13" max="13" width="12.42578125" style="61" bestFit="1" customWidth="1"/>
    <col min="14" max="14" width="10.85546875" style="61" customWidth="1"/>
    <col min="15" max="15" width="23.7109375" style="61" bestFit="1" customWidth="1"/>
    <col min="16" max="17" width="15.42578125" style="61" customWidth="1"/>
    <col min="18" max="18" width="13.42578125" style="61" customWidth="1"/>
    <col min="19" max="19" width="15.140625" style="61" customWidth="1"/>
    <col min="20" max="20" width="11.28515625" style="61" bestFit="1" customWidth="1"/>
    <col min="22" max="22" width="10.5703125" bestFit="1" customWidth="1"/>
    <col min="23" max="23" width="11.5703125" bestFit="1" customWidth="1"/>
    <col min="24" max="24" width="10.7109375" bestFit="1" customWidth="1"/>
    <col min="25" max="26" width="8.85546875" customWidth="1"/>
  </cols>
  <sheetData>
    <row r="1" spans="1:26">
      <c r="A1" s="5" t="s">
        <v>273</v>
      </c>
    </row>
    <row r="2" spans="1:26">
      <c r="A2" s="5" t="s">
        <v>302</v>
      </c>
    </row>
    <row r="3" spans="1:26">
      <c r="A3" s="215" t="s">
        <v>419</v>
      </c>
      <c r="B3" s="216"/>
      <c r="C3" s="209"/>
    </row>
    <row r="4" spans="1:26">
      <c r="A4" s="77" t="s">
        <v>410</v>
      </c>
    </row>
    <row r="5" spans="1:26" ht="45" customHeight="1">
      <c r="A5" s="45"/>
      <c r="B5" s="45" t="s">
        <v>281</v>
      </c>
      <c r="C5" s="45" t="s">
        <v>282</v>
      </c>
      <c r="D5" s="45" t="s">
        <v>189</v>
      </c>
      <c r="E5" s="45" t="s">
        <v>190</v>
      </c>
      <c r="F5" s="45" t="s">
        <v>191</v>
      </c>
      <c r="G5" s="45" t="s">
        <v>136</v>
      </c>
      <c r="H5" s="45" t="s">
        <v>192</v>
      </c>
      <c r="I5" s="45" t="s">
        <v>193</v>
      </c>
      <c r="J5" s="45" t="s">
        <v>184</v>
      </c>
      <c r="K5" s="45" t="s">
        <v>194</v>
      </c>
      <c r="L5" s="45" t="s">
        <v>283</v>
      </c>
      <c r="M5" s="45" t="s">
        <v>195</v>
      </c>
      <c r="N5" s="45" t="s">
        <v>284</v>
      </c>
      <c r="O5" s="45" t="s">
        <v>196</v>
      </c>
      <c r="P5" s="45" t="s">
        <v>197</v>
      </c>
      <c r="Q5" s="45" t="s">
        <v>255</v>
      </c>
      <c r="R5" s="45" t="s">
        <v>285</v>
      </c>
      <c r="S5" s="45" t="s">
        <v>286</v>
      </c>
      <c r="T5" s="45" t="s">
        <v>287</v>
      </c>
    </row>
    <row r="6" spans="1:26" ht="15" customHeight="1">
      <c r="A6" s="232" t="s">
        <v>187</v>
      </c>
      <c r="B6" s="28" t="s">
        <v>342</v>
      </c>
      <c r="C6" t="s">
        <v>9</v>
      </c>
      <c r="D6" s="54">
        <f>+VLOOKUP(C6,'Spokane Reg - Price out'!$B$12:$K$78,10,FALSE)</f>
        <v>5.1021569031673337</v>
      </c>
      <c r="E6" s="54">
        <f>+References!B10</f>
        <v>4.333333333333333</v>
      </c>
      <c r="F6" s="47">
        <f>D6*E6*References!$B$50</f>
        <v>265.31215896470133</v>
      </c>
      <c r="G6" s="47">
        <f>+References!B16</f>
        <v>20</v>
      </c>
      <c r="H6" s="47">
        <f>F6*G6</f>
        <v>5306.243179294026</v>
      </c>
      <c r="I6" s="47">
        <f t="shared" ref="I6:I20" si="0">H6*$D$66</f>
        <v>3501.7400024872654</v>
      </c>
      <c r="J6" s="61">
        <f>(I6*References!$C$57*'Spokane DF Calc'!$E$72)+('Spokane DF Calc'!I6*References!$C$61*'Spokane DF Calc'!$E$71)</f>
        <v>4.1909432726356561</v>
      </c>
      <c r="K6" s="61">
        <f>J6/References!$G$58</f>
        <v>4.2878486521748069</v>
      </c>
      <c r="L6" s="61">
        <f>ROUND((K6/F6*E6),2)</f>
        <v>7.0000000000000007E-2</v>
      </c>
      <c r="M6" s="61">
        <f>+'Proposed Rates'!B10</f>
        <v>17.73</v>
      </c>
      <c r="N6" s="61">
        <f>L6+M6</f>
        <v>17.8</v>
      </c>
      <c r="O6" s="61">
        <f>+'Proposed Rates'!D10</f>
        <v>17.8</v>
      </c>
      <c r="P6" s="61">
        <f>D6*M6*References!$B$50</f>
        <v>1085.5349027178818</v>
      </c>
      <c r="Q6" s="61">
        <f>D6*O6*References!$B$50</f>
        <v>1089.8207145165425</v>
      </c>
      <c r="R6" s="61">
        <f>Q6-P6</f>
        <v>4.2858117986606885</v>
      </c>
      <c r="S6" s="61">
        <f>D6*N6*References!$B$50</f>
        <v>1089.8207145165425</v>
      </c>
      <c r="T6" s="61">
        <f>Q6-S6</f>
        <v>0</v>
      </c>
      <c r="V6" s="4">
        <f>G6*$D$66</f>
        <v>13.198565855977817</v>
      </c>
      <c r="W6" s="61">
        <f>((V6*References!$C$57*'Spokane DF Calc'!$E$72)+('Spokane DF Calc'!V6*References!$C$61*'Spokane DF Calc'!$E$71))*E6</f>
        <v>6.8450515997034986E-2</v>
      </c>
      <c r="X6" s="61">
        <f>W6/References!$G$58</f>
        <v>7.0033267850455272E-2</v>
      </c>
      <c r="Y6" s="61">
        <f>L6-X6</f>
        <v>-3.3267850455265258E-5</v>
      </c>
      <c r="Z6" s="4"/>
    </row>
    <row r="7" spans="1:26">
      <c r="A7" s="233"/>
      <c r="B7" s="28" t="s">
        <v>342</v>
      </c>
      <c r="C7" t="s">
        <v>11</v>
      </c>
      <c r="D7" s="54">
        <f>+VLOOKUP(C7,'Spokane Reg - Price out'!$B$12:$K$78,10,FALSE)</f>
        <v>9.3312342569269511</v>
      </c>
      <c r="E7" s="54">
        <f>+References!B12</f>
        <v>1</v>
      </c>
      <c r="F7" s="47">
        <f>D7*E7*References!$B$50</f>
        <v>111.97481108312341</v>
      </c>
      <c r="G7" s="47">
        <f>+References!B17</f>
        <v>34</v>
      </c>
      <c r="H7" s="47">
        <f t="shared" ref="H7:H20" si="1">F7*G7</f>
        <v>3807.1435768261958</v>
      </c>
      <c r="I7" s="47">
        <f t="shared" si="0"/>
        <v>2512.4417610951746</v>
      </c>
      <c r="J7" s="61">
        <f>(I7*References!$C$57*'Spokane DF Calc'!$E$72)+('Spokane DF Calc'!I7*References!$C$61*'Spokane DF Calc'!$E$71)</f>
        <v>3.0069339497140444</v>
      </c>
      <c r="K7" s="61">
        <f>J7/References!$G$58</f>
        <v>3.0764619907039537</v>
      </c>
      <c r="L7" s="61">
        <f t="shared" ref="L7:L20" si="2">ROUND((K7/F7*E7),2)</f>
        <v>0.03</v>
      </c>
      <c r="M7" s="61">
        <f>+'Proposed Rates'!B19</f>
        <v>13.68</v>
      </c>
      <c r="N7" s="61">
        <f t="shared" ref="N7:N20" si="3">L7+M7</f>
        <v>13.709999999999999</v>
      </c>
      <c r="O7" s="61">
        <f>+'Proposed Rates'!D19</f>
        <v>13.709999999999999</v>
      </c>
      <c r="P7" s="61">
        <f>D7*M7*References!$B$50</f>
        <v>1531.8154156171281</v>
      </c>
      <c r="Q7" s="61">
        <f>D7*O7*References!$B$50</f>
        <v>1535.1746599496219</v>
      </c>
      <c r="R7" s="61">
        <f t="shared" ref="R7:R20" si="4">Q7-P7</f>
        <v>3.3592443324937449</v>
      </c>
      <c r="S7" s="61">
        <f>D7*N7*References!$B$50</f>
        <v>1535.1746599496219</v>
      </c>
      <c r="T7" s="61">
        <f t="shared" ref="T7:T20" si="5">Q7-S7</f>
        <v>0</v>
      </c>
      <c r="V7" s="4">
        <f t="shared" ref="V7:V20" si="6">G7*$D$66</f>
        <v>22.437561955162291</v>
      </c>
      <c r="W7" s="61">
        <f>((V7*References!$C$57*'Spokane DF Calc'!$E$72)+('Spokane DF Calc'!V7*References!$C$61*'Spokane DF Calc'!$E$71))*E7</f>
        <v>2.6853663968067577E-2</v>
      </c>
      <c r="X7" s="61">
        <f>W7/References!$G$58</f>
        <v>2.7474589695178613E-2</v>
      </c>
      <c r="Y7" s="61">
        <f t="shared" ref="Y7:Y32" si="7">L7-X7</f>
        <v>2.5254103048213856E-3</v>
      </c>
    </row>
    <row r="8" spans="1:26">
      <c r="A8" s="233"/>
      <c r="B8" s="28" t="s">
        <v>342</v>
      </c>
      <c r="C8" t="s">
        <v>13</v>
      </c>
      <c r="D8" s="54">
        <f>+VLOOKUP(C8,'Spokane Reg - Price out'!$B$12:$K$78,10,FALSE)</f>
        <v>446.68485329181453</v>
      </c>
      <c r="E8" s="54">
        <f>+References!B10</f>
        <v>4.333333333333333</v>
      </c>
      <c r="F8" s="47">
        <f>D8*E8*References!$B$50</f>
        <v>23227.612371174353</v>
      </c>
      <c r="G8" s="47">
        <f>+References!B17</f>
        <v>34</v>
      </c>
      <c r="H8" s="47">
        <f t="shared" si="1"/>
        <v>789738.82061992795</v>
      </c>
      <c r="I8" s="47">
        <f>H8*$D$66</f>
        <v>521170.99164871854</v>
      </c>
      <c r="J8" s="61">
        <f>(I8*References!$C$57*'Spokane DF Calc'!$E$72)+('Spokane DF Calc'!I8*References!$C$61*'Spokane DF Calc'!$E$71)</f>
        <v>623.74649739604524</v>
      </c>
      <c r="K8" s="61">
        <f>J8/References!$G$58</f>
        <v>638.16911949666996</v>
      </c>
      <c r="L8" s="61">
        <f t="shared" si="2"/>
        <v>0.12</v>
      </c>
      <c r="M8" s="61">
        <f>+'Proposed Rates'!B11</f>
        <v>21.93</v>
      </c>
      <c r="N8" s="61">
        <f t="shared" si="3"/>
        <v>22.05</v>
      </c>
      <c r="O8" s="61">
        <f>+'Proposed Rates'!D11</f>
        <v>22.05</v>
      </c>
      <c r="P8" s="61">
        <f>D8*M8*References!$B$50</f>
        <v>117549.5859922739</v>
      </c>
      <c r="Q8" s="61">
        <f>D8*O8*References!$B$50</f>
        <v>118192.81218101413</v>
      </c>
      <c r="R8" s="61">
        <f t="shared" si="4"/>
        <v>643.22618874022737</v>
      </c>
      <c r="S8" s="61">
        <f>D8*N8*References!$B$50</f>
        <v>118192.81218101413</v>
      </c>
      <c r="T8" s="61">
        <f>Q8-S8</f>
        <v>0</v>
      </c>
      <c r="V8" s="4">
        <f t="shared" si="6"/>
        <v>22.437561955162291</v>
      </c>
      <c r="W8" s="61">
        <f>((V8*References!$C$57*'Spokane DF Calc'!$E$72)+('Spokane DF Calc'!V8*References!$C$61*'Spokane DF Calc'!$E$71))*E8</f>
        <v>0.1163658771949595</v>
      </c>
      <c r="X8" s="61">
        <f>W8/References!$G$58</f>
        <v>0.11905655534577399</v>
      </c>
      <c r="Y8" s="61">
        <f t="shared" si="7"/>
        <v>9.4344465422600832E-4</v>
      </c>
    </row>
    <row r="9" spans="1:26">
      <c r="A9" s="233"/>
      <c r="B9" s="28" t="s">
        <v>342</v>
      </c>
      <c r="C9" t="s">
        <v>15</v>
      </c>
      <c r="D9" s="54">
        <f>+VLOOKUP(C9,'Spokane Reg - Price out'!$B$12:$K$78,10,FALSE)</f>
        <v>130.87086689771451</v>
      </c>
      <c r="E9" s="54">
        <f>+References!B10</f>
        <v>4.333333333333333</v>
      </c>
      <c r="F9" s="47">
        <f>D9*E9*References!$B$50</f>
        <v>6805.2850786811541</v>
      </c>
      <c r="G9" s="47">
        <f>+References!B18</f>
        <v>51</v>
      </c>
      <c r="H9" s="47">
        <f t="shared" si="1"/>
        <v>347069.53901273885</v>
      </c>
      <c r="I9" s="47">
        <f t="shared" si="0"/>
        <v>229041.0083631748</v>
      </c>
      <c r="J9" s="61">
        <f>(I9*References!$C$57*'Spokane DF Calc'!$E$72)+('Spokane DF Calc'!I9*References!$C$61*'Spokane DF Calc'!$E$71)</f>
        <v>274.120258064712</v>
      </c>
      <c r="K9" s="61">
        <f>J9/References!$G$58</f>
        <v>280.45862294322899</v>
      </c>
      <c r="L9" s="61">
        <f t="shared" si="2"/>
        <v>0.18</v>
      </c>
      <c r="M9" s="61">
        <f>+'Proposed Rates'!B12</f>
        <v>31.009999999999998</v>
      </c>
      <c r="N9" s="61">
        <f t="shared" si="3"/>
        <v>31.189999999999998</v>
      </c>
      <c r="O9" s="61">
        <f>+'Proposed Rates'!D12</f>
        <v>31.189999999999998</v>
      </c>
      <c r="P9" s="61">
        <f>D9*M9*References!$B$50</f>
        <v>48699.666989977515</v>
      </c>
      <c r="Q9" s="61">
        <f>D9*O9*References!$B$50</f>
        <v>48982.34806247658</v>
      </c>
      <c r="R9" s="61">
        <f t="shared" si="4"/>
        <v>282.68107249906461</v>
      </c>
      <c r="S9" s="61">
        <f>D9*N9*References!$B$50</f>
        <v>48982.34806247658</v>
      </c>
      <c r="T9" s="61">
        <f t="shared" si="5"/>
        <v>0</v>
      </c>
      <c r="V9" s="4">
        <f t="shared" si="6"/>
        <v>33.656342932743435</v>
      </c>
      <c r="W9" s="61">
        <f>((V9*References!$C$57*'Spokane DF Calc'!$E$72)+('Spokane DF Calc'!V9*References!$C$61*'Spokane DF Calc'!$E$71))*E9</f>
        <v>0.17454881579243922</v>
      </c>
      <c r="X9" s="61">
        <f>W9/References!$G$58</f>
        <v>0.17858483301866096</v>
      </c>
      <c r="Y9" s="61">
        <f t="shared" si="7"/>
        <v>1.4151669813390333E-3</v>
      </c>
    </row>
    <row r="10" spans="1:26">
      <c r="A10" s="233"/>
      <c r="B10" s="28" t="s">
        <v>342</v>
      </c>
      <c r="C10" t="s">
        <v>17</v>
      </c>
      <c r="D10" s="54">
        <f>+VLOOKUP(C10,'Spokane Reg - Price out'!$B$12:$K$78,10,FALSE)</f>
        <v>1.1655949256342957</v>
      </c>
      <c r="E10" s="54">
        <f>+References!B10</f>
        <v>4.333333333333333</v>
      </c>
      <c r="F10" s="47">
        <f>D10*E10*References!$B$50</f>
        <v>60.610936132983376</v>
      </c>
      <c r="G10" s="47">
        <f>+References!B19</f>
        <v>77</v>
      </c>
      <c r="H10" s="47">
        <f t="shared" si="1"/>
        <v>4667.04208223972</v>
      </c>
      <c r="I10" s="47">
        <f t="shared" si="0"/>
        <v>3079.9131137530394</v>
      </c>
      <c r="J10" s="61">
        <f>(I10*References!$C$57*'Spokane DF Calc'!$E$72)+('Spokane DF Calc'!I10*References!$C$61*'Spokane DF Calc'!$E$71)</f>
        <v>3.686093523567525</v>
      </c>
      <c r="K10" s="61">
        <f>J10/References!$G$58</f>
        <v>3.7713254794020101</v>
      </c>
      <c r="L10" s="61">
        <f t="shared" si="2"/>
        <v>0.27</v>
      </c>
      <c r="M10" s="61">
        <f>+'Proposed Rates'!B13</f>
        <v>44.32</v>
      </c>
      <c r="N10" s="61">
        <f t="shared" si="3"/>
        <v>44.59</v>
      </c>
      <c r="O10" s="61">
        <f>+'Proposed Rates'!D13</f>
        <v>44.59</v>
      </c>
      <c r="P10" s="61">
        <f>D10*M10*References!$B$50</f>
        <v>619.91000524934384</v>
      </c>
      <c r="Q10" s="61">
        <f>D10*O10*References!$B$50</f>
        <v>623.68653280839897</v>
      </c>
      <c r="R10" s="61">
        <f t="shared" si="4"/>
        <v>3.7765275590551255</v>
      </c>
      <c r="S10" s="61">
        <f>D10*N10*References!$B$50</f>
        <v>623.68653280839897</v>
      </c>
      <c r="T10" s="61">
        <f t="shared" si="5"/>
        <v>0</v>
      </c>
      <c r="V10" s="4">
        <f t="shared" si="6"/>
        <v>50.814478545514596</v>
      </c>
      <c r="W10" s="61">
        <f>((V10*References!$C$57*'Spokane DF Calc'!$E$72)+('Spokane DF Calc'!V10*References!$C$61*'Spokane DF Calc'!$E$71))*E10</f>
        <v>0.26353448658858469</v>
      </c>
      <c r="X10" s="61">
        <f>W10/References!$G$58</f>
        <v>0.2696280812242528</v>
      </c>
      <c r="Y10" s="61">
        <f t="shared" si="7"/>
        <v>3.7191877574721532E-4</v>
      </c>
    </row>
    <row r="11" spans="1:26">
      <c r="A11" s="233"/>
      <c r="B11" s="28" t="s">
        <v>342</v>
      </c>
      <c r="C11" t="s">
        <v>19</v>
      </c>
      <c r="D11" s="54">
        <f>+VLOOKUP(C11,'Spokane Reg - Price out'!$B$12:$K$78,10,FALSE)</f>
        <v>288.06134665831559</v>
      </c>
      <c r="E11" s="54">
        <f>+References!$B$10</f>
        <v>4.333333333333333</v>
      </c>
      <c r="F11" s="47">
        <f>D11*E11*References!$B$50</f>
        <v>14979.190026232411</v>
      </c>
      <c r="G11" s="47">
        <f>+References!B23</f>
        <v>47</v>
      </c>
      <c r="H11" s="47">
        <f t="shared" si="1"/>
        <v>704021.93123292329</v>
      </c>
      <c r="I11" s="47">
        <f t="shared" si="0"/>
        <v>464603.99117152119</v>
      </c>
      <c r="J11" s="61">
        <f>(I11*References!$C$57*'Spokane DF Calc'!$E$72)+('Spokane DF Calc'!I11*References!$C$61*'Spokane DF Calc'!$E$71)</f>
        <v>556.04612845526174</v>
      </c>
      <c r="K11" s="61">
        <f>J11/References!$G$58</f>
        <v>568.90334403034751</v>
      </c>
      <c r="L11" s="61">
        <f t="shared" si="2"/>
        <v>0.16</v>
      </c>
      <c r="M11" s="61">
        <f>+'Proposed Rates'!B17</f>
        <v>32.949999999999996</v>
      </c>
      <c r="N11" s="61">
        <f t="shared" si="3"/>
        <v>33.109999999999992</v>
      </c>
      <c r="O11" s="61">
        <f>+'Proposed Rates'!D17</f>
        <v>33.109999999999992</v>
      </c>
      <c r="P11" s="61">
        <f>D11*M11*References!$B$50</f>
        <v>113899.45646869796</v>
      </c>
      <c r="Q11" s="61">
        <f>D11*O11*References!$B$50</f>
        <v>114452.53425428193</v>
      </c>
      <c r="R11" s="61">
        <f t="shared" si="4"/>
        <v>553.07778558396967</v>
      </c>
      <c r="S11" s="61">
        <f>D11*N11*References!$B$50</f>
        <v>114452.53425428193</v>
      </c>
      <c r="T11" s="61">
        <f t="shared" si="5"/>
        <v>0</v>
      </c>
      <c r="V11" s="4">
        <f t="shared" si="6"/>
        <v>31.016629761547872</v>
      </c>
      <c r="W11" s="61">
        <f>((V11*References!$C$57*'Spokane DF Calc'!$E$72)+('Spokane DF Calc'!V11*References!$C$61*'Spokane DF Calc'!$E$71))*E11</f>
        <v>0.16085871259303222</v>
      </c>
      <c r="X11" s="61">
        <f>W11/References!$G$58</f>
        <v>0.16457817944856989</v>
      </c>
      <c r="Y11" s="61">
        <f t="shared" si="7"/>
        <v>-4.5781794485698912E-3</v>
      </c>
    </row>
    <row r="12" spans="1:26">
      <c r="A12" s="233"/>
      <c r="B12" s="28" t="s">
        <v>342</v>
      </c>
      <c r="C12" t="s">
        <v>260</v>
      </c>
      <c r="D12" s="54">
        <f>+VLOOKUP(C12,'Spokane Reg - Price out'!$B$12:$K$78,10,FALSE)</f>
        <v>1.0000000000000002</v>
      </c>
      <c r="E12" s="93">
        <f>+References!$B$10</f>
        <v>4.333333333333333</v>
      </c>
      <c r="F12" s="50">
        <f>D12*E12*References!$B$50</f>
        <v>52.000000000000007</v>
      </c>
      <c r="G12" s="50">
        <f>+References!B23*2</f>
        <v>94</v>
      </c>
      <c r="H12" s="47">
        <f t="shared" ref="H12" si="8">F12*G12</f>
        <v>4888.0000000000009</v>
      </c>
      <c r="I12" s="47">
        <f t="shared" si="0"/>
        <v>3225.7294952009793</v>
      </c>
      <c r="J12" s="61">
        <f>(I12*References!$C$57*'Spokane DF Calc'!$E$72)+('Spokane DF Calc'!I12*References!$C$61*'Spokane DF Calc'!$E$71)</f>
        <v>3.8606091022327749</v>
      </c>
      <c r="K12" s="61">
        <f>J12/References!$G$58</f>
        <v>3.9498763067656792</v>
      </c>
      <c r="L12" s="61">
        <f t="shared" si="2"/>
        <v>0.33</v>
      </c>
      <c r="M12" s="61">
        <f>+'Proposed Rates'!B17*2</f>
        <v>65.899999999999991</v>
      </c>
      <c r="N12" s="61">
        <f>L12+M12</f>
        <v>66.22999999999999</v>
      </c>
      <c r="O12" s="61">
        <f>+'Proposed Rates'!D17*2</f>
        <v>66.219999999999985</v>
      </c>
      <c r="P12" s="61">
        <f>D12*M12*References!$B$50</f>
        <v>790.80000000000007</v>
      </c>
      <c r="Q12" s="61">
        <f>D12*O12*References!$B$50</f>
        <v>794.64</v>
      </c>
      <c r="R12" s="61">
        <f t="shared" si="4"/>
        <v>3.8399999999999181</v>
      </c>
      <c r="S12" s="61">
        <f>D12*N12*References!$B$50</f>
        <v>794.76</v>
      </c>
      <c r="T12" s="222">
        <f>Q12-S12</f>
        <v>-0.12000000000000455</v>
      </c>
      <c r="U12" s="223" t="s">
        <v>423</v>
      </c>
      <c r="V12" s="4">
        <f t="shared" si="6"/>
        <v>62.033259523095744</v>
      </c>
      <c r="W12" s="61">
        <f>((V12*References!$C$57*'Spokane DF Calc'!$E$72)+('Spokane DF Calc'!V12*References!$C$61*'Spokane DF Calc'!$E$71))*E12</f>
        <v>0.32171742518606444</v>
      </c>
      <c r="X12" s="61">
        <f>W12/References!$G$58</f>
        <v>0.32915635889713979</v>
      </c>
      <c r="Y12" s="61">
        <f t="shared" si="7"/>
        <v>8.4364110286022642E-4</v>
      </c>
    </row>
    <row r="13" spans="1:26">
      <c r="A13" s="233"/>
      <c r="B13" s="28" t="s">
        <v>342</v>
      </c>
      <c r="C13" t="s">
        <v>21</v>
      </c>
      <c r="D13" s="54">
        <f>+VLOOKUP(C13,'Spokane Reg - Price out'!$B$12:$K$78,10,FALSE)</f>
        <v>318.82955084789825</v>
      </c>
      <c r="E13" s="54">
        <f>+References!B10</f>
        <v>4.333333333333333</v>
      </c>
      <c r="F13" s="47">
        <f>D13*E13*References!$B$50</f>
        <v>16579.136644090708</v>
      </c>
      <c r="G13" s="47">
        <f>+References!$B$24</f>
        <v>68</v>
      </c>
      <c r="H13" s="47">
        <f t="shared" si="1"/>
        <v>1127381.2917981681</v>
      </c>
      <c r="I13" s="47">
        <f t="shared" si="0"/>
        <v>743990.81122977333</v>
      </c>
      <c r="J13" s="61">
        <f>(I13*References!$C$57*'Spokane DF Calc'!$E$72)+('Spokane DF Calc'!I13*References!$C$61*'Spokane DF Calc'!$E$71)</f>
        <v>890.42112864217472</v>
      </c>
      <c r="K13" s="61">
        <f>J13/References!$G$58</f>
        <v>911.00995359338515</v>
      </c>
      <c r="L13" s="61">
        <f t="shared" si="2"/>
        <v>0.24</v>
      </c>
      <c r="M13" s="61">
        <f>+'Proposed Rates'!B18</f>
        <v>41.330000000000005</v>
      </c>
      <c r="N13" s="61">
        <f t="shared" si="3"/>
        <v>41.570000000000007</v>
      </c>
      <c r="O13" s="61">
        <f>+'Proposed Rates'!D18</f>
        <v>41.570000000000007</v>
      </c>
      <c r="P13" s="61">
        <f>D13*M13*References!$B$50</f>
        <v>158126.70403852363</v>
      </c>
      <c r="Q13" s="61">
        <f>D13*O13*References!$B$50</f>
        <v>159044.93314496559</v>
      </c>
      <c r="R13" s="61">
        <f t="shared" si="4"/>
        <v>918.22910644195508</v>
      </c>
      <c r="S13" s="61">
        <f>D13*N13*References!$B$50</f>
        <v>159044.93314496559</v>
      </c>
      <c r="T13" s="61">
        <f t="shared" si="5"/>
        <v>0</v>
      </c>
      <c r="V13" s="4">
        <f t="shared" si="6"/>
        <v>44.875123910324582</v>
      </c>
      <c r="W13" s="61">
        <f>((V13*References!$C$57*'Spokane DF Calc'!$E$72)+('Spokane DF Calc'!V13*References!$C$61*'Spokane DF Calc'!$E$71))*E13</f>
        <v>0.232731754389919</v>
      </c>
      <c r="X13" s="61">
        <f>W13/References!$G$58</f>
        <v>0.23811311069154797</v>
      </c>
      <c r="Y13" s="61">
        <f t="shared" si="7"/>
        <v>1.8868893084520166E-3</v>
      </c>
    </row>
    <row r="14" spans="1:26">
      <c r="A14" s="233"/>
      <c r="B14" s="28" t="s">
        <v>342</v>
      </c>
      <c r="C14" t="s">
        <v>23</v>
      </c>
      <c r="D14" s="54">
        <f>+VLOOKUP(C14,'Spokane Reg - Price out'!$B$12:$K$78,10,FALSE)</f>
        <v>3.226337737794021</v>
      </c>
      <c r="E14" s="93">
        <f>+References!$B$10</f>
        <v>4.333333333333333</v>
      </c>
      <c r="F14" s="47">
        <f>D14*E14*References!$B$50</f>
        <v>167.76956236528909</v>
      </c>
      <c r="G14" s="50">
        <f>+References!B24*2</f>
        <v>136</v>
      </c>
      <c r="H14" s="47">
        <f t="shared" si="1"/>
        <v>22816.660481679315</v>
      </c>
      <c r="I14" s="47">
        <f t="shared" si="0"/>
        <v>15057.35979904655</v>
      </c>
      <c r="J14" s="61">
        <f>(I14*References!$C$57*'Spokane DF Calc'!$E$72)+('Spokane DF Calc'!I14*References!$C$61*'Spokane DF Calc'!$E$71)</f>
        <v>18.020909807308918</v>
      </c>
      <c r="K14" s="61">
        <f>J14/References!$G$58</f>
        <v>18.437599557303987</v>
      </c>
      <c r="L14" s="61">
        <f t="shared" si="2"/>
        <v>0.48</v>
      </c>
      <c r="M14" s="61">
        <f>+'Proposed Rates'!B18*2</f>
        <v>82.660000000000011</v>
      </c>
      <c r="N14" s="61">
        <f t="shared" si="3"/>
        <v>83.140000000000015</v>
      </c>
      <c r="O14" s="61">
        <f>N14</f>
        <v>83.140000000000015</v>
      </c>
      <c r="P14" s="61">
        <f>D14*M14*References!$B$50</f>
        <v>3200.2689288726456</v>
      </c>
      <c r="Q14" s="61">
        <f>D14*O14*References!$B$50</f>
        <v>3218.8526342423393</v>
      </c>
      <c r="R14" s="61">
        <f t="shared" si="4"/>
        <v>18.583705369693689</v>
      </c>
      <c r="S14" s="61">
        <f>D14*N14*References!$B$50</f>
        <v>3218.8526342423393</v>
      </c>
      <c r="T14" s="61">
        <f>Q14-S14</f>
        <v>0</v>
      </c>
      <c r="V14" s="4">
        <f t="shared" si="6"/>
        <v>89.750247820649165</v>
      </c>
      <c r="W14" s="61">
        <f>((V14*References!$C$57*'Spokane DF Calc'!$E$72)+('Spokane DF Calc'!V14*References!$C$61*'Spokane DF Calc'!$E$71))*E14</f>
        <v>0.465463508779838</v>
      </c>
      <c r="X14" s="61">
        <f>W14/References!$G$58</f>
        <v>0.47622622138309595</v>
      </c>
      <c r="Y14" s="61">
        <f t="shared" si="7"/>
        <v>3.7737786169040333E-3</v>
      </c>
    </row>
    <row r="15" spans="1:26">
      <c r="A15" s="233"/>
      <c r="B15" s="28" t="s">
        <v>342</v>
      </c>
      <c r="C15" t="s">
        <v>325</v>
      </c>
      <c r="D15" s="54">
        <f>+VLOOKUP(C15,'Spokane Reg - Price out'!$B$12:$K$78,10,FALSE)</f>
        <v>0.9947287039640148</v>
      </c>
      <c r="E15" s="93">
        <f>+References!$B$10</f>
        <v>4.333333333333333</v>
      </c>
      <c r="F15" s="47">
        <f>D15*E15*References!$B$50</f>
        <v>51.725892606128767</v>
      </c>
      <c r="G15" s="47">
        <f>+References!$B$24*3</f>
        <v>204</v>
      </c>
      <c r="H15" s="47">
        <f t="shared" si="1"/>
        <v>10552.082091650269</v>
      </c>
      <c r="I15" s="47">
        <f t="shared" si="0"/>
        <v>6963.6175202165114</v>
      </c>
      <c r="J15" s="61">
        <f>(I15*References!$C$57*'Spokane DF Calc'!$E$72)+('Spokane DF Calc'!I15*References!$C$61*'Spokane DF Calc'!$E$71)</f>
        <v>8.334178430959998</v>
      </c>
      <c r="K15" s="61">
        <f>J15/References!$G$58</f>
        <v>8.5268860558215653</v>
      </c>
      <c r="L15" s="61">
        <f t="shared" si="2"/>
        <v>0.71</v>
      </c>
      <c r="M15" s="61">
        <f>M13*3</f>
        <v>123.99000000000001</v>
      </c>
      <c r="N15" s="61">
        <f t="shared" ref="N15" si="9">L15+M15</f>
        <v>124.7</v>
      </c>
      <c r="O15" s="61">
        <f>N15</f>
        <v>124.7</v>
      </c>
      <c r="P15" s="61">
        <f>D15*M15*References!$B$50</f>
        <v>1480.0369440539785</v>
      </c>
      <c r="Q15" s="61">
        <f>D15*O15*References!$B$50</f>
        <v>1488.5120326117517</v>
      </c>
      <c r="R15" s="61">
        <f t="shared" ref="R15" si="10">Q15-P15</f>
        <v>8.4750885577732333</v>
      </c>
      <c r="S15" s="61">
        <f>D15*N15*References!$B$50</f>
        <v>1488.5120326117517</v>
      </c>
      <c r="T15" s="61">
        <f>Q15-S15</f>
        <v>0</v>
      </c>
      <c r="V15" s="4">
        <f t="shared" si="6"/>
        <v>134.62537173097374</v>
      </c>
      <c r="W15" s="61">
        <f>((V15*References!$C$57*'Spokane DF Calc'!$E$72)+('Spokane DF Calc'!V15*References!$C$61*'Spokane DF Calc'!$E$71))*E15</f>
        <v>0.69819526316975689</v>
      </c>
      <c r="X15" s="61">
        <f>W15/References!$G$58</f>
        <v>0.71433933207464384</v>
      </c>
      <c r="Y15" s="61">
        <f t="shared" si="7"/>
        <v>-4.3393320746438757E-3</v>
      </c>
    </row>
    <row r="16" spans="1:26">
      <c r="A16" s="233"/>
      <c r="B16" s="28" t="s">
        <v>343</v>
      </c>
      <c r="C16" t="s">
        <v>25</v>
      </c>
      <c r="D16" s="54">
        <v>0.67</v>
      </c>
      <c r="E16" s="54">
        <f>+References!$B$12</f>
        <v>1</v>
      </c>
      <c r="F16" s="47">
        <f>D16*E16*References!$B$50</f>
        <v>8.0400000000000009</v>
      </c>
      <c r="G16" s="47">
        <f>+References!B17</f>
        <v>34</v>
      </c>
      <c r="H16" s="47">
        <f t="shared" si="1"/>
        <v>273.36</v>
      </c>
      <c r="I16" s="47">
        <f t="shared" si="0"/>
        <v>180.39799811950482</v>
      </c>
      <c r="J16" s="61">
        <f>(I16*References!$C$57*'Spokane DF Calc'!$E$72)+('Spokane DF Calc'!I16*References!$C$61*'Spokane DF Calc'!$E$71)</f>
        <v>0.21590345830326332</v>
      </c>
      <c r="K16" s="61">
        <f>J16/References!$G$58</f>
        <v>0.22089570114923604</v>
      </c>
      <c r="L16" s="61">
        <f t="shared" si="2"/>
        <v>0.03</v>
      </c>
      <c r="M16" s="61">
        <f>+'Proposed Rates'!B24</f>
        <v>14.99</v>
      </c>
      <c r="N16" s="61">
        <f t="shared" si="3"/>
        <v>15.02</v>
      </c>
      <c r="O16" s="61">
        <f>+'Proposed Rates'!D24</f>
        <v>15.02</v>
      </c>
      <c r="P16" s="61">
        <f>F16*M16</f>
        <v>120.51960000000001</v>
      </c>
      <c r="Q16" s="61">
        <f>F16*O16</f>
        <v>120.76080000000002</v>
      </c>
      <c r="R16" s="61">
        <f t="shared" si="4"/>
        <v>0.2412000000000063</v>
      </c>
      <c r="S16" s="61">
        <f>F16*N16</f>
        <v>120.76080000000002</v>
      </c>
      <c r="T16" s="61">
        <f t="shared" si="5"/>
        <v>0</v>
      </c>
      <c r="V16" s="4">
        <f t="shared" si="6"/>
        <v>22.437561955162291</v>
      </c>
      <c r="W16" s="61">
        <f>((V16*References!$C$57*'Spokane DF Calc'!$E$72)+('Spokane DF Calc'!V16*References!$C$61*'Spokane DF Calc'!$E$71))*E16</f>
        <v>2.6853663968067577E-2</v>
      </c>
      <c r="X16" s="61">
        <f>W16/References!$G$58</f>
        <v>2.7474589695178613E-2</v>
      </c>
      <c r="Y16" s="61">
        <f t="shared" si="7"/>
        <v>2.5254103048213856E-3</v>
      </c>
    </row>
    <row r="17" spans="1:25">
      <c r="A17" s="233"/>
      <c r="B17" s="28" t="s">
        <v>343</v>
      </c>
      <c r="C17" t="s">
        <v>27</v>
      </c>
      <c r="D17" s="54">
        <f>+VLOOKUP(C17,'Spokane Reg - Price out'!$B$12:$K$78,10,FALSE)</f>
        <v>101.28898218931626</v>
      </c>
      <c r="E17" s="54">
        <f>+References!$B$12</f>
        <v>1</v>
      </c>
      <c r="F17" s="47">
        <f>D17*E17*References!$B$50</f>
        <v>1215.4677862717951</v>
      </c>
      <c r="G17" s="47">
        <f>+References!B26</f>
        <v>34</v>
      </c>
      <c r="H17" s="47">
        <f t="shared" si="1"/>
        <v>41325.904733241034</v>
      </c>
      <c r="I17" s="47">
        <f t="shared" si="0"/>
        <v>27272.133758977358</v>
      </c>
      <c r="J17" s="61">
        <f>(I17*References!$C$57*'Spokane DF Calc'!$E$72)+('Spokane DF Calc'!I17*References!$C$61*'Spokane DF Calc'!$E$71)</f>
        <v>32.639763496553762</v>
      </c>
      <c r="K17" s="61">
        <f>J17/References!$G$58</f>
        <v>33.394478715524613</v>
      </c>
      <c r="L17" s="61">
        <f t="shared" si="2"/>
        <v>0.03</v>
      </c>
      <c r="M17" s="61">
        <f>+'Proposed Rates'!B22</f>
        <v>5.21</v>
      </c>
      <c r="N17" s="61">
        <f t="shared" si="3"/>
        <v>5.24</v>
      </c>
      <c r="O17" s="61">
        <f>+'Proposed Rates'!D22</f>
        <v>5.24</v>
      </c>
      <c r="P17" s="61">
        <f t="shared" ref="P17:P20" si="11">F17*M17</f>
        <v>6332.5871664760525</v>
      </c>
      <c r="Q17" s="61">
        <f t="shared" ref="Q17:Q20" si="12">F17*O17</f>
        <v>6369.0512000642066</v>
      </c>
      <c r="R17" s="61">
        <f t="shared" si="4"/>
        <v>36.464033588154052</v>
      </c>
      <c r="S17" s="61">
        <f t="shared" ref="S17:S20" si="13">F17*N17</f>
        <v>6369.0512000642066</v>
      </c>
      <c r="T17" s="61">
        <f t="shared" si="5"/>
        <v>0</v>
      </c>
      <c r="V17" s="4">
        <f t="shared" si="6"/>
        <v>22.437561955162291</v>
      </c>
      <c r="W17" s="61">
        <f>((V17*References!$C$57*'Spokane DF Calc'!$E$72)+('Spokane DF Calc'!V17*References!$C$61*'Spokane DF Calc'!$E$71))*E17</f>
        <v>2.6853663968067577E-2</v>
      </c>
      <c r="X17" s="61">
        <f>W17/References!$G$58</f>
        <v>2.7474589695178613E-2</v>
      </c>
      <c r="Y17" s="61">
        <f t="shared" si="7"/>
        <v>2.5254103048213856E-3</v>
      </c>
    </row>
    <row r="18" spans="1:25">
      <c r="A18" s="233"/>
      <c r="B18" s="28" t="s">
        <v>344</v>
      </c>
      <c r="C18" t="s">
        <v>29</v>
      </c>
      <c r="D18" s="54">
        <f>+VLOOKUP(C18,'Spokane Reg - Price out'!$B$12:$K$78,10,FALSE)</f>
        <v>0.25</v>
      </c>
      <c r="E18" s="54">
        <f>+References!$B$12</f>
        <v>1</v>
      </c>
      <c r="F18" s="47">
        <f>D18*E18*References!$B$50</f>
        <v>3</v>
      </c>
      <c r="G18" s="47">
        <f>+References!B48</f>
        <v>125</v>
      </c>
      <c r="H18" s="47">
        <f t="shared" si="1"/>
        <v>375</v>
      </c>
      <c r="I18" s="47">
        <f t="shared" si="0"/>
        <v>247.47310979958408</v>
      </c>
      <c r="J18" s="61">
        <f>(I18*References!$C$57*'Spokane DF Calc'!$E$72)+('Spokane DF Calc'!I18*References!$C$61*'Spokane DF Calc'!$E$71)</f>
        <v>0.29618011729486299</v>
      </c>
      <c r="K18" s="61">
        <f>J18/References!$G$58</f>
        <v>0.30302856281446999</v>
      </c>
      <c r="L18" s="61">
        <f t="shared" si="2"/>
        <v>0.1</v>
      </c>
      <c r="M18" s="61">
        <f>+'Proposed Rates'!B27</f>
        <v>26.34</v>
      </c>
      <c r="N18" s="61">
        <f t="shared" si="3"/>
        <v>26.44</v>
      </c>
      <c r="O18" s="61">
        <f>'Proposed Rates'!D27</f>
        <v>26.44</v>
      </c>
      <c r="P18" s="61">
        <f t="shared" si="11"/>
        <v>79.02</v>
      </c>
      <c r="Q18" s="61">
        <f t="shared" si="12"/>
        <v>79.320000000000007</v>
      </c>
      <c r="R18" s="61">
        <f t="shared" si="4"/>
        <v>0.30000000000001137</v>
      </c>
      <c r="S18" s="61">
        <f t="shared" si="13"/>
        <v>79.320000000000007</v>
      </c>
      <c r="T18" s="61">
        <f t="shared" si="5"/>
        <v>0</v>
      </c>
      <c r="V18" s="4">
        <f t="shared" si="6"/>
        <v>82.49103659986136</v>
      </c>
      <c r="W18" s="61">
        <f>((V18*References!$C$57*'Spokane DF Calc'!$E$72)+('Spokane DF Calc'!V18*References!$C$61*'Spokane DF Calc'!$E$71))*E18</f>
        <v>9.872670576495432E-2</v>
      </c>
      <c r="X18" s="61">
        <f>W18/References!$G$58</f>
        <v>0.10100952093815666</v>
      </c>
      <c r="Y18" s="61">
        <f t="shared" si="7"/>
        <v>-1.0095209381566494E-3</v>
      </c>
    </row>
    <row r="19" spans="1:25">
      <c r="A19" s="233"/>
      <c r="B19" s="28" t="s">
        <v>341</v>
      </c>
      <c r="C19" t="s">
        <v>31</v>
      </c>
      <c r="D19" s="54">
        <f>+VLOOKUP(C19,'Spokane Reg - Price out'!$B$12:$K$78,10,FALSE)</f>
        <v>1.7438752783964364</v>
      </c>
      <c r="E19" s="54">
        <f>+References!$B$12</f>
        <v>1</v>
      </c>
      <c r="F19" s="47">
        <f>D19*E19*References!$B$50</f>
        <v>20.926503340757236</v>
      </c>
      <c r="G19" s="47">
        <v>0</v>
      </c>
      <c r="H19" s="47">
        <f t="shared" si="1"/>
        <v>0</v>
      </c>
      <c r="I19" s="47">
        <f t="shared" si="0"/>
        <v>0</v>
      </c>
      <c r="J19" s="61">
        <f>(I19*References!$C$57*'Spokane DF Calc'!$E$72)+('Spokane DF Calc'!I19*References!$C$61*'Spokane DF Calc'!$E$71)</f>
        <v>0</v>
      </c>
      <c r="K19" s="61">
        <f>J19/References!$G$58</f>
        <v>0</v>
      </c>
      <c r="L19" s="61">
        <f t="shared" si="2"/>
        <v>0</v>
      </c>
      <c r="M19" s="61">
        <f>+'Proposed Rates'!B7</f>
        <v>5.21</v>
      </c>
      <c r="N19" s="61">
        <f t="shared" si="3"/>
        <v>5.21</v>
      </c>
      <c r="O19" s="61">
        <f>+'Proposed Rates'!D7</f>
        <v>5.21</v>
      </c>
      <c r="P19" s="61">
        <f t="shared" si="11"/>
        <v>109.0270824053452</v>
      </c>
      <c r="Q19" s="61">
        <f t="shared" si="12"/>
        <v>109.0270824053452</v>
      </c>
      <c r="R19" s="61">
        <f t="shared" si="4"/>
        <v>0</v>
      </c>
      <c r="S19" s="61">
        <f t="shared" si="13"/>
        <v>109.0270824053452</v>
      </c>
      <c r="T19" s="61">
        <f t="shared" si="5"/>
        <v>0</v>
      </c>
      <c r="V19" s="4">
        <f t="shared" si="6"/>
        <v>0</v>
      </c>
      <c r="W19" s="61">
        <f>((V19*References!$C$57*'Spokane DF Calc'!$E$72)+('Spokane DF Calc'!V19*References!$C$61*'Spokane DF Calc'!$E$71))*E19</f>
        <v>0</v>
      </c>
      <c r="X19" s="61">
        <f>W19/References!$G$58</f>
        <v>0</v>
      </c>
      <c r="Y19" s="61">
        <f t="shared" si="7"/>
        <v>0</v>
      </c>
    </row>
    <row r="20" spans="1:25">
      <c r="A20" s="233"/>
      <c r="B20" s="28" t="s">
        <v>341</v>
      </c>
      <c r="C20" t="s">
        <v>33</v>
      </c>
      <c r="D20" s="54">
        <f>+VLOOKUP(C20,'Spokane Reg - Price out'!$B$12:$K$78,10,FALSE)</f>
        <v>0.91666666666666685</v>
      </c>
      <c r="E20" s="54">
        <f>+References!$B$12</f>
        <v>1</v>
      </c>
      <c r="F20" s="47">
        <f>D20*E20*References!$B$50</f>
        <v>11.000000000000002</v>
      </c>
      <c r="G20" s="47">
        <v>0</v>
      </c>
      <c r="H20" s="47">
        <f t="shared" si="1"/>
        <v>0</v>
      </c>
      <c r="I20" s="47">
        <f t="shared" si="0"/>
        <v>0</v>
      </c>
      <c r="J20" s="61">
        <f>(I20*References!$C$57*'Spokane DF Calc'!$E$72)+('Spokane DF Calc'!I20*References!$C$61*'Spokane DF Calc'!$E$71)</f>
        <v>0</v>
      </c>
      <c r="K20" s="61">
        <f>J20/References!$G$58</f>
        <v>0</v>
      </c>
      <c r="L20" s="61">
        <f t="shared" si="2"/>
        <v>0</v>
      </c>
      <c r="M20" s="61">
        <f>+'Proposed Rates'!B7</f>
        <v>5.21</v>
      </c>
      <c r="N20" s="61">
        <f t="shared" si="3"/>
        <v>5.21</v>
      </c>
      <c r="O20" s="61">
        <f>+'Proposed Rates'!D7</f>
        <v>5.21</v>
      </c>
      <c r="P20" s="61">
        <f t="shared" si="11"/>
        <v>57.310000000000009</v>
      </c>
      <c r="Q20" s="61">
        <f t="shared" si="12"/>
        <v>57.310000000000009</v>
      </c>
      <c r="R20" s="61">
        <f t="shared" si="4"/>
        <v>0</v>
      </c>
      <c r="S20" s="61">
        <f t="shared" si="13"/>
        <v>57.310000000000009</v>
      </c>
      <c r="T20" s="61">
        <f t="shared" si="5"/>
        <v>0</v>
      </c>
      <c r="V20" s="4">
        <f t="shared" si="6"/>
        <v>0</v>
      </c>
      <c r="W20" s="61">
        <f>((V20*References!$C$57*'Spokane DF Calc'!$E$72)+('Spokane DF Calc'!V20*References!$C$61*'Spokane DF Calc'!$E$71))*E20</f>
        <v>0</v>
      </c>
      <c r="X20" s="61">
        <f>W20/References!$G$58</f>
        <v>0</v>
      </c>
      <c r="Y20" s="61">
        <f t="shared" si="7"/>
        <v>0</v>
      </c>
    </row>
    <row r="21" spans="1:25">
      <c r="A21" s="41"/>
      <c r="B21" s="39"/>
      <c r="C21" s="38" t="s">
        <v>0</v>
      </c>
      <c r="D21" s="48">
        <f>SUM(D6:D20)</f>
        <v>1310.1361943576089</v>
      </c>
      <c r="E21" s="55"/>
      <c r="F21" s="48">
        <f>SUM(F6:F20)</f>
        <v>63559.051770943406</v>
      </c>
      <c r="G21" s="49"/>
      <c r="H21" s="48">
        <f>SUM(H6:H20)</f>
        <v>3062223.0188086885</v>
      </c>
      <c r="I21" s="48">
        <f>SUM(I6:I20)</f>
        <v>2020847.608971884</v>
      </c>
      <c r="J21" s="62"/>
      <c r="K21" s="62"/>
      <c r="L21" s="63"/>
      <c r="M21" s="63"/>
      <c r="N21" s="63"/>
      <c r="O21" s="63"/>
      <c r="P21" s="48">
        <f>SUM(P6:P20)</f>
        <v>453682.24353486544</v>
      </c>
      <c r="Q21" s="48">
        <f>SUM(Q6:Q20)</f>
        <v>456158.78329933644</v>
      </c>
      <c r="R21" s="48">
        <f>SUM(R6:R20)</f>
        <v>2476.5397644710474</v>
      </c>
      <c r="S21" s="48">
        <f>SUM(S6:S20)</f>
        <v>456158.90329933644</v>
      </c>
      <c r="T21" s="48">
        <f t="shared" ref="T21" si="14">SUM(T6:T20)</f>
        <v>-0.12000000000000455</v>
      </c>
      <c r="V21" s="96"/>
      <c r="X21" s="204"/>
    </row>
    <row r="22" spans="1:25" ht="15" customHeight="1">
      <c r="A22" s="235" t="s">
        <v>188</v>
      </c>
      <c r="B22" s="28" t="s">
        <v>347</v>
      </c>
      <c r="C22" t="s">
        <v>44</v>
      </c>
      <c r="D22" s="47">
        <f>+VLOOKUP(C22,'Spokane Reg - Price out'!$B$12:$K$78,10,FALSE)</f>
        <v>26.4375</v>
      </c>
      <c r="E22" s="54">
        <f>+References!B10</f>
        <v>4.333333333333333</v>
      </c>
      <c r="F22" s="47">
        <f>D22*E22*References!$B$50</f>
        <v>1374.7499999999998</v>
      </c>
      <c r="G22" s="47">
        <f>+References!$B$29</f>
        <v>175</v>
      </c>
      <c r="H22" s="47">
        <f t="shared" ref="H22:H47" si="15">F22*G22</f>
        <v>240581.24999999997</v>
      </c>
      <c r="I22" s="47">
        <f t="shared" ref="I22:I47" si="16">H22*$D$66</f>
        <v>158766.37359192315</v>
      </c>
      <c r="J22" s="61">
        <f>(I22*References!$C$57*'Spokane DF Calc'!$E$72)+('Spokane DF Calc'!I22*References!$C$61*'Spokane DF Calc'!$E$71)</f>
        <v>190.01435425051932</v>
      </c>
      <c r="K22" s="61">
        <f>J22/References!$G$58</f>
        <v>194.4079744736232</v>
      </c>
      <c r="L22" s="61">
        <f>ROUND((K22/F22),2)</f>
        <v>0.14000000000000001</v>
      </c>
      <c r="M22" s="61">
        <f>+'Proposed Rates'!B41</f>
        <v>20.8</v>
      </c>
      <c r="N22" s="61">
        <f t="shared" ref="N22:N47" si="17">L22+M22</f>
        <v>20.94</v>
      </c>
      <c r="O22" s="61">
        <f>+'Proposed Rates'!D41</f>
        <v>20.94</v>
      </c>
      <c r="P22" s="61">
        <f>F22*M22</f>
        <v>28594.799999999996</v>
      </c>
      <c r="Q22" s="61">
        <f>F22*O22</f>
        <v>28787.264999999996</v>
      </c>
      <c r="R22" s="61">
        <f>Q22-P22</f>
        <v>192.46500000000015</v>
      </c>
      <c r="S22" s="61">
        <f>F22*N22</f>
        <v>28787.264999999996</v>
      </c>
      <c r="T22" s="61">
        <f>Q22-S22</f>
        <v>0</v>
      </c>
      <c r="V22" s="4">
        <f t="shared" ref="V22:V32" si="18">G22*$D$66</f>
        <v>115.48745123980591</v>
      </c>
      <c r="W22" s="61">
        <f>(V22*References!$C$57*'Spokane DF Calc'!$E$72)+('Spokane DF Calc'!V22*References!$C$61*'Spokane DF Calc'!$E$71)</f>
        <v>0.13821738807093606</v>
      </c>
      <c r="X22" s="61">
        <f>W22/References!$G$58</f>
        <v>0.14141332931341932</v>
      </c>
      <c r="Y22" s="61">
        <f t="shared" si="7"/>
        <v>-1.4133293134193092E-3</v>
      </c>
    </row>
    <row r="23" spans="1:25" ht="15" customHeight="1">
      <c r="A23" s="234"/>
      <c r="B23" s="28" t="s">
        <v>347</v>
      </c>
      <c r="C23" t="s">
        <v>373</v>
      </c>
      <c r="D23" s="47">
        <f>+VLOOKUP(C23,'Spokane Reg - Price out'!$B$12:$K$78,10,FALSE)</f>
        <v>0.5</v>
      </c>
      <c r="E23" s="54">
        <v>1</v>
      </c>
      <c r="F23" s="47">
        <f>D23*E23*References!$B$50</f>
        <v>6</v>
      </c>
      <c r="G23" s="47">
        <f>+References!$B$29</f>
        <v>175</v>
      </c>
      <c r="H23" s="47">
        <f t="shared" si="15"/>
        <v>1050</v>
      </c>
      <c r="I23" s="47">
        <f t="shared" si="16"/>
        <v>692.92470743883541</v>
      </c>
      <c r="J23" s="61">
        <f>(I23*References!$C$57*'Spokane DF Calc'!$E$72)+('Spokane DF Calc'!I23*References!$C$61*'Spokane DF Calc'!$E$71)</f>
        <v>0.8293043284256163</v>
      </c>
      <c r="K23" s="61">
        <f>J23/References!$G$58</f>
        <v>0.84847997588051594</v>
      </c>
      <c r="L23" s="61">
        <f>ROUND((K23/F23),2)</f>
        <v>0.14000000000000001</v>
      </c>
      <c r="M23" s="61">
        <f>+'Proposed Rates'!B41</f>
        <v>20.8</v>
      </c>
      <c r="N23" s="61">
        <f t="shared" si="17"/>
        <v>20.94</v>
      </c>
      <c r="O23" s="61">
        <f>+'Proposed Rates'!D41</f>
        <v>20.94</v>
      </c>
      <c r="P23" s="61">
        <f>F23*M23</f>
        <v>124.80000000000001</v>
      </c>
      <c r="Q23" s="61">
        <f>F23*O23</f>
        <v>125.64000000000001</v>
      </c>
      <c r="R23" s="61">
        <f>Q23-P23</f>
        <v>0.84000000000000341</v>
      </c>
      <c r="S23" s="61">
        <f>F23*N23</f>
        <v>125.64000000000001</v>
      </c>
      <c r="T23" s="61">
        <f>Q23-S23</f>
        <v>0</v>
      </c>
      <c r="V23" s="4">
        <f t="shared" si="18"/>
        <v>115.48745123980591</v>
      </c>
      <c r="W23" s="61">
        <f>(V23*References!$C$57*'Spokane DF Calc'!$E$72)+('Spokane DF Calc'!V23*References!$C$61*'Spokane DF Calc'!$E$71)</f>
        <v>0.13821738807093606</v>
      </c>
      <c r="X23" s="61">
        <f>W23/References!$G$58</f>
        <v>0.14141332931341932</v>
      </c>
      <c r="Y23" s="61">
        <f t="shared" si="7"/>
        <v>-1.4133293134193092E-3</v>
      </c>
    </row>
    <row r="24" spans="1:25">
      <c r="A24" s="234"/>
      <c r="B24" s="28" t="s">
        <v>347</v>
      </c>
      <c r="C24" t="s">
        <v>46</v>
      </c>
      <c r="D24" s="47">
        <f>+VLOOKUP(C24,'Spokane Reg - Price out'!$B$12:$K$78,10,FALSE)</f>
        <v>11.895827927226593</v>
      </c>
      <c r="E24" s="54">
        <f>+References!$B$10</f>
        <v>4.333333333333333</v>
      </c>
      <c r="F24" s="47">
        <f>D24*E24*References!$B$50</f>
        <v>618.5830522157828</v>
      </c>
      <c r="G24" s="47">
        <f>+References!$B$30</f>
        <v>250</v>
      </c>
      <c r="H24" s="47">
        <f t="shared" si="15"/>
        <v>154645.7630539457</v>
      </c>
      <c r="I24" s="47">
        <f t="shared" si="16"/>
        <v>102055.11440077217</v>
      </c>
      <c r="J24" s="61">
        <f>(I24*References!$C$57*'Spokane DF Calc'!$E$72)+('Spokane DF Calc'!I24*References!$C$61*'Spokane DF Calc'!$E$71)</f>
        <v>122.14133397458991</v>
      </c>
      <c r="K24" s="61">
        <f>J24/References!$G$58</f>
        <v>124.96555552955792</v>
      </c>
      <c r="L24" s="61">
        <f>ROUND((K24/F24),2)</f>
        <v>0.2</v>
      </c>
      <c r="M24" s="61">
        <f>+'Proposed Rates'!B42</f>
        <v>31.12</v>
      </c>
      <c r="N24" s="61">
        <f t="shared" si="17"/>
        <v>31.32</v>
      </c>
      <c r="O24" s="61">
        <f>+'Proposed Rates'!D42</f>
        <v>31.32</v>
      </c>
      <c r="P24" s="61">
        <f t="shared" ref="P24:P47" si="19">F24*M24</f>
        <v>19250.30458495516</v>
      </c>
      <c r="Q24" s="61">
        <f t="shared" ref="Q24:Q47" si="20">F24*O24</f>
        <v>19374.021195398316</v>
      </c>
      <c r="R24" s="61">
        <f t="shared" ref="R24:R47" si="21">Q24-P24</f>
        <v>123.71661044315624</v>
      </c>
      <c r="S24" s="61">
        <f t="shared" ref="S24:S47" si="22">F24*N24</f>
        <v>19374.021195398316</v>
      </c>
      <c r="T24" s="61">
        <f t="shared" ref="T24:T47" si="23">Q24-S24</f>
        <v>0</v>
      </c>
      <c r="V24" s="4">
        <f t="shared" si="18"/>
        <v>164.98207319972272</v>
      </c>
      <c r="W24" s="61">
        <f>(V24*References!$C$57*'Spokane DF Calc'!$E$72)+('Spokane DF Calc'!V24*References!$C$61*'Spokane DF Calc'!$E$71)</f>
        <v>0.19745341152990864</v>
      </c>
      <c r="X24" s="61">
        <f>W24/References!$G$58</f>
        <v>0.20201904187631331</v>
      </c>
      <c r="Y24" s="61">
        <f t="shared" si="7"/>
        <v>-2.0190418763132989E-3</v>
      </c>
    </row>
    <row r="25" spans="1:25">
      <c r="A25" s="234"/>
      <c r="B25" s="28" t="s">
        <v>347</v>
      </c>
      <c r="C25" t="s">
        <v>48</v>
      </c>
      <c r="D25" s="47">
        <f>+VLOOKUP(C25,'Spokane Reg - Price out'!$B$12:$K$78,10,FALSE)</f>
        <v>0.31250180203557937</v>
      </c>
      <c r="E25" s="93">
        <f>+References!$B$10</f>
        <v>4.333333333333333</v>
      </c>
      <c r="F25" s="50">
        <f>D25*E25*References!$B$50</f>
        <v>16.250093705850126</v>
      </c>
      <c r="G25" s="50">
        <f>+References!B30*2</f>
        <v>500</v>
      </c>
      <c r="H25" s="47">
        <f t="shared" si="15"/>
        <v>8125.0468529250629</v>
      </c>
      <c r="I25" s="47">
        <f t="shared" si="16"/>
        <v>5361.9482985618379</v>
      </c>
      <c r="J25" s="61">
        <f>(I25*References!$C$57*'Spokane DF Calc'!$E$72)+('Spokane DF Calc'!I25*References!$C$61*'Spokane DF Calc'!$E$71)</f>
        <v>6.4172728798016063</v>
      </c>
      <c r="K25" s="61">
        <f>J25/References!$G$58</f>
        <v>6.5656567217123039</v>
      </c>
      <c r="L25" s="61">
        <f>ROUND((K25/(F25*2)),2)</f>
        <v>0.2</v>
      </c>
      <c r="M25" s="61">
        <f>+'Proposed Rates'!B42</f>
        <v>31.12</v>
      </c>
      <c r="N25" s="61">
        <f>L25+M25</f>
        <v>31.32</v>
      </c>
      <c r="O25" s="61">
        <f>+'Proposed Rates'!D42</f>
        <v>31.32</v>
      </c>
      <c r="P25" s="61">
        <f>F25*2*M25</f>
        <v>1011.4058322521118</v>
      </c>
      <c r="Q25" s="61">
        <f>F25*2*O25</f>
        <v>1017.9058697344519</v>
      </c>
      <c r="R25" s="61">
        <f t="shared" si="21"/>
        <v>6.5000374823400762</v>
      </c>
      <c r="S25" s="61">
        <f>F25*2*N25</f>
        <v>1017.9058697344519</v>
      </c>
      <c r="T25" s="61">
        <f t="shared" si="23"/>
        <v>0</v>
      </c>
      <c r="V25" s="4">
        <f t="shared" si="18"/>
        <v>329.96414639944544</v>
      </c>
      <c r="W25" s="61">
        <f>((V25*References!$C$57*'Spokane DF Calc'!$E$72)+('Spokane DF Calc'!V25*References!$C$61*'Spokane DF Calc'!$E$71))/2</f>
        <v>0.19745341152990864</v>
      </c>
      <c r="X25" s="61">
        <f>W25/References!$G$58</f>
        <v>0.20201904187631331</v>
      </c>
      <c r="Y25" s="61">
        <f t="shared" si="7"/>
        <v>-2.0190418763132989E-3</v>
      </c>
    </row>
    <row r="26" spans="1:25">
      <c r="A26" s="234"/>
      <c r="B26" s="28" t="s">
        <v>347</v>
      </c>
      <c r="C26" t="s">
        <v>50</v>
      </c>
      <c r="D26" s="47">
        <f>+VLOOKUP(C26,'Spokane Reg - Price out'!$B$12:$K$78,10,FALSE)</f>
        <v>0.29166787645355596</v>
      </c>
      <c r="E26" s="93">
        <f>+References!$B$10</f>
        <v>4.333333333333333</v>
      </c>
      <c r="F26" s="50">
        <f>D26*E26*References!$B$50</f>
        <v>15.16672957558491</v>
      </c>
      <c r="G26" s="50">
        <f>+References!B30*3</f>
        <v>750</v>
      </c>
      <c r="H26" s="47">
        <f t="shared" si="15"/>
        <v>11375.047181688682</v>
      </c>
      <c r="I26" s="47">
        <f t="shared" si="16"/>
        <v>7506.7154671186472</v>
      </c>
      <c r="J26" s="61">
        <f>(I26*References!$C$57*'Spokane DF Calc'!$E$72)+('Spokane DF Calc'!I26*References!$C$61*'Spokane DF Calc'!$E$71)</f>
        <v>8.9841674893524122</v>
      </c>
      <c r="K26" s="61">
        <f>J26/References!$G$58</f>
        <v>9.1919045317704224</v>
      </c>
      <c r="L26" s="61">
        <f>ROUND((K26/(F26*3)),2)</f>
        <v>0.2</v>
      </c>
      <c r="M26" s="61">
        <f>+'Proposed Rates'!B42</f>
        <v>31.12</v>
      </c>
      <c r="N26" s="61">
        <f t="shared" si="17"/>
        <v>31.32</v>
      </c>
      <c r="O26" s="61">
        <f>+'Proposed Rates'!D42</f>
        <v>31.32</v>
      </c>
      <c r="P26" s="61">
        <f>F26*3*M26</f>
        <v>1415.9658731766071</v>
      </c>
      <c r="Q26" s="61">
        <f>F26*3*O26</f>
        <v>1425.0659109219582</v>
      </c>
      <c r="R26" s="61">
        <f t="shared" si="21"/>
        <v>9.1000377453510737</v>
      </c>
      <c r="S26" s="61">
        <f>F26*3*N26</f>
        <v>1425.0659109219582</v>
      </c>
      <c r="T26" s="61">
        <f t="shared" si="23"/>
        <v>0</v>
      </c>
      <c r="V26" s="4">
        <f t="shared" si="18"/>
        <v>494.94621959916816</v>
      </c>
      <c r="W26" s="61">
        <f>((V26*References!$C$57*'Spokane DF Calc'!$E$72)+('Spokane DF Calc'!V26*References!$C$61*'Spokane DF Calc'!$E$71))/3</f>
        <v>0.19745341152990867</v>
      </c>
      <c r="X26" s="61">
        <f>W26/References!$G$58</f>
        <v>0.20201904187631334</v>
      </c>
      <c r="Y26" s="61">
        <f t="shared" si="7"/>
        <v>-2.0190418763133267E-3</v>
      </c>
    </row>
    <row r="27" spans="1:25">
      <c r="A27" s="234"/>
      <c r="B27" s="28" t="s">
        <v>347</v>
      </c>
      <c r="C27" t="s">
        <v>52</v>
      </c>
      <c r="D27" s="47">
        <f>+VLOOKUP(C27,'Spokane Reg - Price out'!$B$12:$K$78,10,FALSE)</f>
        <v>9.2083360447712632</v>
      </c>
      <c r="E27" s="93">
        <f>+References!$B$10</f>
        <v>4.333333333333333</v>
      </c>
      <c r="F27" s="47">
        <f>D27*E27*References!$B$50</f>
        <v>478.83347432810564</v>
      </c>
      <c r="G27" s="47">
        <f>References!$B$32</f>
        <v>324</v>
      </c>
      <c r="H27" s="47">
        <f t="shared" si="15"/>
        <v>155142.04568230623</v>
      </c>
      <c r="I27" s="47">
        <f t="shared" si="16"/>
        <v>102382.62534845188</v>
      </c>
      <c r="J27" s="61">
        <f>(I27*References!$C$57*'Spokane DF Calc'!$E$72)+('Spokane DF Calc'!I27*References!$C$61*'Spokane DF Calc'!$E$71)</f>
        <v>122.53330476680117</v>
      </c>
      <c r="K27" s="61">
        <f>J27/References!$G$58</f>
        <v>125.36658969388291</v>
      </c>
      <c r="L27" s="61">
        <f>ROUND((K27/F27),2)</f>
        <v>0.26</v>
      </c>
      <c r="M27" s="61">
        <f>'Proposed Rates'!B43</f>
        <v>41.309999999999995</v>
      </c>
      <c r="N27" s="61">
        <f t="shared" si="17"/>
        <v>41.569999999999993</v>
      </c>
      <c r="O27" s="61">
        <f>'Proposed Rates'!D43</f>
        <v>41.569999999999993</v>
      </c>
      <c r="P27" s="61">
        <f t="shared" si="19"/>
        <v>19780.610824494041</v>
      </c>
      <c r="Q27" s="61">
        <f t="shared" si="20"/>
        <v>19905.107527819349</v>
      </c>
      <c r="R27" s="61">
        <f t="shared" si="21"/>
        <v>124.49670332530877</v>
      </c>
      <c r="S27" s="61">
        <f t="shared" si="22"/>
        <v>19905.107527819349</v>
      </c>
      <c r="T27" s="61">
        <f t="shared" si="23"/>
        <v>0</v>
      </c>
      <c r="V27" s="4">
        <f t="shared" si="18"/>
        <v>213.81676686684065</v>
      </c>
      <c r="W27" s="61">
        <f>(V27*References!$C$57*'Spokane DF Calc'!$E$72)+('Spokane DF Calc'!V27*References!$C$61*'Spokane DF Calc'!$E$71)</f>
        <v>0.25589962134276156</v>
      </c>
      <c r="X27" s="61">
        <f>W27/References!$G$58</f>
        <v>0.26181667827170202</v>
      </c>
      <c r="Y27" s="61">
        <f t="shared" si="7"/>
        <v>-1.8166782717020102E-3</v>
      </c>
    </row>
    <row r="28" spans="1:25">
      <c r="A28" s="234"/>
      <c r="B28" s="28" t="s">
        <v>347</v>
      </c>
      <c r="C28" t="s">
        <v>54</v>
      </c>
      <c r="D28" s="47">
        <f>+VLOOKUP(C28,'Spokane Reg - Price out'!$B$12:$K$78,10,FALSE)</f>
        <v>3.3333333333333326</v>
      </c>
      <c r="E28" s="93">
        <f>+References!$B$10</f>
        <v>4.333333333333333</v>
      </c>
      <c r="F28" s="50">
        <f>D28*E28*References!$B$50</f>
        <v>173.33333333333329</v>
      </c>
      <c r="G28" s="47">
        <f>References!$B$33</f>
        <v>473</v>
      </c>
      <c r="H28" s="47">
        <f t="shared" si="15"/>
        <v>81986.666666666642</v>
      </c>
      <c r="I28" s="47">
        <f t="shared" si="16"/>
        <v>54105.320965605053</v>
      </c>
      <c r="J28" s="61">
        <f>(I28*References!$C$57*'Spokane DF Calc'!$E$72)+('Spokane DF Calc'!I28*References!$C$61*'Spokane DF Calc'!$E$71)</f>
        <v>64.754188133195086</v>
      </c>
      <c r="K28" s="61">
        <f>J28/References!$G$58</f>
        <v>66.251471386530682</v>
      </c>
      <c r="L28" s="61">
        <f>ROUND((K28/F28),2)</f>
        <v>0.38</v>
      </c>
      <c r="M28" s="61">
        <f>'Proposed Rates'!$B$44</f>
        <v>58.080000000000005</v>
      </c>
      <c r="N28" s="61">
        <f t="shared" si="17"/>
        <v>58.460000000000008</v>
      </c>
      <c r="O28" s="61">
        <f>'Proposed Rates'!$D$44</f>
        <v>58.460000000000008</v>
      </c>
      <c r="P28" s="61">
        <f t="shared" si="19"/>
        <v>10067.199999999999</v>
      </c>
      <c r="Q28" s="61">
        <f t="shared" si="20"/>
        <v>10133.066666666666</v>
      </c>
      <c r="R28" s="61">
        <f t="shared" si="21"/>
        <v>65.866666666666788</v>
      </c>
      <c r="S28" s="61">
        <f t="shared" si="22"/>
        <v>10133.066666666666</v>
      </c>
      <c r="T28" s="61">
        <f t="shared" si="23"/>
        <v>0</v>
      </c>
      <c r="V28" s="4">
        <f t="shared" si="18"/>
        <v>312.14608249387538</v>
      </c>
      <c r="W28" s="61">
        <f>(V28*References!$C$57*'Spokane DF Calc'!$E$72)+('Spokane DF Calc'!V28*References!$C$61*'Spokane DF Calc'!$E$71)</f>
        <v>0.37358185461458715</v>
      </c>
      <c r="X28" s="61">
        <f>W28/References!$G$58</f>
        <v>0.38222002722998477</v>
      </c>
      <c r="Y28" s="61">
        <f t="shared" si="7"/>
        <v>-2.2200272299847668E-3</v>
      </c>
    </row>
    <row r="29" spans="1:25">
      <c r="A29" s="234"/>
      <c r="B29" s="28" t="s">
        <v>347</v>
      </c>
      <c r="C29" t="s">
        <v>56</v>
      </c>
      <c r="D29" s="47">
        <f>+VLOOKUP(C29,'Spokane Reg - Price out'!$B$12:$K$78,10,FALSE)</f>
        <v>1.1041666666666665</v>
      </c>
      <c r="E29" s="93">
        <f>+References!$B$10</f>
        <v>4.333333333333333</v>
      </c>
      <c r="F29" s="50">
        <f>D29*E29*References!$B$50</f>
        <v>57.416666666666657</v>
      </c>
      <c r="G29" s="47">
        <f>G28*2</f>
        <v>946</v>
      </c>
      <c r="H29" s="47">
        <f t="shared" si="15"/>
        <v>54316.166666666657</v>
      </c>
      <c r="I29" s="47">
        <f t="shared" si="16"/>
        <v>35844.775139713347</v>
      </c>
      <c r="J29" s="61">
        <f>(I29*References!$C$57*'Spokane DF Calc'!$E$72)+('Spokane DF Calc'!I29*References!$C$61*'Spokane DF Calc'!$E$71)</f>
        <v>42.89964963824174</v>
      </c>
      <c r="K29" s="61">
        <f>J29/References!$G$58</f>
        <v>43.891599793576567</v>
      </c>
      <c r="L29" s="61">
        <f>ROUND((K29/(F29*2)),2)</f>
        <v>0.38</v>
      </c>
      <c r="M29" s="61">
        <f>'Proposed Rates'!$B$44</f>
        <v>58.080000000000005</v>
      </c>
      <c r="N29" s="61">
        <f t="shared" si="17"/>
        <v>58.460000000000008</v>
      </c>
      <c r="O29" s="61">
        <f>'Proposed Rates'!$D$44</f>
        <v>58.460000000000008</v>
      </c>
      <c r="P29" s="61">
        <f>F29*2*M29</f>
        <v>6669.5199999999995</v>
      </c>
      <c r="Q29" s="61">
        <f>F29*2*O29</f>
        <v>6713.1566666666668</v>
      </c>
      <c r="R29" s="61">
        <f t="shared" si="21"/>
        <v>43.636666666667224</v>
      </c>
      <c r="S29" s="61">
        <f>F29*2*N29</f>
        <v>6713.1566666666668</v>
      </c>
      <c r="T29" s="61">
        <f t="shared" si="23"/>
        <v>0</v>
      </c>
      <c r="V29" s="4">
        <f t="shared" si="18"/>
        <v>624.29216498775077</v>
      </c>
      <c r="W29" s="61">
        <f>((V29*References!$C$57*'Spokane DF Calc'!$E$72)+('Spokane DF Calc'!V29*References!$C$61*'Spokane DF Calc'!$E$71))/2</f>
        <v>0.37358185461458715</v>
      </c>
      <c r="X29" s="61">
        <f>W29/References!$G$58</f>
        <v>0.38222002722998477</v>
      </c>
      <c r="Y29" s="61">
        <f t="shared" si="7"/>
        <v>-2.2200272299847668E-3</v>
      </c>
    </row>
    <row r="30" spans="1:25">
      <c r="A30" s="234"/>
      <c r="B30" s="28" t="s">
        <v>347</v>
      </c>
      <c r="C30" t="s">
        <v>58</v>
      </c>
      <c r="D30" s="47">
        <f>+VLOOKUP(C30,'Spokane Reg - Price out'!$B$12:$K$78,10,FALSE)</f>
        <v>5.4791659378971795</v>
      </c>
      <c r="E30" s="54">
        <f>+References!$B$10</f>
        <v>4.333333333333333</v>
      </c>
      <c r="F30" s="47">
        <f>D30*E30*References!$B$50</f>
        <v>284.91662877065335</v>
      </c>
      <c r="G30" s="47">
        <f>References!$B$35</f>
        <v>613</v>
      </c>
      <c r="H30" s="47">
        <f t="shared" si="15"/>
        <v>174653.89343641049</v>
      </c>
      <c r="I30" s="47">
        <f t="shared" si="16"/>
        <v>115259.04572616979</v>
      </c>
      <c r="J30" s="61">
        <f>(I30*References!$C$57*'Spokane DF Calc'!$E$72)+('Spokane DF Calc'!I30*References!$C$61*'Spokane DF Calc'!$E$71)</f>
        <v>137.94402838400148</v>
      </c>
      <c r="K30" s="61">
        <f>J30/References!$G$58</f>
        <v>141.1336488479655</v>
      </c>
      <c r="L30" s="61">
        <f>ROUND((K30/F30),2)</f>
        <v>0.5</v>
      </c>
      <c r="M30" s="61">
        <f>'Proposed Rates'!$B$45</f>
        <v>76.88</v>
      </c>
      <c r="N30" s="61">
        <f t="shared" si="17"/>
        <v>77.38</v>
      </c>
      <c r="O30" s="61">
        <f>'Proposed Rates'!$D$45</f>
        <v>77.38</v>
      </c>
      <c r="P30" s="61">
        <f t="shared" si="19"/>
        <v>21904.390419887826</v>
      </c>
      <c r="Q30" s="61">
        <f t="shared" si="20"/>
        <v>22046.848734273153</v>
      </c>
      <c r="R30" s="61">
        <f t="shared" si="21"/>
        <v>142.45831438532696</v>
      </c>
      <c r="S30" s="61">
        <f t="shared" si="22"/>
        <v>22046.848734273153</v>
      </c>
      <c r="T30" s="61">
        <f t="shared" si="23"/>
        <v>0</v>
      </c>
      <c r="V30" s="4">
        <f t="shared" si="18"/>
        <v>404.53604348572009</v>
      </c>
      <c r="W30" s="61">
        <f>(V30*References!$C$57*'Spokane DF Calc'!$E$72)+('Spokane DF Calc'!V30*References!$C$61*'Spokane DF Calc'!$E$71)</f>
        <v>0.48415576507133595</v>
      </c>
      <c r="X30" s="61">
        <f>W30/References!$G$58</f>
        <v>0.49535069068072018</v>
      </c>
      <c r="Y30" s="61">
        <f t="shared" si="7"/>
        <v>4.6493093192798152E-3</v>
      </c>
    </row>
    <row r="31" spans="1:25">
      <c r="A31" s="234"/>
      <c r="B31" s="28" t="s">
        <v>347</v>
      </c>
      <c r="C31" t="s">
        <v>60</v>
      </c>
      <c r="D31" s="47">
        <f>+VLOOKUP(C31,'Spokane Reg - Price out'!$B$12:$K$78,10,FALSE)</f>
        <v>1.8958340722874469</v>
      </c>
      <c r="E31" s="54">
        <f>+References!$B$10</f>
        <v>4.333333333333333</v>
      </c>
      <c r="F31" s="47">
        <f>D31*E31*References!$B$50</f>
        <v>98.583371758947237</v>
      </c>
      <c r="G31" s="47">
        <f>G30*2</f>
        <v>1226</v>
      </c>
      <c r="H31" s="47">
        <f t="shared" si="15"/>
        <v>120863.21377646932</v>
      </c>
      <c r="I31" s="47">
        <f t="shared" si="16"/>
        <v>79761.054329692779</v>
      </c>
      <c r="J31" s="61">
        <f>(I31*References!$C$57*'Spokane DF Calc'!$E$72)+('Spokane DF Calc'!I31*References!$C$61*'Spokane DF Calc'!$E$71)</f>
        <v>95.459415554530068</v>
      </c>
      <c r="K31" s="61">
        <f>J31/References!$G$58</f>
        <v>97.66668258085744</v>
      </c>
      <c r="L31" s="61">
        <f>ROUND((K31/(F31*2)),2)</f>
        <v>0.5</v>
      </c>
      <c r="M31" s="61">
        <f>'Proposed Rates'!$B$45</f>
        <v>76.88</v>
      </c>
      <c r="N31" s="61">
        <f t="shared" si="17"/>
        <v>77.38</v>
      </c>
      <c r="O31" s="61">
        <f>'Proposed Rates'!$D$45</f>
        <v>77.38</v>
      </c>
      <c r="P31" s="61">
        <f t="shared" ref="P31:P32" si="24">F31*2*M31</f>
        <v>15158.179241655725</v>
      </c>
      <c r="Q31" s="61">
        <f t="shared" ref="Q31:Q32" si="25">F31*2*O31</f>
        <v>15256.762613414674</v>
      </c>
      <c r="R31" s="61">
        <f t="shared" ref="R31:R32" si="26">Q31-P31</f>
        <v>98.583371758948488</v>
      </c>
      <c r="S31" s="61">
        <f t="shared" ref="S31:S32" si="27">F31*2*N31</f>
        <v>15256.762613414674</v>
      </c>
      <c r="T31" s="61">
        <f t="shared" si="23"/>
        <v>0</v>
      </c>
      <c r="V31" s="4">
        <f t="shared" si="18"/>
        <v>809.07208697144017</v>
      </c>
      <c r="W31" s="61">
        <f>((V31*References!$C$57*'Spokane DF Calc'!$E$72)+('Spokane DF Calc'!V31*References!$C$61*'Spokane DF Calc'!$E$71))/2</f>
        <v>0.48415576507133595</v>
      </c>
      <c r="X31" s="61">
        <f>W31/References!$G$58</f>
        <v>0.49535069068072018</v>
      </c>
      <c r="Y31" s="61">
        <f t="shared" si="7"/>
        <v>4.6493093192798152E-3</v>
      </c>
    </row>
    <row r="32" spans="1:25">
      <c r="A32" s="234"/>
      <c r="B32" s="28" t="s">
        <v>347</v>
      </c>
      <c r="C32" t="s">
        <v>62</v>
      </c>
      <c r="D32" s="47">
        <f>+VLOOKUP(C32,'Spokane Reg - Price out'!$B$12:$K$78,10,FALSE)</f>
        <v>1.0000000000000002</v>
      </c>
      <c r="E32" s="54">
        <f>+References!$B$10</f>
        <v>4.333333333333333</v>
      </c>
      <c r="F32" s="47">
        <f>D32*E32*References!$B$50</f>
        <v>52.000000000000007</v>
      </c>
      <c r="G32" s="47">
        <f>References!B37*2</f>
        <v>1680</v>
      </c>
      <c r="H32" s="47">
        <f t="shared" si="15"/>
        <v>87360.000000000015</v>
      </c>
      <c r="I32" s="47">
        <f t="shared" si="16"/>
        <v>57651.335658911114</v>
      </c>
      <c r="J32" s="61">
        <f>(I32*References!$C$57*'Spokane DF Calc'!$E$72)+('Spokane DF Calc'!I32*References!$C$61*'Spokane DF Calc'!$E$71)</f>
        <v>68.998120125011283</v>
      </c>
      <c r="K32" s="61">
        <f>J32/References!$G$58</f>
        <v>70.59353399325893</v>
      </c>
      <c r="L32" s="61">
        <f>ROUND((K32/(F32*2)),2)</f>
        <v>0.68</v>
      </c>
      <c r="M32" s="61">
        <f>'Proposed Rates'!B46</f>
        <v>111.36</v>
      </c>
      <c r="N32" s="61">
        <f t="shared" si="17"/>
        <v>112.04</v>
      </c>
      <c r="O32" s="61">
        <f>'Proposed Rates'!D46</f>
        <v>112.04</v>
      </c>
      <c r="P32" s="61">
        <f t="shared" si="24"/>
        <v>11581.440000000002</v>
      </c>
      <c r="Q32" s="61">
        <f t="shared" si="25"/>
        <v>11652.160000000002</v>
      </c>
      <c r="R32" s="61">
        <f t="shared" si="26"/>
        <v>70.719999999999345</v>
      </c>
      <c r="S32" s="61">
        <f t="shared" si="27"/>
        <v>11652.160000000002</v>
      </c>
      <c r="T32" s="61">
        <f t="shared" si="23"/>
        <v>0</v>
      </c>
      <c r="V32" s="4">
        <f t="shared" si="18"/>
        <v>1108.6795319021367</v>
      </c>
      <c r="W32" s="61">
        <f>((V32*References!$C$57*'Spokane DF Calc'!$E$72)+('Spokane DF Calc'!V32*References!$C$61*'Spokane DF Calc'!$E$71))/2</f>
        <v>0.66344346274049304</v>
      </c>
      <c r="X32" s="61">
        <f>W32/References!$G$58</f>
        <v>0.6787839807044127</v>
      </c>
      <c r="Y32" s="61">
        <f t="shared" si="7"/>
        <v>1.216019295587345E-3</v>
      </c>
    </row>
    <row r="33" spans="1:25">
      <c r="A33" s="234"/>
      <c r="B33" s="28" t="s">
        <v>348</v>
      </c>
      <c r="C33" t="s">
        <v>64</v>
      </c>
      <c r="D33" s="47">
        <f>+VLOOKUP(C33,'Spokane Reg - Price out'!$B$12:$K$78,10,FALSE)</f>
        <v>9.9058777835318477</v>
      </c>
      <c r="E33" s="54">
        <f>+References!B10</f>
        <v>4.333333333333333</v>
      </c>
      <c r="F33" s="47">
        <f>D33*E33*References!$B$50</f>
        <v>515.10564474365606</v>
      </c>
      <c r="G33" s="47">
        <f>References!$B$28</f>
        <v>29</v>
      </c>
      <c r="H33" s="47">
        <f t="shared" si="15"/>
        <v>14938.063697566025</v>
      </c>
      <c r="I33" s="47">
        <f t="shared" si="16"/>
        <v>9858.0508736558349</v>
      </c>
      <c r="J33" s="61">
        <f>(I33*References!$C$57*'Spokane DF Calc'!$E$72)+('Spokane DF Calc'!I33*References!$C$61*'Spokane DF Calc'!$E$71)</f>
        <v>11.798286554941971</v>
      </c>
      <c r="K33" s="61">
        <f>J33/References!$G$58</f>
        <v>12.071093262678504</v>
      </c>
      <c r="L33" s="61">
        <f>ROUND((K33/F33),2)</f>
        <v>0.02</v>
      </c>
      <c r="M33" s="61">
        <f>'Proposed Rates'!$B$66</f>
        <v>4.9499999999999993</v>
      </c>
      <c r="N33" s="61">
        <f t="shared" si="17"/>
        <v>4.9699999999999989</v>
      </c>
      <c r="O33" s="61">
        <f>'Proposed Rates'!$D$66</f>
        <v>4.9699999999999989</v>
      </c>
      <c r="P33" s="61">
        <f t="shared" si="19"/>
        <v>2549.772941481097</v>
      </c>
      <c r="Q33" s="61">
        <f t="shared" si="20"/>
        <v>2560.07505437597</v>
      </c>
      <c r="R33" s="61">
        <f t="shared" si="21"/>
        <v>10.302112894873062</v>
      </c>
      <c r="S33" s="61">
        <f t="shared" si="22"/>
        <v>2560.07505437597</v>
      </c>
      <c r="T33" s="61">
        <f t="shared" si="23"/>
        <v>0</v>
      </c>
      <c r="V33" s="4">
        <f t="shared" ref="V33:V47" si="28">G33*$D$66</f>
        <v>19.137920491167836</v>
      </c>
      <c r="W33" s="61">
        <f>((V33*References!$C$57*'Spokane DF Calc'!$E$72)+('Spokane DF Calc'!V33*References!$C$61*'Spokane DF Calc'!$E$71))</f>
        <v>2.2904595737469405E-2</v>
      </c>
      <c r="X33" s="61">
        <f>W33/References!$G$58</f>
        <v>2.3434208857652346E-2</v>
      </c>
      <c r="Y33" s="61">
        <f t="shared" ref="Y33:Y47" si="29">L33-X33</f>
        <v>-3.4342088576523461E-3</v>
      </c>
    </row>
    <row r="34" spans="1:25">
      <c r="A34" s="234"/>
      <c r="B34" s="28" t="s">
        <v>348</v>
      </c>
      <c r="C34" t="s">
        <v>66</v>
      </c>
      <c r="D34" s="47">
        <f>+VLOOKUP(C34,'Spokane Reg - Price out'!$B$12:$K$78,10,FALSE)</f>
        <v>0.875</v>
      </c>
      <c r="E34" s="93">
        <f>+References!$B$10</f>
        <v>4.333333333333333</v>
      </c>
      <c r="F34" s="50">
        <f>D34*E34*References!$B$50</f>
        <v>45.5</v>
      </c>
      <c r="G34" s="47">
        <f>References!$B$28*2</f>
        <v>58</v>
      </c>
      <c r="H34" s="47">
        <f t="shared" si="15"/>
        <v>2639</v>
      </c>
      <c r="I34" s="47">
        <f t="shared" si="16"/>
        <v>1741.5507646962731</v>
      </c>
      <c r="J34" s="61">
        <f>(I34*References!$C$57*'Spokane DF Calc'!$E$72)+('Spokane DF Calc'!I34*References!$C$61*'Spokane DF Calc'!$E$71)</f>
        <v>2.0843182121097157</v>
      </c>
      <c r="K34" s="61">
        <f>J34/References!$G$58</f>
        <v>2.1325130060463633</v>
      </c>
      <c r="L34" s="61">
        <f>ROUND((K34/(F34*2)),2)</f>
        <v>0.02</v>
      </c>
      <c r="M34" s="61">
        <f>'Proposed Rates'!$B$66</f>
        <v>4.9499999999999993</v>
      </c>
      <c r="N34" s="61">
        <f t="shared" si="17"/>
        <v>4.9699999999999989</v>
      </c>
      <c r="O34" s="61">
        <f>'Proposed Rates'!$D$66</f>
        <v>4.9699999999999989</v>
      </c>
      <c r="P34" s="61">
        <f>(F34*2)*M34</f>
        <v>450.44999999999993</v>
      </c>
      <c r="Q34" s="61">
        <f>(F34*2)*O34</f>
        <v>452.26999999999987</v>
      </c>
      <c r="R34" s="61">
        <f t="shared" si="21"/>
        <v>1.8199999999999363</v>
      </c>
      <c r="S34" s="61">
        <f>(F34*2)*N34</f>
        <v>452.26999999999987</v>
      </c>
      <c r="T34" s="61">
        <f t="shared" si="23"/>
        <v>0</v>
      </c>
      <c r="V34" s="4">
        <f t="shared" si="28"/>
        <v>38.275840982335673</v>
      </c>
      <c r="W34" s="61">
        <f>((V34*References!$C$57*'Spokane DF Calc'!$E$72)+('Spokane DF Calc'!V34*References!$C$61*'Spokane DF Calc'!$E$71))/2</f>
        <v>2.2904595737469405E-2</v>
      </c>
      <c r="X34" s="61">
        <f>W34/References!$G$58</f>
        <v>2.3434208857652346E-2</v>
      </c>
      <c r="Y34" s="61">
        <f t="shared" si="29"/>
        <v>-3.4342088576523461E-3</v>
      </c>
    </row>
    <row r="35" spans="1:25">
      <c r="A35" s="234"/>
      <c r="B35" s="28" t="s">
        <v>348</v>
      </c>
      <c r="C35" t="s">
        <v>68</v>
      </c>
      <c r="D35" s="47">
        <f>+VLOOKUP(C35,'Spokane Reg - Price out'!$B$12:$K$78,10,FALSE)</f>
        <v>4.0625116063138345</v>
      </c>
      <c r="E35" s="93">
        <f>+References!$B$10</f>
        <v>4.333333333333333</v>
      </c>
      <c r="F35" s="47">
        <f>D35*E35*References!$B$50</f>
        <v>211.2506035283194</v>
      </c>
      <c r="G35" s="47">
        <f>References!$B$23</f>
        <v>47</v>
      </c>
      <c r="H35" s="47">
        <f t="shared" si="15"/>
        <v>9928.7783658310127</v>
      </c>
      <c r="I35" s="47">
        <f t="shared" si="16"/>
        <v>6552.2817565414216</v>
      </c>
      <c r="J35" s="61">
        <f>(I35*References!$C$57*'Spokane DF Calc'!$E$72)+('Spokane DF Calc'!I35*References!$C$61*'Spokane DF Calc'!$E$71)</f>
        <v>7.8418846426307383</v>
      </c>
      <c r="K35" s="61">
        <f>J35/References!$G$58</f>
        <v>8.023209169869796</v>
      </c>
      <c r="L35" s="61">
        <f>ROUND((K35/F35),2)</f>
        <v>0.04</v>
      </c>
      <c r="M35" s="61">
        <f>'Proposed Rates'!$B$73</f>
        <v>9.6599999999999984</v>
      </c>
      <c r="N35" s="61">
        <f t="shared" si="17"/>
        <v>9.6999999999999975</v>
      </c>
      <c r="O35" s="61">
        <f>'Proposed Rates'!$D$73</f>
        <v>9.6999999999999975</v>
      </c>
      <c r="P35" s="61">
        <f t="shared" si="19"/>
        <v>2040.6808300835651</v>
      </c>
      <c r="Q35" s="61">
        <f t="shared" si="20"/>
        <v>2049.1308542246975</v>
      </c>
      <c r="R35" s="61">
        <f t="shared" si="21"/>
        <v>8.4500241411324168</v>
      </c>
      <c r="S35" s="61">
        <f t="shared" si="22"/>
        <v>2049.1308542246975</v>
      </c>
      <c r="T35" s="61">
        <f t="shared" si="23"/>
        <v>0</v>
      </c>
      <c r="V35" s="4">
        <f t="shared" si="28"/>
        <v>31.016629761547872</v>
      </c>
      <c r="W35" s="61">
        <f>((V35*References!$C$57*'Spokane DF Calc'!$E$72)+('Spokane DF Calc'!V35*References!$C$61*'Spokane DF Calc'!$E$71))</f>
        <v>3.712124136762282E-2</v>
      </c>
      <c r="X35" s="61">
        <f>W35/References!$G$58</f>
        <v>3.7979579872746895E-2</v>
      </c>
      <c r="Y35" s="61">
        <f t="shared" si="29"/>
        <v>2.0204201272531058E-3</v>
      </c>
    </row>
    <row r="36" spans="1:25">
      <c r="A36" s="234"/>
      <c r="B36" s="28" t="s">
        <v>348</v>
      </c>
      <c r="C36" t="s">
        <v>70</v>
      </c>
      <c r="D36" s="47">
        <f>+VLOOKUP(C36,'Spokane Reg - Price out'!$B$12:$K$78,10,FALSE)</f>
        <v>5.9791761234679983</v>
      </c>
      <c r="E36" s="93">
        <f>+References!$B$10</f>
        <v>4.333333333333333</v>
      </c>
      <c r="F36" s="47">
        <f>D36*E36*References!$B$50</f>
        <v>310.91715842033591</v>
      </c>
      <c r="G36" s="47">
        <f>References!$B$24</f>
        <v>68</v>
      </c>
      <c r="H36" s="47">
        <f t="shared" si="15"/>
        <v>21142.366772582842</v>
      </c>
      <c r="I36" s="47">
        <f t="shared" si="16"/>
        <v>13952.44600995859</v>
      </c>
      <c r="J36" s="61">
        <f>(I36*References!$C$57*'Spokane DF Calc'!$E$72)+('Spokane DF Calc'!I36*References!$C$61*'Spokane DF Calc'!$E$71)</f>
        <v>16.698529788252266</v>
      </c>
      <c r="K36" s="61">
        <f>J36/References!$G$58</f>
        <v>17.084642713579154</v>
      </c>
      <c r="L36" s="61">
        <f>ROUND((K36/F36),2)</f>
        <v>0.05</v>
      </c>
      <c r="M36" s="61">
        <f>'Proposed Rates'!$B$77</f>
        <v>11.89</v>
      </c>
      <c r="N36" s="61">
        <f t="shared" si="17"/>
        <v>11.940000000000001</v>
      </c>
      <c r="O36" s="61">
        <f>'Proposed Rates'!$D$77</f>
        <v>11.940000000000001</v>
      </c>
      <c r="P36" s="61">
        <f t="shared" si="19"/>
        <v>3696.805013617794</v>
      </c>
      <c r="Q36" s="61">
        <f t="shared" si="20"/>
        <v>3712.3508715388111</v>
      </c>
      <c r="R36" s="61">
        <f t="shared" si="21"/>
        <v>15.545857921017159</v>
      </c>
      <c r="S36" s="61">
        <f t="shared" si="22"/>
        <v>3712.3508715388111</v>
      </c>
      <c r="T36" s="61">
        <f t="shared" si="23"/>
        <v>0</v>
      </c>
      <c r="V36" s="4">
        <f t="shared" si="28"/>
        <v>44.875123910324582</v>
      </c>
      <c r="W36" s="61">
        <f>((V36*References!$C$57*'Spokane DF Calc'!$E$72)+('Spokane DF Calc'!V36*References!$C$61*'Spokane DF Calc'!$E$71))</f>
        <v>5.3707327936135155E-2</v>
      </c>
      <c r="X36" s="61">
        <f>W36/References!$G$58</f>
        <v>5.4949179390357226E-2</v>
      </c>
      <c r="Y36" s="61">
        <f t="shared" si="29"/>
        <v>-4.9491793903572237E-3</v>
      </c>
    </row>
    <row r="37" spans="1:25">
      <c r="A37" s="234"/>
      <c r="B37" s="28" t="s">
        <v>348</v>
      </c>
      <c r="C37" t="s">
        <v>72</v>
      </c>
      <c r="D37" s="47">
        <f>+VLOOKUP(C37,'Spokane Reg - Price out'!$B$12:$K$78,10,FALSE)</f>
        <v>1</v>
      </c>
      <c r="E37" s="93">
        <f>+References!$B$10</f>
        <v>4.333333333333333</v>
      </c>
      <c r="F37" s="47">
        <f>D37*E37*References!$B$50</f>
        <v>52</v>
      </c>
      <c r="G37" s="47">
        <f>References!$B$24*2</f>
        <v>136</v>
      </c>
      <c r="H37" s="47">
        <f t="shared" si="15"/>
        <v>7072</v>
      </c>
      <c r="I37" s="47">
        <f t="shared" si="16"/>
        <v>4667.0128866737559</v>
      </c>
      <c r="J37" s="61">
        <f>(I37*References!$C$57*'Spokane DF Calc'!$E$72)+('Spokane DF Calc'!I37*References!$C$61*'Spokane DF Calc'!$E$71)</f>
        <v>5.5855621053580542</v>
      </c>
      <c r="K37" s="61">
        <f>J37/References!$G$58</f>
        <v>5.7147146565971498</v>
      </c>
      <c r="L37" s="61">
        <f>ROUND((K37/(F37*2)),2)</f>
        <v>0.05</v>
      </c>
      <c r="M37" s="61">
        <f>M36</f>
        <v>11.89</v>
      </c>
      <c r="N37" s="61">
        <f t="shared" si="17"/>
        <v>11.940000000000001</v>
      </c>
      <c r="O37" s="61">
        <f>O36</f>
        <v>11.940000000000001</v>
      </c>
      <c r="P37" s="61">
        <f>F37*2*M37</f>
        <v>1236.56</v>
      </c>
      <c r="Q37" s="61">
        <f>F37*2*O37</f>
        <v>1241.7600000000002</v>
      </c>
      <c r="R37" s="61">
        <f t="shared" ref="R37" si="30">Q37-P37</f>
        <v>5.2000000000002728</v>
      </c>
      <c r="S37" s="61">
        <f>F37*2*N37</f>
        <v>1241.7600000000002</v>
      </c>
      <c r="T37" s="61">
        <f t="shared" si="23"/>
        <v>0</v>
      </c>
      <c r="V37" s="4">
        <f t="shared" si="28"/>
        <v>89.750247820649165</v>
      </c>
      <c r="W37" s="61">
        <f>((V37*References!$C$57*'Spokane DF Calc'!$E$72)+('Spokane DF Calc'!V37*References!$C$61*'Spokane DF Calc'!$E$71))/2</f>
        <v>5.3707327936135155E-2</v>
      </c>
      <c r="X37" s="61">
        <f>W37/References!$G$58</f>
        <v>5.4949179390357226E-2</v>
      </c>
      <c r="Y37" s="61">
        <f t="shared" si="29"/>
        <v>-4.9491793903572237E-3</v>
      </c>
    </row>
    <row r="38" spans="1:25">
      <c r="A38" s="234"/>
      <c r="B38" s="28" t="s">
        <v>348</v>
      </c>
      <c r="C38" t="s">
        <v>74</v>
      </c>
      <c r="D38" s="47">
        <f>+VLOOKUP(C38,'Spokane Reg - Price out'!$B$12:$K$78,10,FALSE)</f>
        <v>0.16666666666666666</v>
      </c>
      <c r="E38" s="93">
        <f>References!$B$12</f>
        <v>1</v>
      </c>
      <c r="F38" s="50">
        <f>D38*E38*References!$B$50</f>
        <v>2</v>
      </c>
      <c r="G38" s="47">
        <f>References!$B$28</f>
        <v>29</v>
      </c>
      <c r="H38" s="47">
        <f t="shared" si="15"/>
        <v>58</v>
      </c>
      <c r="I38" s="47">
        <f t="shared" si="16"/>
        <v>38.275840982335673</v>
      </c>
      <c r="J38" s="61">
        <f>(I38*References!$C$57*'Spokane DF Calc'!$E$72)+('Spokane DF Calc'!I38*References!$C$61*'Spokane DF Calc'!$E$71)</f>
        <v>4.580919147493881E-2</v>
      </c>
      <c r="K38" s="61">
        <f>J38/References!$G$58</f>
        <v>4.6868417715304693E-2</v>
      </c>
      <c r="L38" s="61">
        <f t="shared" ref="L38:L47" si="31">ROUND((K38/F38),2)</f>
        <v>0.02</v>
      </c>
      <c r="M38" s="61">
        <f>'Proposed Rates'!$B$66</f>
        <v>4.9499999999999993</v>
      </c>
      <c r="N38" s="61">
        <f t="shared" si="17"/>
        <v>4.9699999999999989</v>
      </c>
      <c r="O38" s="61">
        <f>'Proposed Rates'!$D$66</f>
        <v>4.9699999999999989</v>
      </c>
      <c r="P38" s="61">
        <f>F38*2*M38</f>
        <v>19.799999999999997</v>
      </c>
      <c r="Q38" s="61">
        <f>F38*2*O38</f>
        <v>19.879999999999995</v>
      </c>
      <c r="R38" s="61">
        <f t="shared" si="21"/>
        <v>7.9999999999998295E-2</v>
      </c>
      <c r="S38" s="61">
        <f>F38*2*N38</f>
        <v>19.879999999999995</v>
      </c>
      <c r="T38" s="61">
        <f t="shared" si="23"/>
        <v>0</v>
      </c>
      <c r="V38" s="4">
        <f t="shared" si="28"/>
        <v>19.137920491167836</v>
      </c>
      <c r="W38" s="61">
        <f>((V38*References!$C$57*'Spokane DF Calc'!$E$72)+('Spokane DF Calc'!V38*References!$C$61*'Spokane DF Calc'!$E$71))</f>
        <v>2.2904595737469405E-2</v>
      </c>
      <c r="X38" s="61">
        <f>W38/References!$G$58</f>
        <v>2.3434208857652346E-2</v>
      </c>
      <c r="Y38" s="61">
        <f t="shared" si="29"/>
        <v>-3.4342088576523461E-3</v>
      </c>
    </row>
    <row r="39" spans="1:25">
      <c r="A39" s="234"/>
      <c r="B39" s="28" t="s">
        <v>347</v>
      </c>
      <c r="C39" t="s">
        <v>78</v>
      </c>
      <c r="D39" s="47">
        <v>0.01</v>
      </c>
      <c r="E39" s="93">
        <f>References!$B$12</f>
        <v>1</v>
      </c>
      <c r="F39" s="47">
        <f>D39*E39*References!$B$50</f>
        <v>0.12</v>
      </c>
      <c r="G39" s="47">
        <f>+References!$B$29</f>
        <v>175</v>
      </c>
      <c r="H39" s="47">
        <f t="shared" si="15"/>
        <v>21</v>
      </c>
      <c r="I39" s="47">
        <f t="shared" si="16"/>
        <v>13.858494148776709</v>
      </c>
      <c r="J39" s="61">
        <f>(I39*References!$C$57*'Spokane DF Calc'!$E$72)+('Spokane DF Calc'!I39*References!$C$61*'Spokane DF Calc'!$E$71)</f>
        <v>1.6586086568512327E-2</v>
      </c>
      <c r="K39" s="61">
        <f>J39/References!$G$58</f>
        <v>1.6969599517610321E-2</v>
      </c>
      <c r="L39" s="61">
        <f t="shared" si="31"/>
        <v>0.14000000000000001</v>
      </c>
      <c r="M39" s="61">
        <f>'Proposed Rates'!$B$49</f>
        <v>54.660000000000004</v>
      </c>
      <c r="N39" s="61">
        <f t="shared" si="17"/>
        <v>54.800000000000004</v>
      </c>
      <c r="O39" s="61">
        <f>'Proposed Rates'!$D$49</f>
        <v>54.800000000000004</v>
      </c>
      <c r="P39" s="61">
        <f t="shared" si="19"/>
        <v>6.5592000000000006</v>
      </c>
      <c r="Q39" s="61">
        <f t="shared" si="20"/>
        <v>6.5760000000000005</v>
      </c>
      <c r="R39" s="61">
        <f t="shared" si="21"/>
        <v>1.6799999999999926E-2</v>
      </c>
      <c r="S39" s="61">
        <f t="shared" si="22"/>
        <v>6.5760000000000005</v>
      </c>
      <c r="T39" s="61">
        <f t="shared" si="23"/>
        <v>0</v>
      </c>
      <c r="V39" s="4">
        <f t="shared" si="28"/>
        <v>115.48745123980591</v>
      </c>
      <c r="W39" s="61">
        <f>((V39*References!$C$57*'Spokane DF Calc'!$E$72)+('Spokane DF Calc'!V39*References!$C$61*'Spokane DF Calc'!$E$71))</f>
        <v>0.13821738807093606</v>
      </c>
      <c r="X39" s="61">
        <f>W39/References!$G$58</f>
        <v>0.14141332931341932</v>
      </c>
      <c r="Y39" s="61">
        <f t="shared" si="29"/>
        <v>-1.4133293134193092E-3</v>
      </c>
    </row>
    <row r="40" spans="1:25">
      <c r="A40" s="234"/>
      <c r="B40" s="28" t="s">
        <v>347</v>
      </c>
      <c r="C40" t="s">
        <v>80</v>
      </c>
      <c r="D40" s="47">
        <f>+VLOOKUP(C40,'Spokane Reg - Price out'!$B$12:$K$78,10,FALSE)</f>
        <v>0.91666666666666663</v>
      </c>
      <c r="E40" s="93">
        <f>References!$B$12</f>
        <v>1</v>
      </c>
      <c r="F40" s="47">
        <f>D40*E40*References!$B$50</f>
        <v>11</v>
      </c>
      <c r="G40" s="47">
        <f>+References!$B$30</f>
        <v>250</v>
      </c>
      <c r="H40" s="47">
        <f t="shared" si="15"/>
        <v>2750</v>
      </c>
      <c r="I40" s="47">
        <f t="shared" si="16"/>
        <v>1814.80280519695</v>
      </c>
      <c r="J40" s="61">
        <f>(I40*References!$C$57*'Spokane DF Calc'!$E$72)+('Spokane DF Calc'!I40*References!$C$61*'Spokane DF Calc'!$E$71)</f>
        <v>2.1719875268289952</v>
      </c>
      <c r="K40" s="61">
        <f>J40/References!$G$58</f>
        <v>2.2222094606394465</v>
      </c>
      <c r="L40" s="61">
        <f t="shared" si="31"/>
        <v>0.2</v>
      </c>
      <c r="M40" s="61">
        <f>'Proposed Rates'!$B$50</f>
        <v>77.680000000000007</v>
      </c>
      <c r="N40" s="61">
        <f t="shared" si="17"/>
        <v>77.88000000000001</v>
      </c>
      <c r="O40" s="61">
        <f>'Proposed Rates'!$D$50</f>
        <v>77.88000000000001</v>
      </c>
      <c r="P40" s="61">
        <f t="shared" si="19"/>
        <v>854.48</v>
      </c>
      <c r="Q40" s="61">
        <f t="shared" si="20"/>
        <v>856.68000000000006</v>
      </c>
      <c r="R40" s="61">
        <f t="shared" si="21"/>
        <v>2.2000000000000455</v>
      </c>
      <c r="S40" s="61">
        <f t="shared" si="22"/>
        <v>856.68000000000006</v>
      </c>
      <c r="T40" s="61">
        <f t="shared" si="23"/>
        <v>0</v>
      </c>
      <c r="V40" s="4">
        <f t="shared" si="28"/>
        <v>164.98207319972272</v>
      </c>
      <c r="W40" s="61">
        <f>((V40*References!$C$57*'Spokane DF Calc'!$E$72)+('Spokane DF Calc'!V40*References!$C$61*'Spokane DF Calc'!$E$71))</f>
        <v>0.19745341152990864</v>
      </c>
      <c r="X40" s="61">
        <f>W40/References!$G$58</f>
        <v>0.20201904187631331</v>
      </c>
      <c r="Y40" s="61">
        <f t="shared" si="29"/>
        <v>-2.0190418763132989E-3</v>
      </c>
    </row>
    <row r="41" spans="1:25">
      <c r="A41" s="234"/>
      <c r="B41" s="28" t="s">
        <v>347</v>
      </c>
      <c r="C41" t="s">
        <v>84</v>
      </c>
      <c r="D41" s="47">
        <v>0.01</v>
      </c>
      <c r="E41" s="93">
        <f>References!$B$12</f>
        <v>1</v>
      </c>
      <c r="F41" s="47">
        <f>D41*E41*References!$B$50</f>
        <v>0.12</v>
      </c>
      <c r="G41" s="47">
        <f>+References!$B$29</f>
        <v>175</v>
      </c>
      <c r="H41" s="47">
        <f t="shared" si="15"/>
        <v>21</v>
      </c>
      <c r="I41" s="47">
        <f t="shared" si="16"/>
        <v>13.858494148776709</v>
      </c>
      <c r="J41" s="61">
        <f>(I41*References!$C$57*'Spokane DF Calc'!$E$72)+('Spokane DF Calc'!I41*References!$C$61*'Spokane DF Calc'!$E$71)</f>
        <v>1.6586086568512327E-2</v>
      </c>
      <c r="K41" s="61">
        <f>J41/References!$G$58</f>
        <v>1.6969599517610321E-2</v>
      </c>
      <c r="L41" s="61">
        <f t="shared" si="31"/>
        <v>0.14000000000000001</v>
      </c>
      <c r="M41" s="61">
        <f>'Proposed Rates'!$B$57</f>
        <v>25.310000000000002</v>
      </c>
      <c r="N41" s="61">
        <f t="shared" si="17"/>
        <v>25.450000000000003</v>
      </c>
      <c r="O41" s="61">
        <f>'Proposed Rates'!$D$57</f>
        <v>25.450000000000003</v>
      </c>
      <c r="P41" s="61">
        <f t="shared" si="19"/>
        <v>3.0372000000000003</v>
      </c>
      <c r="Q41" s="61">
        <f t="shared" si="20"/>
        <v>3.0540000000000003</v>
      </c>
      <c r="R41" s="61">
        <f t="shared" si="21"/>
        <v>1.6799999999999926E-2</v>
      </c>
      <c r="S41" s="61">
        <f t="shared" si="22"/>
        <v>3.0540000000000003</v>
      </c>
      <c r="T41" s="61">
        <f t="shared" si="23"/>
        <v>0</v>
      </c>
      <c r="V41" s="4">
        <f t="shared" si="28"/>
        <v>115.48745123980591</v>
      </c>
      <c r="W41" s="61">
        <f>((V41*References!$C$57*'Spokane DF Calc'!$E$72)+('Spokane DF Calc'!V41*References!$C$61*'Spokane DF Calc'!$E$71))</f>
        <v>0.13821738807093606</v>
      </c>
      <c r="X41" s="61">
        <f>W41/References!$G$58</f>
        <v>0.14141332931341932</v>
      </c>
      <c r="Y41" s="61">
        <f t="shared" si="29"/>
        <v>-1.4133293134193092E-3</v>
      </c>
    </row>
    <row r="42" spans="1:25">
      <c r="A42" s="234"/>
      <c r="B42" s="28" t="s">
        <v>347</v>
      </c>
      <c r="C42" t="s">
        <v>82</v>
      </c>
      <c r="D42" s="47">
        <f>+VLOOKUP(C42,'Spokane Reg - Price out'!$B$12:$K$78,10,FALSE)</f>
        <v>8.3333333333333329E-2</v>
      </c>
      <c r="E42" s="93">
        <f>References!$B$12</f>
        <v>1</v>
      </c>
      <c r="F42" s="50">
        <f>D42*E42*References!$B$50</f>
        <v>1</v>
      </c>
      <c r="G42" s="47">
        <f>+References!$B$30</f>
        <v>250</v>
      </c>
      <c r="H42" s="47">
        <f t="shared" si="15"/>
        <v>250</v>
      </c>
      <c r="I42" s="47">
        <f t="shared" si="16"/>
        <v>164.98207319972272</v>
      </c>
      <c r="J42" s="61">
        <f>(I42*References!$C$57*'Spokane DF Calc'!$E$72)+('Spokane DF Calc'!I42*References!$C$61*'Spokane DF Calc'!$E$71)</f>
        <v>0.19745341152990864</v>
      </c>
      <c r="K42" s="61">
        <f>J42/References!$G$58</f>
        <v>0.20201904187631331</v>
      </c>
      <c r="L42" s="61">
        <f t="shared" si="31"/>
        <v>0.2</v>
      </c>
      <c r="M42" s="61">
        <f>'Proposed Rates'!$B$58</f>
        <v>38.050000000000004</v>
      </c>
      <c r="N42" s="61">
        <f t="shared" si="17"/>
        <v>38.250000000000007</v>
      </c>
      <c r="O42" s="61">
        <f>'Proposed Rates'!$D$58</f>
        <v>38.250000000000007</v>
      </c>
      <c r="P42" s="61">
        <f>F42*2*M42</f>
        <v>76.100000000000009</v>
      </c>
      <c r="Q42" s="61">
        <f>F42*2*O42</f>
        <v>76.500000000000014</v>
      </c>
      <c r="R42" s="61">
        <f t="shared" si="21"/>
        <v>0.40000000000000568</v>
      </c>
      <c r="S42" s="61">
        <f>F42*2*N42</f>
        <v>76.500000000000014</v>
      </c>
      <c r="T42" s="61">
        <f t="shared" si="23"/>
        <v>0</v>
      </c>
      <c r="V42" s="4">
        <f t="shared" si="28"/>
        <v>164.98207319972272</v>
      </c>
      <c r="W42" s="61">
        <f>((V42*References!$C$57*'Spokane DF Calc'!$E$72)+('Spokane DF Calc'!V42*References!$C$61*'Spokane DF Calc'!$E$71))</f>
        <v>0.19745341152990864</v>
      </c>
      <c r="X42" s="61">
        <f>W42/References!$G$58</f>
        <v>0.20201904187631331</v>
      </c>
      <c r="Y42" s="61">
        <f t="shared" si="29"/>
        <v>-2.0190418763132989E-3</v>
      </c>
    </row>
    <row r="43" spans="1:25">
      <c r="A43" s="234"/>
      <c r="B43" s="28" t="s">
        <v>347</v>
      </c>
      <c r="C43" t="s">
        <v>86</v>
      </c>
      <c r="D43" s="47">
        <f>+VLOOKUP(C43,'Spokane Reg - Price out'!$B$12:$K$78,10,FALSE)</f>
        <v>0.16666666666666666</v>
      </c>
      <c r="E43" s="93">
        <f>References!$B$12</f>
        <v>1</v>
      </c>
      <c r="F43" s="47">
        <f>D43*E43*References!$B$50</f>
        <v>2</v>
      </c>
      <c r="G43" s="47">
        <f>References!$B$32</f>
        <v>324</v>
      </c>
      <c r="H43" s="47">
        <f t="shared" si="15"/>
        <v>648</v>
      </c>
      <c r="I43" s="47">
        <f t="shared" si="16"/>
        <v>427.6335337336813</v>
      </c>
      <c r="J43" s="61">
        <f>(I43*References!$C$57*'Spokane DF Calc'!$E$72)+('Spokane DF Calc'!I43*References!$C$61*'Spokane DF Calc'!$E$71)</f>
        <v>0.51179924268552313</v>
      </c>
      <c r="K43" s="61">
        <f>J43/References!$G$58</f>
        <v>0.52363335654340404</v>
      </c>
      <c r="L43" s="61">
        <f t="shared" si="31"/>
        <v>0.26</v>
      </c>
      <c r="M43" s="61">
        <f>'Proposed Rates'!$B$59</f>
        <v>48.76</v>
      </c>
      <c r="N43" s="61">
        <f t="shared" si="17"/>
        <v>49.019999999999996</v>
      </c>
      <c r="O43" s="61">
        <f>'Proposed Rates'!$D$59</f>
        <v>49.019999999999996</v>
      </c>
      <c r="P43" s="61">
        <f t="shared" si="19"/>
        <v>97.52</v>
      </c>
      <c r="Q43" s="61">
        <f t="shared" si="20"/>
        <v>98.039999999999992</v>
      </c>
      <c r="R43" s="61">
        <f t="shared" si="21"/>
        <v>0.51999999999999602</v>
      </c>
      <c r="S43" s="61">
        <f t="shared" si="22"/>
        <v>98.039999999999992</v>
      </c>
      <c r="T43" s="61">
        <f t="shared" si="23"/>
        <v>0</v>
      </c>
      <c r="V43" s="4">
        <f t="shared" si="28"/>
        <v>213.81676686684065</v>
      </c>
      <c r="W43" s="61">
        <f>((V43*References!$C$57*'Spokane DF Calc'!$E$72)+('Spokane DF Calc'!V43*References!$C$61*'Spokane DF Calc'!$E$71))</f>
        <v>0.25589962134276156</v>
      </c>
      <c r="X43" s="61">
        <f>W43/References!$G$58</f>
        <v>0.26181667827170202</v>
      </c>
      <c r="Y43" s="61">
        <f t="shared" si="29"/>
        <v>-1.8166782717020102E-3</v>
      </c>
    </row>
    <row r="44" spans="1:25">
      <c r="A44" s="234"/>
      <c r="B44" s="28" t="s">
        <v>347</v>
      </c>
      <c r="C44" t="s">
        <v>88</v>
      </c>
      <c r="D44" s="47">
        <f>+VLOOKUP(C44,'Spokane Reg - Price out'!$B$12:$K$78,10,FALSE)</f>
        <v>0.16666666666666666</v>
      </c>
      <c r="E44" s="93">
        <f>References!$B$12</f>
        <v>1</v>
      </c>
      <c r="F44" s="47">
        <f>D44*E44*References!$B$50</f>
        <v>2</v>
      </c>
      <c r="G44" s="47">
        <f>References!$B$33</f>
        <v>473</v>
      </c>
      <c r="H44" s="47">
        <f t="shared" si="15"/>
        <v>946</v>
      </c>
      <c r="I44" s="47">
        <f t="shared" si="16"/>
        <v>624.29216498775077</v>
      </c>
      <c r="J44" s="61">
        <f>(I44*References!$C$57*'Spokane DF Calc'!$E$72)+('Spokane DF Calc'!I44*References!$C$61*'Spokane DF Calc'!$E$71)</f>
        <v>0.7471637092291743</v>
      </c>
      <c r="K44" s="61">
        <f>J44/References!$G$58</f>
        <v>0.76444005445996954</v>
      </c>
      <c r="L44" s="61">
        <f t="shared" si="31"/>
        <v>0.38</v>
      </c>
      <c r="M44" s="61">
        <f>'Proposed Rates'!$B$60</f>
        <v>68.679999999999993</v>
      </c>
      <c r="N44" s="61">
        <f t="shared" si="17"/>
        <v>69.059999999999988</v>
      </c>
      <c r="O44" s="61">
        <f>'Proposed Rates'!$D$60</f>
        <v>69.059999999999988</v>
      </c>
      <c r="P44" s="61">
        <f t="shared" si="19"/>
        <v>137.35999999999999</v>
      </c>
      <c r="Q44" s="61">
        <f t="shared" si="20"/>
        <v>138.11999999999998</v>
      </c>
      <c r="R44" s="61">
        <f t="shared" si="21"/>
        <v>0.75999999999999091</v>
      </c>
      <c r="S44" s="61">
        <f t="shared" si="22"/>
        <v>138.11999999999998</v>
      </c>
      <c r="T44" s="61">
        <f t="shared" si="23"/>
        <v>0</v>
      </c>
      <c r="V44" s="4">
        <f t="shared" si="28"/>
        <v>312.14608249387538</v>
      </c>
      <c r="W44" s="61">
        <f>((V44*References!$C$57*'Spokane DF Calc'!$E$72)+('Spokane DF Calc'!V44*References!$C$61*'Spokane DF Calc'!$E$71))</f>
        <v>0.37358185461458715</v>
      </c>
      <c r="X44" s="61">
        <f>W44/References!$G$58</f>
        <v>0.38222002722998477</v>
      </c>
      <c r="Y44" s="61">
        <f t="shared" si="29"/>
        <v>-2.2200272299847668E-3</v>
      </c>
    </row>
    <row r="45" spans="1:25">
      <c r="A45" s="234"/>
      <c r="B45" s="28" t="s">
        <v>347</v>
      </c>
      <c r="C45" t="s">
        <v>90</v>
      </c>
      <c r="D45" s="47">
        <f>+VLOOKUP(C45,'Spokane Reg - Price out'!$B$12:$K$78,10,FALSE)</f>
        <v>1.4166666666666667</v>
      </c>
      <c r="E45" s="93">
        <f>References!$B$12</f>
        <v>1</v>
      </c>
      <c r="F45" s="47">
        <f>D45*E45*References!$B$50</f>
        <v>17</v>
      </c>
      <c r="G45" s="47">
        <f>References!$B$35</f>
        <v>613</v>
      </c>
      <c r="H45" s="47">
        <f t="shared" ref="H45" si="32">F45*G45</f>
        <v>10421</v>
      </c>
      <c r="I45" s="47">
        <f t="shared" si="16"/>
        <v>6877.1127392572416</v>
      </c>
      <c r="J45" s="61">
        <f>(I45*References!$C$57*'Spokane DF Calc'!$E$72)+('Spokane DF Calc'!I45*References!$C$61*'Spokane DF Calc'!$E$71)</f>
        <v>8.2306480062127108</v>
      </c>
      <c r="K45" s="61">
        <f>J45/References!$G$58</f>
        <v>8.4209617415722438</v>
      </c>
      <c r="L45" s="61">
        <f t="shared" si="31"/>
        <v>0.5</v>
      </c>
      <c r="M45" s="61">
        <f>'Proposed Rates'!$B$61</f>
        <v>91.589999999999989</v>
      </c>
      <c r="N45" s="61">
        <f t="shared" si="17"/>
        <v>92.089999999999989</v>
      </c>
      <c r="O45" s="61">
        <f>'Proposed Rates'!$D$61</f>
        <v>92.089999999999989</v>
      </c>
      <c r="P45" s="61">
        <f t="shared" si="19"/>
        <v>1557.0299999999997</v>
      </c>
      <c r="Q45" s="61">
        <f t="shared" si="20"/>
        <v>1565.5299999999997</v>
      </c>
      <c r="R45" s="61">
        <f t="shared" si="21"/>
        <v>8.5</v>
      </c>
      <c r="S45" s="61">
        <f t="shared" si="22"/>
        <v>1565.5299999999997</v>
      </c>
      <c r="T45" s="61">
        <f t="shared" si="23"/>
        <v>0</v>
      </c>
      <c r="V45" s="4">
        <f t="shared" si="28"/>
        <v>404.53604348572009</v>
      </c>
      <c r="W45" s="61">
        <f>((V45*References!$C$57*'Spokane DF Calc'!$E$72)+('Spokane DF Calc'!V45*References!$C$61*'Spokane DF Calc'!$E$71))</f>
        <v>0.48415576507133595</v>
      </c>
      <c r="X45" s="61">
        <f>W45/References!$G$58</f>
        <v>0.49535069068072018</v>
      </c>
      <c r="Y45" s="61">
        <f t="shared" si="29"/>
        <v>4.6493093192798152E-3</v>
      </c>
    </row>
    <row r="46" spans="1:25" ht="15" customHeight="1">
      <c r="A46" s="234"/>
      <c r="B46" s="28" t="s">
        <v>348</v>
      </c>
      <c r="C46" t="s">
        <v>76</v>
      </c>
      <c r="D46" s="47">
        <f>+VLOOKUP(C46,'Spokane Reg - Price out'!$B$12:$K$78,10,FALSE)</f>
        <v>51.454157386785461</v>
      </c>
      <c r="E46" s="93">
        <f>References!$B$12</f>
        <v>1</v>
      </c>
      <c r="F46" s="47">
        <f>D46*E46*References!$B$50</f>
        <v>617.44988864142556</v>
      </c>
      <c r="G46" s="47">
        <f>References!$B$28</f>
        <v>29</v>
      </c>
      <c r="H46" s="47">
        <f t="shared" si="15"/>
        <v>17906.046770601341</v>
      </c>
      <c r="I46" s="47">
        <f t="shared" si="16"/>
        <v>11816.706876100036</v>
      </c>
      <c r="J46" s="61">
        <f>(I46*References!$C$57*'Spokane DF Calc'!$E$72)+('Spokane DF Calc'!I46*References!$C$61*'Spokane DF Calc'!$E$71)</f>
        <v>14.14244008747735</v>
      </c>
      <c r="K46" s="61">
        <f>J46/References!$G$58</f>
        <v>14.469449649557346</v>
      </c>
      <c r="L46" s="61">
        <f t="shared" si="31"/>
        <v>0.02</v>
      </c>
      <c r="M46" s="61">
        <f>'Proposed Rates'!B66</f>
        <v>4.9499999999999993</v>
      </c>
      <c r="N46" s="61">
        <f t="shared" si="17"/>
        <v>4.9699999999999989</v>
      </c>
      <c r="O46" s="61">
        <f>'Proposed Rates'!D66</f>
        <v>4.9699999999999989</v>
      </c>
      <c r="P46" s="61">
        <f t="shared" si="19"/>
        <v>3056.376948775056</v>
      </c>
      <c r="Q46" s="61">
        <f t="shared" si="20"/>
        <v>3068.7259465478842</v>
      </c>
      <c r="R46" s="61">
        <f t="shared" si="21"/>
        <v>12.34899777282817</v>
      </c>
      <c r="S46" s="61">
        <f t="shared" si="22"/>
        <v>3068.7259465478842</v>
      </c>
      <c r="T46" s="61">
        <f t="shared" si="23"/>
        <v>0</v>
      </c>
      <c r="V46" s="4">
        <f t="shared" si="28"/>
        <v>19.137920491167836</v>
      </c>
      <c r="W46" s="61">
        <f>((V46*References!$C$57*'Spokane DF Calc'!$E$72)+('Spokane DF Calc'!V46*References!$C$61*'Spokane DF Calc'!$E$71))</f>
        <v>2.2904595737469405E-2</v>
      </c>
      <c r="X46" s="61">
        <f>W46/References!$G$58</f>
        <v>2.3434208857652346E-2</v>
      </c>
      <c r="Y46" s="61">
        <f t="shared" si="29"/>
        <v>-3.4342088576523461E-3</v>
      </c>
    </row>
    <row r="47" spans="1:25">
      <c r="A47" s="234"/>
      <c r="B47" s="28" t="s">
        <v>344</v>
      </c>
      <c r="C47" t="s">
        <v>92</v>
      </c>
      <c r="D47" s="47">
        <f>+VLOOKUP(C47,'Spokane Reg - Price out'!$B$12:$K$78,10,FALSE)</f>
        <v>0.66666666666666685</v>
      </c>
      <c r="E47" s="93">
        <f>References!$B$12</f>
        <v>1</v>
      </c>
      <c r="F47" s="47">
        <f>D47*E47*References!$B$50</f>
        <v>8.0000000000000018</v>
      </c>
      <c r="G47" s="47">
        <f>References!B48</f>
        <v>125</v>
      </c>
      <c r="H47" s="47">
        <f t="shared" si="15"/>
        <v>1000.0000000000002</v>
      </c>
      <c r="I47" s="47">
        <f t="shared" si="16"/>
        <v>659.92829279889099</v>
      </c>
      <c r="J47" s="61">
        <f>(I47*References!$C$57*'Spokane DF Calc'!$E$72)+('Spokane DF Calc'!I47*References!$C$61*'Spokane DF Calc'!$E$71)</f>
        <v>0.78981364611963467</v>
      </c>
      <c r="K47" s="61">
        <f>J47/References!$G$58</f>
        <v>0.80807616750525335</v>
      </c>
      <c r="L47" s="61">
        <f t="shared" si="31"/>
        <v>0.1</v>
      </c>
      <c r="M47" s="61">
        <f>'Proposed Rates'!B27</f>
        <v>26.34</v>
      </c>
      <c r="N47" s="61">
        <f t="shared" si="17"/>
        <v>26.44</v>
      </c>
      <c r="O47" s="61">
        <f>'Proposed Rates'!D27</f>
        <v>26.44</v>
      </c>
      <c r="P47" s="61">
        <f t="shared" si="19"/>
        <v>210.72000000000006</v>
      </c>
      <c r="Q47" s="61">
        <f t="shared" si="20"/>
        <v>211.52000000000007</v>
      </c>
      <c r="R47" s="61">
        <f t="shared" si="21"/>
        <v>0.80000000000001137</v>
      </c>
      <c r="S47" s="61">
        <f t="shared" si="22"/>
        <v>211.52000000000007</v>
      </c>
      <c r="T47" s="61">
        <f t="shared" si="23"/>
        <v>0</v>
      </c>
      <c r="V47" s="4">
        <f t="shared" si="28"/>
        <v>82.49103659986136</v>
      </c>
      <c r="W47" s="61">
        <f>((V47*References!$C$57*'Spokane DF Calc'!$E$72)+('Spokane DF Calc'!V47*References!$C$61*'Spokane DF Calc'!$E$71))</f>
        <v>9.872670576495432E-2</v>
      </c>
      <c r="X47" s="61">
        <f>W47/References!$G$58</f>
        <v>0.10100952093815666</v>
      </c>
      <c r="Y47" s="61">
        <f t="shared" si="29"/>
        <v>-1.0095209381566494E-3</v>
      </c>
    </row>
    <row r="48" spans="1:25">
      <c r="A48" s="41"/>
      <c r="B48" s="39"/>
      <c r="C48" s="38" t="s">
        <v>0</v>
      </c>
      <c r="D48" s="48">
        <f>SUM(D22:D47)</f>
        <v>138.3383898941041</v>
      </c>
      <c r="E48" s="55"/>
      <c r="F48" s="48">
        <f>SUM(F22:F47)</f>
        <v>4971.2966456886606</v>
      </c>
      <c r="G48" s="49"/>
      <c r="H48" s="48">
        <f>SUM(H22:H47)</f>
        <v>1179840.3489236599</v>
      </c>
      <c r="I48" s="48">
        <f>SUM(I22:I47)</f>
        <v>778610.02724043897</v>
      </c>
      <c r="J48" s="62"/>
      <c r="K48" s="62"/>
      <c r="L48" s="63"/>
      <c r="M48" s="63"/>
      <c r="N48" s="63"/>
      <c r="O48" s="63"/>
      <c r="P48" s="48">
        <f>SUM(P22:P47)</f>
        <v>151551.86891037895</v>
      </c>
      <c r="Q48" s="48">
        <f>SUM(Q22:Q47)</f>
        <v>152497.21291158255</v>
      </c>
      <c r="R48" s="48">
        <f>SUM(R22:R47)</f>
        <v>945.34400120361624</v>
      </c>
      <c r="S48" s="48">
        <f>SUM(S22:S47)</f>
        <v>152497.21291158255</v>
      </c>
      <c r="T48" s="48">
        <f>SUM(T22:T47)</f>
        <v>0</v>
      </c>
      <c r="V48" s="96"/>
      <c r="W48" s="96"/>
      <c r="X48" s="204"/>
    </row>
    <row r="49" spans="1:24">
      <c r="C49" s="40" t="s">
        <v>288</v>
      </c>
      <c r="D49" s="51">
        <f>+D21+D48</f>
        <v>1448.4745842517129</v>
      </c>
      <c r="F49" s="51">
        <f>+F21+F48</f>
        <v>68530.34841663207</v>
      </c>
      <c r="H49" s="51">
        <f>+H21+H48</f>
        <v>4242063.3677323479</v>
      </c>
      <c r="I49" s="51">
        <f>+I21+I48</f>
        <v>2799457.6362123229</v>
      </c>
      <c r="P49" s="64">
        <f>+P21+P48</f>
        <v>605234.11244524433</v>
      </c>
      <c r="Q49" s="64">
        <f>+Q21+Q48</f>
        <v>608655.99621091899</v>
      </c>
      <c r="R49" s="64">
        <f>+R21+R48</f>
        <v>3421.8837656746637</v>
      </c>
      <c r="S49" s="64">
        <f>+S21+S48</f>
        <v>608656.11621091899</v>
      </c>
      <c r="T49" s="64">
        <f>+T21+T48</f>
        <v>-0.12000000000000455</v>
      </c>
    </row>
    <row r="51" spans="1:24">
      <c r="R51" s="143" t="s">
        <v>350</v>
      </c>
      <c r="S51" s="143" t="s">
        <v>351</v>
      </c>
      <c r="T51" s="143" t="s">
        <v>5</v>
      </c>
    </row>
    <row r="52" spans="1:24" ht="15" customHeight="1">
      <c r="A52" s="29"/>
      <c r="B52" s="30"/>
      <c r="C52" s="31" t="s">
        <v>256</v>
      </c>
      <c r="D52" s="52"/>
      <c r="E52" s="56"/>
      <c r="F52" s="32"/>
      <c r="G52" s="32"/>
      <c r="H52" s="32"/>
      <c r="I52" s="32"/>
      <c r="J52" s="65"/>
      <c r="K52" s="66"/>
      <c r="L52" s="66"/>
      <c r="M52" s="66"/>
      <c r="N52" s="66"/>
      <c r="O52" s="66"/>
      <c r="Q52" s="110" t="s">
        <v>187</v>
      </c>
      <c r="R52" s="61">
        <f>R21</f>
        <v>2476.5397644710474</v>
      </c>
      <c r="S52" s="113">
        <f>+R21/P21</f>
        <v>5.4587540062733921E-3</v>
      </c>
      <c r="T52" s="47">
        <f>SUM(D6:D15)</f>
        <v>1205.2666702232293</v>
      </c>
    </row>
    <row r="53" spans="1:24">
      <c r="A53" s="106"/>
      <c r="B53" s="28" t="s">
        <v>342</v>
      </c>
      <c r="C53" t="s">
        <v>330</v>
      </c>
      <c r="D53" s="47">
        <v>0</v>
      </c>
      <c r="E53" s="54">
        <f>+References!B10</f>
        <v>4.333333333333333</v>
      </c>
      <c r="F53" s="47">
        <v>52</v>
      </c>
      <c r="G53" s="47">
        <f>+References!B20</f>
        <v>97</v>
      </c>
      <c r="H53" s="47">
        <f>F53*G53</f>
        <v>5044</v>
      </c>
      <c r="I53" s="47">
        <f>H53*$D$66</f>
        <v>3328.6783088776056</v>
      </c>
      <c r="J53" s="61">
        <f>(I53*References!$C$57*'Spokane DF Calc'!$E$72)+('Spokane DF Calc'!I53*References!$C$61*'Spokane DF Calc'!$E$71)</f>
        <v>3.9838200310274363</v>
      </c>
      <c r="K53" s="61">
        <f>J53/References!$G$58</f>
        <v>4.0759361888964971</v>
      </c>
      <c r="L53" s="61">
        <f>K53/F53*E53</f>
        <v>0.33966134907470807</v>
      </c>
      <c r="M53" s="61">
        <f>+'Proposed Rates'!B14</f>
        <v>63.900000000000006</v>
      </c>
      <c r="N53" s="61">
        <f>L53+M53</f>
        <v>64.239661349074709</v>
      </c>
      <c r="O53" s="61">
        <f>+'Proposed Rates'!D14</f>
        <v>64.240000000000009</v>
      </c>
      <c r="Q53" s="110" t="s">
        <v>188</v>
      </c>
      <c r="R53" s="61">
        <f>R48</f>
        <v>945.34400120361624</v>
      </c>
      <c r="S53" s="113">
        <f>+R48/P48</f>
        <v>6.237758781863988E-3</v>
      </c>
      <c r="T53" s="47">
        <f>SUM(D22:D37)</f>
        <v>83.28089917398529</v>
      </c>
    </row>
    <row r="54" spans="1:24">
      <c r="A54" s="234" t="s">
        <v>295</v>
      </c>
      <c r="B54" s="28" t="s">
        <v>342</v>
      </c>
      <c r="C54" s="33" t="s">
        <v>257</v>
      </c>
      <c r="D54" s="26">
        <v>0</v>
      </c>
      <c r="E54" s="57">
        <f>+References!B10</f>
        <v>4.333333333333333</v>
      </c>
      <c r="F54" s="25">
        <f>E54*References!$B$50</f>
        <v>52</v>
      </c>
      <c r="G54" s="25">
        <f>+References!B21</f>
        <v>117</v>
      </c>
      <c r="H54" s="47">
        <f t="shared" ref="H54:H57" si="33">F54*G54</f>
        <v>6084</v>
      </c>
      <c r="I54" s="25">
        <f>H54*$D$66</f>
        <v>4015.003733388452</v>
      </c>
      <c r="J54" s="61">
        <f>(I54*References!$C$57*'Spokane DF Calc'!$E$72)+('Spokane DF Calc'!I54*References!$C$61*'Spokane DF Calc'!$E$71)</f>
        <v>4.8052262229918572</v>
      </c>
      <c r="K54" s="61">
        <f>J54/References!$G$58</f>
        <v>4.9163354031019617</v>
      </c>
      <c r="L54" s="61">
        <f t="shared" ref="L54:L55" si="34">K54/F54*E54</f>
        <v>0.40969461692516346</v>
      </c>
      <c r="M54" s="67">
        <f>'Proposed Rates'!B15</f>
        <v>78.22</v>
      </c>
      <c r="N54" s="67">
        <f t="shared" ref="N54:N55" si="35">K54+M54</f>
        <v>83.136335403101967</v>
      </c>
      <c r="O54" s="67">
        <f>'Proposed Rates'!D15</f>
        <v>78.63</v>
      </c>
      <c r="Q54" s="110" t="s">
        <v>0</v>
      </c>
      <c r="R54" s="112">
        <f>SUM(R52:R53)</f>
        <v>3421.8837656746637</v>
      </c>
    </row>
    <row r="55" spans="1:24">
      <c r="A55" s="234"/>
      <c r="B55" s="28" t="s">
        <v>342</v>
      </c>
      <c r="C55" s="33" t="s">
        <v>258</v>
      </c>
      <c r="D55" s="26">
        <v>0</v>
      </c>
      <c r="E55" s="57">
        <f>+References!B10</f>
        <v>4.333333333333333</v>
      </c>
      <c r="F55" s="25">
        <f>E55*References!$B$50</f>
        <v>52</v>
      </c>
      <c r="G55" s="25">
        <f>+References!B22</f>
        <v>157</v>
      </c>
      <c r="H55" s="47">
        <f t="shared" si="33"/>
        <v>8164</v>
      </c>
      <c r="I55" s="25">
        <f>H55*$D$66</f>
        <v>5387.6545824101449</v>
      </c>
      <c r="J55" s="61">
        <f>(I55*References!$C$57*'Spokane DF Calc'!$E$72)+('Spokane DF Calc'!I55*References!$C$61*'Spokane DF Calc'!$E$71)</f>
        <v>6.4480386069206963</v>
      </c>
      <c r="K55" s="61">
        <f>J55/References!$G$58</f>
        <v>6.5971338315128873</v>
      </c>
      <c r="L55" s="61">
        <f t="shared" si="34"/>
        <v>0.54976115262607395</v>
      </c>
      <c r="M55" s="67">
        <f>'Proposed Rates'!B16</f>
        <v>90.88000000000001</v>
      </c>
      <c r="N55" s="67">
        <f t="shared" si="35"/>
        <v>97.477133831512901</v>
      </c>
      <c r="O55" s="67">
        <f>'Proposed Rates'!D16</f>
        <v>91.43</v>
      </c>
      <c r="R55" s="61">
        <f>+R54-R49</f>
        <v>0</v>
      </c>
    </row>
    <row r="56" spans="1:24">
      <c r="A56" s="107"/>
      <c r="B56" s="108" t="s">
        <v>344</v>
      </c>
      <c r="C56" s="109" t="s">
        <v>35</v>
      </c>
      <c r="D56" s="34">
        <v>0</v>
      </c>
      <c r="E56" s="58">
        <f>+References!$B$12</f>
        <v>1</v>
      </c>
      <c r="F56" s="34">
        <v>1</v>
      </c>
      <c r="G56" s="34">
        <f>+References!B48</f>
        <v>125</v>
      </c>
      <c r="H56" s="34">
        <f t="shared" si="33"/>
        <v>125</v>
      </c>
      <c r="I56" s="34">
        <f>H56*$D$66</f>
        <v>82.49103659986136</v>
      </c>
      <c r="J56" s="68">
        <f>(I56*References!$C$57*'Spokane DF Calc'!$E$72)+('Spokane DF Calc'!I56*References!$C$61*'Spokane DF Calc'!$E$71)</f>
        <v>9.872670576495432E-2</v>
      </c>
      <c r="K56" s="68">
        <f>J56/References!$G$58</f>
        <v>0.10100952093815666</v>
      </c>
      <c r="L56" s="68">
        <f>K56/F56*E56</f>
        <v>0.10100952093815666</v>
      </c>
      <c r="M56" s="68">
        <f>+'Proposed Rates'!B27</f>
        <v>26.34</v>
      </c>
      <c r="N56" s="68">
        <f>L56+M56</f>
        <v>26.441009520938156</v>
      </c>
      <c r="O56" s="68">
        <f>+'Proposed Rates'!D27</f>
        <v>26.44</v>
      </c>
    </row>
    <row r="57" spans="1:24" ht="17.25">
      <c r="A57" s="37"/>
      <c r="B57" s="23" t="s">
        <v>347</v>
      </c>
      <c r="C57" s="36" t="s">
        <v>227</v>
      </c>
      <c r="D57" s="26">
        <v>0</v>
      </c>
      <c r="E57" s="59">
        <v>1</v>
      </c>
      <c r="F57" s="25">
        <v>1</v>
      </c>
      <c r="G57" s="35">
        <f>References!B39</f>
        <v>980</v>
      </c>
      <c r="H57" s="47">
        <f t="shared" si="33"/>
        <v>980</v>
      </c>
      <c r="I57" s="25">
        <f>H57*$D$66</f>
        <v>646.72972694291309</v>
      </c>
      <c r="J57" s="61">
        <f>(I57*References!$C$57*'Spokane DF Calc'!$E$72)+('Spokane DF Calc'!I57*References!$C$61*'Spokane DF Calc'!$E$71)</f>
        <v>0.77401737319724195</v>
      </c>
      <c r="K57" s="67">
        <f>J57/[26]References!$G$56</f>
        <v>0.78922977715184373</v>
      </c>
      <c r="L57" s="61">
        <f t="shared" ref="L57" si="36">K57</f>
        <v>0.78922977715184373</v>
      </c>
      <c r="M57" s="67">
        <f>'Proposed Rates'!B79</f>
        <v>51.526666666666671</v>
      </c>
      <c r="N57" s="67">
        <f t="shared" ref="N57" si="37">K57+M57</f>
        <v>52.315896443818517</v>
      </c>
      <c r="O57" s="67">
        <f>'Proposed Rates'!D79</f>
        <v>51.743333333333339</v>
      </c>
      <c r="Q57" s="111" t="s">
        <v>338</v>
      </c>
    </row>
    <row r="58" spans="1:24">
      <c r="A58" s="37"/>
      <c r="C58" s="36"/>
      <c r="D58" s="26"/>
      <c r="E58" s="59"/>
      <c r="F58" s="25"/>
      <c r="G58" s="35"/>
      <c r="H58" s="25"/>
      <c r="I58" s="25"/>
      <c r="J58" s="69"/>
      <c r="K58" s="67"/>
      <c r="L58" s="67"/>
      <c r="M58" s="67"/>
      <c r="N58" s="67"/>
      <c r="O58" s="67"/>
      <c r="P58" s="69"/>
      <c r="Q58" s="110" t="s">
        <v>339</v>
      </c>
      <c r="R58" s="61">
        <f>'Disposal Schedule'!B25*References!B61</f>
        <v>240.44</v>
      </c>
    </row>
    <row r="59" spans="1:24">
      <c r="B59"/>
      <c r="Q59" s="110" t="s">
        <v>340</v>
      </c>
      <c r="R59" s="68">
        <f>'Disposal Schedule'!I25*References!B57</f>
        <v>461.04000000000087</v>
      </c>
    </row>
    <row r="60" spans="1:24">
      <c r="R60" s="64">
        <f>SUM(R58:R59)</f>
        <v>701.48000000000093</v>
      </c>
      <c r="V60" s="61"/>
      <c r="W60" s="47"/>
      <c r="X60" s="204"/>
    </row>
    <row r="61" spans="1:24">
      <c r="C61" s="228" t="s">
        <v>200</v>
      </c>
      <c r="D61" s="228"/>
      <c r="E61" s="60"/>
      <c r="F61" s="53"/>
      <c r="X61" s="204"/>
    </row>
    <row r="62" spans="1:24">
      <c r="D62" s="24" t="s">
        <v>0</v>
      </c>
      <c r="Q62" s="231"/>
      <c r="R62" s="231"/>
      <c r="S62" s="231"/>
      <c r="T62" s="231"/>
    </row>
    <row r="63" spans="1:24">
      <c r="C63" t="s">
        <v>201</v>
      </c>
      <c r="D63" s="81">
        <f>D73</f>
        <v>1399.728818106161</v>
      </c>
      <c r="Q63" s="220" t="s">
        <v>420</v>
      </c>
      <c r="R63" s="61">
        <f>'[27]Sch 13 Garbage Disposal Fees'!$J$11+'[27]Sch 13 Garbage Disposal Fees'!$J$12</f>
        <v>30057.213000000003</v>
      </c>
      <c r="T63" s="94"/>
    </row>
    <row r="64" spans="1:24">
      <c r="C64" t="s">
        <v>202</v>
      </c>
      <c r="D64" s="26">
        <f>D63*References!G19</f>
        <v>2799457.6362123219</v>
      </c>
      <c r="Q64" s="220" t="s">
        <v>184</v>
      </c>
      <c r="R64" s="221">
        <f>R60/R63</f>
        <v>2.3338158464658743E-2</v>
      </c>
      <c r="T64" s="94"/>
    </row>
    <row r="65" spans="3:26" ht="15" customHeight="1">
      <c r="C65" t="s">
        <v>203</v>
      </c>
      <c r="D65" s="26">
        <f>+F49</f>
        <v>68530.34841663207</v>
      </c>
      <c r="V65" s="224"/>
      <c r="W65" s="224" t="s">
        <v>414</v>
      </c>
      <c r="X65" s="224" t="s">
        <v>415</v>
      </c>
      <c r="Y65" s="224" t="s">
        <v>416</v>
      </c>
      <c r="Z65" s="224"/>
    </row>
    <row r="66" spans="3:26">
      <c r="C66" s="16" t="s">
        <v>204</v>
      </c>
      <c r="D66" s="78">
        <f>D64/H49</f>
        <v>0.65992829279889087</v>
      </c>
      <c r="V66" s="225" t="s">
        <v>412</v>
      </c>
      <c r="W66" s="226">
        <f>+'[28]Spokane Reg - Price out'!$AD$36</f>
        <v>1425.2101907878748</v>
      </c>
      <c r="X66" s="227">
        <f>+'[28]Whitman Reg - Price Out'!$AD$38</f>
        <v>3572.7325660006491</v>
      </c>
      <c r="Y66" s="226">
        <f>SUM(W66:X66)</f>
        <v>4997.9427567885241</v>
      </c>
      <c r="Z66" s="224"/>
    </row>
    <row r="67" spans="3:26">
      <c r="V67" s="225" t="s">
        <v>413</v>
      </c>
      <c r="W67" s="226">
        <f>+'[28]Spokane Reg - Price out'!$AD$84</f>
        <v>111.66760612684044</v>
      </c>
      <c r="X67" s="227">
        <f>+'[28]Whitman Reg - Price Out'!$AD$135</f>
        <v>826.92291309843961</v>
      </c>
      <c r="Y67" s="226">
        <f>SUM(W67:X67)</f>
        <v>938.5905192252801</v>
      </c>
      <c r="Z67" s="224"/>
    </row>
    <row r="68" spans="3:26">
      <c r="V68" s="225" t="s">
        <v>417</v>
      </c>
      <c r="W68" s="227">
        <f>+'[28]Spokane Reg - Price out'!$AD$101</f>
        <v>5.0379296688761537</v>
      </c>
      <c r="X68" s="227">
        <f>+'[28]Whitman Reg - Price Out'!$AD$167</f>
        <v>12.858370400294405</v>
      </c>
      <c r="Y68" s="226">
        <f>SUM(W68:X68)</f>
        <v>17.896300069170557</v>
      </c>
      <c r="Z68" s="224"/>
    </row>
    <row r="69" spans="3:26">
      <c r="C69" s="228" t="s">
        <v>320</v>
      </c>
      <c r="D69" s="228"/>
      <c r="E69" s="228"/>
      <c r="V69" s="224"/>
      <c r="W69" s="224"/>
      <c r="X69" s="224"/>
      <c r="Y69" s="224"/>
      <c r="Z69" s="224"/>
    </row>
    <row r="70" spans="3:26">
      <c r="D70" s="101"/>
      <c r="E70"/>
    </row>
    <row r="71" spans="3:26">
      <c r="C71" t="s">
        <v>321</v>
      </c>
      <c r="D71" s="103">
        <f>References!C66</f>
        <v>1006.1703185869482</v>
      </c>
      <c r="E71" s="94">
        <f>D71/D73</f>
        <v>0.71883232349841941</v>
      </c>
    </row>
    <row r="72" spans="3:26">
      <c r="C72" s="102" t="s">
        <v>307</v>
      </c>
      <c r="D72" s="104">
        <f>References!B66</f>
        <v>393.55849951921283</v>
      </c>
      <c r="E72" s="94">
        <f>D72/D73</f>
        <v>0.28116767650158059</v>
      </c>
    </row>
    <row r="73" spans="3:26">
      <c r="C73" s="102" t="s">
        <v>307</v>
      </c>
      <c r="D73" s="105">
        <f>SUM(D71:D72)</f>
        <v>1399.728818106161</v>
      </c>
      <c r="E73" s="94"/>
    </row>
  </sheetData>
  <mergeCells count="6">
    <mergeCell ref="Q62:T62"/>
    <mergeCell ref="A6:A20"/>
    <mergeCell ref="C69:E69"/>
    <mergeCell ref="C61:D61"/>
    <mergeCell ref="A54:A55"/>
    <mergeCell ref="A22:A47"/>
  </mergeCells>
  <printOptions horizontalCentered="1" verticalCentered="1"/>
  <pageMargins left="0.5" right="0.5" top="0.5" bottom="0.5" header="0.3" footer="0.3"/>
  <pageSetup scale="44" orientation="landscape" r:id="rId1"/>
  <headerFooter>
    <oddFooter>&amp;L&amp;F - &amp;A&amp;R&amp;P of &amp;N</oddFooter>
  </headerFooter>
  <rowBreaks count="1" manualBreakCount="1">
    <brk id="45" max="19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  <pageSetUpPr fitToPage="1"/>
  </sheetPr>
  <dimension ref="A1:K97"/>
  <sheetViews>
    <sheetView view="pageBreakPreview" zoomScale="110" zoomScaleNormal="85" zoomScaleSheetLayoutView="110" workbookViewId="0">
      <pane ySplit="5" topLeftCell="A48" activePane="bottomLeft" state="frozen"/>
      <selection activeCell="J43" sqref="J43"/>
      <selection pane="bottomLeft" activeCell="C17" sqref="C17"/>
    </sheetView>
  </sheetViews>
  <sheetFormatPr defaultColWidth="9.140625" defaultRowHeight="15"/>
  <cols>
    <col min="1" max="1" width="26.28515625" customWidth="1"/>
    <col min="2" max="2" width="14" style="54" customWidth="1"/>
    <col min="3" max="3" width="12.28515625" style="54" customWidth="1"/>
    <col min="4" max="4" width="12" style="206" customWidth="1"/>
    <col min="6" max="6" width="11.28515625" style="54" customWidth="1"/>
    <col min="7" max="10" width="11.7109375" style="54" customWidth="1"/>
    <col min="11" max="11" width="9.5703125" bestFit="1" customWidth="1"/>
  </cols>
  <sheetData>
    <row r="1" spans="1:6">
      <c r="A1" s="5" t="s">
        <v>273</v>
      </c>
      <c r="C1" s="46"/>
    </row>
    <row r="2" spans="1:6">
      <c r="A2" s="5" t="s">
        <v>421</v>
      </c>
    </row>
    <row r="4" spans="1:6">
      <c r="A4" s="217" t="s">
        <v>256</v>
      </c>
    </row>
    <row r="5" spans="1:6" ht="45">
      <c r="B5" s="85" t="s">
        <v>289</v>
      </c>
      <c r="C5" s="85" t="s">
        <v>290</v>
      </c>
      <c r="D5" s="207" t="s">
        <v>422</v>
      </c>
    </row>
    <row r="6" spans="1:6">
      <c r="A6" s="5" t="s">
        <v>331</v>
      </c>
      <c r="F6" s="114" t="s">
        <v>297</v>
      </c>
    </row>
    <row r="7" spans="1:6">
      <c r="A7" t="s">
        <v>205</v>
      </c>
      <c r="B7" s="93">
        <v>5.21</v>
      </c>
      <c r="C7" s="54">
        <f>ROUND('Spokane DF Calc'!L19,2)</f>
        <v>0</v>
      </c>
      <c r="D7" s="206">
        <f>SUM(B7:C7)</f>
        <v>5.21</v>
      </c>
      <c r="E7" s="204"/>
    </row>
    <row r="8" spans="1:6">
      <c r="B8" s="93"/>
      <c r="E8" s="204"/>
    </row>
    <row r="9" spans="1:6">
      <c r="A9" s="5" t="s">
        <v>332</v>
      </c>
      <c r="B9" s="93"/>
      <c r="E9" s="204"/>
    </row>
    <row r="10" spans="1:6">
      <c r="A10" t="s">
        <v>206</v>
      </c>
      <c r="B10" s="93">
        <v>17.73</v>
      </c>
      <c r="C10" s="54">
        <f>+ROUND('Spokane DF Calc'!L6,2)</f>
        <v>7.0000000000000007E-2</v>
      </c>
      <c r="D10" s="206">
        <f t="shared" ref="D10:D75" si="0">SUM(B10:C10)</f>
        <v>17.8</v>
      </c>
      <c r="E10" s="204"/>
    </row>
    <row r="11" spans="1:6">
      <c r="A11" t="s">
        <v>207</v>
      </c>
      <c r="B11" s="93">
        <v>21.93</v>
      </c>
      <c r="C11" s="54">
        <f>+ROUND('Spokane DF Calc'!L8,2)</f>
        <v>0.12</v>
      </c>
      <c r="D11" s="206">
        <f t="shared" si="0"/>
        <v>22.05</v>
      </c>
      <c r="E11" s="204"/>
    </row>
    <row r="12" spans="1:6">
      <c r="A12" t="s">
        <v>208</v>
      </c>
      <c r="B12" s="93">
        <v>31.009999999999998</v>
      </c>
      <c r="C12" s="54">
        <f>+ROUND('Spokane DF Calc'!L9,2)</f>
        <v>0.18</v>
      </c>
      <c r="D12" s="206">
        <f t="shared" si="0"/>
        <v>31.189999999999998</v>
      </c>
      <c r="E12" s="204"/>
    </row>
    <row r="13" spans="1:6">
      <c r="A13" t="s">
        <v>209</v>
      </c>
      <c r="B13" s="93">
        <v>44.32</v>
      </c>
      <c r="C13" s="54">
        <f>+ROUND('Spokane DF Calc'!L10,2)</f>
        <v>0.27</v>
      </c>
      <c r="D13" s="206">
        <f t="shared" si="0"/>
        <v>44.59</v>
      </c>
      <c r="E13" s="204"/>
    </row>
    <row r="14" spans="1:6">
      <c r="A14" s="217" t="s">
        <v>210</v>
      </c>
      <c r="B14" s="218">
        <v>63.900000000000006</v>
      </c>
      <c r="C14" s="218">
        <f>+ROUND('Spokane DF Calc'!L53,2)</f>
        <v>0.34</v>
      </c>
      <c r="D14" s="219">
        <f t="shared" si="0"/>
        <v>64.240000000000009</v>
      </c>
      <c r="E14" s="204"/>
    </row>
    <row r="15" spans="1:6">
      <c r="A15" s="217" t="s">
        <v>211</v>
      </c>
      <c r="B15" s="218">
        <v>78.22</v>
      </c>
      <c r="C15" s="218">
        <f>+ROUND('Spokane DF Calc'!L54,2)</f>
        <v>0.41</v>
      </c>
      <c r="D15" s="219">
        <f t="shared" si="0"/>
        <v>78.63</v>
      </c>
      <c r="E15" s="204"/>
    </row>
    <row r="16" spans="1:6">
      <c r="A16" s="217" t="s">
        <v>212</v>
      </c>
      <c r="B16" s="218">
        <v>90.88000000000001</v>
      </c>
      <c r="C16" s="218">
        <f>+ROUND('Spokane DF Calc'!L55,2)</f>
        <v>0.55000000000000004</v>
      </c>
      <c r="D16" s="219">
        <f t="shared" si="0"/>
        <v>91.43</v>
      </c>
      <c r="E16" s="204"/>
    </row>
    <row r="17" spans="1:5">
      <c r="A17" t="s">
        <v>213</v>
      </c>
      <c r="B17" s="93">
        <v>32.949999999999996</v>
      </c>
      <c r="C17" s="54">
        <f>+ROUND('Spokane DF Calc'!L11,2)</f>
        <v>0.16</v>
      </c>
      <c r="D17" s="206">
        <f t="shared" si="0"/>
        <v>33.109999999999992</v>
      </c>
      <c r="E17" s="204"/>
    </row>
    <row r="18" spans="1:5">
      <c r="A18" t="s">
        <v>214</v>
      </c>
      <c r="B18" s="93">
        <v>41.330000000000005</v>
      </c>
      <c r="C18" s="54">
        <f>+ROUND('Spokane DF Calc'!L13,2)</f>
        <v>0.24</v>
      </c>
      <c r="D18" s="206">
        <f t="shared" si="0"/>
        <v>41.570000000000007</v>
      </c>
      <c r="E18" s="204"/>
    </row>
    <row r="19" spans="1:5">
      <c r="A19" t="s">
        <v>418</v>
      </c>
      <c r="B19" s="93">
        <v>13.68</v>
      </c>
      <c r="C19" s="54">
        <f>+ROUND('Spokane DF Calc'!L7,2)</f>
        <v>0.03</v>
      </c>
      <c r="D19" s="206">
        <f t="shared" si="0"/>
        <v>13.709999999999999</v>
      </c>
      <c r="E19" s="204"/>
    </row>
    <row r="20" spans="1:5">
      <c r="B20" s="93"/>
      <c r="E20" s="204"/>
    </row>
    <row r="21" spans="1:5">
      <c r="A21" s="5" t="s">
        <v>333</v>
      </c>
      <c r="B21" s="93"/>
      <c r="E21" s="204"/>
    </row>
    <row r="22" spans="1:5">
      <c r="A22" t="s">
        <v>215</v>
      </c>
      <c r="B22" s="93">
        <v>5.21</v>
      </c>
      <c r="C22" s="54">
        <f>+ROUND('Spokane DF Calc'!L17,2)</f>
        <v>0.03</v>
      </c>
      <c r="D22" s="206">
        <f t="shared" si="0"/>
        <v>5.24</v>
      </c>
      <c r="E22" s="204"/>
    </row>
    <row r="23" spans="1:5">
      <c r="A23" t="s">
        <v>216</v>
      </c>
      <c r="B23" s="93">
        <v>5.21</v>
      </c>
      <c r="C23" s="54">
        <f>+ROUND('Spokane DF Calc'!L17,2)</f>
        <v>0.03</v>
      </c>
      <c r="D23" s="206">
        <f t="shared" si="0"/>
        <v>5.24</v>
      </c>
      <c r="E23" s="204"/>
    </row>
    <row r="24" spans="1:5">
      <c r="A24" t="s">
        <v>217</v>
      </c>
      <c r="B24" s="93">
        <v>14.99</v>
      </c>
      <c r="C24" s="54">
        <f>+ROUND('Spokane DF Calc'!L16,2)</f>
        <v>0.03</v>
      </c>
      <c r="D24" s="206">
        <f t="shared" si="0"/>
        <v>15.02</v>
      </c>
      <c r="E24" s="204"/>
    </row>
    <row r="25" spans="1:5">
      <c r="B25" s="93"/>
      <c r="E25" s="204"/>
    </row>
    <row r="26" spans="1:5">
      <c r="A26" s="5" t="s">
        <v>334</v>
      </c>
      <c r="B26" s="93"/>
      <c r="E26" s="204"/>
    </row>
    <row r="27" spans="1:5">
      <c r="A27" t="s">
        <v>218</v>
      </c>
      <c r="B27" s="93">
        <v>26.34</v>
      </c>
      <c r="C27" s="54">
        <f>+ROUND('Spokane DF Calc'!L56,2)</f>
        <v>0.1</v>
      </c>
      <c r="D27" s="206">
        <f t="shared" si="0"/>
        <v>26.44</v>
      </c>
      <c r="E27" s="204"/>
    </row>
    <row r="28" spans="1:5">
      <c r="A28" t="s">
        <v>219</v>
      </c>
      <c r="B28" s="93">
        <v>26.34</v>
      </c>
      <c r="C28" s="54">
        <f>+ROUND('Spokane DF Calc'!L56,2)</f>
        <v>0.1</v>
      </c>
      <c r="D28" s="206">
        <f t="shared" si="0"/>
        <v>26.44</v>
      </c>
      <c r="E28" s="204"/>
    </row>
    <row r="29" spans="1:5">
      <c r="A29" t="s">
        <v>220</v>
      </c>
      <c r="B29" s="93">
        <v>26.34</v>
      </c>
      <c r="C29" s="54">
        <f>+ROUND('Spokane DF Calc'!L56,2)</f>
        <v>0.1</v>
      </c>
      <c r="D29" s="206">
        <f t="shared" si="0"/>
        <v>26.44</v>
      </c>
      <c r="E29" s="204"/>
    </row>
    <row r="30" spans="1:5">
      <c r="A30" t="s">
        <v>352</v>
      </c>
      <c r="B30" s="93">
        <v>26.34</v>
      </c>
      <c r="C30" s="54">
        <f>+ROUND('Spokane DF Calc'!L56,2)</f>
        <v>0.1</v>
      </c>
      <c r="D30" s="206">
        <f t="shared" si="0"/>
        <v>26.44</v>
      </c>
      <c r="E30" s="204"/>
    </row>
    <row r="31" spans="1:5">
      <c r="A31" t="s">
        <v>353</v>
      </c>
      <c r="B31" s="93">
        <v>26.34</v>
      </c>
      <c r="C31" s="54">
        <f>+ROUND('Spokane DF Calc'!L56,2)</f>
        <v>0.1</v>
      </c>
      <c r="D31" s="206">
        <f t="shared" si="0"/>
        <v>26.44</v>
      </c>
      <c r="E31" s="204"/>
    </row>
    <row r="32" spans="1:5">
      <c r="A32" t="s">
        <v>354</v>
      </c>
      <c r="B32" s="93">
        <v>26.34</v>
      </c>
      <c r="C32" s="54">
        <f>+ROUND('Spokane DF Calc'!L56,2)</f>
        <v>0.1</v>
      </c>
      <c r="D32" s="206">
        <f t="shared" si="0"/>
        <v>26.44</v>
      </c>
      <c r="E32" s="204"/>
    </row>
    <row r="33" spans="1:10">
      <c r="B33" s="93"/>
      <c r="E33" s="204"/>
    </row>
    <row r="34" spans="1:10">
      <c r="B34" s="93"/>
      <c r="E34" s="204"/>
    </row>
    <row r="35" spans="1:10">
      <c r="A35" s="5" t="s">
        <v>291</v>
      </c>
      <c r="B35" s="93"/>
      <c r="C35" s="93"/>
      <c r="E35" s="204"/>
    </row>
    <row r="36" spans="1:10">
      <c r="A36" t="s">
        <v>345</v>
      </c>
      <c r="B36" s="93">
        <v>117.16</v>
      </c>
      <c r="C36" s="93">
        <f>+ROUND(D36-B36,2)</f>
        <v>3.4</v>
      </c>
      <c r="D36" s="208">
        <f>+References!B56</f>
        <v>120.56</v>
      </c>
      <c r="E36" s="204"/>
    </row>
    <row r="37" spans="1:10">
      <c r="A37" t="s">
        <v>346</v>
      </c>
      <c r="B37" s="93">
        <v>112</v>
      </c>
      <c r="C37" s="93">
        <f>D37-B37</f>
        <v>2</v>
      </c>
      <c r="D37" s="208">
        <f>+References!B60</f>
        <v>114</v>
      </c>
      <c r="E37" s="204"/>
    </row>
    <row r="38" spans="1:10">
      <c r="E38" s="204"/>
    </row>
    <row r="39" spans="1:10">
      <c r="A39" s="5" t="s">
        <v>335</v>
      </c>
      <c r="E39" s="204"/>
      <c r="F39"/>
      <c r="G39"/>
      <c r="H39"/>
      <c r="I39"/>
      <c r="J39"/>
    </row>
    <row r="40" spans="1:10">
      <c r="A40" s="144" t="s">
        <v>355</v>
      </c>
      <c r="E40" s="204"/>
      <c r="F40" s="114" t="s">
        <v>297</v>
      </c>
      <c r="G40" s="114" t="s">
        <v>298</v>
      </c>
      <c r="H40" s="114" t="s">
        <v>299</v>
      </c>
      <c r="I40" s="114" t="s">
        <v>300</v>
      </c>
      <c r="J40" s="114" t="s">
        <v>301</v>
      </c>
    </row>
    <row r="41" spans="1:10">
      <c r="A41" t="s">
        <v>221</v>
      </c>
      <c r="B41" s="93">
        <v>20.8</v>
      </c>
      <c r="C41" s="54">
        <f>+ROUND('Spokane DF Calc'!$L$22,2)</f>
        <v>0.14000000000000001</v>
      </c>
      <c r="D41" s="206">
        <f t="shared" si="0"/>
        <v>20.94</v>
      </c>
      <c r="E41" s="204"/>
      <c r="F41" s="47">
        <f>ROUND(D41*References!$B$10,2)</f>
        <v>90.74</v>
      </c>
      <c r="G41" s="47">
        <f>ROUND($D41*References!$B$9,2)</f>
        <v>181.48</v>
      </c>
      <c r="H41" s="47">
        <f>ROUND($D41*References!$B$8,2)</f>
        <v>272.22000000000003</v>
      </c>
      <c r="I41" s="47">
        <f>ROUND($D41*References!$B$7,2)</f>
        <v>362.96</v>
      </c>
      <c r="J41" s="47">
        <f>ROUND($D41*References!$B$6,2)</f>
        <v>453.7</v>
      </c>
    </row>
    <row r="42" spans="1:10">
      <c r="A42" t="s">
        <v>222</v>
      </c>
      <c r="B42" s="93">
        <v>31.12</v>
      </c>
      <c r="C42" s="54">
        <f>+ROUND('Spokane DF Calc'!$L$24,2)</f>
        <v>0.2</v>
      </c>
      <c r="D42" s="206">
        <f t="shared" si="0"/>
        <v>31.32</v>
      </c>
      <c r="E42" s="204"/>
      <c r="F42" s="47">
        <f>ROUND(D42*References!$B$10,2)</f>
        <v>135.72</v>
      </c>
      <c r="G42" s="47">
        <f>ROUND($D42*References!$B$9,2)</f>
        <v>271.44</v>
      </c>
      <c r="H42" s="47">
        <f>ROUND($D42*References!$B$8,2)</f>
        <v>407.16</v>
      </c>
      <c r="I42" s="47">
        <f>ROUND($D42*References!$B$7,2)</f>
        <v>542.88</v>
      </c>
      <c r="J42" s="47">
        <f>ROUND($D42*References!$B$6,2)</f>
        <v>678.6</v>
      </c>
    </row>
    <row r="43" spans="1:10">
      <c r="A43" t="s">
        <v>223</v>
      </c>
      <c r="B43" s="93">
        <v>41.309999999999995</v>
      </c>
      <c r="C43" s="54">
        <f>+ROUND('Spokane DF Calc'!$L$27,2)</f>
        <v>0.26</v>
      </c>
      <c r="D43" s="206">
        <f t="shared" si="0"/>
        <v>41.569999999999993</v>
      </c>
      <c r="E43" s="204"/>
      <c r="F43" s="47">
        <f>ROUND(D43*References!$B$10,2)</f>
        <v>180.14</v>
      </c>
      <c r="G43" s="47">
        <f>ROUND($D43*References!$B$9,2)</f>
        <v>360.27</v>
      </c>
      <c r="H43" s="47">
        <f>ROUND($D43*References!$B$8,2)</f>
        <v>540.41</v>
      </c>
      <c r="I43" s="47">
        <f>ROUND($D43*References!$B$7,2)</f>
        <v>720.55</v>
      </c>
      <c r="J43" s="47">
        <f>ROUND($D43*References!$B$6,2)</f>
        <v>900.68</v>
      </c>
    </row>
    <row r="44" spans="1:10">
      <c r="A44" t="s">
        <v>224</v>
      </c>
      <c r="B44" s="93">
        <v>58.080000000000005</v>
      </c>
      <c r="C44" s="54">
        <f>+ROUND('Spokane DF Calc'!L28,2)</f>
        <v>0.38</v>
      </c>
      <c r="D44" s="206">
        <f t="shared" si="0"/>
        <v>58.460000000000008</v>
      </c>
      <c r="E44" s="204"/>
      <c r="F44" s="47">
        <f>ROUND(D44*References!$B$10,2)</f>
        <v>253.33</v>
      </c>
      <c r="G44" s="47">
        <f>ROUND($D44*References!$B$9,2)</f>
        <v>506.65</v>
      </c>
      <c r="H44" s="47">
        <f>ROUND($D44*References!$B$8,2)</f>
        <v>759.98</v>
      </c>
      <c r="I44" s="47">
        <f>ROUND($D44*References!$B$7,2)</f>
        <v>1013.31</v>
      </c>
      <c r="J44" s="47">
        <f>ROUND($D44*References!$B$6,2)</f>
        <v>1266.6300000000001</v>
      </c>
    </row>
    <row r="45" spans="1:10">
      <c r="A45" t="s">
        <v>225</v>
      </c>
      <c r="B45" s="93">
        <v>76.88</v>
      </c>
      <c r="C45" s="54">
        <f>+ROUND('Spokane DF Calc'!L30,2)</f>
        <v>0.5</v>
      </c>
      <c r="D45" s="206">
        <f t="shared" si="0"/>
        <v>77.38</v>
      </c>
      <c r="E45" s="204"/>
      <c r="F45" s="47">
        <f>ROUND(D45*References!$B$10,2)</f>
        <v>335.31</v>
      </c>
      <c r="G45" s="47">
        <f>ROUND($D45*References!$B$9,2)</f>
        <v>670.63</v>
      </c>
      <c r="H45" s="47">
        <f>ROUND($D45*References!$B$8,2)</f>
        <v>1005.94</v>
      </c>
      <c r="I45" s="47">
        <f>ROUND($D45*References!$B$7,2)</f>
        <v>1341.25</v>
      </c>
      <c r="J45" s="47">
        <f>ROUND($D45*References!$B$6,2)</f>
        <v>1676.57</v>
      </c>
    </row>
    <row r="46" spans="1:10">
      <c r="A46" t="s">
        <v>226</v>
      </c>
      <c r="B46" s="93">
        <v>111.36</v>
      </c>
      <c r="C46" s="54">
        <f>+ROUND('Spokane DF Calc'!L32,2)</f>
        <v>0.68</v>
      </c>
      <c r="D46" s="206">
        <f t="shared" si="0"/>
        <v>112.04</v>
      </c>
      <c r="E46" s="204"/>
      <c r="F46" s="47">
        <f>ROUND(D46*References!$B$10,2)</f>
        <v>485.51</v>
      </c>
      <c r="G46" s="47">
        <f>ROUND($D46*References!$B$9,2)</f>
        <v>971.01</v>
      </c>
      <c r="H46" s="47">
        <f>ROUND($D46*References!$B$8,2)</f>
        <v>1456.52</v>
      </c>
      <c r="I46" s="47">
        <f>ROUND($D46*References!$B$7,2)</f>
        <v>1942.03</v>
      </c>
      <c r="J46" s="47">
        <f>ROUND($D46*References!$B$6,2)</f>
        <v>2427.5300000000002</v>
      </c>
    </row>
    <row r="47" spans="1:10">
      <c r="A47" s="217" t="s">
        <v>227</v>
      </c>
      <c r="B47" s="218">
        <v>145.58000000000001</v>
      </c>
      <c r="C47" s="218">
        <f>+ROUND('Spokane DF Calc'!L57,2)</f>
        <v>0.79</v>
      </c>
      <c r="D47" s="219">
        <f t="shared" si="0"/>
        <v>146.37</v>
      </c>
      <c r="E47" s="204"/>
      <c r="F47" s="47">
        <f>ROUND(D47*References!$B$10,2)</f>
        <v>634.27</v>
      </c>
      <c r="G47" s="47">
        <f>ROUND($D47*References!$B$9,2)</f>
        <v>1268.54</v>
      </c>
      <c r="H47" s="47">
        <f>ROUND($D47*References!$B$8,2)</f>
        <v>1902.81</v>
      </c>
      <c r="I47" s="47">
        <f>ROUND($D47*References!$B$7,2)</f>
        <v>2537.08</v>
      </c>
      <c r="J47" s="47">
        <f>ROUND($D47*References!$B$6,2)</f>
        <v>3171.35</v>
      </c>
    </row>
    <row r="48" spans="1:10">
      <c r="E48" s="204"/>
    </row>
    <row r="49" spans="1:6">
      <c r="A49" t="s">
        <v>228</v>
      </c>
      <c r="B49" s="93">
        <v>54.660000000000004</v>
      </c>
      <c r="C49" s="54">
        <f t="shared" ref="C49:C55" si="1">+ROUND(C41,2)</f>
        <v>0.14000000000000001</v>
      </c>
      <c r="D49" s="206">
        <f t="shared" si="0"/>
        <v>54.800000000000004</v>
      </c>
      <c r="E49" s="204"/>
    </row>
    <row r="50" spans="1:6">
      <c r="A50" t="s">
        <v>229</v>
      </c>
      <c r="B50" s="93">
        <v>77.680000000000007</v>
      </c>
      <c r="C50" s="54">
        <f t="shared" si="1"/>
        <v>0.2</v>
      </c>
      <c r="D50" s="206">
        <f t="shared" si="0"/>
        <v>77.88000000000001</v>
      </c>
      <c r="E50" s="204"/>
    </row>
    <row r="51" spans="1:6">
      <c r="A51" t="s">
        <v>230</v>
      </c>
      <c r="B51" s="93">
        <v>90.72</v>
      </c>
      <c r="C51" s="54">
        <f t="shared" si="1"/>
        <v>0.26</v>
      </c>
      <c r="D51" s="206">
        <f t="shared" si="0"/>
        <v>90.98</v>
      </c>
      <c r="E51" s="204"/>
    </row>
    <row r="52" spans="1:6">
      <c r="A52" t="s">
        <v>231</v>
      </c>
      <c r="B52" s="93">
        <v>119.69</v>
      </c>
      <c r="C52" s="54">
        <f t="shared" si="1"/>
        <v>0.38</v>
      </c>
      <c r="D52" s="206">
        <f t="shared" si="0"/>
        <v>120.07</v>
      </c>
      <c r="E52" s="204"/>
    </row>
    <row r="53" spans="1:6">
      <c r="A53" t="s">
        <v>232</v>
      </c>
      <c r="B53" s="93">
        <v>140.85000000000002</v>
      </c>
      <c r="C53" s="54">
        <f t="shared" si="1"/>
        <v>0.5</v>
      </c>
      <c r="D53" s="206">
        <f t="shared" si="0"/>
        <v>141.35000000000002</v>
      </c>
      <c r="E53" s="204"/>
    </row>
    <row r="54" spans="1:6">
      <c r="A54" t="s">
        <v>233</v>
      </c>
      <c r="B54" s="93">
        <v>189.29999999999998</v>
      </c>
      <c r="C54" s="93">
        <f t="shared" si="1"/>
        <v>0.68</v>
      </c>
      <c r="D54" s="208">
        <f t="shared" si="0"/>
        <v>189.98</v>
      </c>
      <c r="E54" s="204"/>
    </row>
    <row r="55" spans="1:6">
      <c r="A55" s="217" t="s">
        <v>234</v>
      </c>
      <c r="B55" s="218">
        <v>234.77</v>
      </c>
      <c r="C55" s="218">
        <f t="shared" si="1"/>
        <v>0.79</v>
      </c>
      <c r="D55" s="219">
        <f t="shared" si="0"/>
        <v>235.56</v>
      </c>
      <c r="E55" s="204"/>
    </row>
    <row r="56" spans="1:6">
      <c r="E56" s="204"/>
      <c r="F56" s="114" t="s">
        <v>297</v>
      </c>
    </row>
    <row r="57" spans="1:6">
      <c r="A57" t="s">
        <v>235</v>
      </c>
      <c r="B57" s="93">
        <v>25.310000000000002</v>
      </c>
      <c r="C57" s="54">
        <f t="shared" ref="C57:C63" si="2">+ROUND(C41,2)</f>
        <v>0.14000000000000001</v>
      </c>
      <c r="D57" s="206">
        <f t="shared" si="0"/>
        <v>25.450000000000003</v>
      </c>
      <c r="E57" s="204"/>
      <c r="F57" s="54">
        <f>ROUND(D57*References!$B$10,2)</f>
        <v>110.28</v>
      </c>
    </row>
    <row r="58" spans="1:6">
      <c r="A58" t="s">
        <v>236</v>
      </c>
      <c r="B58" s="93">
        <v>38.050000000000004</v>
      </c>
      <c r="C58" s="54">
        <f t="shared" si="2"/>
        <v>0.2</v>
      </c>
      <c r="D58" s="206">
        <f t="shared" si="0"/>
        <v>38.250000000000007</v>
      </c>
      <c r="E58" s="204"/>
      <c r="F58" s="54">
        <f>ROUND(D58*References!$B$10,2)</f>
        <v>165.75</v>
      </c>
    </row>
    <row r="59" spans="1:6">
      <c r="A59" t="s">
        <v>237</v>
      </c>
      <c r="B59" s="93">
        <v>48.76</v>
      </c>
      <c r="C59" s="54">
        <f t="shared" si="2"/>
        <v>0.26</v>
      </c>
      <c r="D59" s="206">
        <f t="shared" si="0"/>
        <v>49.019999999999996</v>
      </c>
      <c r="E59" s="204"/>
      <c r="F59" s="54">
        <f>ROUND(D59*References!$B$10,2)</f>
        <v>212.42</v>
      </c>
    </row>
    <row r="60" spans="1:6">
      <c r="A60" t="s">
        <v>238</v>
      </c>
      <c r="B60" s="93">
        <v>68.679999999999993</v>
      </c>
      <c r="C60" s="54">
        <f t="shared" si="2"/>
        <v>0.38</v>
      </c>
      <c r="D60" s="206">
        <f t="shared" si="0"/>
        <v>69.059999999999988</v>
      </c>
      <c r="E60" s="204"/>
      <c r="F60" s="54">
        <f>ROUND(D60*References!$B$10,2)</f>
        <v>299.26</v>
      </c>
    </row>
    <row r="61" spans="1:6">
      <c r="A61" t="s">
        <v>239</v>
      </c>
      <c r="B61" s="93">
        <v>91.589999999999989</v>
      </c>
      <c r="C61" s="54">
        <f t="shared" si="2"/>
        <v>0.5</v>
      </c>
      <c r="D61" s="206">
        <f t="shared" si="0"/>
        <v>92.089999999999989</v>
      </c>
      <c r="E61" s="204"/>
      <c r="F61" s="54">
        <f>ROUND(D61*References!$B$10,2)</f>
        <v>399.06</v>
      </c>
    </row>
    <row r="62" spans="1:6">
      <c r="A62" t="s">
        <v>240</v>
      </c>
      <c r="B62" s="93">
        <v>129.83999999999997</v>
      </c>
      <c r="C62" s="93">
        <f t="shared" si="2"/>
        <v>0.68</v>
      </c>
      <c r="D62" s="208">
        <f t="shared" si="0"/>
        <v>130.51999999999998</v>
      </c>
      <c r="E62" s="204"/>
      <c r="F62" s="54">
        <f>ROUND(D62*References!$B$10,2)</f>
        <v>565.59</v>
      </c>
    </row>
    <row r="63" spans="1:6">
      <c r="A63" s="217" t="s">
        <v>241</v>
      </c>
      <c r="B63" s="218">
        <v>174.42</v>
      </c>
      <c r="C63" s="218">
        <f t="shared" si="2"/>
        <v>0.79</v>
      </c>
      <c r="D63" s="219">
        <f t="shared" si="0"/>
        <v>175.20999999999998</v>
      </c>
      <c r="E63" s="204"/>
      <c r="F63" s="54">
        <f>ROUND(D63*References!$B$10,2)</f>
        <v>759.24</v>
      </c>
    </row>
    <row r="64" spans="1:6">
      <c r="E64" s="204"/>
    </row>
    <row r="65" spans="1:10">
      <c r="A65" s="5" t="s">
        <v>336</v>
      </c>
      <c r="E65" s="204"/>
      <c r="F65" s="114" t="s">
        <v>297</v>
      </c>
      <c r="G65" s="114" t="s">
        <v>298</v>
      </c>
      <c r="H65" s="114" t="s">
        <v>299</v>
      </c>
      <c r="I65" s="114" t="s">
        <v>300</v>
      </c>
      <c r="J65" s="114" t="s">
        <v>301</v>
      </c>
    </row>
    <row r="66" spans="1:10">
      <c r="A66" t="s">
        <v>356</v>
      </c>
      <c r="B66" s="93">
        <v>4.9499999999999993</v>
      </c>
      <c r="C66" s="54">
        <f>+ROUND('Spokane DF Calc'!L33,2)</f>
        <v>0.02</v>
      </c>
      <c r="D66" s="206">
        <f t="shared" si="0"/>
        <v>4.9699999999999989</v>
      </c>
      <c r="E66" s="204"/>
      <c r="F66" s="54">
        <f>ROUND(D66*References!$B$10,2)</f>
        <v>21.54</v>
      </c>
      <c r="G66" s="54">
        <f>ROUND($D66*References!$B$9,2)</f>
        <v>43.07</v>
      </c>
      <c r="H66" s="54">
        <f>ROUND($D66*References!$B$8,2)</f>
        <v>64.61</v>
      </c>
      <c r="I66" s="54">
        <f>ROUND($D66*References!$B$7,2)</f>
        <v>86.15</v>
      </c>
      <c r="J66" s="54">
        <f>ROUND($D66*References!$B$6,2)</f>
        <v>107.68</v>
      </c>
    </row>
    <row r="67" spans="1:10">
      <c r="A67" t="s">
        <v>357</v>
      </c>
      <c r="B67" s="93">
        <v>4.9499999999999993</v>
      </c>
      <c r="C67" s="54">
        <f>+ROUND(C66,2)</f>
        <v>0.02</v>
      </c>
      <c r="D67" s="206">
        <f t="shared" si="0"/>
        <v>4.9699999999999989</v>
      </c>
      <c r="E67" s="204"/>
    </row>
    <row r="68" spans="1:10">
      <c r="A68" t="s">
        <v>358</v>
      </c>
      <c r="B68" s="93">
        <v>4.9499999999999993</v>
      </c>
      <c r="C68" s="54">
        <f>+ROUND(C66,2)</f>
        <v>0.02</v>
      </c>
      <c r="D68" s="206">
        <f t="shared" si="0"/>
        <v>4.9699999999999989</v>
      </c>
      <c r="E68" s="204"/>
    </row>
    <row r="69" spans="1:10">
      <c r="A69" t="s">
        <v>359</v>
      </c>
      <c r="B69" s="93">
        <v>4.9499999999999993</v>
      </c>
      <c r="C69" s="54">
        <f>+ROUND(+'Spokane DF Calc'!L46,2)</f>
        <v>0.02</v>
      </c>
      <c r="D69" s="206">
        <f t="shared" si="0"/>
        <v>4.9699999999999989</v>
      </c>
      <c r="E69" s="204"/>
    </row>
    <row r="70" spans="1:10">
      <c r="A70" t="s">
        <v>294</v>
      </c>
      <c r="B70" s="93">
        <v>14.01</v>
      </c>
      <c r="C70" s="93">
        <f>+ROUND(C66,2)</f>
        <v>0.02</v>
      </c>
      <c r="D70" s="206">
        <f t="shared" si="0"/>
        <v>14.03</v>
      </c>
      <c r="E70" s="204"/>
    </row>
    <row r="71" spans="1:10">
      <c r="A71" t="s">
        <v>242</v>
      </c>
      <c r="B71" s="93">
        <v>22.346666666666668</v>
      </c>
      <c r="C71" s="93">
        <f>+C66*References!B10</f>
        <v>8.6666666666666656E-2</v>
      </c>
      <c r="D71" s="206">
        <f t="shared" si="0"/>
        <v>22.433333333333334</v>
      </c>
      <c r="E71" s="204"/>
    </row>
    <row r="72" spans="1:10">
      <c r="B72" s="93"/>
      <c r="C72" s="93"/>
      <c r="E72" s="204"/>
    </row>
    <row r="73" spans="1:10">
      <c r="A73" t="s">
        <v>243</v>
      </c>
      <c r="B73" s="93">
        <v>9.6599999999999984</v>
      </c>
      <c r="C73" s="93">
        <f>+ROUND('Spokane DF Calc'!L35,2)</f>
        <v>0.04</v>
      </c>
      <c r="D73" s="208">
        <f t="shared" si="0"/>
        <v>9.6999999999999975</v>
      </c>
      <c r="E73" s="204"/>
      <c r="F73" s="54">
        <f>ROUND(D73*References!$B$10,2)</f>
        <v>42.03</v>
      </c>
      <c r="G73" s="54">
        <f>ROUND($D73*References!$B$9,2)</f>
        <v>84.07</v>
      </c>
      <c r="H73" s="54">
        <f>ROUND($D73*References!$B$8,2)</f>
        <v>126.1</v>
      </c>
      <c r="I73" s="54">
        <f>ROUND($D73*References!$B$7,2)</f>
        <v>168.13</v>
      </c>
      <c r="J73" s="54">
        <f>ROUND($D73*References!$B$6,2)</f>
        <v>210.17</v>
      </c>
    </row>
    <row r="74" spans="1:10">
      <c r="A74" t="s">
        <v>293</v>
      </c>
      <c r="B74" s="93">
        <v>19.099999999999998</v>
      </c>
      <c r="C74" s="93">
        <f>+ROUND(C73,2)</f>
        <v>0.04</v>
      </c>
      <c r="D74" s="208">
        <f t="shared" si="0"/>
        <v>19.139999999999997</v>
      </c>
      <c r="E74" s="204"/>
    </row>
    <row r="75" spans="1:10">
      <c r="A75" t="s">
        <v>242</v>
      </c>
      <c r="B75" s="93">
        <v>41.793333333333329</v>
      </c>
      <c r="C75" s="93">
        <f>+C73*References!B10</f>
        <v>0.17333333333333331</v>
      </c>
      <c r="D75" s="208">
        <f t="shared" si="0"/>
        <v>41.966666666666661</v>
      </c>
      <c r="E75" s="54"/>
    </row>
    <row r="76" spans="1:10">
      <c r="B76" s="93"/>
      <c r="C76" s="93"/>
      <c r="D76" s="208"/>
      <c r="E76" s="204"/>
    </row>
    <row r="77" spans="1:10">
      <c r="A77" t="s">
        <v>244</v>
      </c>
      <c r="B77" s="93">
        <v>11.89</v>
      </c>
      <c r="C77" s="93">
        <f>+ROUND('Spokane DF Calc'!L36,2)</f>
        <v>0.05</v>
      </c>
      <c r="D77" s="208">
        <f t="shared" ref="D77:D97" si="3">SUM(B77:C77)</f>
        <v>11.940000000000001</v>
      </c>
      <c r="E77" s="204"/>
      <c r="F77" s="54">
        <f>ROUND(D77*References!$B$10,2)</f>
        <v>51.74</v>
      </c>
      <c r="G77" s="54">
        <f>ROUND($D77*References!$B$9,2)</f>
        <v>103.48</v>
      </c>
      <c r="H77" s="54">
        <f>ROUND($D77*References!$B$8,2)</f>
        <v>155.22</v>
      </c>
      <c r="I77" s="54">
        <f>ROUND($D77*References!$B$7,2)</f>
        <v>206.96</v>
      </c>
      <c r="J77" s="54">
        <f>ROUND($D77*References!$B$6,2)</f>
        <v>258.7</v>
      </c>
    </row>
    <row r="78" spans="1:10">
      <c r="A78" t="s">
        <v>292</v>
      </c>
      <c r="B78" s="93">
        <v>23.48</v>
      </c>
      <c r="C78" s="93">
        <f>+ROUND(C77,2)</f>
        <v>0.05</v>
      </c>
      <c r="D78" s="208">
        <f t="shared" si="3"/>
        <v>23.53</v>
      </c>
      <c r="E78" s="204"/>
    </row>
    <row r="79" spans="1:10">
      <c r="A79" t="s">
        <v>242</v>
      </c>
      <c r="B79" s="93">
        <v>51.526666666666671</v>
      </c>
      <c r="C79" s="93">
        <f>+C77*References!B10</f>
        <v>0.21666666666666667</v>
      </c>
      <c r="D79" s="208">
        <f t="shared" si="3"/>
        <v>51.743333333333339</v>
      </c>
      <c r="E79" s="54"/>
    </row>
    <row r="80" spans="1:10">
      <c r="C80" s="93"/>
      <c r="E80" s="204"/>
    </row>
    <row r="81" spans="1:11">
      <c r="A81" s="5" t="s">
        <v>337</v>
      </c>
      <c r="E81" s="204"/>
      <c r="F81" s="114"/>
      <c r="G81" s="114"/>
      <c r="H81" s="114"/>
      <c r="I81" s="114"/>
      <c r="J81" s="114"/>
    </row>
    <row r="82" spans="1:11">
      <c r="A82" s="144" t="s">
        <v>355</v>
      </c>
      <c r="E82" s="204"/>
      <c r="F82" s="114" t="s">
        <v>297</v>
      </c>
      <c r="G82" s="114" t="s">
        <v>298</v>
      </c>
      <c r="H82" s="114" t="s">
        <v>299</v>
      </c>
      <c r="I82" s="114" t="s">
        <v>300</v>
      </c>
      <c r="J82" s="114" t="s">
        <v>301</v>
      </c>
    </row>
    <row r="83" spans="1:11">
      <c r="A83" s="217" t="s">
        <v>245</v>
      </c>
      <c r="B83" s="218">
        <v>70.83</v>
      </c>
      <c r="C83" s="218">
        <f t="shared" ref="C83:C89" si="4">+ROUND(C41,2)</f>
        <v>0.14000000000000001</v>
      </c>
      <c r="D83" s="219">
        <f t="shared" si="3"/>
        <v>70.97</v>
      </c>
      <c r="E83" s="204"/>
      <c r="F83" s="54">
        <f>ROUND(D83*References!$B$10,2)</f>
        <v>307.54000000000002</v>
      </c>
      <c r="G83" s="54">
        <f>ROUND($D83*References!$B$9,2)</f>
        <v>615.07000000000005</v>
      </c>
      <c r="H83" s="54">
        <f>ROUND($D83*References!$B$8,2)</f>
        <v>922.61</v>
      </c>
      <c r="I83" s="54">
        <f>ROUND($D83*References!$B$7,2)</f>
        <v>1230.1500000000001</v>
      </c>
      <c r="J83" s="54">
        <f>ROUND($D83*References!$B$6,2)</f>
        <v>1537.68</v>
      </c>
      <c r="K83" s="4"/>
    </row>
    <row r="84" spans="1:11">
      <c r="A84" s="217" t="s">
        <v>246</v>
      </c>
      <c r="B84" s="218">
        <v>90.86</v>
      </c>
      <c r="C84" s="218">
        <f t="shared" si="4"/>
        <v>0.2</v>
      </c>
      <c r="D84" s="219">
        <f t="shared" si="3"/>
        <v>91.06</v>
      </c>
      <c r="E84" s="204"/>
      <c r="F84" s="54">
        <f>ROUND(D84*References!$B$10,2)</f>
        <v>394.59</v>
      </c>
      <c r="G84" s="54">
        <f>ROUND($D84*References!$B$9,2)</f>
        <v>789.19</v>
      </c>
      <c r="H84" s="54">
        <f>ROUND($D84*References!$B$8,2)</f>
        <v>1183.78</v>
      </c>
      <c r="I84" s="54">
        <f>ROUND($D84*References!$B$7,2)</f>
        <v>1578.37</v>
      </c>
      <c r="J84" s="54">
        <f>ROUND($D84*References!$B$6,2)</f>
        <v>1972.97</v>
      </c>
      <c r="K84" s="4"/>
    </row>
    <row r="85" spans="1:11">
      <c r="A85" s="217" t="s">
        <v>223</v>
      </c>
      <c r="B85" s="218">
        <v>120.82000000000001</v>
      </c>
      <c r="C85" s="218">
        <f t="shared" si="4"/>
        <v>0.26</v>
      </c>
      <c r="D85" s="219">
        <f t="shared" si="3"/>
        <v>121.08000000000001</v>
      </c>
      <c r="E85" s="204"/>
      <c r="F85" s="54">
        <f>ROUND(D85*References!$B$10,2)</f>
        <v>524.67999999999995</v>
      </c>
      <c r="G85" s="54">
        <f>ROUND($D85*References!$B$9,2)</f>
        <v>1049.3599999999999</v>
      </c>
      <c r="H85" s="54">
        <f>ROUND($D85*References!$B$8,2)</f>
        <v>1574.04</v>
      </c>
      <c r="I85" s="54">
        <f>ROUND($D85*References!$B$7,2)</f>
        <v>2098.7199999999998</v>
      </c>
      <c r="J85" s="54">
        <f>ROUND($D85*References!$B$6,2)</f>
        <v>2623.4</v>
      </c>
    </row>
    <row r="86" spans="1:11">
      <c r="A86" s="217" t="s">
        <v>224</v>
      </c>
      <c r="B86" s="218">
        <v>169.73</v>
      </c>
      <c r="C86" s="218">
        <f t="shared" si="4"/>
        <v>0.38</v>
      </c>
      <c r="D86" s="219">
        <f t="shared" si="3"/>
        <v>170.10999999999999</v>
      </c>
      <c r="E86" s="204"/>
      <c r="F86" s="54">
        <f>ROUND(D86*References!$B$10,2)</f>
        <v>737.14</v>
      </c>
      <c r="G86" s="54">
        <f>ROUND($D86*References!$B$9,2)</f>
        <v>1474.29</v>
      </c>
      <c r="H86" s="54">
        <f>ROUND($D86*References!$B$8,2)</f>
        <v>2211.4299999999998</v>
      </c>
      <c r="I86" s="54">
        <f>ROUND($D86*References!$B$7,2)</f>
        <v>2948.57</v>
      </c>
      <c r="J86" s="54">
        <f>ROUND($D86*References!$B$6,2)</f>
        <v>3685.72</v>
      </c>
    </row>
    <row r="87" spans="1:11">
      <c r="A87" s="217" t="s">
        <v>225</v>
      </c>
      <c r="B87" s="218">
        <v>224.83</v>
      </c>
      <c r="C87" s="218">
        <f t="shared" si="4"/>
        <v>0.5</v>
      </c>
      <c r="D87" s="219">
        <f t="shared" si="3"/>
        <v>225.33</v>
      </c>
      <c r="E87" s="204"/>
      <c r="F87" s="54">
        <f>ROUND(D87*References!$B$10,2)</f>
        <v>976.43</v>
      </c>
      <c r="G87" s="54">
        <f>ROUND($D87*References!$B$9,2)</f>
        <v>1952.86</v>
      </c>
      <c r="H87" s="54">
        <f>ROUND($D87*References!$B$8,2)</f>
        <v>2929.29</v>
      </c>
      <c r="I87" s="54">
        <f>ROUND($D87*References!$B$7,2)</f>
        <v>3905.72</v>
      </c>
      <c r="J87" s="54">
        <f>ROUND($D87*References!$B$6,2)</f>
        <v>4882.1499999999996</v>
      </c>
    </row>
    <row r="88" spans="1:11">
      <c r="A88" s="217" t="s">
        <v>247</v>
      </c>
      <c r="B88" s="218">
        <v>326.02000000000004</v>
      </c>
      <c r="C88" s="218">
        <f t="shared" si="4"/>
        <v>0.68</v>
      </c>
      <c r="D88" s="219">
        <f t="shared" si="3"/>
        <v>326.70000000000005</v>
      </c>
      <c r="E88" s="204"/>
      <c r="F88" s="54">
        <f>ROUND(D88*References!$B$10,2)</f>
        <v>1415.7</v>
      </c>
      <c r="G88" s="54">
        <f>ROUND($D88*References!$B$9,2)</f>
        <v>2831.4</v>
      </c>
      <c r="H88" s="54">
        <f>ROUND($D88*References!$B$8,2)</f>
        <v>4247.1000000000004</v>
      </c>
      <c r="I88" s="54">
        <f>ROUND($D88*References!$B$7,2)</f>
        <v>5662.8</v>
      </c>
      <c r="J88" s="54">
        <f>ROUND($D88*References!$B$6,2)</f>
        <v>7078.5</v>
      </c>
    </row>
    <row r="89" spans="1:11">
      <c r="A89" s="217" t="s">
        <v>248</v>
      </c>
      <c r="B89" s="218">
        <v>356.85999999999996</v>
      </c>
      <c r="C89" s="218">
        <f t="shared" si="4"/>
        <v>0.79</v>
      </c>
      <c r="D89" s="219">
        <f t="shared" si="3"/>
        <v>357.65</v>
      </c>
      <c r="E89" s="204"/>
      <c r="F89" s="54">
        <f>ROUND(D89*References!$B$10,2)</f>
        <v>1549.82</v>
      </c>
      <c r="G89" s="54">
        <f>ROUND($D89*References!$B$9,2)</f>
        <v>3099.63</v>
      </c>
      <c r="H89" s="54">
        <f>ROUND($D89*References!$B$8,2)</f>
        <v>4649.45</v>
      </c>
      <c r="I89" s="54">
        <f>ROUND($D89*References!$B$7,2)</f>
        <v>6199.27</v>
      </c>
      <c r="J89" s="54">
        <f>ROUND($D89*References!$B$6,2)</f>
        <v>7749.08</v>
      </c>
    </row>
    <row r="90" spans="1:11">
      <c r="E90" s="204"/>
    </row>
    <row r="91" spans="1:11">
      <c r="A91" s="217" t="s">
        <v>249</v>
      </c>
      <c r="B91" s="218">
        <v>126.05</v>
      </c>
      <c r="C91" s="218">
        <f t="shared" ref="C91:C97" si="5">+ROUND(C41,2)</f>
        <v>0.14000000000000001</v>
      </c>
      <c r="D91" s="219">
        <f t="shared" si="3"/>
        <v>126.19</v>
      </c>
      <c r="E91" s="204"/>
    </row>
    <row r="92" spans="1:11">
      <c r="A92" s="217" t="s">
        <v>250</v>
      </c>
      <c r="B92" s="218">
        <v>173.51</v>
      </c>
      <c r="C92" s="218">
        <f t="shared" si="5"/>
        <v>0.2</v>
      </c>
      <c r="D92" s="219">
        <f t="shared" si="3"/>
        <v>173.70999999999998</v>
      </c>
      <c r="E92" s="204"/>
    </row>
    <row r="93" spans="1:11">
      <c r="A93" s="217" t="s">
        <v>230</v>
      </c>
      <c r="B93" s="218">
        <v>230</v>
      </c>
      <c r="C93" s="218">
        <f t="shared" si="5"/>
        <v>0.26</v>
      </c>
      <c r="D93" s="219">
        <f t="shared" si="3"/>
        <v>230.26</v>
      </c>
      <c r="E93" s="204"/>
    </row>
    <row r="94" spans="1:11">
      <c r="A94" s="217" t="s">
        <v>231</v>
      </c>
      <c r="B94" s="218">
        <v>343.93</v>
      </c>
      <c r="C94" s="218">
        <f t="shared" si="5"/>
        <v>0.38</v>
      </c>
      <c r="D94" s="219">
        <f t="shared" si="3"/>
        <v>344.31</v>
      </c>
      <c r="E94" s="204"/>
    </row>
    <row r="95" spans="1:11">
      <c r="A95" s="217" t="s">
        <v>232</v>
      </c>
      <c r="B95" s="218">
        <v>455.03000000000003</v>
      </c>
      <c r="C95" s="218">
        <f t="shared" si="5"/>
        <v>0.5</v>
      </c>
      <c r="D95" s="219">
        <f t="shared" si="3"/>
        <v>455.53000000000003</v>
      </c>
      <c r="E95" s="204"/>
    </row>
    <row r="96" spans="1:11">
      <c r="A96" s="217" t="s">
        <v>251</v>
      </c>
      <c r="B96" s="218">
        <v>579.04999999999995</v>
      </c>
      <c r="C96" s="218">
        <f t="shared" si="5"/>
        <v>0.68</v>
      </c>
      <c r="D96" s="219">
        <f t="shared" si="3"/>
        <v>579.7299999999999</v>
      </c>
      <c r="E96" s="204"/>
    </row>
    <row r="97" spans="1:5">
      <c r="A97" s="217" t="s">
        <v>252</v>
      </c>
      <c r="B97" s="218">
        <v>675.63</v>
      </c>
      <c r="C97" s="218">
        <f t="shared" si="5"/>
        <v>0.79</v>
      </c>
      <c r="D97" s="219">
        <f t="shared" si="3"/>
        <v>676.42</v>
      </c>
      <c r="E97" s="204"/>
    </row>
  </sheetData>
  <pageMargins left="0.7" right="0.7" top="0.75" bottom="0.75" header="0.3" footer="0.3"/>
  <pageSetup fitToHeight="0" orientation="portrait" r:id="rId1"/>
  <headerFooter>
    <oddFooter>&amp;L&amp;F - &amp;A&amp;R&amp;P of &amp;N</oddFooter>
  </headerFooter>
  <rowBreaks count="2" manualBreakCount="2">
    <brk id="38" max="4" man="1"/>
    <brk id="72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R1678"/>
  <sheetViews>
    <sheetView view="pageBreakPreview" zoomScale="85" zoomScaleNormal="85" zoomScaleSheetLayoutView="85" workbookViewId="0">
      <selection activeCell="J43" sqref="J43"/>
    </sheetView>
  </sheetViews>
  <sheetFormatPr defaultColWidth="9.140625" defaultRowHeight="15"/>
  <cols>
    <col min="1" max="1" width="16.42578125" style="88" customWidth="1"/>
    <col min="2" max="2" width="15.42578125" style="88" customWidth="1"/>
    <col min="3" max="3" width="11.5703125" style="88" bestFit="1" customWidth="1"/>
    <col min="4" max="4" width="10.5703125" style="88" bestFit="1" customWidth="1"/>
    <col min="5" max="5" width="11.5703125" style="88" bestFit="1" customWidth="1"/>
    <col min="6" max="6" width="13.28515625" style="88" bestFit="1" customWidth="1"/>
    <col min="7" max="7" width="10.5703125" style="88" bestFit="1" customWidth="1"/>
    <col min="8" max="8" width="1.5703125" style="88" customWidth="1"/>
    <col min="9" max="10" width="11.5703125" bestFit="1" customWidth="1"/>
    <col min="11" max="11" width="10.5703125" bestFit="1" customWidth="1"/>
    <col min="13" max="13" width="15.28515625" bestFit="1" customWidth="1"/>
    <col min="14" max="14" width="12.5703125" bestFit="1" customWidth="1"/>
    <col min="15" max="15" width="2.7109375" customWidth="1"/>
    <col min="16" max="16" width="9.5703125" bestFit="1" customWidth="1"/>
    <col min="17" max="17" width="12.5703125" bestFit="1" customWidth="1"/>
  </cols>
  <sheetData>
    <row r="1" spans="1:18">
      <c r="A1" s="87" t="s">
        <v>273</v>
      </c>
      <c r="B1" s="74"/>
      <c r="C1" s="72"/>
      <c r="D1" s="74"/>
      <c r="E1" s="72"/>
      <c r="F1" s="73"/>
      <c r="G1" s="72"/>
      <c r="H1" s="74"/>
      <c r="I1" s="88"/>
      <c r="J1" s="88"/>
      <c r="K1" s="88"/>
      <c r="L1" s="88"/>
      <c r="M1" s="88"/>
      <c r="N1" s="88"/>
      <c r="O1" s="88"/>
      <c r="P1" s="88"/>
      <c r="Q1" s="88"/>
      <c r="R1" s="88"/>
    </row>
    <row r="2" spans="1:18">
      <c r="A2" s="71" t="s">
        <v>319</v>
      </c>
      <c r="B2" s="74"/>
      <c r="C2" s="72"/>
      <c r="D2" s="74"/>
      <c r="E2" s="72"/>
      <c r="F2" s="73"/>
      <c r="G2" s="72"/>
      <c r="H2" s="74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>
      <c r="A3" s="71" t="s">
        <v>411</v>
      </c>
      <c r="B3" s="74"/>
      <c r="C3" s="72"/>
      <c r="D3" s="74"/>
      <c r="E3" s="72"/>
      <c r="F3" s="73"/>
      <c r="G3" s="72"/>
      <c r="H3" s="74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18" ht="31.5" customHeight="1">
      <c r="A4" s="236" t="s">
        <v>409</v>
      </c>
      <c r="B4" s="236"/>
      <c r="C4" s="236"/>
      <c r="D4" s="236"/>
      <c r="E4" s="236"/>
      <c r="F4" s="236"/>
      <c r="G4" s="236"/>
      <c r="H4" s="236"/>
      <c r="I4" s="88"/>
      <c r="J4" s="88"/>
      <c r="K4" s="88"/>
      <c r="L4" s="88"/>
      <c r="M4" s="88"/>
      <c r="N4" s="88"/>
      <c r="O4" s="88"/>
      <c r="P4" s="88"/>
      <c r="Q4" s="88"/>
      <c r="R4" s="88"/>
    </row>
    <row r="5" spans="1:18">
      <c r="A5" s="73"/>
      <c r="B5" s="74"/>
      <c r="C5" s="72"/>
      <c r="D5" s="74"/>
      <c r="E5" s="72"/>
      <c r="F5" s="73"/>
      <c r="G5" s="72"/>
      <c r="H5" s="74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18">
      <c r="A6" s="124" t="s">
        <v>309</v>
      </c>
      <c r="B6" s="74"/>
      <c r="C6" s="72"/>
      <c r="D6" s="72"/>
      <c r="E6" s="125"/>
      <c r="F6" s="126"/>
      <c r="G6" s="72"/>
      <c r="H6" s="127"/>
      <c r="I6" s="74"/>
      <c r="J6" s="125"/>
      <c r="K6" s="126"/>
      <c r="L6" s="74"/>
      <c r="M6" s="72"/>
      <c r="N6" s="72"/>
      <c r="O6" s="127"/>
      <c r="P6" s="72"/>
      <c r="Q6" s="72"/>
      <c r="R6" s="88"/>
    </row>
    <row r="7" spans="1:18">
      <c r="A7" s="124" t="s">
        <v>310</v>
      </c>
      <c r="B7" s="74"/>
      <c r="C7" s="72"/>
      <c r="D7" s="72"/>
      <c r="E7" s="128"/>
      <c r="F7" s="126"/>
      <c r="G7" s="72"/>
      <c r="H7" s="127"/>
      <c r="I7" s="74"/>
      <c r="J7" s="128"/>
      <c r="K7" s="126"/>
      <c r="L7" s="74"/>
      <c r="M7" s="72" t="s">
        <v>311</v>
      </c>
      <c r="N7" s="72" t="s">
        <v>312</v>
      </c>
      <c r="O7" s="127"/>
      <c r="P7" s="72"/>
      <c r="Q7" s="72"/>
      <c r="R7" s="88"/>
    </row>
    <row r="8" spans="1:18">
      <c r="A8" s="127"/>
      <c r="B8" s="74"/>
      <c r="C8" s="72"/>
      <c r="D8" s="72"/>
      <c r="E8" s="74"/>
      <c r="F8" s="72" t="s">
        <v>313</v>
      </c>
      <c r="G8" s="72" t="s">
        <v>314</v>
      </c>
      <c r="H8" s="127"/>
      <c r="I8" s="74"/>
      <c r="J8" s="72"/>
      <c r="K8" s="72"/>
      <c r="L8" s="74"/>
      <c r="M8" s="72" t="s">
        <v>315</v>
      </c>
      <c r="N8" s="72" t="s">
        <v>316</v>
      </c>
      <c r="O8" s="127"/>
      <c r="P8" s="72"/>
      <c r="Q8" s="72"/>
      <c r="R8" s="88"/>
    </row>
    <row r="9" spans="1:18">
      <c r="A9" s="127"/>
      <c r="B9" s="237" t="s">
        <v>265</v>
      </c>
      <c r="C9" s="238"/>
      <c r="D9" s="238"/>
      <c r="E9" s="238"/>
      <c r="F9" s="239"/>
      <c r="G9" s="129"/>
      <c r="H9" s="127"/>
      <c r="I9" s="237" t="s">
        <v>317</v>
      </c>
      <c r="J9" s="238"/>
      <c r="K9" s="238"/>
      <c r="L9" s="238"/>
      <c r="M9" s="239"/>
      <c r="N9" s="129"/>
      <c r="O9" s="127"/>
      <c r="P9" s="240" t="s">
        <v>0</v>
      </c>
      <c r="Q9" s="241"/>
      <c r="R9" s="88"/>
    </row>
    <row r="10" spans="1:18">
      <c r="A10" s="127"/>
      <c r="B10" s="242" t="s">
        <v>266</v>
      </c>
      <c r="C10" s="242"/>
      <c r="D10" s="97" t="s">
        <v>3</v>
      </c>
      <c r="E10" s="242" t="s">
        <v>267</v>
      </c>
      <c r="F10" s="242"/>
      <c r="G10" s="97" t="s">
        <v>3</v>
      </c>
      <c r="H10" s="74"/>
      <c r="I10" s="242" t="s">
        <v>266</v>
      </c>
      <c r="J10" s="242"/>
      <c r="K10" s="97" t="s">
        <v>3</v>
      </c>
      <c r="L10" s="242" t="s">
        <v>267</v>
      </c>
      <c r="M10" s="242"/>
      <c r="N10" s="97" t="s">
        <v>3</v>
      </c>
      <c r="O10" s="74"/>
      <c r="P10" s="127"/>
      <c r="Q10" s="127"/>
      <c r="R10" s="88"/>
    </row>
    <row r="11" spans="1:18">
      <c r="A11" s="127"/>
      <c r="B11" s="130" t="s">
        <v>199</v>
      </c>
      <c r="C11" s="131" t="s">
        <v>268</v>
      </c>
      <c r="D11" s="131"/>
      <c r="E11" s="130" t="s">
        <v>199</v>
      </c>
      <c r="F11" s="131" t="s">
        <v>268</v>
      </c>
      <c r="G11" s="132"/>
      <c r="H11" s="74"/>
      <c r="I11" s="130" t="s">
        <v>199</v>
      </c>
      <c r="J11" s="131" t="s">
        <v>268</v>
      </c>
      <c r="K11" s="131"/>
      <c r="L11" s="130" t="s">
        <v>199</v>
      </c>
      <c r="M11" s="131" t="s">
        <v>268</v>
      </c>
      <c r="N11" s="131"/>
      <c r="O11" s="74"/>
      <c r="P11" s="130" t="s">
        <v>199</v>
      </c>
      <c r="Q11" s="131" t="s">
        <v>268</v>
      </c>
      <c r="R11" s="88"/>
    </row>
    <row r="12" spans="1:18">
      <c r="A12" s="133">
        <v>42748</v>
      </c>
      <c r="B12" s="134">
        <v>0</v>
      </c>
      <c r="C12" s="72">
        <v>0</v>
      </c>
      <c r="D12" s="72">
        <v>0</v>
      </c>
      <c r="E12" s="134">
        <v>105.05</v>
      </c>
      <c r="F12" s="72">
        <v>10610.05</v>
      </c>
      <c r="G12" s="72">
        <v>101</v>
      </c>
      <c r="H12" s="74"/>
      <c r="I12" s="134">
        <v>11.24</v>
      </c>
      <c r="J12" s="72">
        <v>1218.53</v>
      </c>
      <c r="K12" s="72">
        <v>108.41014234875445</v>
      </c>
      <c r="L12" s="134">
        <v>41.47</v>
      </c>
      <c r="M12" s="72">
        <v>4495.7700000000004</v>
      </c>
      <c r="N12" s="72">
        <v>108.4101760308657</v>
      </c>
      <c r="O12" s="74"/>
      <c r="P12" s="135">
        <f t="shared" ref="P12:Q23" si="0">B12+E12+I12+L12</f>
        <v>157.76</v>
      </c>
      <c r="Q12" s="136">
        <f t="shared" si="0"/>
        <v>16324.35</v>
      </c>
      <c r="R12" s="88"/>
    </row>
    <row r="13" spans="1:18">
      <c r="A13" s="133">
        <v>42779</v>
      </c>
      <c r="B13" s="134">
        <v>5.39</v>
      </c>
      <c r="C13" s="72">
        <v>544.39</v>
      </c>
      <c r="D13" s="72">
        <v>101</v>
      </c>
      <c r="E13" s="134">
        <v>95.88</v>
      </c>
      <c r="F13" s="72">
        <v>9683.8799999999992</v>
      </c>
      <c r="G13" s="72">
        <v>101</v>
      </c>
      <c r="H13" s="74"/>
      <c r="I13" s="134">
        <v>0</v>
      </c>
      <c r="J13" s="72">
        <v>0</v>
      </c>
      <c r="K13" s="72">
        <v>0</v>
      </c>
      <c r="L13" s="134">
        <v>37.18</v>
      </c>
      <c r="M13" s="72">
        <v>4030.68</v>
      </c>
      <c r="N13" s="72">
        <v>108.40989779451317</v>
      </c>
      <c r="O13" s="74"/>
      <c r="P13" s="135">
        <f t="shared" si="0"/>
        <v>138.44999999999999</v>
      </c>
      <c r="Q13" s="136">
        <f t="shared" si="0"/>
        <v>14258.949999999999</v>
      </c>
      <c r="R13" s="88"/>
    </row>
    <row r="14" spans="1:18">
      <c r="A14" s="133">
        <v>42807</v>
      </c>
      <c r="B14" s="134">
        <v>13.63</v>
      </c>
      <c r="C14" s="72">
        <v>1376.63</v>
      </c>
      <c r="D14" s="72">
        <v>101</v>
      </c>
      <c r="E14" s="134">
        <v>115.42</v>
      </c>
      <c r="F14" s="72">
        <v>11657.42</v>
      </c>
      <c r="G14" s="72">
        <v>101</v>
      </c>
      <c r="H14" s="74"/>
      <c r="I14" s="134">
        <v>4.1399999999999997</v>
      </c>
      <c r="J14" s="72">
        <v>448.82</v>
      </c>
      <c r="K14" s="72">
        <v>108.41062801932368</v>
      </c>
      <c r="L14" s="134">
        <v>45.27</v>
      </c>
      <c r="M14" s="72">
        <v>4907.71</v>
      </c>
      <c r="N14" s="72">
        <v>108.40976364037994</v>
      </c>
      <c r="O14" s="74"/>
      <c r="P14" s="135">
        <f t="shared" si="0"/>
        <v>178.46</v>
      </c>
      <c r="Q14" s="136">
        <f t="shared" si="0"/>
        <v>18390.579999999998</v>
      </c>
      <c r="R14" s="88"/>
    </row>
    <row r="15" spans="1:18">
      <c r="A15" s="133">
        <v>42838</v>
      </c>
      <c r="B15" s="134">
        <v>28.22</v>
      </c>
      <c r="C15" s="72">
        <v>2948.99</v>
      </c>
      <c r="D15" s="72">
        <v>104.5</v>
      </c>
      <c r="E15" s="134">
        <v>107.11</v>
      </c>
      <c r="F15" s="72">
        <v>11192.99</v>
      </c>
      <c r="G15" s="72">
        <v>104.49995331901783</v>
      </c>
      <c r="H15" s="74"/>
      <c r="I15" s="134">
        <v>14.86</v>
      </c>
      <c r="J15" s="72">
        <v>1610.97</v>
      </c>
      <c r="K15" s="72">
        <v>108.40982503364738</v>
      </c>
      <c r="L15" s="134">
        <v>40</v>
      </c>
      <c r="M15" s="72">
        <v>4336.3999999999996</v>
      </c>
      <c r="N15" s="72">
        <v>108.41</v>
      </c>
      <c r="O15" s="74"/>
      <c r="P15" s="135">
        <f t="shared" si="0"/>
        <v>190.19</v>
      </c>
      <c r="Q15" s="136">
        <f t="shared" si="0"/>
        <v>20089.349999999999</v>
      </c>
      <c r="R15" s="88"/>
    </row>
    <row r="16" spans="1:18">
      <c r="A16" s="133">
        <v>42868</v>
      </c>
      <c r="B16" s="134">
        <v>6.21</v>
      </c>
      <c r="C16" s="72">
        <v>648.95000000000005</v>
      </c>
      <c r="D16" s="72">
        <v>104.50080515297907</v>
      </c>
      <c r="E16" s="134">
        <v>117.05</v>
      </c>
      <c r="F16" s="72">
        <v>12231.74</v>
      </c>
      <c r="G16" s="72">
        <v>104.5001281503631</v>
      </c>
      <c r="H16" s="74"/>
      <c r="I16" s="134">
        <v>16.559999999999999</v>
      </c>
      <c r="J16" s="72">
        <v>1795.27</v>
      </c>
      <c r="K16" s="72">
        <v>108.41002415458938</v>
      </c>
      <c r="L16" s="134">
        <v>59.67</v>
      </c>
      <c r="M16" s="72">
        <v>6468.82</v>
      </c>
      <c r="N16" s="72">
        <v>108.40992123345063</v>
      </c>
      <c r="O16" s="74"/>
      <c r="P16" s="135">
        <f t="shared" si="0"/>
        <v>199.49</v>
      </c>
      <c r="Q16" s="136">
        <f t="shared" si="0"/>
        <v>21144.78</v>
      </c>
      <c r="R16" s="88"/>
    </row>
    <row r="17" spans="1:18">
      <c r="A17" s="133">
        <v>42899</v>
      </c>
      <c r="B17" s="134">
        <v>3.69</v>
      </c>
      <c r="C17" s="72">
        <v>385.61</v>
      </c>
      <c r="D17" s="72">
        <v>104.50135501355014</v>
      </c>
      <c r="E17" s="134">
        <v>127.14</v>
      </c>
      <c r="F17" s="72">
        <v>13286.14</v>
      </c>
      <c r="G17" s="72">
        <v>104.50007865345289</v>
      </c>
      <c r="H17" s="74"/>
      <c r="I17" s="134">
        <v>3.45</v>
      </c>
      <c r="J17" s="72">
        <v>374.01</v>
      </c>
      <c r="K17" s="72">
        <v>108.4086956521739</v>
      </c>
      <c r="L17" s="134">
        <v>34.21</v>
      </c>
      <c r="M17" s="72">
        <v>3708.71</v>
      </c>
      <c r="N17" s="72">
        <v>108.41011400175387</v>
      </c>
      <c r="O17" s="74"/>
      <c r="P17" s="135">
        <f t="shared" si="0"/>
        <v>168.49</v>
      </c>
      <c r="Q17" s="136">
        <f t="shared" si="0"/>
        <v>17754.47</v>
      </c>
      <c r="R17" s="88"/>
    </row>
    <row r="18" spans="1:18">
      <c r="A18" s="133">
        <v>42929</v>
      </c>
      <c r="B18" s="134">
        <v>18.3</v>
      </c>
      <c r="C18" s="72">
        <v>1912.36</v>
      </c>
      <c r="D18" s="72">
        <v>104.50054644808742</v>
      </c>
      <c r="E18" s="134">
        <v>90.56</v>
      </c>
      <c r="F18" s="72">
        <v>9463.5300000000007</v>
      </c>
      <c r="G18" s="72">
        <v>104.50011042402828</v>
      </c>
      <c r="H18" s="74"/>
      <c r="I18" s="134">
        <v>13.07</v>
      </c>
      <c r="J18" s="72">
        <v>1416.92</v>
      </c>
      <c r="K18" s="72">
        <v>108.41009946442234</v>
      </c>
      <c r="L18" s="134">
        <v>41.1</v>
      </c>
      <c r="M18" s="72">
        <v>4445.8900000000003</v>
      </c>
      <c r="N18" s="72">
        <v>108.17250608272506</v>
      </c>
      <c r="O18" s="74"/>
      <c r="P18" s="135">
        <f t="shared" si="0"/>
        <v>163.03</v>
      </c>
      <c r="Q18" s="136">
        <f t="shared" si="0"/>
        <v>17238.7</v>
      </c>
      <c r="R18" s="88"/>
    </row>
    <row r="19" spans="1:18">
      <c r="A19" s="133">
        <v>42960</v>
      </c>
      <c r="B19" s="134">
        <v>8.4700000000000006</v>
      </c>
      <c r="C19" s="72">
        <v>885.11</v>
      </c>
      <c r="D19" s="72">
        <v>104.49940968122786</v>
      </c>
      <c r="E19" s="134">
        <v>120.34</v>
      </c>
      <c r="F19" s="72">
        <v>12575.55</v>
      </c>
      <c r="G19" s="72">
        <v>104.50016619577862</v>
      </c>
      <c r="H19" s="74"/>
      <c r="I19" s="134">
        <v>0</v>
      </c>
      <c r="J19" s="72">
        <v>0</v>
      </c>
      <c r="K19" s="72">
        <v>0</v>
      </c>
      <c r="L19" s="134">
        <v>41.73</v>
      </c>
      <c r="M19" s="72">
        <v>4523.95</v>
      </c>
      <c r="N19" s="72">
        <v>108.41001677450276</v>
      </c>
      <c r="O19" s="74"/>
      <c r="P19" s="135">
        <f t="shared" si="0"/>
        <v>170.54</v>
      </c>
      <c r="Q19" s="136">
        <f t="shared" si="0"/>
        <v>17984.61</v>
      </c>
      <c r="R19" s="88"/>
    </row>
    <row r="20" spans="1:18">
      <c r="A20" s="133">
        <v>42991</v>
      </c>
      <c r="B20" s="134">
        <v>12.48</v>
      </c>
      <c r="C20" s="72">
        <v>1304.1500000000001</v>
      </c>
      <c r="D20" s="72">
        <v>104.49919871794872</v>
      </c>
      <c r="E20" s="134">
        <v>96.25</v>
      </c>
      <c r="F20" s="72">
        <v>10058.129999999999</v>
      </c>
      <c r="G20" s="72">
        <v>104.50005194805193</v>
      </c>
      <c r="H20" s="74"/>
      <c r="I20" s="134">
        <v>19.38</v>
      </c>
      <c r="J20" s="72">
        <v>2100.98</v>
      </c>
      <c r="K20" s="72">
        <v>108.40970072239423</v>
      </c>
      <c r="L20" s="134">
        <v>42.8</v>
      </c>
      <c r="M20" s="72">
        <v>4639.95</v>
      </c>
      <c r="N20" s="72">
        <v>108.41004672897196</v>
      </c>
      <c r="O20" s="74"/>
      <c r="P20" s="135">
        <f t="shared" si="0"/>
        <v>170.91000000000003</v>
      </c>
      <c r="Q20" s="136">
        <f t="shared" si="0"/>
        <v>18103.21</v>
      </c>
      <c r="R20" s="88"/>
    </row>
    <row r="21" spans="1:18">
      <c r="A21" s="133">
        <v>43021</v>
      </c>
      <c r="B21" s="134">
        <v>4.25</v>
      </c>
      <c r="C21" s="72">
        <v>444.12</v>
      </c>
      <c r="D21" s="72">
        <v>104.49882352941177</v>
      </c>
      <c r="E21" s="134">
        <v>115.95</v>
      </c>
      <c r="F21" s="72">
        <v>12116.76</v>
      </c>
      <c r="G21" s="72">
        <v>104.49987063389392</v>
      </c>
      <c r="H21" s="74"/>
      <c r="I21" s="134">
        <v>24.07</v>
      </c>
      <c r="J21" s="72">
        <v>2609.4299999999998</v>
      </c>
      <c r="K21" s="72">
        <v>108.41005400914</v>
      </c>
      <c r="L21" s="134">
        <v>54.84</v>
      </c>
      <c r="M21" s="72">
        <v>5945.2</v>
      </c>
      <c r="N21" s="72">
        <v>108.40991976659372</v>
      </c>
      <c r="O21" s="74"/>
      <c r="P21" s="135">
        <f t="shared" si="0"/>
        <v>199.11</v>
      </c>
      <c r="Q21" s="136">
        <f t="shared" si="0"/>
        <v>21115.510000000002</v>
      </c>
      <c r="R21" s="88"/>
    </row>
    <row r="22" spans="1:18">
      <c r="A22" s="133">
        <v>43052</v>
      </c>
      <c r="B22" s="134">
        <v>14.97</v>
      </c>
      <c r="C22" s="72">
        <v>1564.36</v>
      </c>
      <c r="D22" s="72">
        <v>104.49966599866399</v>
      </c>
      <c r="E22" s="134">
        <v>115.13</v>
      </c>
      <c r="F22" s="72">
        <v>12031.1</v>
      </c>
      <c r="G22" s="72">
        <v>104.50013028750109</v>
      </c>
      <c r="H22" s="74"/>
      <c r="I22" s="134">
        <v>11.46</v>
      </c>
      <c r="J22" s="72">
        <v>1242.3800000000001</v>
      </c>
      <c r="K22" s="72">
        <v>108.41012216404887</v>
      </c>
      <c r="L22" s="134">
        <v>45.38</v>
      </c>
      <c r="M22" s="72">
        <v>4919.6499999999996</v>
      </c>
      <c r="N22" s="72">
        <v>108.41009255178491</v>
      </c>
      <c r="O22" s="74"/>
      <c r="P22" s="135">
        <f t="shared" si="0"/>
        <v>186.94</v>
      </c>
      <c r="Q22" s="136">
        <f t="shared" si="0"/>
        <v>19757.489999999998</v>
      </c>
      <c r="R22" s="88"/>
    </row>
    <row r="23" spans="1:18">
      <c r="A23" s="133">
        <v>43082</v>
      </c>
      <c r="B23" s="134">
        <v>4.6100000000000003</v>
      </c>
      <c r="C23" s="72">
        <v>481.74</v>
      </c>
      <c r="D23" s="72">
        <v>104.49891540130152</v>
      </c>
      <c r="E23" s="134">
        <v>103.89</v>
      </c>
      <c r="F23" s="72">
        <v>10856.5</v>
      </c>
      <c r="G23" s="72">
        <v>104.49995187217249</v>
      </c>
      <c r="H23" s="74"/>
      <c r="I23" s="134">
        <v>17.37</v>
      </c>
      <c r="J23" s="72">
        <v>1883.08</v>
      </c>
      <c r="K23" s="72">
        <v>108.40990213010937</v>
      </c>
      <c r="L23" s="134">
        <v>28.66</v>
      </c>
      <c r="M23" s="72">
        <v>3107.04</v>
      </c>
      <c r="N23" s="72">
        <v>108.41032798325192</v>
      </c>
      <c r="O23" s="74"/>
      <c r="P23" s="135">
        <f t="shared" si="0"/>
        <v>154.53</v>
      </c>
      <c r="Q23" s="136">
        <f t="shared" si="0"/>
        <v>16328.36</v>
      </c>
      <c r="R23" s="88"/>
    </row>
    <row r="24" spans="1:18" ht="17.25">
      <c r="A24" s="133"/>
      <c r="B24" s="137"/>
      <c r="C24" s="138"/>
      <c r="D24" s="138"/>
      <c r="E24" s="139"/>
      <c r="F24" s="138"/>
      <c r="G24" s="138"/>
      <c r="H24" s="140"/>
      <c r="I24" s="137"/>
      <c r="J24" s="138"/>
      <c r="K24" s="138"/>
      <c r="L24" s="139"/>
      <c r="M24" s="138"/>
      <c r="N24" s="138"/>
      <c r="O24" s="140"/>
      <c r="P24" s="135"/>
      <c r="Q24" s="136"/>
      <c r="R24" s="88"/>
    </row>
    <row r="25" spans="1:18" ht="15.75" thickBot="1">
      <c r="A25" s="127"/>
      <c r="B25" s="141">
        <f>SUM(B12:B23)</f>
        <v>120.22</v>
      </c>
      <c r="C25" s="142">
        <f t="shared" ref="C25:Q25" si="1">SUM(C12:C23)</f>
        <v>12496.41</v>
      </c>
      <c r="D25" s="142">
        <f t="shared" si="1"/>
        <v>1142.4987199431703</v>
      </c>
      <c r="E25" s="141">
        <f t="shared" si="1"/>
        <v>1309.7700000000002</v>
      </c>
      <c r="F25" s="142">
        <f t="shared" si="1"/>
        <v>135763.79</v>
      </c>
      <c r="G25" s="142">
        <f t="shared" si="1"/>
        <v>1243.5004414842601</v>
      </c>
      <c r="H25" s="141"/>
      <c r="I25" s="141">
        <f t="shared" si="1"/>
        <v>135.60000000000002</v>
      </c>
      <c r="J25" s="142">
        <f t="shared" si="1"/>
        <v>14700.390000000001</v>
      </c>
      <c r="K25" s="142">
        <f t="shared" si="1"/>
        <v>1084.0991936986038</v>
      </c>
      <c r="L25" s="141">
        <f t="shared" si="1"/>
        <v>512.31000000000006</v>
      </c>
      <c r="M25" s="142">
        <f t="shared" si="1"/>
        <v>55529.76999999999</v>
      </c>
      <c r="N25" s="142">
        <f t="shared" si="1"/>
        <v>1300.6827825887933</v>
      </c>
      <c r="O25" s="141"/>
      <c r="P25" s="141">
        <f t="shared" si="1"/>
        <v>2077.9</v>
      </c>
      <c r="Q25" s="142">
        <f t="shared" si="1"/>
        <v>218490.36</v>
      </c>
      <c r="R25" s="88"/>
    </row>
    <row r="26" spans="1:18" ht="15.75" thickTop="1">
      <c r="A26" s="127"/>
      <c r="B26" s="74"/>
      <c r="C26" s="72"/>
      <c r="D26" s="72"/>
      <c r="E26" s="74"/>
      <c r="F26" s="72"/>
      <c r="G26" s="72"/>
      <c r="H26" s="74"/>
      <c r="I26" s="74"/>
      <c r="J26" s="72"/>
      <c r="K26" s="72"/>
      <c r="L26" s="74"/>
      <c r="M26" s="72"/>
      <c r="N26" s="72"/>
      <c r="O26" s="74"/>
      <c r="P26" s="127"/>
      <c r="Q26" s="72"/>
      <c r="R26" s="88"/>
    </row>
    <row r="27" spans="1:18" ht="15.75" thickBot="1">
      <c r="B27" s="70"/>
      <c r="C27" s="76"/>
      <c r="E27" s="145"/>
      <c r="F27" s="146"/>
      <c r="I27" s="88"/>
      <c r="J27" s="88"/>
      <c r="K27" s="88"/>
      <c r="L27" s="88"/>
      <c r="M27" s="88"/>
      <c r="N27" s="88"/>
      <c r="O27" s="88"/>
      <c r="P27" s="88"/>
      <c r="Q27" s="88"/>
      <c r="R27" s="88"/>
    </row>
    <row r="28" spans="1:18">
      <c r="A28" s="115"/>
      <c r="B28" s="116"/>
      <c r="C28" s="116"/>
      <c r="D28" s="116"/>
      <c r="E28" s="117"/>
      <c r="I28" s="88"/>
      <c r="J28" s="88"/>
      <c r="K28" s="88"/>
      <c r="L28" s="88"/>
      <c r="M28" s="88"/>
      <c r="N28" s="88"/>
      <c r="O28" s="88"/>
      <c r="P28" s="88"/>
      <c r="Q28" s="88"/>
      <c r="R28" s="88"/>
    </row>
    <row r="29" spans="1:18">
      <c r="A29" s="98" t="s">
        <v>309</v>
      </c>
      <c r="E29" s="118"/>
      <c r="I29" s="88"/>
      <c r="J29" s="88"/>
      <c r="K29" s="88"/>
      <c r="L29" s="88"/>
      <c r="M29" s="88"/>
      <c r="N29" s="88"/>
      <c r="O29" s="88"/>
      <c r="P29" s="88"/>
      <c r="Q29" s="88"/>
      <c r="R29" s="88"/>
    </row>
    <row r="30" spans="1:18">
      <c r="A30" s="98" t="s">
        <v>318</v>
      </c>
      <c r="E30" s="118"/>
      <c r="I30" s="88"/>
      <c r="J30" s="88"/>
      <c r="K30" s="88"/>
      <c r="L30" s="88"/>
      <c r="M30" s="88"/>
      <c r="N30" s="88"/>
      <c r="O30" s="88"/>
      <c r="P30" s="88"/>
      <c r="Q30" s="88"/>
      <c r="R30" s="88"/>
    </row>
    <row r="31" spans="1:18">
      <c r="A31" s="119"/>
      <c r="E31" s="118"/>
      <c r="I31" s="88"/>
      <c r="J31" s="88"/>
      <c r="K31" s="88"/>
      <c r="L31" s="88"/>
      <c r="M31" s="88"/>
      <c r="N31" s="88"/>
      <c r="O31" s="88"/>
      <c r="P31" s="88"/>
      <c r="Q31" s="88"/>
      <c r="R31" s="88"/>
    </row>
    <row r="32" spans="1:18">
      <c r="A32" s="99" t="s">
        <v>303</v>
      </c>
      <c r="E32" s="118"/>
      <c r="I32" s="88"/>
      <c r="J32" s="88"/>
      <c r="K32" s="88"/>
      <c r="L32" s="88"/>
      <c r="M32" s="88"/>
      <c r="N32" s="88"/>
      <c r="O32" s="88"/>
      <c r="P32" s="88"/>
      <c r="Q32" s="88"/>
      <c r="R32" s="88"/>
    </row>
    <row r="33" spans="1:18">
      <c r="A33" s="119"/>
      <c r="B33" s="86" t="s">
        <v>269</v>
      </c>
      <c r="C33" s="86" t="s">
        <v>270</v>
      </c>
      <c r="E33" s="118"/>
      <c r="I33" s="88"/>
      <c r="J33" s="88"/>
      <c r="K33" s="88"/>
      <c r="L33" s="88"/>
      <c r="M33" s="88"/>
      <c r="N33" s="88"/>
      <c r="O33" s="88"/>
      <c r="P33" s="88"/>
      <c r="Q33" s="88"/>
      <c r="R33" s="88"/>
    </row>
    <row r="34" spans="1:18">
      <c r="A34" s="119" t="s">
        <v>271</v>
      </c>
      <c r="B34" s="70">
        <v>4304304.1795195919</v>
      </c>
      <c r="C34" s="76">
        <f>B34/B36</f>
        <v>0.76820382096623685</v>
      </c>
      <c r="E34" s="118"/>
      <c r="I34" s="88"/>
      <c r="J34" s="88"/>
      <c r="K34" s="88"/>
      <c r="L34" s="88"/>
      <c r="M34" s="88"/>
      <c r="N34" s="88"/>
      <c r="O34" s="88"/>
      <c r="P34" s="88"/>
      <c r="Q34" s="88"/>
      <c r="R34" s="88"/>
    </row>
    <row r="35" spans="1:18">
      <c r="A35" s="119" t="s">
        <v>272</v>
      </c>
      <c r="B35" s="120">
        <v>1298771.5434124987</v>
      </c>
      <c r="C35" s="76">
        <f>B35/B36</f>
        <v>0.23179617903376312</v>
      </c>
      <c r="E35" s="118"/>
      <c r="F35" s="70"/>
      <c r="I35" s="88"/>
      <c r="J35" s="88"/>
      <c r="K35" s="88"/>
      <c r="L35" s="88"/>
      <c r="M35" s="88"/>
      <c r="N35" s="88"/>
      <c r="O35" s="88"/>
      <c r="P35" s="88"/>
      <c r="Q35" s="88"/>
      <c r="R35" s="88"/>
    </row>
    <row r="36" spans="1:18">
      <c r="A36" s="119"/>
      <c r="B36" s="70">
        <f>SUM(B34:B35)</f>
        <v>5603075.722932091</v>
      </c>
      <c r="E36" s="118"/>
      <c r="F36" s="145"/>
      <c r="I36" s="88"/>
      <c r="J36" s="88"/>
      <c r="K36" s="88"/>
      <c r="L36" s="88"/>
      <c r="M36" s="88"/>
      <c r="N36" s="88"/>
      <c r="O36" s="88"/>
      <c r="P36" s="88"/>
      <c r="Q36" s="88"/>
      <c r="R36" s="88"/>
    </row>
    <row r="37" spans="1:18">
      <c r="A37" s="119"/>
      <c r="E37" s="118"/>
      <c r="F37" s="145"/>
      <c r="I37" s="145"/>
      <c r="J37" s="88"/>
      <c r="K37" s="88"/>
      <c r="L37" s="88"/>
      <c r="M37" s="88"/>
      <c r="N37" s="88"/>
      <c r="O37" s="88"/>
      <c r="P37" s="88"/>
      <c r="Q37" s="88"/>
      <c r="R37" s="88"/>
    </row>
    <row r="38" spans="1:18">
      <c r="A38" s="100"/>
      <c r="E38" s="118"/>
      <c r="H38" s="70"/>
      <c r="I38" s="205"/>
      <c r="J38" s="88"/>
      <c r="K38" s="88"/>
      <c r="L38" s="88"/>
      <c r="M38" s="88"/>
      <c r="N38" s="88"/>
      <c r="O38" s="88"/>
      <c r="P38" s="88"/>
      <c r="Q38" s="88"/>
      <c r="R38" s="88"/>
    </row>
    <row r="39" spans="1:18">
      <c r="A39" s="119"/>
      <c r="E39" s="118"/>
      <c r="I39" s="88"/>
      <c r="J39" s="88"/>
      <c r="K39" s="88"/>
      <c r="L39" s="88"/>
      <c r="M39" s="88"/>
      <c r="N39" s="88"/>
      <c r="O39" s="88"/>
      <c r="P39" s="88"/>
      <c r="Q39" s="88"/>
      <c r="R39" s="88"/>
    </row>
    <row r="40" spans="1:18" ht="15.75" thickBot="1">
      <c r="A40" s="121"/>
      <c r="B40" s="122"/>
      <c r="C40" s="122"/>
      <c r="D40" s="122"/>
      <c r="E40" s="123"/>
      <c r="I40" s="88"/>
      <c r="J40" s="88"/>
      <c r="K40" s="88"/>
      <c r="L40" s="88"/>
      <c r="M40" s="88"/>
      <c r="N40" s="88"/>
      <c r="O40" s="88"/>
      <c r="P40" s="88"/>
      <c r="Q40" s="88"/>
      <c r="R40" s="88"/>
    </row>
    <row r="41" spans="1:18">
      <c r="I41" s="88"/>
      <c r="J41" s="88"/>
      <c r="K41" s="88"/>
      <c r="L41" s="88"/>
      <c r="M41" s="88"/>
      <c r="N41" s="88"/>
      <c r="O41" s="88"/>
      <c r="P41" s="88"/>
      <c r="Q41" s="88"/>
      <c r="R41" s="88"/>
    </row>
    <row r="42" spans="1:18">
      <c r="I42" s="88"/>
      <c r="J42" s="88"/>
      <c r="K42" s="88"/>
      <c r="L42" s="88"/>
      <c r="M42" s="88"/>
      <c r="N42" s="88"/>
      <c r="O42" s="88"/>
      <c r="P42" s="88"/>
      <c r="Q42" s="88"/>
      <c r="R42" s="88"/>
    </row>
    <row r="43" spans="1:18">
      <c r="A43"/>
      <c r="B43"/>
      <c r="C43"/>
      <c r="D43"/>
      <c r="E43"/>
      <c r="F43"/>
      <c r="G43"/>
      <c r="H43"/>
    </row>
    <row r="44" spans="1:18">
      <c r="A44"/>
      <c r="B44"/>
      <c r="C44"/>
      <c r="D44"/>
      <c r="E44"/>
      <c r="F44"/>
      <c r="G44"/>
      <c r="H44"/>
    </row>
    <row r="45" spans="1:18">
      <c r="A45"/>
      <c r="B45"/>
      <c r="C45"/>
      <c r="D45"/>
      <c r="E45"/>
      <c r="F45"/>
      <c r="G45"/>
      <c r="H45"/>
    </row>
    <row r="46" spans="1:18">
      <c r="A46"/>
      <c r="B46"/>
      <c r="C46"/>
      <c r="D46"/>
      <c r="E46"/>
      <c r="F46"/>
      <c r="G46"/>
      <c r="H46"/>
    </row>
    <row r="47" spans="1:18">
      <c r="A47"/>
      <c r="B47"/>
      <c r="C47"/>
      <c r="D47"/>
      <c r="E47"/>
      <c r="F47"/>
      <c r="G47"/>
      <c r="H47"/>
    </row>
    <row r="48" spans="1:18">
      <c r="A48"/>
      <c r="B48"/>
      <c r="C48"/>
      <c r="D48"/>
      <c r="E48"/>
      <c r="F48"/>
      <c r="G48"/>
      <c r="H48"/>
    </row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</sheetData>
  <mergeCells count="8">
    <mergeCell ref="A4:H4"/>
    <mergeCell ref="B9:F9"/>
    <mergeCell ref="I9:M9"/>
    <mergeCell ref="P9:Q9"/>
    <mergeCell ref="B10:C10"/>
    <mergeCell ref="E10:F10"/>
    <mergeCell ref="I10:J10"/>
    <mergeCell ref="L10:M10"/>
  </mergeCells>
  <printOptions horizontalCentered="1"/>
  <pageMargins left="0.7" right="0.7" top="0.75" bottom="0.75" header="0.3" footer="0.3"/>
  <pageSetup scale="62" orientation="landscape" r:id="rId1"/>
  <headerFooter>
    <oddFooter>&amp;L&amp;F - &amp;A&amp;R&amp;P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U115"/>
  <sheetViews>
    <sheetView showGridLines="0" view="pageBreakPreview" zoomScale="85" zoomScaleNormal="85" zoomScaleSheetLayoutView="85" workbookViewId="0">
      <pane xSplit="2" ySplit="6" topLeftCell="C7" activePane="bottomRight" state="frozen"/>
      <selection activeCell="J43" sqref="J43"/>
      <selection pane="topRight" activeCell="J43" sqref="J43"/>
      <selection pane="bottomLeft" activeCell="J43" sqref="J43"/>
      <selection pane="bottomRight" activeCell="J43" sqref="J43"/>
    </sheetView>
  </sheetViews>
  <sheetFormatPr defaultColWidth="9.140625" defaultRowHeight="12.75"/>
  <cols>
    <col min="1" max="1" width="19" style="152" customWidth="1"/>
    <col min="2" max="2" width="22.42578125" style="152" customWidth="1"/>
    <col min="3" max="6" width="14.85546875" style="152" customWidth="1"/>
    <col min="7" max="7" width="13.5703125" style="152" customWidth="1"/>
    <col min="8" max="8" width="0.5703125" style="152" customWidth="1"/>
    <col min="9" max="9" width="14.140625" style="152" customWidth="1"/>
    <col min="10" max="10" width="14.42578125" style="152" customWidth="1"/>
    <col min="11" max="11" width="10.7109375" style="199" customWidth="1"/>
    <col min="12" max="12" width="17.42578125" style="199" hidden="1" customWidth="1"/>
    <col min="13" max="13" width="9.5703125" style="152" customWidth="1"/>
    <col min="14" max="14" width="0.5703125" style="152" customWidth="1"/>
    <col min="15" max="15" width="9.5703125" style="153" customWidth="1"/>
    <col min="16" max="16" width="0.5703125" style="152" customWidth="1"/>
    <col min="17" max="17" width="11.140625" style="152" customWidth="1"/>
    <col min="18" max="18" width="8.28515625" style="152" customWidth="1"/>
    <col min="19" max="19" width="12.5703125" style="152" customWidth="1"/>
    <col min="20" max="20" width="13.42578125" style="152" customWidth="1"/>
    <col min="21" max="16384" width="9.140625" style="152"/>
  </cols>
  <sheetData>
    <row r="1" spans="1:19" ht="10.5" customHeight="1">
      <c r="A1" s="148" t="s">
        <v>322</v>
      </c>
      <c r="B1" s="149"/>
      <c r="C1" s="150" t="s">
        <v>360</v>
      </c>
      <c r="D1" s="151"/>
      <c r="E1" s="149"/>
      <c r="F1" s="149"/>
      <c r="G1" s="149"/>
      <c r="H1" s="149"/>
      <c r="I1" s="149"/>
      <c r="J1" s="149"/>
      <c r="K1" s="152"/>
      <c r="L1" s="152"/>
    </row>
    <row r="2" spans="1:19" ht="10.5" customHeight="1">
      <c r="A2" s="148" t="s">
        <v>323</v>
      </c>
      <c r="B2" s="149"/>
      <c r="C2" s="151"/>
      <c r="D2" s="151"/>
      <c r="E2" s="154"/>
      <c r="F2" s="155"/>
      <c r="G2" s="149"/>
      <c r="H2" s="149"/>
      <c r="I2" s="149"/>
      <c r="J2" s="149"/>
      <c r="K2" s="152"/>
      <c r="L2" s="152"/>
      <c r="M2" s="149"/>
    </row>
    <row r="3" spans="1:19" ht="10.5" customHeight="1">
      <c r="A3" s="156">
        <v>2017</v>
      </c>
      <c r="B3" s="149"/>
      <c r="C3" s="147" t="s">
        <v>409</v>
      </c>
      <c r="D3" s="151"/>
      <c r="E3" s="157"/>
      <c r="F3" s="149"/>
      <c r="G3" s="149"/>
      <c r="H3" s="149"/>
      <c r="I3" s="149"/>
      <c r="J3" s="149"/>
      <c r="K3" s="152"/>
      <c r="L3" s="152"/>
    </row>
    <row r="4" spans="1:19" ht="12" customHeight="1">
      <c r="A4" s="149"/>
      <c r="B4" s="158"/>
      <c r="C4" s="159" t="s">
        <v>361</v>
      </c>
      <c r="D4" s="159" t="s">
        <v>362</v>
      </c>
      <c r="E4" s="160" t="s">
        <v>361</v>
      </c>
      <c r="F4" s="160" t="s">
        <v>362</v>
      </c>
      <c r="G4" s="161" t="s">
        <v>0</v>
      </c>
      <c r="H4" s="149"/>
      <c r="I4" s="160" t="s">
        <v>361</v>
      </c>
      <c r="J4" s="160" t="s">
        <v>362</v>
      </c>
      <c r="K4" s="162" t="s">
        <v>363</v>
      </c>
      <c r="L4" s="162"/>
      <c r="M4" s="163" t="s">
        <v>364</v>
      </c>
      <c r="N4" s="149"/>
      <c r="O4" s="243" t="s">
        <v>365</v>
      </c>
      <c r="P4" s="149"/>
      <c r="Q4" s="164" t="s">
        <v>366</v>
      </c>
      <c r="R4" s="244" t="s">
        <v>367</v>
      </c>
      <c r="S4" s="244"/>
    </row>
    <row r="5" spans="1:19" ht="12" customHeight="1">
      <c r="A5" s="165" t="s">
        <v>1</v>
      </c>
      <c r="B5" s="158" t="s">
        <v>2</v>
      </c>
      <c r="C5" s="166" t="s">
        <v>3</v>
      </c>
      <c r="D5" s="166" t="s">
        <v>3</v>
      </c>
      <c r="E5" s="158" t="s">
        <v>4</v>
      </c>
      <c r="F5" s="158" t="s">
        <v>4</v>
      </c>
      <c r="G5" s="158" t="s">
        <v>4</v>
      </c>
      <c r="H5" s="149"/>
      <c r="I5" s="158" t="s">
        <v>5</v>
      </c>
      <c r="J5" s="158" t="s">
        <v>5</v>
      </c>
      <c r="K5" s="158" t="s">
        <v>368</v>
      </c>
      <c r="L5" s="158"/>
      <c r="M5" s="167">
        <v>0.14180179125211698</v>
      </c>
      <c r="N5" s="158"/>
      <c r="O5" s="243"/>
      <c r="P5" s="158"/>
      <c r="Q5" s="166" t="s">
        <v>3</v>
      </c>
      <c r="R5" s="163" t="s">
        <v>369</v>
      </c>
      <c r="S5" s="163" t="s">
        <v>370</v>
      </c>
    </row>
    <row r="6" spans="1:19" ht="12" customHeight="1">
      <c r="K6" s="168"/>
      <c r="L6" s="169" t="s">
        <v>371</v>
      </c>
      <c r="M6" s="170">
        <v>4.8999999999999998E-3</v>
      </c>
    </row>
    <row r="7" spans="1:19" s="149" customFormat="1" ht="12" customHeight="1">
      <c r="C7" s="151"/>
      <c r="D7" s="151"/>
      <c r="K7" s="152"/>
      <c r="L7" s="152"/>
      <c r="O7" s="171"/>
    </row>
    <row r="8" spans="1:19" s="149" customFormat="1" ht="12" customHeight="1">
      <c r="C8" s="151"/>
      <c r="D8" s="151"/>
      <c r="K8" s="152"/>
      <c r="L8" s="152"/>
      <c r="O8" s="171"/>
    </row>
    <row r="9" spans="1:19" s="149" customFormat="1" ht="12" customHeight="1">
      <c r="A9" s="172" t="s">
        <v>6</v>
      </c>
      <c r="B9" s="172" t="s">
        <v>6</v>
      </c>
      <c r="C9" s="151"/>
      <c r="D9" s="151"/>
      <c r="K9" s="152"/>
      <c r="L9" s="152"/>
      <c r="O9" s="171"/>
    </row>
    <row r="10" spans="1:19" s="149" customFormat="1" ht="12" customHeight="1">
      <c r="A10" s="172"/>
      <c r="B10" s="172"/>
      <c r="C10" s="151"/>
      <c r="D10" s="151"/>
      <c r="K10" s="152"/>
      <c r="L10" s="152"/>
      <c r="O10" s="171"/>
    </row>
    <row r="11" spans="1:19" s="149" customFormat="1" ht="12" customHeight="1">
      <c r="A11" s="156" t="s">
        <v>7</v>
      </c>
      <c r="B11" s="156" t="s">
        <v>7</v>
      </c>
      <c r="C11" s="173"/>
      <c r="D11" s="173"/>
      <c r="E11" s="174"/>
      <c r="F11" s="174"/>
      <c r="G11" s="155"/>
      <c r="I11" s="174"/>
      <c r="J11" s="174"/>
      <c r="K11" s="152"/>
      <c r="L11" s="152"/>
      <c r="O11" s="171"/>
    </row>
    <row r="12" spans="1:19" s="149" customFormat="1" ht="12" customHeight="1">
      <c r="A12" s="152" t="s">
        <v>8</v>
      </c>
      <c r="B12" s="152" t="s">
        <v>9</v>
      </c>
      <c r="C12" s="173">
        <v>15.21</v>
      </c>
      <c r="D12" s="173">
        <v>15.34</v>
      </c>
      <c r="E12" s="174">
        <v>281.39</v>
      </c>
      <c r="F12" s="174">
        <v>655.41000000000008</v>
      </c>
      <c r="G12" s="155">
        <v>936.80000000000007</v>
      </c>
      <c r="I12" s="174">
        <v>18.500328731097959</v>
      </c>
      <c r="J12" s="174">
        <v>42.725554106910046</v>
      </c>
      <c r="K12" s="175">
        <v>5.1021569031673337</v>
      </c>
      <c r="L12" s="176" t="str">
        <f>VLOOKUP(B12,'Spokane DF Calc'!C:E,1,FALSE)</f>
        <v>RL 20 GL 1X WK 1</v>
      </c>
      <c r="M12" s="155">
        <v>2.1695674061573897</v>
      </c>
      <c r="O12" s="171">
        <v>132.83367981855326</v>
      </c>
      <c r="Q12" s="177">
        <v>15.3</v>
      </c>
      <c r="R12" s="155">
        <v>17.469567406157392</v>
      </c>
      <c r="S12" s="178">
        <v>1069.6336798185534</v>
      </c>
    </row>
    <row r="13" spans="1:19" s="149" customFormat="1" ht="12" customHeight="1">
      <c r="A13" s="152" t="s">
        <v>10</v>
      </c>
      <c r="B13" s="152" t="s">
        <v>11</v>
      </c>
      <c r="C13" s="173">
        <v>11.86</v>
      </c>
      <c r="D13" s="173">
        <v>11.91</v>
      </c>
      <c r="E13" s="174">
        <v>296.5</v>
      </c>
      <c r="F13" s="174">
        <v>1035.8699999999999</v>
      </c>
      <c r="G13" s="155">
        <v>1332.37</v>
      </c>
      <c r="I13" s="174">
        <v>25</v>
      </c>
      <c r="J13" s="174">
        <v>86.974811083123413</v>
      </c>
      <c r="K13" s="175">
        <v>9.3312342569269511</v>
      </c>
      <c r="L13" s="176" t="str">
        <f>VLOOKUP(B13,'Spokane DF Calc'!C:E,1,FALSE)</f>
        <v>RL 32 GL 1X MO 1</v>
      </c>
      <c r="M13" s="155">
        <v>1.686023297987671</v>
      </c>
      <c r="O13" s="171">
        <v>188.79214027391416</v>
      </c>
      <c r="Q13" s="177">
        <v>11.89</v>
      </c>
      <c r="R13" s="155">
        <v>13.576023297987671</v>
      </c>
      <c r="S13" s="178">
        <v>1521.162140273914</v>
      </c>
    </row>
    <row r="14" spans="1:19" s="149" customFormat="1" ht="12" customHeight="1">
      <c r="A14" s="152" t="s">
        <v>12</v>
      </c>
      <c r="B14" s="152" t="s">
        <v>13</v>
      </c>
      <c r="C14" s="173">
        <v>18.670000000000002</v>
      </c>
      <c r="D14" s="173">
        <v>18.89</v>
      </c>
      <c r="E14" s="174">
        <v>24791.43</v>
      </c>
      <c r="F14" s="174">
        <v>76170.959999999992</v>
      </c>
      <c r="G14" s="155">
        <v>100962.38999999998</v>
      </c>
      <c r="I14" s="174">
        <v>1327.8752008569897</v>
      </c>
      <c r="J14" s="174">
        <v>4032.3430386447849</v>
      </c>
      <c r="K14" s="175">
        <v>446.68485329181453</v>
      </c>
      <c r="L14" s="176" t="str">
        <f>VLOOKUP(B14,'Spokane DF Calc'!C:E,1,FALSE)</f>
        <v>RL 32 GL 1X WK 1</v>
      </c>
      <c r="M14" s="155">
        <v>2.6687097113648415</v>
      </c>
      <c r="O14" s="171">
        <v>14304.866470793339</v>
      </c>
      <c r="Q14" s="177">
        <v>18.82</v>
      </c>
      <c r="R14" s="155">
        <v>21.488709711364841</v>
      </c>
      <c r="S14" s="178">
        <v>115267.25647079332</v>
      </c>
    </row>
    <row r="15" spans="1:19" s="149" customFormat="1" ht="12" customHeight="1">
      <c r="A15" s="152" t="s">
        <v>14</v>
      </c>
      <c r="B15" s="152" t="s">
        <v>15</v>
      </c>
      <c r="C15" s="173">
        <v>26.36</v>
      </c>
      <c r="D15" s="173">
        <v>26.69</v>
      </c>
      <c r="E15" s="174">
        <v>10165.075000000001</v>
      </c>
      <c r="F15" s="174">
        <v>31622.990000000005</v>
      </c>
      <c r="G15" s="155">
        <v>41788.065000000002</v>
      </c>
      <c r="I15" s="174">
        <v>385.62500000000006</v>
      </c>
      <c r="J15" s="174">
        <v>1184.8254027725741</v>
      </c>
      <c r="K15" s="175">
        <v>130.87086689771451</v>
      </c>
      <c r="L15" s="176" t="str">
        <f>VLOOKUP(B15,'Spokane DF Calc'!C:E,1,FALSE)</f>
        <v>RL 32 GL 1X WK 2</v>
      </c>
      <c r="M15" s="155">
        <v>3.7690916114812691</v>
      </c>
      <c r="O15" s="171">
        <v>5919.1714393374896</v>
      </c>
      <c r="Q15" s="177">
        <v>26.58</v>
      </c>
      <c r="R15" s="155">
        <v>30.349091611481267</v>
      </c>
      <c r="S15" s="178">
        <v>47707.236439337488</v>
      </c>
    </row>
    <row r="16" spans="1:19" s="149" customFormat="1" ht="12" customHeight="1">
      <c r="A16" s="152" t="s">
        <v>16</v>
      </c>
      <c r="B16" s="152" t="s">
        <v>17</v>
      </c>
      <c r="C16" s="173">
        <v>37.61</v>
      </c>
      <c r="D16" s="173">
        <v>38.1</v>
      </c>
      <c r="E16" s="174">
        <v>112.83</v>
      </c>
      <c r="F16" s="174">
        <v>418.61</v>
      </c>
      <c r="G16" s="155">
        <v>531.44000000000005</v>
      </c>
      <c r="I16" s="174">
        <v>3</v>
      </c>
      <c r="J16" s="174">
        <v>10.987139107611549</v>
      </c>
      <c r="K16" s="175">
        <v>1.1655949256342957</v>
      </c>
      <c r="L16" s="176" t="str">
        <f>VLOOKUP(B16,'Spokane DF Calc'!C:E,1,FALSE)</f>
        <v>RL 32 GL 1X WK 3</v>
      </c>
      <c r="M16" s="155">
        <v>5.3799599601053174</v>
      </c>
      <c r="O16" s="171">
        <v>75.250248355373344</v>
      </c>
      <c r="Q16" s="177">
        <v>37.94</v>
      </c>
      <c r="R16" s="155">
        <v>43.319959960105315</v>
      </c>
      <c r="S16" s="178">
        <v>606.69024835537334</v>
      </c>
    </row>
    <row r="17" spans="1:19" s="149" customFormat="1" ht="12" customHeight="1">
      <c r="A17" s="152" t="s">
        <v>18</v>
      </c>
      <c r="B17" s="152" t="s">
        <v>19</v>
      </c>
      <c r="C17" s="173">
        <v>28.13</v>
      </c>
      <c r="D17" s="173">
        <v>28.43</v>
      </c>
      <c r="E17" s="174">
        <v>24227.340000000004</v>
      </c>
      <c r="F17" s="174">
        <v>73789.289999999994</v>
      </c>
      <c r="G17" s="155">
        <v>98016.63</v>
      </c>
      <c r="I17" s="174">
        <v>861.26341983647364</v>
      </c>
      <c r="J17" s="174">
        <v>2595.4727400633133</v>
      </c>
      <c r="K17" s="175">
        <v>288.06134665831559</v>
      </c>
      <c r="L17" s="176" t="str">
        <f>VLOOKUP(B17,'Spokane DF Calc'!C:E,1,FALSE)</f>
        <v>RL 65 GL 1X WK 1</v>
      </c>
      <c r="M17" s="155">
        <v>4.0172447461724738</v>
      </c>
      <c r="O17" s="171">
        <v>13886.555177261833</v>
      </c>
      <c r="Q17" s="177">
        <v>28.33</v>
      </c>
      <c r="R17" s="155">
        <v>32.347244746172471</v>
      </c>
      <c r="S17" s="178">
        <v>111903.18517726184</v>
      </c>
    </row>
    <row r="18" spans="1:19" s="149" customFormat="1" ht="12" customHeight="1">
      <c r="A18" s="152" t="s">
        <v>259</v>
      </c>
      <c r="B18" s="152" t="s">
        <v>260</v>
      </c>
      <c r="C18" s="173">
        <v>53.36</v>
      </c>
      <c r="D18" s="173">
        <v>56.86</v>
      </c>
      <c r="E18" s="174">
        <v>160.07999999999998</v>
      </c>
      <c r="F18" s="174">
        <v>511.74000000000007</v>
      </c>
      <c r="G18" s="155">
        <v>671.82</v>
      </c>
      <c r="I18" s="174">
        <v>2.9999999999999996</v>
      </c>
      <c r="J18" s="174">
        <v>9.0000000000000018</v>
      </c>
      <c r="K18" s="175">
        <v>1.0000000000000002</v>
      </c>
      <c r="L18" s="176" t="str">
        <f>VLOOKUP(B18,'Spokane DF Calc'!C:E,1,FALSE)</f>
        <v>RL 65 GL 1X WK 2</v>
      </c>
      <c r="M18" s="155">
        <v>8.0344894923449477</v>
      </c>
      <c r="O18" s="171">
        <v>96.413873908139394</v>
      </c>
      <c r="Q18" s="177">
        <v>56.66</v>
      </c>
      <c r="R18" s="155">
        <v>64.694489492344943</v>
      </c>
      <c r="S18" s="178">
        <v>768.23387390813946</v>
      </c>
    </row>
    <row r="19" spans="1:19" s="149" customFormat="1" ht="12" customHeight="1">
      <c r="A19" s="152" t="s">
        <v>20</v>
      </c>
      <c r="B19" s="152" t="s">
        <v>21</v>
      </c>
      <c r="C19" s="173">
        <v>35.130000000000003</v>
      </c>
      <c r="D19" s="173">
        <v>35.57</v>
      </c>
      <c r="E19" s="174">
        <v>30928.81</v>
      </c>
      <c r="F19" s="174">
        <v>104773.01500000001</v>
      </c>
      <c r="G19" s="155">
        <v>135701.82500000001</v>
      </c>
      <c r="I19" s="174">
        <v>880.41019072018219</v>
      </c>
      <c r="J19" s="174">
        <v>2945.5444194545971</v>
      </c>
      <c r="K19" s="175">
        <v>318.82955084789825</v>
      </c>
      <c r="L19" s="176" t="str">
        <f>VLOOKUP(B19,'Spokane DF Calc'!C:E,1,FALSE)</f>
        <v>RL 90 GL 1X WK 1</v>
      </c>
      <c r="M19" s="155">
        <v>5.0240374640625047</v>
      </c>
      <c r="O19" s="171">
        <v>19221.739297320746</v>
      </c>
      <c r="Q19" s="177">
        <v>35.43</v>
      </c>
      <c r="R19" s="155">
        <v>40.454037464062502</v>
      </c>
      <c r="S19" s="178">
        <v>154923.56429732076</v>
      </c>
    </row>
    <row r="20" spans="1:19" s="149" customFormat="1" ht="12" customHeight="1">
      <c r="A20" s="152" t="s">
        <v>22</v>
      </c>
      <c r="B20" s="152" t="s">
        <v>23</v>
      </c>
      <c r="C20" s="173">
        <v>70.260000000000005</v>
      </c>
      <c r="D20" s="173">
        <v>71.14</v>
      </c>
      <c r="E20" s="174">
        <v>474.255</v>
      </c>
      <c r="F20" s="174">
        <v>2274.0650000000001</v>
      </c>
      <c r="G20" s="155">
        <v>2748.32</v>
      </c>
      <c r="I20" s="174">
        <v>6.7499999999999991</v>
      </c>
      <c r="J20" s="174">
        <v>31.966052853528254</v>
      </c>
      <c r="K20" s="175">
        <v>3.226337737794021</v>
      </c>
      <c r="L20" s="176" t="str">
        <f>VLOOKUP(B20,'Spokane DF Calc'!C:E,1,FALSE)</f>
        <v>RL 90 GL 1X WK 2</v>
      </c>
      <c r="M20" s="155">
        <v>10.048074928125009</v>
      </c>
      <c r="O20" s="171">
        <v>389.0217999935</v>
      </c>
      <c r="Q20" s="177">
        <v>70.86</v>
      </c>
      <c r="R20" s="155">
        <v>80.908074928125004</v>
      </c>
      <c r="S20" s="178">
        <v>3137.3417999935</v>
      </c>
    </row>
    <row r="21" spans="1:19" s="149" customFormat="1" ht="12" customHeight="1">
      <c r="A21" s="152" t="s">
        <v>324</v>
      </c>
      <c r="B21" s="152" t="s">
        <v>325</v>
      </c>
      <c r="C21" s="173">
        <v>99.96</v>
      </c>
      <c r="D21" s="173">
        <v>106.71</v>
      </c>
      <c r="E21" s="174">
        <v>299.88</v>
      </c>
      <c r="F21" s="174">
        <v>953.6400000000001</v>
      </c>
      <c r="G21" s="155">
        <v>1253.52</v>
      </c>
      <c r="I21" s="174">
        <v>3</v>
      </c>
      <c r="J21" s="174">
        <v>8.9367444475681772</v>
      </c>
      <c r="K21" s="175">
        <v>0.9947287039640148</v>
      </c>
      <c r="L21" s="176" t="str">
        <f>VLOOKUP(B21,'Spokane DF Calc'!C:E,1,FALSE)</f>
        <v>RL 90 GL 1X WK 3</v>
      </c>
      <c r="M21" s="155">
        <v>15.072112392187512</v>
      </c>
      <c r="O21" s="171">
        <v>179.9119539105678</v>
      </c>
      <c r="Q21" s="177">
        <v>106.28999999999999</v>
      </c>
      <c r="R21" s="155">
        <v>121.3621123921875</v>
      </c>
      <c r="S21" s="178">
        <v>1433.4319539105677</v>
      </c>
    </row>
    <row r="22" spans="1:19" s="149" customFormat="1" ht="12" customHeight="1">
      <c r="A22" s="152" t="s">
        <v>24</v>
      </c>
      <c r="B22" s="152" t="s">
        <v>25</v>
      </c>
      <c r="C22" s="173">
        <v>13.01</v>
      </c>
      <c r="D22" s="173">
        <v>13.06</v>
      </c>
      <c r="E22" s="174">
        <v>0</v>
      </c>
      <c r="F22" s="174">
        <v>0</v>
      </c>
      <c r="G22" s="155">
        <v>0</v>
      </c>
      <c r="I22" s="174">
        <v>0</v>
      </c>
      <c r="J22" s="174">
        <v>0</v>
      </c>
      <c r="K22" s="175">
        <v>0</v>
      </c>
      <c r="L22" s="176" t="str">
        <f>VLOOKUP(B22,'Spokane DF Calc'!C:E,1,FALSE)</f>
        <v>1 RL 32 GL ON CALL-RES</v>
      </c>
      <c r="M22" s="155">
        <v>1.8490953579276053</v>
      </c>
      <c r="O22" s="171">
        <v>0</v>
      </c>
      <c r="Q22" s="177">
        <v>13.04</v>
      </c>
      <c r="R22" s="155">
        <v>14.889095357927605</v>
      </c>
      <c r="S22" s="178">
        <v>0</v>
      </c>
    </row>
    <row r="23" spans="1:19" s="149" customFormat="1" ht="12" customHeight="1">
      <c r="A23" s="152" t="s">
        <v>26</v>
      </c>
      <c r="B23" s="152" t="s">
        <v>27</v>
      </c>
      <c r="C23" s="173">
        <v>4.4400000000000004</v>
      </c>
      <c r="D23" s="173">
        <v>4.49</v>
      </c>
      <c r="E23" s="174">
        <v>848.96</v>
      </c>
      <c r="F23" s="174">
        <v>4598.93</v>
      </c>
      <c r="G23" s="155">
        <v>5447.89</v>
      </c>
      <c r="I23" s="174">
        <v>191.2072072072072</v>
      </c>
      <c r="J23" s="174">
        <v>1024.260579064588</v>
      </c>
      <c r="K23" s="175">
        <v>101.28898218931626</v>
      </c>
      <c r="L23" s="176" t="str">
        <f>VLOOKUP(B23,'Spokane DF Calc'!C:E,1,FALSE)</f>
        <v>EXTRA CAN, BAG, BOX-RES</v>
      </c>
      <c r="M23" s="155">
        <v>0.63385400689696281</v>
      </c>
      <c r="O23" s="171">
        <v>770.42912658255841</v>
      </c>
      <c r="Q23" s="177">
        <v>4.47</v>
      </c>
      <c r="R23" s="155">
        <v>5.1038540068969622</v>
      </c>
      <c r="S23" s="178">
        <v>6218.319126582559</v>
      </c>
    </row>
    <row r="24" spans="1:19" s="149" customFormat="1" ht="12" customHeight="1">
      <c r="A24" s="152" t="s">
        <v>28</v>
      </c>
      <c r="B24" s="152" t="s">
        <v>29</v>
      </c>
      <c r="C24" s="173">
        <v>22.61</v>
      </c>
      <c r="D24" s="173">
        <v>22.8</v>
      </c>
      <c r="E24" s="174">
        <v>22.61</v>
      </c>
      <c r="F24" s="174">
        <v>45.6</v>
      </c>
      <c r="G24" s="155">
        <v>68.210000000000008</v>
      </c>
      <c r="I24" s="174">
        <v>1</v>
      </c>
      <c r="J24" s="174">
        <v>2</v>
      </c>
      <c r="K24" s="175">
        <v>0.25</v>
      </c>
      <c r="L24" s="176" t="str">
        <f>VLOOKUP(B24,'Spokane DF Calc'!C:E,1,FALSE)</f>
        <v>EXTRA YARDAGE - RES</v>
      </c>
      <c r="M24" s="155">
        <v>3.2245727330731397</v>
      </c>
      <c r="O24" s="171">
        <v>9.6737181992194188</v>
      </c>
      <c r="Q24" s="177">
        <v>22.74</v>
      </c>
      <c r="R24" s="155">
        <v>25.964572733073137</v>
      </c>
      <c r="S24" s="178">
        <v>77.88371819921943</v>
      </c>
    </row>
    <row r="25" spans="1:19" s="149" customFormat="1" ht="12" customHeight="1">
      <c r="A25" s="152" t="s">
        <v>34</v>
      </c>
      <c r="B25" s="152" t="s">
        <v>35</v>
      </c>
      <c r="C25" s="173">
        <v>22.61</v>
      </c>
      <c r="D25" s="173">
        <v>22.8</v>
      </c>
      <c r="E25" s="174">
        <v>0</v>
      </c>
      <c r="F25" s="174">
        <v>182.4</v>
      </c>
      <c r="G25" s="155">
        <v>182.4</v>
      </c>
      <c r="I25" s="174">
        <v>0</v>
      </c>
      <c r="J25" s="174">
        <v>8</v>
      </c>
      <c r="K25" s="175">
        <v>0.66666666666666663</v>
      </c>
      <c r="L25" s="176" t="str">
        <f>VLOOKUP(B25,'Spokane DF Calc'!C:E,1,FALSE)</f>
        <v>BULKY ITEM PICK UP-RES</v>
      </c>
      <c r="M25" s="155">
        <v>3.2245727330731397</v>
      </c>
      <c r="O25" s="171">
        <v>25.796581864585114</v>
      </c>
      <c r="Q25" s="177">
        <v>22.74</v>
      </c>
      <c r="R25" s="155">
        <v>25.964572733073137</v>
      </c>
      <c r="S25" s="178">
        <v>208.19658186458511</v>
      </c>
    </row>
    <row r="26" spans="1:19" s="149" customFormat="1" ht="12" customHeight="1">
      <c r="A26" s="152" t="s">
        <v>30</v>
      </c>
      <c r="B26" s="152" t="s">
        <v>31</v>
      </c>
      <c r="C26" s="173">
        <v>4.4400000000000004</v>
      </c>
      <c r="D26" s="173">
        <v>4.49</v>
      </c>
      <c r="E26" s="174">
        <v>4.4400000000000004</v>
      </c>
      <c r="F26" s="174">
        <v>89.47</v>
      </c>
      <c r="G26" s="155">
        <v>93.91</v>
      </c>
      <c r="I26" s="174">
        <v>1</v>
      </c>
      <c r="J26" s="174">
        <v>19.926503340757236</v>
      </c>
      <c r="K26" s="175">
        <v>1.7438752783964364</v>
      </c>
      <c r="L26" s="176" t="str">
        <f>VLOOKUP(B26,'Spokane DF Calc'!C:E,1,FALSE)</f>
        <v>OVERSIZE CAN - RES</v>
      </c>
      <c r="M26" s="155">
        <v>0.63385400689696281</v>
      </c>
      <c r="O26" s="171">
        <v>13.264347992881653</v>
      </c>
      <c r="Q26" s="177">
        <v>4.47</v>
      </c>
      <c r="R26" s="155">
        <v>5.1038540068969622</v>
      </c>
      <c r="S26" s="178">
        <v>107.17434799288165</v>
      </c>
    </row>
    <row r="27" spans="1:19" s="149" customFormat="1" ht="12" customHeight="1">
      <c r="A27" s="152" t="s">
        <v>32</v>
      </c>
      <c r="B27" s="152" t="s">
        <v>33</v>
      </c>
      <c r="C27" s="173">
        <v>4.4400000000000004</v>
      </c>
      <c r="D27" s="173">
        <v>4.49</v>
      </c>
      <c r="E27" s="174">
        <v>13.32</v>
      </c>
      <c r="F27" s="174">
        <v>35.920000000000009</v>
      </c>
      <c r="G27" s="155">
        <v>49.240000000000009</v>
      </c>
      <c r="I27" s="174">
        <v>3</v>
      </c>
      <c r="J27" s="174">
        <v>8.0000000000000018</v>
      </c>
      <c r="K27" s="175">
        <v>0.91666666666666685</v>
      </c>
      <c r="L27" s="176" t="str">
        <f>VLOOKUP(B27,'Spokane DF Calc'!C:E,1,FALSE)</f>
        <v>OVERFILL/WEIGHT CAN-RES</v>
      </c>
      <c r="M27" s="155">
        <v>0.63385400689696281</v>
      </c>
      <c r="O27" s="171">
        <v>6.9723940758665917</v>
      </c>
      <c r="Q27" s="177">
        <v>4.47</v>
      </c>
      <c r="R27" s="155">
        <v>5.1038540068969622</v>
      </c>
      <c r="S27" s="178">
        <v>56.212394075866598</v>
      </c>
    </row>
    <row r="28" spans="1:19" s="149" customFormat="1" ht="12" customHeight="1">
      <c r="A28" s="152" t="s">
        <v>261</v>
      </c>
      <c r="B28" s="152" t="s">
        <v>262</v>
      </c>
      <c r="C28" s="173">
        <v>6.97</v>
      </c>
      <c r="D28" s="173">
        <v>6.97</v>
      </c>
      <c r="E28" s="174">
        <v>864.28</v>
      </c>
      <c r="F28" s="174">
        <v>2143.27</v>
      </c>
      <c r="G28" s="155">
        <v>3007.55</v>
      </c>
      <c r="I28" s="174">
        <v>124</v>
      </c>
      <c r="J28" s="174">
        <v>307.49928263988522</v>
      </c>
      <c r="K28" s="176">
        <v>35.958273553323771</v>
      </c>
      <c r="L28" s="176" t="e">
        <f>VLOOKUP(B28,'Spokane DF Calc'!C:E,1,FALSE)</f>
        <v>#N/A</v>
      </c>
      <c r="M28" s="155">
        <v>0.98854282735588317</v>
      </c>
      <c r="O28" s="171">
        <v>426.55552086286752</v>
      </c>
      <c r="Q28" s="157">
        <v>6.9713000000000003</v>
      </c>
      <c r="R28" s="155">
        <v>7.9598428273558834</v>
      </c>
      <c r="S28" s="178">
        <v>3434.1055208628677</v>
      </c>
    </row>
    <row r="29" spans="1:19" s="149" customFormat="1" ht="12" customHeight="1">
      <c r="A29" s="152" t="s">
        <v>326</v>
      </c>
      <c r="B29" s="152" t="s">
        <v>327</v>
      </c>
      <c r="C29" s="173">
        <v>8.4700000000000006</v>
      </c>
      <c r="D29" s="173">
        <v>8.4700000000000006</v>
      </c>
      <c r="E29" s="174">
        <v>0</v>
      </c>
      <c r="F29" s="174">
        <v>0</v>
      </c>
      <c r="G29" s="155">
        <v>0</v>
      </c>
      <c r="I29" s="174">
        <v>0</v>
      </c>
      <c r="J29" s="174">
        <v>0</v>
      </c>
      <c r="K29" s="176">
        <v>0</v>
      </c>
      <c r="L29" s="176" t="e">
        <f>VLOOKUP(B29,'Spokane DF Calc'!C:E,1,FALSE)</f>
        <v>#N/A</v>
      </c>
      <c r="M29" s="155">
        <v>1.2010611719054309</v>
      </c>
      <c r="O29" s="171">
        <v>0</v>
      </c>
      <c r="Q29" s="177">
        <v>8.4700000000000006</v>
      </c>
      <c r="R29" s="155">
        <v>9.671061171905432</v>
      </c>
      <c r="S29" s="178">
        <v>0</v>
      </c>
    </row>
    <row r="30" spans="1:19" s="149" customFormat="1" ht="12" customHeight="1">
      <c r="A30" s="152" t="s">
        <v>36</v>
      </c>
      <c r="B30" s="152" t="s">
        <v>37</v>
      </c>
      <c r="C30" s="173">
        <v>23.04</v>
      </c>
      <c r="D30" s="173">
        <v>23.04</v>
      </c>
      <c r="E30" s="174">
        <v>23.04</v>
      </c>
      <c r="F30" s="174">
        <v>46.08</v>
      </c>
      <c r="G30" s="155">
        <v>69.12</v>
      </c>
      <c r="I30" s="174">
        <v>1</v>
      </c>
      <c r="J30" s="174">
        <v>2</v>
      </c>
      <c r="K30" s="176">
        <v>0.25</v>
      </c>
      <c r="L30" s="176" t="e">
        <f>VLOOKUP(B30,'Spokane DF Calc'!C:E,1,FALSE)</f>
        <v>#N/A</v>
      </c>
      <c r="M30" s="155">
        <v>3.2671132704487751</v>
      </c>
      <c r="O30" s="171">
        <v>9.8013398113463257</v>
      </c>
      <c r="Q30" s="177">
        <v>23.04</v>
      </c>
      <c r="R30" s="155">
        <v>26.307113270448774</v>
      </c>
      <c r="S30" s="178">
        <v>78.921339811346328</v>
      </c>
    </row>
    <row r="31" spans="1:19" s="149" customFormat="1" ht="12" customHeight="1">
      <c r="A31" s="152" t="s">
        <v>38</v>
      </c>
      <c r="B31" s="152" t="s">
        <v>39</v>
      </c>
      <c r="C31" s="173">
        <v>13.83</v>
      </c>
      <c r="D31" s="173">
        <v>13.83</v>
      </c>
      <c r="E31" s="174">
        <v>41.49</v>
      </c>
      <c r="F31" s="174">
        <v>207.45000000000002</v>
      </c>
      <c r="G31" s="155">
        <v>248.94000000000003</v>
      </c>
      <c r="I31" s="174">
        <v>3</v>
      </c>
      <c r="J31" s="174">
        <v>15.000000000000002</v>
      </c>
      <c r="K31" s="176">
        <v>1.5</v>
      </c>
      <c r="L31" s="176" t="e">
        <f>VLOOKUP(B31,'Spokane DF Calc'!C:E,1,FALSE)</f>
        <v>#N/A</v>
      </c>
      <c r="M31" s="155">
        <v>1.9611187730167778</v>
      </c>
      <c r="O31" s="171">
        <v>35.300137914301999</v>
      </c>
      <c r="Q31" s="177">
        <v>13.83</v>
      </c>
      <c r="R31" s="155">
        <v>15.791118773016779</v>
      </c>
      <c r="S31" s="178">
        <v>284.24013791430201</v>
      </c>
    </row>
    <row r="32" spans="1:19" s="149" customFormat="1" ht="12" customHeight="1" thickBot="1">
      <c r="A32" s="179"/>
      <c r="B32" s="179"/>
      <c r="C32" s="173"/>
      <c r="D32" s="173"/>
      <c r="E32" s="174"/>
      <c r="F32" s="174"/>
      <c r="G32" s="155"/>
      <c r="I32" s="174"/>
      <c r="J32" s="174"/>
      <c r="K32" s="176"/>
      <c r="L32" s="176"/>
      <c r="O32" s="171"/>
    </row>
    <row r="33" spans="1:19" s="149" customFormat="1" ht="12" customHeight="1" thickBot="1">
      <c r="B33" s="180" t="s">
        <v>40</v>
      </c>
      <c r="C33" s="173"/>
      <c r="D33" s="173"/>
      <c r="E33" s="181">
        <v>93555.73000000004</v>
      </c>
      <c r="F33" s="181">
        <v>299554.71000000002</v>
      </c>
      <c r="G33" s="181">
        <v>393110.44000000006</v>
      </c>
      <c r="I33" s="174"/>
      <c r="J33" s="174"/>
      <c r="K33" s="182">
        <v>1205.2666702232293</v>
      </c>
      <c r="L33" s="183"/>
      <c r="O33" s="184">
        <v>55692.349248277074</v>
      </c>
      <c r="R33" s="185"/>
      <c r="S33" s="186">
        <v>448802.78924827708</v>
      </c>
    </row>
    <row r="34" spans="1:19" s="149" customFormat="1" ht="12" customHeight="1">
      <c r="C34" s="173"/>
      <c r="D34" s="173"/>
      <c r="G34" s="155"/>
      <c r="I34" s="174"/>
      <c r="J34" s="174"/>
      <c r="K34" s="176"/>
      <c r="L34" s="176"/>
      <c r="O34" s="171"/>
    </row>
    <row r="35" spans="1:19" ht="12" customHeight="1">
      <c r="A35" s="172" t="s">
        <v>41</v>
      </c>
      <c r="B35" s="172" t="s">
        <v>41</v>
      </c>
      <c r="I35" s="176"/>
      <c r="J35" s="176"/>
      <c r="K35" s="176"/>
      <c r="L35" s="176"/>
    </row>
    <row r="36" spans="1:19" ht="12" customHeight="1">
      <c r="A36" s="172"/>
      <c r="B36" s="172"/>
      <c r="I36" s="176"/>
      <c r="J36" s="176"/>
      <c r="K36" s="176"/>
      <c r="L36" s="176"/>
    </row>
    <row r="37" spans="1:19" s="149" customFormat="1">
      <c r="A37" s="156" t="s">
        <v>42</v>
      </c>
      <c r="B37" s="156" t="s">
        <v>42</v>
      </c>
      <c r="C37" s="173"/>
      <c r="D37" s="173"/>
      <c r="G37" s="155"/>
      <c r="I37" s="174"/>
      <c r="J37" s="174"/>
      <c r="K37" s="176"/>
      <c r="L37" s="176"/>
      <c r="O37" s="171"/>
    </row>
    <row r="38" spans="1:19" s="149" customFormat="1" ht="12" customHeight="1">
      <c r="A38" s="152" t="s">
        <v>43</v>
      </c>
      <c r="B38" s="152" t="s">
        <v>44</v>
      </c>
      <c r="C38" s="173">
        <v>76.08</v>
      </c>
      <c r="D38" s="173">
        <v>77.2</v>
      </c>
      <c r="E38" s="174">
        <v>6048.36</v>
      </c>
      <c r="F38" s="174">
        <v>18354.300000000003</v>
      </c>
      <c r="G38" s="155">
        <v>24402.660000000003</v>
      </c>
      <c r="I38" s="174">
        <v>79.5</v>
      </c>
      <c r="J38" s="174">
        <v>237.75000000000003</v>
      </c>
      <c r="K38" s="176">
        <v>26.4375</v>
      </c>
      <c r="L38" s="176" t="str">
        <f>VLOOKUP(B38,'Spokane DF Calc'!C:E,1,FALSE)</f>
        <v>RL 1 YD 1X WK 1</v>
      </c>
      <c r="M38" s="155">
        <v>10.898531171159581</v>
      </c>
      <c r="O38" s="171">
        <v>3457.5590140503773</v>
      </c>
      <c r="Q38" s="177">
        <v>76.857500000000002</v>
      </c>
      <c r="R38" s="178">
        <v>87.756031171159577</v>
      </c>
      <c r="S38" s="178">
        <v>27860.219014050381</v>
      </c>
    </row>
    <row r="39" spans="1:19" s="149" customFormat="1" ht="12" customHeight="1">
      <c r="A39" s="152" t="s">
        <v>372</v>
      </c>
      <c r="B39" s="152" t="s">
        <v>373</v>
      </c>
      <c r="C39" s="173">
        <v>17.57</v>
      </c>
      <c r="D39" s="173">
        <v>17.829999999999998</v>
      </c>
      <c r="E39" s="174">
        <v>52.71</v>
      </c>
      <c r="F39" s="174">
        <v>53.489999999999995</v>
      </c>
      <c r="G39" s="155">
        <v>106.19999999999999</v>
      </c>
      <c r="I39" s="174">
        <v>3</v>
      </c>
      <c r="J39" s="174">
        <v>3</v>
      </c>
      <c r="K39" s="176">
        <v>0.5</v>
      </c>
      <c r="L39" s="176" t="str">
        <f>VLOOKUP(B39,'Spokane DF Calc'!C:E,1,FALSE)</f>
        <v>RL 1 YD 1X MO 1</v>
      </c>
      <c r="M39" s="155">
        <v>2.5169817947250763</v>
      </c>
      <c r="O39" s="171">
        <v>15.101890768350458</v>
      </c>
      <c r="Q39" s="177">
        <v>17.75</v>
      </c>
      <c r="R39" s="178">
        <v>20.266981794725076</v>
      </c>
      <c r="S39" s="178">
        <v>121.30189076835045</v>
      </c>
    </row>
    <row r="40" spans="1:19" s="149" customFormat="1" ht="12" customHeight="1">
      <c r="A40" s="152" t="s">
        <v>45</v>
      </c>
      <c r="B40" s="152" t="s">
        <v>46</v>
      </c>
      <c r="C40" s="173">
        <v>114.01</v>
      </c>
      <c r="D40" s="173">
        <v>115.61</v>
      </c>
      <c r="E40" s="174">
        <v>3534.3099999999995</v>
      </c>
      <c r="F40" s="174">
        <v>12919.41</v>
      </c>
      <c r="G40" s="155">
        <v>16453.72</v>
      </c>
      <c r="I40" s="174">
        <v>30.999999999999993</v>
      </c>
      <c r="J40" s="174">
        <v>111.74993512671914</v>
      </c>
      <c r="K40" s="176">
        <v>11.895827927226593</v>
      </c>
      <c r="L40" s="176" t="str">
        <f>VLOOKUP(B40,'Spokane DF Calc'!C:E,1,FALSE)</f>
        <v>RL 1.5 YD 1X WK 1</v>
      </c>
      <c r="M40" s="155">
        <v>16.320166677713896</v>
      </c>
      <c r="O40" s="171">
        <v>2329.7027345009019</v>
      </c>
      <c r="Q40" s="155">
        <v>115.09139999999999</v>
      </c>
      <c r="R40" s="178">
        <v>131.41156667771389</v>
      </c>
      <c r="S40" s="178">
        <v>18783.422734500902</v>
      </c>
    </row>
    <row r="41" spans="1:19" s="149" customFormat="1" ht="12" customHeight="1">
      <c r="A41" s="152" t="s">
        <v>47</v>
      </c>
      <c r="B41" s="152" t="s">
        <v>48</v>
      </c>
      <c r="C41" s="173">
        <v>228.02</v>
      </c>
      <c r="D41" s="173">
        <v>231.22</v>
      </c>
      <c r="E41" s="174">
        <v>0</v>
      </c>
      <c r="F41" s="174">
        <v>867.07999999999993</v>
      </c>
      <c r="G41" s="155">
        <v>867.07999999999993</v>
      </c>
      <c r="I41" s="174">
        <v>0</v>
      </c>
      <c r="J41" s="174">
        <v>3.7500216244269522</v>
      </c>
      <c r="K41" s="176">
        <v>0.31250180203557937</v>
      </c>
      <c r="L41" s="176" t="str">
        <f>VLOOKUP(B41,'Spokane DF Calc'!C:E,1,FALSE)</f>
        <v>RL 1.5 YD 1X WK 2</v>
      </c>
      <c r="M41" s="155">
        <v>32.640333355427792</v>
      </c>
      <c r="O41" s="171">
        <v>122.40195591135856</v>
      </c>
      <c r="Q41" s="155">
        <v>230.18279999999999</v>
      </c>
      <c r="R41" s="178">
        <v>262.82313335542779</v>
      </c>
      <c r="S41" s="178">
        <v>989.48195591135845</v>
      </c>
    </row>
    <row r="42" spans="1:19" s="149" customFormat="1" ht="12" customHeight="1">
      <c r="A42" s="152" t="s">
        <v>49</v>
      </c>
      <c r="B42" s="152" t="s">
        <v>50</v>
      </c>
      <c r="C42" s="173">
        <v>342.03</v>
      </c>
      <c r="D42" s="173">
        <v>346.83</v>
      </c>
      <c r="E42" s="174">
        <v>85.51</v>
      </c>
      <c r="F42" s="174">
        <v>1127.2</v>
      </c>
      <c r="G42" s="155">
        <v>1212.71</v>
      </c>
      <c r="I42" s="174">
        <v>0.25000730930035381</v>
      </c>
      <c r="J42" s="174">
        <v>3.2500072081423177</v>
      </c>
      <c r="K42" s="176">
        <v>0.29166787645355596</v>
      </c>
      <c r="L42" s="176" t="str">
        <f>VLOOKUP(B42,'Spokane DF Calc'!C:E,1,FALSE)</f>
        <v>RL 1.5 YD 1X WK 3</v>
      </c>
      <c r="M42" s="155">
        <v>48.960500033141692</v>
      </c>
      <c r="O42" s="171">
        <v>171.36246089724833</v>
      </c>
      <c r="Q42" s="155">
        <v>345.27420000000001</v>
      </c>
      <c r="R42" s="178">
        <v>394.23470003314168</v>
      </c>
      <c r="S42" s="178">
        <v>1384.0724608972484</v>
      </c>
    </row>
    <row r="43" spans="1:19" s="149" customFormat="1" ht="12" customHeight="1">
      <c r="A43" s="152" t="s">
        <v>51</v>
      </c>
      <c r="B43" s="152" t="s">
        <v>52</v>
      </c>
      <c r="C43" s="173">
        <v>151.59</v>
      </c>
      <c r="D43" s="173">
        <v>153.66999999999999</v>
      </c>
      <c r="E43" s="174">
        <v>4547.7</v>
      </c>
      <c r="F43" s="174">
        <v>12370.44</v>
      </c>
      <c r="G43" s="155">
        <v>16918.14</v>
      </c>
      <c r="I43" s="174">
        <v>29.999999999999996</v>
      </c>
      <c r="J43" s="174">
        <v>80.500032537255166</v>
      </c>
      <c r="K43" s="176">
        <v>9.2083360447712632</v>
      </c>
      <c r="L43" s="176" t="str">
        <f>VLOOKUP(B43,'Spokane DF Calc'!C:E,1,FALSE)</f>
        <v>RL 2 YD 1X WK 1</v>
      </c>
      <c r="M43" s="155">
        <v>21.692682043778476</v>
      </c>
      <c r="O43" s="171">
        <v>2397.0420716578524</v>
      </c>
      <c r="Q43" s="177">
        <v>152.97889999999998</v>
      </c>
      <c r="R43" s="178">
        <v>174.67158204377847</v>
      </c>
      <c r="S43" s="178">
        <v>19315.182071657851</v>
      </c>
    </row>
    <row r="44" spans="1:19" s="149" customFormat="1" ht="12" customHeight="1">
      <c r="A44" s="152" t="s">
        <v>53</v>
      </c>
      <c r="B44" s="152" t="s">
        <v>54</v>
      </c>
      <c r="C44" s="173">
        <v>212.86</v>
      </c>
      <c r="D44" s="173">
        <v>215.89</v>
      </c>
      <c r="E44" s="174">
        <v>1915.7400000000002</v>
      </c>
      <c r="F44" s="174">
        <v>6692.5899999999983</v>
      </c>
      <c r="G44" s="155">
        <v>8608.3299999999981</v>
      </c>
      <c r="I44" s="174">
        <v>9</v>
      </c>
      <c r="J44" s="174">
        <v>30.999999999999993</v>
      </c>
      <c r="K44" s="176">
        <v>3.3333333333333326</v>
      </c>
      <c r="L44" s="176" t="str">
        <f>VLOOKUP(B44,'Spokane DF Calc'!C:E,1,FALSE)</f>
        <v>RL 3 YD 1X WK 1</v>
      </c>
      <c r="M44" s="155">
        <v>30.47290715631831</v>
      </c>
      <c r="O44" s="171">
        <v>1218.9162862527321</v>
      </c>
      <c r="Q44" s="155">
        <v>214.89790000000002</v>
      </c>
      <c r="R44" s="178">
        <v>245.37080715631834</v>
      </c>
      <c r="S44" s="178">
        <v>9827.24628625273</v>
      </c>
    </row>
    <row r="45" spans="1:19" s="149" customFormat="1" ht="12" customHeight="1">
      <c r="A45" s="152" t="s">
        <v>55</v>
      </c>
      <c r="B45" s="152" t="s">
        <v>56</v>
      </c>
      <c r="C45" s="173">
        <v>425.72</v>
      </c>
      <c r="D45" s="173">
        <v>431.78</v>
      </c>
      <c r="E45" s="174">
        <v>1809.3100000000002</v>
      </c>
      <c r="F45" s="174">
        <v>3886.0199999999986</v>
      </c>
      <c r="G45" s="155">
        <v>5695.329999999999</v>
      </c>
      <c r="I45" s="174">
        <v>4.25</v>
      </c>
      <c r="J45" s="174">
        <v>8.9999999999999982</v>
      </c>
      <c r="K45" s="176">
        <v>1.1041666666666665</v>
      </c>
      <c r="L45" s="176" t="str">
        <f>VLOOKUP(B45,'Spokane DF Calc'!C:E,1,FALSE)</f>
        <v>RL 3 YD 1X WK 2</v>
      </c>
      <c r="M45" s="155">
        <v>60.945814312636621</v>
      </c>
      <c r="O45" s="171">
        <v>807.53203964243505</v>
      </c>
      <c r="Q45" s="155">
        <v>429.79580000000004</v>
      </c>
      <c r="R45" s="178">
        <v>490.74161431263667</v>
      </c>
      <c r="S45" s="178">
        <v>6502.862039642434</v>
      </c>
    </row>
    <row r="46" spans="1:19" s="149" customFormat="1" ht="12" customHeight="1">
      <c r="A46" s="152" t="s">
        <v>57</v>
      </c>
      <c r="B46" s="152" t="s">
        <v>58</v>
      </c>
      <c r="C46" s="173">
        <v>281.93</v>
      </c>
      <c r="D46" s="173">
        <v>285.87</v>
      </c>
      <c r="E46" s="174">
        <v>4228.9500000000007</v>
      </c>
      <c r="F46" s="174">
        <v>14507.9</v>
      </c>
      <c r="G46" s="155">
        <v>18736.849999999999</v>
      </c>
      <c r="I46" s="174">
        <v>15.000000000000002</v>
      </c>
      <c r="J46" s="174">
        <v>50.749991254766151</v>
      </c>
      <c r="K46" s="176">
        <v>5.4791659378971795</v>
      </c>
      <c r="L46" s="176" t="str">
        <f>VLOOKUP(B46,'Spokane DF Calc'!C:E,1,FALSE)</f>
        <v>RL 4 YD 1X WK 1</v>
      </c>
      <c r="M46" s="155">
        <v>74.766993842935335</v>
      </c>
      <c r="O46" s="171">
        <v>4915.9291913181532</v>
      </c>
      <c r="Q46" s="155">
        <v>527.26409999999998</v>
      </c>
      <c r="R46" s="178">
        <v>602.03109384293532</v>
      </c>
      <c r="S46" s="178">
        <v>23652.77919131815</v>
      </c>
    </row>
    <row r="47" spans="1:19" s="149" customFormat="1" ht="12" customHeight="1">
      <c r="A47" s="152" t="s">
        <v>59</v>
      </c>
      <c r="B47" s="152" t="s">
        <v>60</v>
      </c>
      <c r="C47" s="173">
        <v>563.86</v>
      </c>
      <c r="D47" s="173">
        <v>571.74</v>
      </c>
      <c r="E47" s="174">
        <v>2678.34</v>
      </c>
      <c r="F47" s="174">
        <v>10291.319999999998</v>
      </c>
      <c r="G47" s="155">
        <v>12969.659999999998</v>
      </c>
      <c r="I47" s="174">
        <v>4.7500088674493668</v>
      </c>
      <c r="J47" s="174">
        <v>17.999999999999996</v>
      </c>
      <c r="K47" s="176">
        <v>1.8958340722874469</v>
      </c>
      <c r="L47" s="176" t="str">
        <f>VLOOKUP(B47,'Spokane DF Calc'!C:E,1,FALSE)</f>
        <v>RL 4 YD 1X WK 2</v>
      </c>
      <c r="M47" s="155">
        <v>80.716670859754288</v>
      </c>
      <c r="O47" s="171">
        <v>1836.3049778104014</v>
      </c>
      <c r="Q47" s="155">
        <v>569.22180000000003</v>
      </c>
      <c r="R47" s="178">
        <v>649.93847085975426</v>
      </c>
      <c r="S47" s="178">
        <v>14805.964977810399</v>
      </c>
    </row>
    <row r="48" spans="1:19" s="149" customFormat="1" ht="12" customHeight="1">
      <c r="A48" s="152" t="s">
        <v>61</v>
      </c>
      <c r="B48" s="152" t="s">
        <v>62</v>
      </c>
      <c r="C48" s="173">
        <v>818.2</v>
      </c>
      <c r="D48" s="173">
        <v>829.02</v>
      </c>
      <c r="E48" s="174">
        <v>2454.6000000000004</v>
      </c>
      <c r="F48" s="174">
        <v>7461.1800000000021</v>
      </c>
      <c r="G48" s="155">
        <v>9915.7800000000025</v>
      </c>
      <c r="I48" s="174">
        <v>3.0000000000000004</v>
      </c>
      <c r="J48" s="174">
        <v>9.0000000000000036</v>
      </c>
      <c r="K48" s="176">
        <v>1.0000000000000002</v>
      </c>
      <c r="L48" s="176" t="str">
        <f>VLOOKUP(B48,'Spokane DF Calc'!C:E,1,FALSE)</f>
        <v>RL 6 YD 1X WK 2</v>
      </c>
      <c r="M48" s="155">
        <v>117.06557482215695</v>
      </c>
      <c r="O48" s="171">
        <v>1404.7868978658837</v>
      </c>
      <c r="Q48" s="155">
        <v>825.55780000000004</v>
      </c>
      <c r="R48" s="178">
        <v>942.62337482215696</v>
      </c>
      <c r="S48" s="178">
        <v>11320.566897865887</v>
      </c>
    </row>
    <row r="49" spans="1:19" s="149" customFormat="1" ht="12" customHeight="1">
      <c r="A49" s="152" t="s">
        <v>83</v>
      </c>
      <c r="B49" s="152" t="s">
        <v>84</v>
      </c>
      <c r="C49" s="173">
        <v>21.53</v>
      </c>
      <c r="D49" s="173">
        <v>21.79</v>
      </c>
      <c r="E49" s="174">
        <v>0</v>
      </c>
      <c r="F49" s="174">
        <v>0</v>
      </c>
      <c r="G49" s="155">
        <v>0</v>
      </c>
      <c r="I49" s="174">
        <v>0</v>
      </c>
      <c r="J49" s="174">
        <v>0</v>
      </c>
      <c r="K49" s="176">
        <v>0</v>
      </c>
      <c r="L49" s="176" t="str">
        <f>VLOOKUP(B49,'Spokane DF Calc'!C:E,1,FALSE)</f>
        <v>RL TEMPORARY 1 YD-COMM</v>
      </c>
      <c r="M49" s="155">
        <v>3.0785168880834597</v>
      </c>
      <c r="O49" s="171">
        <v>0</v>
      </c>
      <c r="Q49" s="177">
        <v>21.71</v>
      </c>
      <c r="R49" s="178">
        <v>24.788516888083461</v>
      </c>
      <c r="S49" s="178">
        <v>0</v>
      </c>
    </row>
    <row r="50" spans="1:19" s="149" customFormat="1" ht="12" customHeight="1">
      <c r="A50" s="152" t="s">
        <v>81</v>
      </c>
      <c r="B50" s="152" t="s">
        <v>82</v>
      </c>
      <c r="C50" s="173">
        <v>32.409999999999997</v>
      </c>
      <c r="D50" s="173">
        <v>32.78</v>
      </c>
      <c r="E50" s="174">
        <v>0</v>
      </c>
      <c r="F50" s="174">
        <v>32.78</v>
      </c>
      <c r="G50" s="155">
        <v>32.78</v>
      </c>
      <c r="I50" s="174">
        <v>0</v>
      </c>
      <c r="J50" s="174">
        <v>1</v>
      </c>
      <c r="K50" s="176">
        <v>8.3333333333333329E-2</v>
      </c>
      <c r="L50" s="176" t="str">
        <f>VLOOKUP(B50,'Spokane DF Calc'!C:E,1,FALSE)</f>
        <v>RL TEMPORARY 1.5 YD-COMM</v>
      </c>
      <c r="M50" s="155">
        <v>4.6312465022941396</v>
      </c>
      <c r="O50" s="171">
        <v>4.6312465022941396</v>
      </c>
      <c r="Q50" s="177">
        <v>32.659999999999997</v>
      </c>
      <c r="R50" s="178">
        <v>37.291246502294136</v>
      </c>
      <c r="S50" s="178">
        <v>37.411246502294141</v>
      </c>
    </row>
    <row r="51" spans="1:19" s="149" customFormat="1" ht="12" customHeight="1">
      <c r="A51" s="152" t="s">
        <v>85</v>
      </c>
      <c r="B51" s="152" t="s">
        <v>86</v>
      </c>
      <c r="C51" s="173">
        <v>41.53</v>
      </c>
      <c r="D51" s="173">
        <v>42.01</v>
      </c>
      <c r="E51" s="174">
        <v>41.53</v>
      </c>
      <c r="F51" s="174">
        <v>42.01</v>
      </c>
      <c r="G51" s="155">
        <v>83.539999999999992</v>
      </c>
      <c r="I51" s="174">
        <v>1</v>
      </c>
      <c r="J51" s="174">
        <v>1</v>
      </c>
      <c r="K51" s="176">
        <v>0.16666666666666666</v>
      </c>
      <c r="L51" s="176" t="str">
        <f>VLOOKUP(B51,'Spokane DF Calc'!C:E,1,FALSE)</f>
        <v>RL TEMPORARY 2 YD-COMM</v>
      </c>
      <c r="M51" s="155">
        <v>5.9344049639010956</v>
      </c>
      <c r="O51" s="171">
        <v>11.868809927802191</v>
      </c>
      <c r="Q51" s="177">
        <v>41.85</v>
      </c>
      <c r="R51" s="178">
        <v>47.784404963901096</v>
      </c>
      <c r="S51" s="178">
        <v>95.408809927802182</v>
      </c>
    </row>
    <row r="52" spans="1:19" s="149" customFormat="1" ht="12" customHeight="1">
      <c r="A52" s="152" t="s">
        <v>87</v>
      </c>
      <c r="B52" s="152" t="s">
        <v>88</v>
      </c>
      <c r="C52" s="173">
        <v>58.44</v>
      </c>
      <c r="D52" s="173">
        <v>59.14</v>
      </c>
      <c r="E52" s="174">
        <v>0</v>
      </c>
      <c r="F52" s="174">
        <v>118.28</v>
      </c>
      <c r="G52" s="155">
        <v>118.28</v>
      </c>
      <c r="I52" s="174">
        <v>0</v>
      </c>
      <c r="J52" s="174">
        <v>2</v>
      </c>
      <c r="K52" s="176">
        <v>0.16666666666666666</v>
      </c>
      <c r="L52" s="176" t="str">
        <f>VLOOKUP(B52,'Spokane DF Calc'!C:E,1,FALSE)</f>
        <v>RL TEMPORARY 3 YD - COMM</v>
      </c>
      <c r="M52" s="155">
        <v>8.3535435226622106</v>
      </c>
      <c r="O52" s="171">
        <v>16.707087045324421</v>
      </c>
      <c r="Q52" s="177">
        <v>58.91</v>
      </c>
      <c r="R52" s="178">
        <v>67.263543522662204</v>
      </c>
      <c r="S52" s="178">
        <v>134.98708704532442</v>
      </c>
    </row>
    <row r="53" spans="1:19" s="149" customFormat="1" ht="12" customHeight="1">
      <c r="A53" s="152" t="s">
        <v>89</v>
      </c>
      <c r="B53" s="152" t="s">
        <v>90</v>
      </c>
      <c r="C53" s="173">
        <v>78</v>
      </c>
      <c r="D53" s="173">
        <v>78.91</v>
      </c>
      <c r="E53" s="174">
        <v>156</v>
      </c>
      <c r="F53" s="174">
        <v>1183.6499999999999</v>
      </c>
      <c r="G53" s="155">
        <v>1339.6499999999999</v>
      </c>
      <c r="I53" s="174">
        <v>2</v>
      </c>
      <c r="J53" s="174">
        <v>14.999999999999998</v>
      </c>
      <c r="K53" s="176">
        <v>1.4166666666666667</v>
      </c>
      <c r="L53" s="176" t="str">
        <f>VLOOKUP(B53,'Spokane DF Calc'!C:E,1,FALSE)</f>
        <v>RL TEMPORARY 4 YD-COMM</v>
      </c>
      <c r="M53" s="155">
        <v>11.148456828241438</v>
      </c>
      <c r="O53" s="171">
        <v>189.52376608010445</v>
      </c>
      <c r="Q53" s="177">
        <v>78.62</v>
      </c>
      <c r="R53" s="178">
        <v>89.76845682824144</v>
      </c>
      <c r="S53" s="178">
        <v>1529.1737660801043</v>
      </c>
    </row>
    <row r="54" spans="1:19" s="149" customFormat="1" ht="12" customHeight="1">
      <c r="A54" s="152" t="s">
        <v>63</v>
      </c>
      <c r="B54" s="152" t="s">
        <v>64</v>
      </c>
      <c r="C54" s="173">
        <v>19.12</v>
      </c>
      <c r="D54" s="173">
        <v>19.309999999999999</v>
      </c>
      <c r="E54" s="174">
        <v>573.6</v>
      </c>
      <c r="F54" s="174">
        <v>1716.0899999999997</v>
      </c>
      <c r="G54" s="155">
        <v>2289.6899999999996</v>
      </c>
      <c r="I54" s="174">
        <v>30</v>
      </c>
      <c r="J54" s="174">
        <v>88.870533402382179</v>
      </c>
      <c r="K54" s="176">
        <v>9.9058777835318477</v>
      </c>
      <c r="L54" s="176" t="str">
        <f>VLOOKUP(B54,'Spokane DF Calc'!C:E,1,FALSE)</f>
        <v>RL 32 GL 1X WK COMM 1</v>
      </c>
      <c r="M54" s="155">
        <v>2.732520517428294</v>
      </c>
      <c r="O54" s="171">
        <v>324.81617143965462</v>
      </c>
      <c r="Q54" s="177">
        <v>19.27</v>
      </c>
      <c r="R54" s="178">
        <v>22.002520517428295</v>
      </c>
      <c r="S54" s="178">
        <v>2614.5061714396543</v>
      </c>
    </row>
    <row r="55" spans="1:19" s="149" customFormat="1" ht="12" customHeight="1">
      <c r="A55" s="152" t="s">
        <v>65</v>
      </c>
      <c r="B55" s="152" t="s">
        <v>66</v>
      </c>
      <c r="C55" s="173">
        <v>36.72</v>
      </c>
      <c r="D55" s="173">
        <v>37.06</v>
      </c>
      <c r="E55" s="174">
        <v>55.08</v>
      </c>
      <c r="F55" s="174">
        <v>333.54</v>
      </c>
      <c r="G55" s="155">
        <v>388.62</v>
      </c>
      <c r="I55" s="174">
        <v>1.5</v>
      </c>
      <c r="J55" s="174">
        <v>9</v>
      </c>
      <c r="K55" s="176">
        <v>0.875</v>
      </c>
      <c r="L55" s="176" t="str">
        <f>VLOOKUP(B55,'Spokane DF Calc'!C:E,1,FALSE)</f>
        <v>RL 32 GL 1X WK COMM 2</v>
      </c>
      <c r="M55" s="155">
        <v>5.2435749972790315</v>
      </c>
      <c r="O55" s="171">
        <v>55.057537471429825</v>
      </c>
      <c r="Q55" s="177">
        <v>36.978199999999994</v>
      </c>
      <c r="R55" s="178">
        <v>42.221774997279027</v>
      </c>
      <c r="S55" s="178">
        <v>443.67753747142984</v>
      </c>
    </row>
    <row r="56" spans="1:19" s="149" customFormat="1" ht="12" customHeight="1">
      <c r="A56" s="152" t="s">
        <v>67</v>
      </c>
      <c r="B56" s="152" t="s">
        <v>68</v>
      </c>
      <c r="C56" s="173">
        <v>35.9</v>
      </c>
      <c r="D56" s="173">
        <v>36.200000000000003</v>
      </c>
      <c r="E56" s="174">
        <v>457.73</v>
      </c>
      <c r="F56" s="174">
        <v>1303.1999999999998</v>
      </c>
      <c r="G56" s="155">
        <v>1760.9299999999998</v>
      </c>
      <c r="I56" s="174">
        <v>12.750139275766017</v>
      </c>
      <c r="J56" s="174">
        <v>35.999999999999993</v>
      </c>
      <c r="K56" s="176">
        <v>4.0625116063138345</v>
      </c>
      <c r="L56" s="176" t="str">
        <f>VLOOKUP(B56,'Spokane DF Calc'!C:E,1,FALSE)</f>
        <v>RL 65 GL 1X WK COMM 1</v>
      </c>
      <c r="M56" s="155">
        <v>5.1162086283763806</v>
      </c>
      <c r="O56" s="171">
        <v>249.41588319722439</v>
      </c>
      <c r="Q56" s="177">
        <v>36.08</v>
      </c>
      <c r="R56" s="178">
        <v>41.196208628376382</v>
      </c>
      <c r="S56" s="178">
        <v>2010.3458831972243</v>
      </c>
    </row>
    <row r="57" spans="1:19" s="149" customFormat="1" ht="12" customHeight="1">
      <c r="A57" s="152" t="s">
        <v>69</v>
      </c>
      <c r="B57" s="152" t="s">
        <v>70</v>
      </c>
      <c r="C57" s="173">
        <v>44.06</v>
      </c>
      <c r="D57" s="173">
        <v>44.5</v>
      </c>
      <c r="E57" s="174">
        <v>782.07</v>
      </c>
      <c r="F57" s="174">
        <v>2403</v>
      </c>
      <c r="G57" s="155">
        <v>3185.07</v>
      </c>
      <c r="I57" s="174">
        <v>17.75011348161598</v>
      </c>
      <c r="J57" s="174">
        <v>54</v>
      </c>
      <c r="K57" s="176">
        <v>5.9791761234679983</v>
      </c>
      <c r="L57" s="176" t="str">
        <f>VLOOKUP(B57,'Spokane DF Calc'!C:E,1,FALSE)</f>
        <v>RL 90 GL 1X WK COMM 1</v>
      </c>
      <c r="M57" s="155">
        <v>6.2917454778564297</v>
      </c>
      <c r="O57" s="171">
        <v>451.43345203364299</v>
      </c>
      <c r="Q57" s="177">
        <v>44.37</v>
      </c>
      <c r="R57" s="178">
        <v>50.661745477856428</v>
      </c>
      <c r="S57" s="178">
        <v>3636.503452033643</v>
      </c>
    </row>
    <row r="58" spans="1:19" s="149" customFormat="1" ht="12" customHeight="1">
      <c r="A58" s="152" t="s">
        <v>71</v>
      </c>
      <c r="B58" s="152" t="s">
        <v>72</v>
      </c>
      <c r="C58" s="173">
        <v>88.08</v>
      </c>
      <c r="D58" s="173">
        <v>88.94</v>
      </c>
      <c r="E58" s="174">
        <v>264.24</v>
      </c>
      <c r="F58" s="174">
        <v>800.46</v>
      </c>
      <c r="G58" s="155">
        <v>1064.7</v>
      </c>
      <c r="I58" s="174">
        <v>3</v>
      </c>
      <c r="J58" s="174">
        <v>9</v>
      </c>
      <c r="K58" s="176">
        <v>1</v>
      </c>
      <c r="L58" s="176" t="str">
        <f>VLOOKUP(B58,'Spokane DF Calc'!C:E,1,FALSE)</f>
        <v>RL 90 GL 1X WK COMM 2</v>
      </c>
      <c r="M58" s="155">
        <v>12.574755965371729</v>
      </c>
      <c r="O58" s="171">
        <v>150.89707158446075</v>
      </c>
      <c r="Q58" s="155">
        <v>88.678399999999996</v>
      </c>
      <c r="R58" s="178">
        <v>101.25315596537172</v>
      </c>
      <c r="S58" s="178">
        <v>1215.5970715844608</v>
      </c>
    </row>
    <row r="59" spans="1:19" s="149" customFormat="1" ht="12" customHeight="1">
      <c r="A59" s="152" t="s">
        <v>73</v>
      </c>
      <c r="B59" s="152" t="s">
        <v>74</v>
      </c>
      <c r="C59" s="173">
        <v>13.01</v>
      </c>
      <c r="D59" s="173">
        <v>13.06</v>
      </c>
      <c r="E59" s="174">
        <v>0</v>
      </c>
      <c r="F59" s="174">
        <v>26.12</v>
      </c>
      <c r="G59" s="155">
        <v>26.12</v>
      </c>
      <c r="I59" s="174">
        <v>0</v>
      </c>
      <c r="J59" s="174">
        <v>2</v>
      </c>
      <c r="K59" s="176">
        <v>0.16666666666666666</v>
      </c>
      <c r="L59" s="176" t="str">
        <f>VLOOKUP(B59,'Spokane DF Calc'!C:E,1,FALSE)</f>
        <v>1 RL 32 GL ON CALL - COMM</v>
      </c>
      <c r="M59" s="155">
        <v>1.8490953579276053</v>
      </c>
      <c r="O59" s="171">
        <v>3.6981907158552101</v>
      </c>
      <c r="Q59" s="177">
        <v>13.04</v>
      </c>
      <c r="R59" s="178">
        <v>14.889095357927605</v>
      </c>
      <c r="S59" s="178">
        <v>29.818190715855209</v>
      </c>
    </row>
    <row r="60" spans="1:19" s="149" customFormat="1" ht="12" customHeight="1">
      <c r="A60" s="152" t="s">
        <v>77</v>
      </c>
      <c r="B60" s="152" t="s">
        <v>78</v>
      </c>
      <c r="C60" s="173">
        <v>47.24</v>
      </c>
      <c r="D60" s="173">
        <v>47.5</v>
      </c>
      <c r="E60" s="174">
        <v>0</v>
      </c>
      <c r="F60" s="174">
        <v>0</v>
      </c>
      <c r="G60" s="155">
        <v>0</v>
      </c>
      <c r="I60" s="174">
        <v>0</v>
      </c>
      <c r="J60" s="174">
        <v>0</v>
      </c>
      <c r="K60" s="176">
        <v>0</v>
      </c>
      <c r="L60" s="176" t="str">
        <f>VLOOKUP(B60,'Spokane DF Calc'!C:E,1,FALSE)</f>
        <v>1 RL 1 YD ON CALL-COMM</v>
      </c>
      <c r="M60" s="155">
        <v>6.7242409411753874</v>
      </c>
      <c r="O60" s="171">
        <v>0</v>
      </c>
      <c r="Q60" s="177">
        <v>47.42</v>
      </c>
      <c r="R60" s="178">
        <v>54.14424094117539</v>
      </c>
      <c r="S60" s="178">
        <v>0</v>
      </c>
    </row>
    <row r="61" spans="1:19" s="149" customFormat="1" ht="12" customHeight="1">
      <c r="A61" s="152" t="s">
        <v>79</v>
      </c>
      <c r="B61" s="152" t="s">
        <v>80</v>
      </c>
      <c r="C61" s="173">
        <v>67.13</v>
      </c>
      <c r="D61" s="173">
        <v>67.5</v>
      </c>
      <c r="E61" s="174">
        <v>268.52</v>
      </c>
      <c r="F61" s="174">
        <v>472.5</v>
      </c>
      <c r="G61" s="155">
        <v>741.02</v>
      </c>
      <c r="I61" s="174">
        <v>4</v>
      </c>
      <c r="J61" s="174">
        <v>7</v>
      </c>
      <c r="K61" s="176">
        <v>0.91666666666666663</v>
      </c>
      <c r="L61" s="176" t="str">
        <f>VLOOKUP(B61,'Spokane DF Calc'!C:E,1,FALSE)</f>
        <v>1 RL 1.5 YD ON CALL-COMM</v>
      </c>
      <c r="M61" s="155">
        <v>9.5546046945676419</v>
      </c>
      <c r="O61" s="171">
        <v>105.10065164024405</v>
      </c>
      <c r="Q61" s="177">
        <v>67.38</v>
      </c>
      <c r="R61" s="178">
        <v>76.934604694567639</v>
      </c>
      <c r="S61" s="178">
        <v>846.12065164024398</v>
      </c>
    </row>
    <row r="62" spans="1:19" s="149" customFormat="1" ht="12" customHeight="1">
      <c r="A62" s="152" t="s">
        <v>75</v>
      </c>
      <c r="B62" s="152" t="s">
        <v>76</v>
      </c>
      <c r="C62" s="173">
        <v>4.24</v>
      </c>
      <c r="D62" s="173">
        <v>4.49</v>
      </c>
      <c r="E62" s="174">
        <v>686.88</v>
      </c>
      <c r="F62" s="174">
        <v>2044.9700000000005</v>
      </c>
      <c r="G62" s="155">
        <v>2731.8500000000004</v>
      </c>
      <c r="I62" s="174">
        <v>162</v>
      </c>
      <c r="J62" s="174">
        <v>455.4498886414255</v>
      </c>
      <c r="K62" s="176">
        <v>51.454157386785461</v>
      </c>
      <c r="L62" s="176" t="str">
        <f>VLOOKUP(B62,'Spokane DF Calc'!C:E,1,FALSE)</f>
        <v>EXTRA CAN, BAG, BOX-COMM</v>
      </c>
      <c r="M62" s="155">
        <v>0.63385400689696281</v>
      </c>
      <c r="O62" s="171">
        <v>391.37308597345111</v>
      </c>
      <c r="Q62" s="177">
        <v>4.47</v>
      </c>
      <c r="R62" s="178">
        <v>5.1038540068969622</v>
      </c>
      <c r="S62" s="178">
        <v>3123.2230859734514</v>
      </c>
    </row>
    <row r="63" spans="1:19" s="149" customFormat="1" ht="12" customHeight="1">
      <c r="A63" s="152" t="s">
        <v>91</v>
      </c>
      <c r="B63" s="152" t="s">
        <v>92</v>
      </c>
      <c r="C63" s="173">
        <v>22.61</v>
      </c>
      <c r="D63" s="173">
        <v>22.8</v>
      </c>
      <c r="E63" s="174">
        <v>0</v>
      </c>
      <c r="F63" s="174">
        <v>182.40000000000003</v>
      </c>
      <c r="G63" s="155">
        <v>182.40000000000003</v>
      </c>
      <c r="I63" s="174">
        <v>0</v>
      </c>
      <c r="J63" s="174">
        <v>8.0000000000000018</v>
      </c>
      <c r="K63" s="176">
        <v>0.66666666666666685</v>
      </c>
      <c r="L63" s="176" t="str">
        <f>VLOOKUP(B63,'Spokane DF Calc'!C:E,1,FALSE)</f>
        <v>EXTRA YARDAGE - COMM</v>
      </c>
      <c r="M63" s="155">
        <v>3.2245727330731397</v>
      </c>
      <c r="O63" s="171">
        <v>25.796581864585129</v>
      </c>
      <c r="Q63" s="177">
        <v>22.74</v>
      </c>
      <c r="R63" s="178">
        <v>25.964572733073137</v>
      </c>
      <c r="S63" s="178">
        <v>208.19658186458517</v>
      </c>
    </row>
    <row r="64" spans="1:19" s="149" customFormat="1" ht="12" customHeight="1">
      <c r="A64" s="152" t="s">
        <v>93</v>
      </c>
      <c r="B64" s="152" t="s">
        <v>94</v>
      </c>
      <c r="C64" s="173">
        <v>12.81</v>
      </c>
      <c r="D64" s="173">
        <v>12.81</v>
      </c>
      <c r="E64" s="174">
        <v>406.71</v>
      </c>
      <c r="F64" s="174">
        <v>1652.2700000000002</v>
      </c>
      <c r="G64" s="155">
        <v>2058.98</v>
      </c>
      <c r="I64" s="174">
        <v>31.74941451990632</v>
      </c>
      <c r="J64" s="174">
        <v>128.98282591725217</v>
      </c>
      <c r="K64" s="176">
        <v>13.394353369763207</v>
      </c>
      <c r="L64" s="176" t="e">
        <f>VLOOKUP(B64,'Spokane DF Calc'!C:E,1,FALSE)</f>
        <v>#N/A</v>
      </c>
      <c r="M64" s="155">
        <v>1.8164809459396185</v>
      </c>
      <c r="O64" s="171">
        <v>291.96705215228383</v>
      </c>
      <c r="Q64" s="177">
        <v>12.81</v>
      </c>
      <c r="R64" s="178">
        <v>14.626480945939619</v>
      </c>
      <c r="S64" s="178">
        <v>2350.947052152284</v>
      </c>
    </row>
    <row r="65" spans="1:21" s="149" customFormat="1" ht="12" customHeight="1">
      <c r="A65" s="152" t="s">
        <v>95</v>
      </c>
      <c r="B65" s="152" t="s">
        <v>96</v>
      </c>
      <c r="C65" s="173">
        <v>25.86</v>
      </c>
      <c r="D65" s="173">
        <v>25.86</v>
      </c>
      <c r="E65" s="174">
        <v>0</v>
      </c>
      <c r="F65" s="174">
        <v>8.6199999999999992</v>
      </c>
      <c r="G65" s="155">
        <v>8.6199999999999992</v>
      </c>
      <c r="I65" s="174">
        <v>0</v>
      </c>
      <c r="J65" s="174">
        <v>0.33333333333333331</v>
      </c>
      <c r="K65" s="176">
        <v>2.7777777777777776E-2</v>
      </c>
      <c r="L65" s="176" t="e">
        <f>VLOOKUP(B65,'Spokane DF Calc'!C:E,1,FALSE)</f>
        <v>#N/A</v>
      </c>
      <c r="M65" s="155">
        <v>3.6669943217797449</v>
      </c>
      <c r="O65" s="171">
        <v>1.2223314405932482</v>
      </c>
      <c r="Q65" s="177">
        <v>25.86</v>
      </c>
      <c r="R65" s="178">
        <v>29.526994321779746</v>
      </c>
      <c r="S65" s="178">
        <v>9.8423314405932469</v>
      </c>
    </row>
    <row r="66" spans="1:21" s="149" customFormat="1" ht="12" customHeight="1">
      <c r="A66" s="152" t="s">
        <v>97</v>
      </c>
      <c r="B66" s="152" t="s">
        <v>98</v>
      </c>
      <c r="C66" s="173">
        <v>10.66</v>
      </c>
      <c r="D66" s="173">
        <v>10.66</v>
      </c>
      <c r="E66" s="174">
        <v>850.1400000000001</v>
      </c>
      <c r="F66" s="174">
        <v>2534.4200000000005</v>
      </c>
      <c r="G66" s="155">
        <v>3384.5600000000004</v>
      </c>
      <c r="I66" s="174">
        <v>79.75046904315198</v>
      </c>
      <c r="J66" s="174">
        <v>237.75046904315201</v>
      </c>
      <c r="K66" s="176">
        <v>26.458411507192</v>
      </c>
      <c r="L66" s="176" t="e">
        <f>VLOOKUP(B66,'Spokane DF Calc'!C:E,1,FALSE)</f>
        <v>#N/A</v>
      </c>
      <c r="M66" s="155">
        <v>1.511607094747567</v>
      </c>
      <c r="O66" s="171">
        <v>479.93667060026519</v>
      </c>
      <c r="Q66" s="177">
        <v>10.66</v>
      </c>
      <c r="R66" s="178">
        <v>12.171607094747568</v>
      </c>
      <c r="S66" s="178">
        <v>3864.4966706002656</v>
      </c>
    </row>
    <row r="67" spans="1:21" s="149" customFormat="1" ht="12" customHeight="1">
      <c r="A67" s="152" t="s">
        <v>99</v>
      </c>
      <c r="B67" s="152" t="s">
        <v>100</v>
      </c>
      <c r="C67" s="173">
        <v>23.51</v>
      </c>
      <c r="D67" s="173">
        <v>23.51</v>
      </c>
      <c r="E67" s="174">
        <v>0</v>
      </c>
      <c r="F67" s="174">
        <v>0</v>
      </c>
      <c r="G67" s="155">
        <v>0</v>
      </c>
      <c r="I67" s="174">
        <v>0</v>
      </c>
      <c r="J67" s="174">
        <v>0</v>
      </c>
      <c r="K67" s="176">
        <v>0</v>
      </c>
      <c r="L67" s="176" t="e">
        <f>VLOOKUP(B67,'Spokane DF Calc'!C:E,1,FALSE)</f>
        <v>#N/A</v>
      </c>
      <c r="M67" s="155">
        <v>3.3337601123372704</v>
      </c>
      <c r="O67" s="171">
        <v>0</v>
      </c>
      <c r="Q67" s="177">
        <v>23.51</v>
      </c>
      <c r="R67" s="178">
        <v>26.843760112337272</v>
      </c>
      <c r="S67" s="178">
        <v>0</v>
      </c>
    </row>
    <row r="68" spans="1:21" s="149" customFormat="1" ht="12" customHeight="1">
      <c r="A68" s="152" t="s">
        <v>101</v>
      </c>
      <c r="B68" s="152" t="s">
        <v>102</v>
      </c>
      <c r="C68" s="173">
        <v>17.59</v>
      </c>
      <c r="D68" s="173">
        <v>17.59</v>
      </c>
      <c r="E68" s="174">
        <v>527.70000000000005</v>
      </c>
      <c r="F68" s="174">
        <v>1416</v>
      </c>
      <c r="G68" s="155">
        <v>1943.7</v>
      </c>
      <c r="I68" s="174">
        <v>30.000000000000004</v>
      </c>
      <c r="J68" s="174">
        <v>80.500284252416151</v>
      </c>
      <c r="K68" s="176">
        <v>9.2083570210346792</v>
      </c>
      <c r="L68" s="176"/>
      <c r="M68" s="155">
        <v>2.4942935081247377</v>
      </c>
      <c r="O68" s="171">
        <v>275.6201416567398</v>
      </c>
      <c r="Q68" s="177">
        <v>17.59</v>
      </c>
      <c r="R68" s="178">
        <v>20.084293508124738</v>
      </c>
      <c r="S68" s="178">
        <v>2219.3201416567399</v>
      </c>
    </row>
    <row r="69" spans="1:21" s="149" customFormat="1" ht="12" customHeight="1">
      <c r="A69" s="152" t="s">
        <v>103</v>
      </c>
      <c r="B69" s="152" t="s">
        <v>104</v>
      </c>
      <c r="C69" s="173">
        <v>35.26</v>
      </c>
      <c r="D69" s="173">
        <v>35.26</v>
      </c>
      <c r="E69" s="174">
        <v>11.75</v>
      </c>
      <c r="F69" s="174">
        <v>32.909999999999997</v>
      </c>
      <c r="G69" s="155">
        <v>44.66</v>
      </c>
      <c r="I69" s="174">
        <v>0.33323879750425411</v>
      </c>
      <c r="J69" s="174">
        <v>0.93335224049914911</v>
      </c>
      <c r="K69" s="176">
        <v>0.10554925316695025</v>
      </c>
      <c r="L69" s="176"/>
      <c r="M69" s="155">
        <v>4.9999311595496447</v>
      </c>
      <c r="O69" s="171">
        <v>6.3328679973195436</v>
      </c>
      <c r="Q69" s="177">
        <v>35.26</v>
      </c>
      <c r="R69" s="178">
        <v>40.259931159549645</v>
      </c>
      <c r="S69" s="178">
        <v>50.992867997319543</v>
      </c>
    </row>
    <row r="70" spans="1:21" s="149" customFormat="1" ht="12" customHeight="1">
      <c r="A70" s="152" t="s">
        <v>105</v>
      </c>
      <c r="B70" s="152" t="s">
        <v>106</v>
      </c>
      <c r="C70" s="173">
        <v>21.71</v>
      </c>
      <c r="D70" s="173">
        <v>21.71</v>
      </c>
      <c r="E70" s="174">
        <v>379.93</v>
      </c>
      <c r="F70" s="174">
        <v>1063.79</v>
      </c>
      <c r="G70" s="155">
        <v>1443.72</v>
      </c>
      <c r="I70" s="174">
        <v>17.500230308613542</v>
      </c>
      <c r="J70" s="174">
        <v>48.999999999999993</v>
      </c>
      <c r="K70" s="176">
        <v>5.5416858590511282</v>
      </c>
      <c r="L70" s="176"/>
      <c r="M70" s="155">
        <v>3.0785168880834597</v>
      </c>
      <c r="O70" s="171">
        <v>204.72208206650629</v>
      </c>
      <c r="Q70" s="177">
        <v>21.71</v>
      </c>
      <c r="R70" s="178">
        <v>24.788516888083461</v>
      </c>
      <c r="S70" s="178">
        <v>1648.4420820665064</v>
      </c>
    </row>
    <row r="71" spans="1:21" s="149" customFormat="1" ht="12" customHeight="1">
      <c r="A71" s="152" t="s">
        <v>107</v>
      </c>
      <c r="B71" s="152" t="s">
        <v>108</v>
      </c>
      <c r="C71" s="173">
        <v>42.3</v>
      </c>
      <c r="D71" s="173">
        <v>42.3</v>
      </c>
      <c r="E71" s="174">
        <v>0</v>
      </c>
      <c r="F71" s="174">
        <v>49.35</v>
      </c>
      <c r="G71" s="155">
        <v>49.35</v>
      </c>
      <c r="I71" s="174">
        <v>0</v>
      </c>
      <c r="J71" s="174">
        <v>1.1666666666666667</v>
      </c>
      <c r="K71" s="176">
        <v>9.7222222222222224E-2</v>
      </c>
      <c r="L71" s="176"/>
      <c r="M71" s="155">
        <v>5.9982157699645473</v>
      </c>
      <c r="O71" s="171">
        <v>6.9979183982919722</v>
      </c>
      <c r="Q71" s="177">
        <v>42.3</v>
      </c>
      <c r="R71" s="178">
        <v>48.298215769964543</v>
      </c>
      <c r="S71" s="178">
        <v>56.347918398291974</v>
      </c>
    </row>
    <row r="72" spans="1:21" s="149" customFormat="1" ht="12" customHeight="1">
      <c r="A72" s="152" t="s">
        <v>109</v>
      </c>
      <c r="B72" s="152" t="s">
        <v>110</v>
      </c>
      <c r="C72" s="173">
        <v>24.58</v>
      </c>
      <c r="D72" s="173">
        <v>24.58</v>
      </c>
      <c r="E72" s="174">
        <v>602.22</v>
      </c>
      <c r="F72" s="174">
        <v>2132.3200000000002</v>
      </c>
      <c r="G72" s="155">
        <v>2734.54</v>
      </c>
      <c r="I72" s="174">
        <v>24.500406834825064</v>
      </c>
      <c r="J72" s="174">
        <v>86.75020341741255</v>
      </c>
      <c r="K72" s="176">
        <v>9.2708841876864678</v>
      </c>
      <c r="L72" s="176"/>
      <c r="M72" s="155">
        <v>3.4854880289770351</v>
      </c>
      <c r="O72" s="171">
        <v>387.76267025056404</v>
      </c>
      <c r="Q72" s="177">
        <v>24.58</v>
      </c>
      <c r="R72" s="178">
        <v>28.065488028977033</v>
      </c>
      <c r="S72" s="178">
        <v>3122.302670250564</v>
      </c>
    </row>
    <row r="73" spans="1:21" s="149" customFormat="1" ht="12" customHeight="1">
      <c r="A73" s="152" t="s">
        <v>111</v>
      </c>
      <c r="B73" s="152" t="s">
        <v>112</v>
      </c>
      <c r="C73" s="173">
        <v>47.01</v>
      </c>
      <c r="D73" s="173">
        <v>47.01</v>
      </c>
      <c r="E73" s="174">
        <v>47.01</v>
      </c>
      <c r="F73" s="174">
        <v>488.9</v>
      </c>
      <c r="G73" s="155">
        <v>535.91</v>
      </c>
      <c r="I73" s="174">
        <v>1</v>
      </c>
      <c r="J73" s="174">
        <v>10.399914911720911</v>
      </c>
      <c r="K73" s="176">
        <v>0.94999290931007596</v>
      </c>
      <c r="L73" s="176"/>
      <c r="M73" s="155">
        <v>6.6661022067620186</v>
      </c>
      <c r="O73" s="171">
        <v>75.992997949922014</v>
      </c>
      <c r="Q73" s="177">
        <v>47.01</v>
      </c>
      <c r="R73" s="178">
        <v>53.676102206762017</v>
      </c>
      <c r="S73" s="178">
        <v>611.902997949922</v>
      </c>
    </row>
    <row r="74" spans="1:21" s="149" customFormat="1" ht="12" customHeight="1">
      <c r="A74" s="152" t="s">
        <v>113</v>
      </c>
      <c r="B74" s="152" t="s">
        <v>114</v>
      </c>
      <c r="C74" s="173">
        <v>32.56</v>
      </c>
      <c r="D74" s="173">
        <v>32.56</v>
      </c>
      <c r="E74" s="174">
        <v>195.36</v>
      </c>
      <c r="F74" s="174">
        <v>586.08000000000004</v>
      </c>
      <c r="G74" s="155">
        <v>781.44</v>
      </c>
      <c r="I74" s="174">
        <v>6</v>
      </c>
      <c r="J74" s="174">
        <v>18</v>
      </c>
      <c r="K74" s="176">
        <v>2</v>
      </c>
      <c r="L74" s="176"/>
      <c r="M74" s="155">
        <v>4.6170663231689293</v>
      </c>
      <c r="O74" s="171">
        <v>110.8095917560543</v>
      </c>
      <c r="Q74" s="177">
        <v>32.56</v>
      </c>
      <c r="R74" s="178">
        <v>37.17706632316893</v>
      </c>
      <c r="S74" s="178">
        <v>892.24959175605431</v>
      </c>
    </row>
    <row r="75" spans="1:21" s="149" customFormat="1" ht="12" customHeight="1">
      <c r="A75" s="152" t="s">
        <v>115</v>
      </c>
      <c r="B75" s="152" t="s">
        <v>116</v>
      </c>
      <c r="C75" s="173">
        <v>54.65</v>
      </c>
      <c r="D75" s="173">
        <v>54.65</v>
      </c>
      <c r="E75" s="174">
        <v>54.65</v>
      </c>
      <c r="F75" s="174">
        <v>437.2</v>
      </c>
      <c r="G75" s="155">
        <v>491.84999999999997</v>
      </c>
      <c r="I75" s="174">
        <v>1</v>
      </c>
      <c r="J75" s="174">
        <v>8</v>
      </c>
      <c r="K75" s="176">
        <v>0.75</v>
      </c>
      <c r="L75" s="176"/>
      <c r="M75" s="155">
        <v>7.7494678919281927</v>
      </c>
      <c r="O75" s="171">
        <v>69.745211027353747</v>
      </c>
      <c r="Q75" s="177">
        <v>54.65</v>
      </c>
      <c r="R75" s="178">
        <v>62.39946789192819</v>
      </c>
      <c r="S75" s="178">
        <v>561.59521102735368</v>
      </c>
    </row>
    <row r="76" spans="1:21" s="149" customFormat="1" ht="12" customHeight="1">
      <c r="A76" s="152" t="s">
        <v>328</v>
      </c>
      <c r="B76" s="152" t="s">
        <v>329</v>
      </c>
      <c r="C76" s="173">
        <v>3.64</v>
      </c>
      <c r="D76" s="173">
        <v>3.64</v>
      </c>
      <c r="E76" s="174">
        <v>10.92</v>
      </c>
      <c r="F76" s="174">
        <v>32.76</v>
      </c>
      <c r="G76" s="155">
        <v>43.68</v>
      </c>
      <c r="I76" s="174">
        <v>3</v>
      </c>
      <c r="J76" s="174">
        <v>9</v>
      </c>
      <c r="K76" s="176">
        <v>1</v>
      </c>
      <c r="L76" s="176"/>
      <c r="M76" s="155">
        <v>0.51576147514219983</v>
      </c>
      <c r="O76" s="171">
        <v>6.1891377017063984</v>
      </c>
      <c r="Q76" s="155">
        <v>3.6372</v>
      </c>
      <c r="R76" s="178">
        <v>4.1529614751421997</v>
      </c>
      <c r="S76" s="178">
        <v>49.8691377017064</v>
      </c>
    </row>
    <row r="77" spans="1:21" s="149" customFormat="1" ht="12" customHeight="1">
      <c r="A77" s="152" t="s">
        <v>263</v>
      </c>
      <c r="B77" s="152" t="s">
        <v>264</v>
      </c>
      <c r="C77" s="173">
        <v>6.97</v>
      </c>
      <c r="D77" s="173">
        <v>6.97</v>
      </c>
      <c r="E77" s="174">
        <v>20.91</v>
      </c>
      <c r="F77" s="174">
        <v>62.73</v>
      </c>
      <c r="G77" s="155">
        <v>83.64</v>
      </c>
      <c r="I77" s="174">
        <v>3</v>
      </c>
      <c r="J77" s="174">
        <v>9</v>
      </c>
      <c r="K77" s="176">
        <v>1</v>
      </c>
      <c r="L77" s="176"/>
      <c r="M77" s="155">
        <v>0.98854282735588317</v>
      </c>
      <c r="O77" s="171">
        <v>11.862513928270598</v>
      </c>
      <c r="Q77" s="155">
        <v>6.9713000000000003</v>
      </c>
      <c r="R77" s="178">
        <v>7.9598428273558834</v>
      </c>
      <c r="S77" s="178">
        <v>95.502513928270602</v>
      </c>
      <c r="U77" s="155"/>
    </row>
    <row r="78" spans="1:21" s="149" customFormat="1" ht="12" customHeight="1">
      <c r="A78" s="152" t="s">
        <v>117</v>
      </c>
      <c r="B78" s="152" t="s">
        <v>118</v>
      </c>
      <c r="C78" s="173">
        <v>13.83</v>
      </c>
      <c r="D78" s="173">
        <v>13.83</v>
      </c>
      <c r="E78" s="174">
        <v>0</v>
      </c>
      <c r="F78" s="174">
        <v>0</v>
      </c>
      <c r="G78" s="155">
        <v>0</v>
      </c>
      <c r="I78" s="174">
        <v>0</v>
      </c>
      <c r="J78" s="174">
        <v>0</v>
      </c>
      <c r="K78" s="176">
        <v>0</v>
      </c>
      <c r="L78" s="176"/>
      <c r="M78" s="155">
        <v>1.9611187730167778</v>
      </c>
      <c r="O78" s="171">
        <v>0</v>
      </c>
      <c r="Q78" s="177">
        <v>13.83</v>
      </c>
      <c r="R78" s="178">
        <v>15.791118773016779</v>
      </c>
      <c r="S78" s="178">
        <v>0</v>
      </c>
    </row>
    <row r="79" spans="1:21" s="149" customFormat="1" ht="12" customHeight="1" thickBot="1">
      <c r="A79" s="187"/>
      <c r="B79" s="187"/>
      <c r="C79" s="173"/>
      <c r="D79" s="173"/>
      <c r="E79" s="174"/>
      <c r="F79" s="174"/>
      <c r="G79" s="155"/>
      <c r="I79" s="174"/>
      <c r="J79" s="174"/>
      <c r="K79" s="176"/>
      <c r="L79" s="176"/>
      <c r="O79" s="171"/>
    </row>
    <row r="80" spans="1:21" s="149" customFormat="1" ht="12" customHeight="1" thickBot="1">
      <c r="A80" s="187"/>
      <c r="B80" s="180" t="s">
        <v>119</v>
      </c>
      <c r="C80" s="173"/>
      <c r="D80" s="173"/>
      <c r="E80" s="181">
        <v>33748.480000000003</v>
      </c>
      <c r="F80" s="181">
        <v>109687.27999999996</v>
      </c>
      <c r="G80" s="181">
        <v>143435.76</v>
      </c>
      <c r="I80" s="174"/>
      <c r="J80" s="174"/>
      <c r="K80" s="188">
        <v>85.114232507318619</v>
      </c>
      <c r="L80" s="189"/>
      <c r="O80" s="184">
        <v>22586.120243077632</v>
      </c>
      <c r="R80" s="185"/>
      <c r="S80" s="186">
        <v>166021.88024307767</v>
      </c>
    </row>
    <row r="81" spans="1:19" ht="12" customHeight="1">
      <c r="A81" s="149"/>
      <c r="B81" s="149"/>
      <c r="I81" s="176"/>
      <c r="J81" s="176"/>
      <c r="K81" s="176"/>
      <c r="L81" s="176"/>
    </row>
    <row r="82" spans="1:19" ht="12" customHeight="1">
      <c r="A82" s="172" t="s">
        <v>374</v>
      </c>
      <c r="B82" s="172" t="s">
        <v>374</v>
      </c>
      <c r="I82" s="176"/>
      <c r="J82" s="176"/>
      <c r="K82" s="176"/>
      <c r="L82" s="176"/>
    </row>
    <row r="83" spans="1:19" ht="12" customHeight="1">
      <c r="A83" s="190"/>
      <c r="B83" s="190"/>
      <c r="I83" s="176"/>
      <c r="J83" s="176"/>
      <c r="K83" s="176"/>
      <c r="L83" s="176"/>
    </row>
    <row r="84" spans="1:19" ht="12" customHeight="1">
      <c r="A84" s="191" t="s">
        <v>375</v>
      </c>
      <c r="B84" s="191" t="s">
        <v>375</v>
      </c>
      <c r="I84" s="176"/>
      <c r="J84" s="176"/>
      <c r="K84" s="176"/>
      <c r="L84" s="176"/>
    </row>
    <row r="85" spans="1:19" ht="12" customHeight="1">
      <c r="A85" s="152" t="s">
        <v>376</v>
      </c>
      <c r="B85" s="152" t="s">
        <v>377</v>
      </c>
      <c r="C85" s="173">
        <v>258.64</v>
      </c>
      <c r="D85" s="173">
        <v>258.64</v>
      </c>
      <c r="E85" s="174">
        <v>1753.4499999999998</v>
      </c>
      <c r="F85" s="174">
        <v>4857.1299999999992</v>
      </c>
      <c r="G85" s="155">
        <v>6610.579999999999</v>
      </c>
      <c r="H85" s="192"/>
      <c r="I85" s="174">
        <v>6.7795004639653573</v>
      </c>
      <c r="J85" s="174">
        <v>18.779500463965356</v>
      </c>
      <c r="K85" s="176">
        <v>2.1299167439942259</v>
      </c>
      <c r="L85" s="176"/>
      <c r="M85" s="155">
        <v>36.675615289447535</v>
      </c>
      <c r="O85" s="171">
        <v>937.39208521541946</v>
      </c>
      <c r="Q85" s="193">
        <v>258.64</v>
      </c>
      <c r="R85" s="178">
        <v>295.31561528944752</v>
      </c>
      <c r="S85" s="178">
        <v>7547.9720852154187</v>
      </c>
    </row>
    <row r="86" spans="1:19" ht="12" customHeight="1">
      <c r="A86" s="152" t="s">
        <v>378</v>
      </c>
      <c r="B86" s="152" t="s">
        <v>379</v>
      </c>
      <c r="C86" s="173">
        <v>240.22</v>
      </c>
      <c r="D86" s="173">
        <v>240.22</v>
      </c>
      <c r="E86" s="174">
        <v>1293.2</v>
      </c>
      <c r="F86" s="174">
        <v>6983.28</v>
      </c>
      <c r="G86" s="155">
        <v>8276.48</v>
      </c>
      <c r="I86" s="174">
        <v>5.3833985513279492</v>
      </c>
      <c r="J86" s="174">
        <v>29.070352177170925</v>
      </c>
      <c r="K86" s="176">
        <v>2.8711458940415731</v>
      </c>
      <c r="L86" s="176"/>
      <c r="M86" s="155">
        <v>31.691282326935625</v>
      </c>
      <c r="O86" s="171">
        <v>1091.8835415587218</v>
      </c>
      <c r="Q86" s="193">
        <v>223.49</v>
      </c>
      <c r="R86" s="178">
        <v>271.91128232693563</v>
      </c>
      <c r="S86" s="178">
        <v>9368.3635415587214</v>
      </c>
    </row>
    <row r="87" spans="1:19" ht="12" customHeight="1">
      <c r="A87" s="152" t="s">
        <v>380</v>
      </c>
      <c r="B87" s="152" t="s">
        <v>381</v>
      </c>
      <c r="C87" s="173">
        <v>356.68</v>
      </c>
      <c r="D87" s="173">
        <v>356.68</v>
      </c>
      <c r="E87" s="174">
        <v>713.36</v>
      </c>
      <c r="F87" s="174">
        <v>5706.88</v>
      </c>
      <c r="G87" s="155">
        <v>6420.24</v>
      </c>
      <c r="I87" s="174">
        <v>2</v>
      </c>
      <c r="J87" s="174">
        <v>16</v>
      </c>
      <c r="K87" s="176">
        <v>1.5</v>
      </c>
      <c r="L87" s="176"/>
      <c r="M87" s="155">
        <v>50.577862903805084</v>
      </c>
      <c r="O87" s="171">
        <v>910.40153226849156</v>
      </c>
      <c r="Q87" s="193">
        <v>356.68</v>
      </c>
      <c r="R87" s="178">
        <v>407.25786290380506</v>
      </c>
      <c r="S87" s="178">
        <v>7330.6415322684916</v>
      </c>
    </row>
    <row r="88" spans="1:19" ht="12" customHeight="1">
      <c r="A88" s="152" t="s">
        <v>382</v>
      </c>
      <c r="B88" s="152" t="s">
        <v>383</v>
      </c>
      <c r="C88" s="173">
        <v>223.51</v>
      </c>
      <c r="D88" s="173">
        <v>223.51</v>
      </c>
      <c r="E88" s="174">
        <v>223.51</v>
      </c>
      <c r="F88" s="174">
        <v>1341.06</v>
      </c>
      <c r="G88" s="155">
        <v>1564.57</v>
      </c>
      <c r="I88" s="174">
        <v>1</v>
      </c>
      <c r="J88" s="174">
        <v>6</v>
      </c>
      <c r="K88" s="176">
        <v>0.58333333333333337</v>
      </c>
      <c r="L88" s="176"/>
      <c r="M88" s="155">
        <v>31.694118362760666</v>
      </c>
      <c r="O88" s="171">
        <v>221.85882853932469</v>
      </c>
      <c r="Q88" s="193">
        <v>223.51</v>
      </c>
      <c r="R88" s="178">
        <v>255.20411836276065</v>
      </c>
      <c r="S88" s="178">
        <v>1786.4288285393245</v>
      </c>
    </row>
    <row r="89" spans="1:19" ht="12" customHeight="1">
      <c r="A89" s="152" t="s">
        <v>384</v>
      </c>
      <c r="B89" s="152" t="s">
        <v>385</v>
      </c>
      <c r="C89" s="173">
        <v>101.52</v>
      </c>
      <c r="D89" s="173">
        <v>101.52</v>
      </c>
      <c r="E89" s="174">
        <v>358.70000000000005</v>
      </c>
      <c r="F89" s="174">
        <v>1986.4</v>
      </c>
      <c r="G89" s="155">
        <v>2345.1000000000004</v>
      </c>
      <c r="I89" s="174">
        <v>3.5332939322301029</v>
      </c>
      <c r="J89" s="174">
        <v>19.566587864460207</v>
      </c>
      <c r="K89" s="176">
        <v>1.9249901497241924</v>
      </c>
      <c r="L89" s="176"/>
      <c r="M89" s="155">
        <v>14.395717847914915</v>
      </c>
      <c r="O89" s="171">
        <v>332.53938066533954</v>
      </c>
      <c r="Q89" s="193">
        <v>101.52</v>
      </c>
      <c r="R89" s="178">
        <v>115.91571784791491</v>
      </c>
      <c r="S89" s="178">
        <v>2677.63938066534</v>
      </c>
    </row>
    <row r="90" spans="1:19" ht="12" customHeight="1">
      <c r="A90" s="152" t="s">
        <v>386</v>
      </c>
      <c r="B90" s="152" t="s">
        <v>387</v>
      </c>
      <c r="C90" s="173">
        <v>126.82</v>
      </c>
      <c r="D90" s="173">
        <v>126.82</v>
      </c>
      <c r="E90" s="174">
        <v>71.87</v>
      </c>
      <c r="F90" s="174">
        <v>1077.99</v>
      </c>
      <c r="G90" s="155">
        <v>1149.8600000000001</v>
      </c>
      <c r="I90" s="174">
        <v>0.56670872102192094</v>
      </c>
      <c r="J90" s="174">
        <v>8.5001577038322029</v>
      </c>
      <c r="K90" s="176">
        <v>0.75557220207117703</v>
      </c>
      <c r="L90" s="176"/>
      <c r="M90" s="155">
        <v>17.983303166593473</v>
      </c>
      <c r="O90" s="171">
        <v>163.05220768915922</v>
      </c>
      <c r="Q90" s="193">
        <v>126.82</v>
      </c>
      <c r="R90" s="178">
        <v>144.80330316659348</v>
      </c>
      <c r="S90" s="178">
        <v>1312.9122076891595</v>
      </c>
    </row>
    <row r="91" spans="1:19" ht="12" customHeight="1">
      <c r="A91" s="152" t="s">
        <v>388</v>
      </c>
      <c r="B91" s="152" t="s">
        <v>389</v>
      </c>
      <c r="C91" s="173">
        <v>76.48</v>
      </c>
      <c r="D91" s="173">
        <v>76.48</v>
      </c>
      <c r="E91" s="174">
        <v>305.92</v>
      </c>
      <c r="F91" s="174">
        <v>1603.9700000000003</v>
      </c>
      <c r="G91" s="155">
        <v>1909.8900000000003</v>
      </c>
      <c r="I91" s="174">
        <v>4</v>
      </c>
      <c r="J91" s="174">
        <v>20.97241108786611</v>
      </c>
      <c r="K91" s="176">
        <v>2.0810342573221758</v>
      </c>
      <c r="L91" s="176"/>
      <c r="M91" s="155">
        <v>10.845000994961907</v>
      </c>
      <c r="O91" s="171">
        <v>270.82582309450572</v>
      </c>
      <c r="Q91" s="193">
        <v>76.48</v>
      </c>
      <c r="R91" s="178">
        <v>87.325000994961911</v>
      </c>
      <c r="S91" s="178">
        <v>2180.715823094506</v>
      </c>
    </row>
    <row r="92" spans="1:19" ht="12" customHeight="1">
      <c r="A92" s="152" t="s">
        <v>390</v>
      </c>
      <c r="B92" s="152" t="s">
        <v>391</v>
      </c>
      <c r="C92" s="173">
        <v>5.54</v>
      </c>
      <c r="D92" s="173">
        <v>5.54</v>
      </c>
      <c r="E92" s="174">
        <v>1069.22</v>
      </c>
      <c r="F92" s="174">
        <v>7013.64</v>
      </c>
      <c r="G92" s="155">
        <v>8082.8600000000006</v>
      </c>
      <c r="I92" s="174">
        <v>193</v>
      </c>
      <c r="J92" s="174">
        <v>1266</v>
      </c>
      <c r="K92" s="176">
        <v>121.58333333333333</v>
      </c>
      <c r="L92" s="176"/>
      <c r="M92" s="155">
        <v>0.78558192353672807</v>
      </c>
      <c r="O92" s="171">
        <v>1146.1640264400862</v>
      </c>
      <c r="Q92" s="193">
        <v>5.54</v>
      </c>
      <c r="R92" s="178">
        <v>6.3255819235367277</v>
      </c>
      <c r="S92" s="178">
        <v>9229.0240264400873</v>
      </c>
    </row>
    <row r="93" spans="1:19" ht="12" customHeight="1" thickBot="1">
      <c r="A93" s="149"/>
      <c r="B93" s="149"/>
      <c r="I93" s="176"/>
      <c r="J93" s="176"/>
      <c r="K93" s="176"/>
      <c r="L93" s="176"/>
    </row>
    <row r="94" spans="1:19" ht="12" customHeight="1" thickBot="1">
      <c r="A94" s="149"/>
      <c r="B94" s="180" t="s">
        <v>392</v>
      </c>
      <c r="E94" s="181">
        <v>5789.23</v>
      </c>
      <c r="F94" s="181">
        <v>30570.350000000006</v>
      </c>
      <c r="G94" s="181">
        <v>36359.579999999994</v>
      </c>
      <c r="I94" s="176"/>
      <c r="J94" s="176"/>
      <c r="K94" s="188">
        <v>7.0843959713691325</v>
      </c>
      <c r="L94" s="189"/>
      <c r="O94" s="194">
        <v>5074.1174254710486</v>
      </c>
      <c r="R94" s="195"/>
      <c r="S94" s="196">
        <v>41433.697425471044</v>
      </c>
    </row>
    <row r="95" spans="1:19" ht="12" customHeight="1">
      <c r="A95" s="149"/>
      <c r="B95" s="180"/>
      <c r="E95" s="197"/>
      <c r="F95" s="197"/>
      <c r="G95" s="197"/>
      <c r="I95" s="176"/>
      <c r="J95" s="176"/>
      <c r="K95" s="176"/>
      <c r="L95" s="176"/>
      <c r="O95" s="198"/>
    </row>
    <row r="96" spans="1:19" s="149" customFormat="1" ht="12" customHeight="1">
      <c r="A96" s="156" t="s">
        <v>393</v>
      </c>
      <c r="B96" s="156" t="s">
        <v>394</v>
      </c>
      <c r="C96" s="151"/>
      <c r="D96" s="151"/>
      <c r="E96" s="174"/>
      <c r="F96" s="174"/>
      <c r="I96" s="174"/>
      <c r="J96" s="174"/>
      <c r="K96" s="174"/>
      <c r="L96" s="174"/>
      <c r="O96" s="185"/>
    </row>
    <row r="97" spans="1:19" s="149" customFormat="1" ht="12" customHeight="1">
      <c r="A97" s="152" t="s">
        <v>395</v>
      </c>
      <c r="B97" s="152" t="s">
        <v>396</v>
      </c>
      <c r="C97" s="173">
        <v>0</v>
      </c>
      <c r="D97" s="173">
        <v>0</v>
      </c>
      <c r="E97" s="174">
        <v>1100</v>
      </c>
      <c r="F97" s="174">
        <v>3075</v>
      </c>
      <c r="G97" s="155">
        <v>4175</v>
      </c>
      <c r="I97" s="174"/>
      <c r="J97" s="174"/>
      <c r="K97" s="176"/>
      <c r="L97" s="174"/>
      <c r="O97" s="171"/>
    </row>
    <row r="98" spans="1:19" s="149" customFormat="1" ht="12" customHeight="1">
      <c r="A98" s="152"/>
      <c r="B98" s="152"/>
      <c r="C98" s="173"/>
      <c r="D98" s="173"/>
      <c r="E98" s="174"/>
      <c r="F98" s="174"/>
      <c r="I98" s="174"/>
      <c r="J98" s="174"/>
      <c r="K98" s="174"/>
      <c r="L98" s="174"/>
      <c r="O98" s="171"/>
    </row>
    <row r="99" spans="1:19" s="149" customFormat="1" ht="12" customHeight="1">
      <c r="A99" s="152"/>
      <c r="B99" s="180" t="s">
        <v>397</v>
      </c>
      <c r="C99" s="173"/>
      <c r="D99" s="173"/>
      <c r="E99" s="181">
        <v>1100</v>
      </c>
      <c r="F99" s="181">
        <v>3075</v>
      </c>
      <c r="G99" s="181">
        <v>4175</v>
      </c>
      <c r="I99" s="174"/>
      <c r="J99" s="174"/>
      <c r="K99" s="174"/>
      <c r="L99" s="174"/>
      <c r="O99" s="171"/>
      <c r="S99" s="210">
        <f>+S94+S80+S33</f>
        <v>656258.36691682576</v>
      </c>
    </row>
    <row r="100" spans="1:19" ht="12" customHeight="1">
      <c r="A100" s="149"/>
      <c r="B100" s="149"/>
      <c r="I100" s="176"/>
      <c r="J100" s="176"/>
      <c r="K100" s="176"/>
      <c r="L100" s="176"/>
    </row>
    <row r="101" spans="1:19" ht="12" customHeight="1">
      <c r="A101" s="191" t="s">
        <v>398</v>
      </c>
      <c r="B101" s="191" t="s">
        <v>398</v>
      </c>
      <c r="I101" s="176"/>
      <c r="J101" s="176"/>
      <c r="K101" s="176"/>
      <c r="L101" s="176"/>
    </row>
    <row r="102" spans="1:19" ht="12" customHeight="1">
      <c r="A102" s="152" t="s">
        <v>399</v>
      </c>
      <c r="B102" s="152" t="s">
        <v>400</v>
      </c>
      <c r="C102" s="173">
        <v>0</v>
      </c>
      <c r="D102" s="173">
        <v>104.5</v>
      </c>
      <c r="E102" s="174">
        <v>7502.9500000000007</v>
      </c>
      <c r="F102" s="174">
        <v>28617.379999999997</v>
      </c>
      <c r="G102" s="155">
        <v>36120.33</v>
      </c>
      <c r="I102" s="176"/>
      <c r="J102" s="176"/>
      <c r="K102" s="176"/>
      <c r="L102" s="176"/>
    </row>
    <row r="103" spans="1:19" ht="12" customHeight="1">
      <c r="G103" s="175"/>
      <c r="I103" s="176"/>
      <c r="J103" s="176"/>
      <c r="K103" s="176"/>
      <c r="L103" s="176"/>
    </row>
    <row r="104" spans="1:19" ht="12" customHeight="1">
      <c r="A104" s="149"/>
      <c r="B104" s="180" t="s">
        <v>401</v>
      </c>
      <c r="E104" s="181">
        <v>7502.9500000000007</v>
      </c>
      <c r="F104" s="181">
        <v>28617.379999999997</v>
      </c>
      <c r="G104" s="181">
        <v>36120.33</v>
      </c>
      <c r="I104" s="176"/>
      <c r="J104" s="176"/>
      <c r="K104" s="176"/>
      <c r="L104" s="176"/>
    </row>
    <row r="105" spans="1:19" ht="12" customHeight="1">
      <c r="A105" s="149"/>
      <c r="B105" s="180"/>
      <c r="E105" s="197"/>
      <c r="F105" s="197"/>
      <c r="G105" s="197"/>
      <c r="I105" s="176"/>
      <c r="J105" s="176"/>
      <c r="K105" s="176"/>
      <c r="L105" s="176"/>
    </row>
    <row r="106" spans="1:19" s="149" customFormat="1" ht="12" customHeight="1">
      <c r="A106" s="190" t="s">
        <v>402</v>
      </c>
      <c r="B106" s="190" t="s">
        <v>402</v>
      </c>
      <c r="C106" s="173"/>
      <c r="D106" s="173"/>
      <c r="G106" s="155"/>
      <c r="I106" s="174"/>
      <c r="J106" s="174"/>
      <c r="K106" s="176"/>
      <c r="L106" s="176"/>
      <c r="O106" s="171"/>
    </row>
    <row r="107" spans="1:19" s="149" customFormat="1" ht="12" customHeight="1">
      <c r="A107" s="152" t="s">
        <v>403</v>
      </c>
      <c r="B107" s="152" t="s">
        <v>404</v>
      </c>
      <c r="C107" s="173">
        <v>0</v>
      </c>
      <c r="D107" s="173">
        <v>0</v>
      </c>
      <c r="E107" s="174">
        <v>179.14</v>
      </c>
      <c r="F107" s="174">
        <v>617.83999999999992</v>
      </c>
      <c r="G107" s="155">
        <v>796.9799999999999</v>
      </c>
      <c r="I107" s="174"/>
      <c r="J107" s="174"/>
      <c r="K107" s="176"/>
      <c r="L107" s="176"/>
      <c r="O107" s="171"/>
    </row>
    <row r="108" spans="1:19" s="149" customFormat="1" ht="12" customHeight="1">
      <c r="A108" s="152" t="s">
        <v>405</v>
      </c>
      <c r="B108" s="152" t="s">
        <v>406</v>
      </c>
      <c r="C108" s="173">
        <v>0</v>
      </c>
      <c r="D108" s="173">
        <v>19.010000000000002</v>
      </c>
      <c r="E108" s="174">
        <v>0</v>
      </c>
      <c r="F108" s="174">
        <v>19.010000000000002</v>
      </c>
      <c r="G108" s="155">
        <v>19.010000000000002</v>
      </c>
      <c r="I108" s="174"/>
      <c r="J108" s="174"/>
      <c r="K108" s="176"/>
      <c r="L108" s="176"/>
      <c r="O108" s="171"/>
    </row>
    <row r="109" spans="1:19" s="149" customFormat="1" ht="12" customHeight="1">
      <c r="A109" s="179"/>
      <c r="B109" s="179"/>
      <c r="C109" s="173"/>
      <c r="D109" s="173"/>
      <c r="G109" s="155"/>
      <c r="I109" s="174"/>
      <c r="J109" s="174"/>
      <c r="K109" s="176"/>
      <c r="L109" s="176"/>
      <c r="O109" s="171"/>
    </row>
    <row r="110" spans="1:19" s="149" customFormat="1" ht="12" customHeight="1">
      <c r="B110" s="180" t="s">
        <v>407</v>
      </c>
      <c r="C110" s="173"/>
      <c r="D110" s="173"/>
      <c r="E110" s="181">
        <v>179.14</v>
      </c>
      <c r="F110" s="181">
        <v>636.84999999999991</v>
      </c>
      <c r="G110" s="181">
        <v>815.9899999999999</v>
      </c>
      <c r="I110" s="174"/>
      <c r="J110" s="174"/>
      <c r="K110" s="176"/>
      <c r="L110" s="176"/>
      <c r="O110" s="171"/>
    </row>
    <row r="111" spans="1:19" ht="12" customHeight="1">
      <c r="A111" s="149"/>
      <c r="B111" s="180"/>
      <c r="I111" s="176"/>
      <c r="J111" s="176"/>
      <c r="K111" s="176"/>
      <c r="L111" s="176"/>
    </row>
    <row r="112" spans="1:19" ht="12" customHeight="1">
      <c r="A112" s="191"/>
      <c r="B112" s="180" t="s">
        <v>408</v>
      </c>
      <c r="E112" s="181">
        <v>141875.53000000009</v>
      </c>
      <c r="F112" s="181">
        <v>472141.56999999995</v>
      </c>
      <c r="G112" s="181">
        <v>614017.1</v>
      </c>
    </row>
    <row r="113" spans="1:9">
      <c r="A113" s="191"/>
      <c r="B113" s="191"/>
    </row>
    <row r="114" spans="1:9">
      <c r="D114" s="200"/>
      <c r="E114" s="201"/>
      <c r="F114" s="201"/>
      <c r="G114" s="201"/>
    </row>
    <row r="115" spans="1:9">
      <c r="D115" s="200"/>
      <c r="E115" s="202"/>
      <c r="F115" s="202"/>
      <c r="G115" s="202"/>
      <c r="I115" s="203"/>
    </row>
  </sheetData>
  <mergeCells count="2">
    <mergeCell ref="O4:O5"/>
    <mergeCell ref="R4:S4"/>
  </mergeCells>
  <pageMargins left="0.25" right="0.25" top="0.75" bottom="0.75" header="0.3" footer="0.3"/>
  <pageSetup scale="65" orientation="landscape" r:id="rId1"/>
  <rowBreaks count="1" manualBreakCount="1">
    <brk id="58" max="1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FF6431D2DF13141BD2563A55394FBDA" ma:contentTypeVersion="28" ma:contentTypeDescription="" ma:contentTypeScope="" ma:versionID="452521297e959d5f2cc5d9512782000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2022-12-08T08:00:00+00:00</OpenedDate>
    <SignificantOrder xmlns="dc463f71-b30c-4ab2-9473-d307f9d35888">false</SignificantOrder>
    <Date1 xmlns="dc463f71-b30c-4ab2-9473-d307f9d35888">2022-12-08T08:00:00+00:00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EMPIRE DISPOSAL INC.   </CaseCompanyNames>
    <Nickname xmlns="http://schemas.microsoft.com/sharepoint/v3" xsi:nil="true"/>
    <DocketNumber xmlns="dc463f71-b30c-4ab2-9473-d307f9d35888">220911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7BFC44A-6CAE-4D60-8597-7B4B5696A266}"/>
</file>

<file path=customXml/itemProps2.xml><?xml version="1.0" encoding="utf-8"?>
<ds:datastoreItem xmlns:ds="http://schemas.openxmlformats.org/officeDocument/2006/customXml" ds:itemID="{9DC2C966-FA38-47CD-A99D-FA8F319AFF6C}"/>
</file>

<file path=customXml/itemProps3.xml><?xml version="1.0" encoding="utf-8"?>
<ds:datastoreItem xmlns:ds="http://schemas.openxmlformats.org/officeDocument/2006/customXml" ds:itemID="{6D3E46C4-B1D1-4BB2-AC16-6EC598FA4F1C}"/>
</file>

<file path=customXml/itemProps4.xml><?xml version="1.0" encoding="utf-8"?>
<ds:datastoreItem xmlns:ds="http://schemas.openxmlformats.org/officeDocument/2006/customXml" ds:itemID="{E3379FDC-D722-479E-B6A6-DE1B35B4EE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References</vt:lpstr>
      <vt:lpstr>Spokane DF Calc</vt:lpstr>
      <vt:lpstr>Proposed Rates</vt:lpstr>
      <vt:lpstr>Disposal Schedule</vt:lpstr>
      <vt:lpstr>Spokane Reg - Price out</vt:lpstr>
      <vt:lpstr>'Proposed Rates'!Print_Area</vt:lpstr>
      <vt:lpstr>'Spokane DF Calc'!Print_Area</vt:lpstr>
      <vt:lpstr>'Spokane Reg - Price out'!Print_Area</vt:lpstr>
      <vt:lpstr>'Proposed Rates'!Print_Titles</vt:lpstr>
      <vt:lpstr>'Spokane DF Calc'!Print_Titles</vt:lpstr>
      <vt:lpstr>'Spokane Reg - Price out'!Print_Titles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Brian Vandenburg</cp:lastModifiedBy>
  <cp:lastPrinted>2022-12-08T19:05:29Z</cp:lastPrinted>
  <dcterms:created xsi:type="dcterms:W3CDTF">2014-11-03T21:22:13Z</dcterms:created>
  <dcterms:modified xsi:type="dcterms:W3CDTF">2022-12-08T21:33:47Z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0x0101006E56B4D1795A2E4DB2F0B01679ED314A007FF6431D2DF13141BD2563A55394FBDA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