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2021 Yard Waste Rate Case\"/>
    </mc:Choice>
  </mc:AlternateContent>
  <xr:revisionPtr revIDLastSave="0" documentId="13_ncr:1_{A000E9AB-7D56-4496-B457-84963E776ED7}" xr6:coauthVersionLast="45" xr6:coauthVersionMax="45" xr10:uidLastSave="{00000000-0000-0000-0000-000000000000}"/>
  <bookViews>
    <workbookView xWindow="3825" yWindow="5520" windowWidth="21600" windowHeight="11250" xr2:uid="{00000000-000D-0000-FFFF-FFFF00000000}"/>
  </bookViews>
  <sheets>
    <sheet name="Rate Impact" sheetId="27" r:id="rId1"/>
    <sheet name="Process Fees inc. in Rates - NS" sheetId="1" r:id="rId2"/>
    <sheet name="Process fees inc. in Rates-SS" sheetId="24" r:id="rId3"/>
    <sheet name="Gross Up - Rev. Sensitive" sheetId="25" r:id="rId4"/>
  </sheets>
  <definedNames>
    <definedName name="____________PER1">#REF!</definedName>
    <definedName name="___________PER1">#REF!</definedName>
    <definedName name="__________PER1">#REF!</definedName>
    <definedName name="_________PER1">#REF!</definedName>
    <definedName name="________PER1">#REF!</definedName>
    <definedName name="_______PER1">#REF!</definedName>
    <definedName name="______PER1">#REF!</definedName>
    <definedName name="_____PER1">#REF!</definedName>
    <definedName name="____PER1">#REF!</definedName>
    <definedName name="___PER1">#REF!</definedName>
    <definedName name="__PER1">#REF!</definedName>
    <definedName name="_PER1">#REF!</definedName>
    <definedName name="BUN">#REF!</definedName>
    <definedName name="NvsEndTime">43110.0518634259</definedName>
    <definedName name="PER">#REF!</definedName>
    <definedName name="_xlnm.Print_Area" localSheetId="3">'Gross Up - Rev. Sensitive'!$A$1:$I$29</definedName>
    <definedName name="_xlnm.Print_Area" localSheetId="1">'Process Fees inc. in Rates - NS'!$A$1:$H$32</definedName>
    <definedName name="_xlnm.Print_Area" localSheetId="2">'Process fees inc. in Rates-SS'!$A$1:$H$32</definedName>
    <definedName name="_xlnm.Print_Area" localSheetId="0">'Rate Impact'!$A$1:$N$30</definedName>
    <definedName name="SFD">#REF!</definedName>
    <definedName name="SFV">#REF!</definedName>
    <definedName name="SFV_C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27" l="1"/>
  <c r="P12" i="27" l="1"/>
  <c r="D13" i="1" l="1"/>
  <c r="F19" i="24"/>
  <c r="E19" i="24"/>
  <c r="E20" i="1"/>
  <c r="F20" i="1"/>
  <c r="B19" i="25"/>
  <c r="E28" i="24"/>
  <c r="E27" i="24"/>
  <c r="E27" i="1" l="1"/>
  <c r="F27" i="1" s="1"/>
  <c r="G11" i="27" s="1"/>
  <c r="E26" i="1"/>
  <c r="E25" i="1"/>
  <c r="E15" i="24" l="1"/>
  <c r="E13" i="24"/>
  <c r="D17" i="1"/>
  <c r="E13" i="1"/>
  <c r="E15" i="1"/>
  <c r="E17" i="24" l="1"/>
  <c r="B27" i="25"/>
  <c r="C17" i="1"/>
  <c r="D18" i="1"/>
  <c r="F15" i="24"/>
  <c r="E16" i="1"/>
  <c r="E17" i="1" s="1"/>
  <c r="F19" i="25"/>
  <c r="F5" i="25"/>
  <c r="C18" i="1" l="1"/>
  <c r="E22" i="1"/>
  <c r="F17" i="1"/>
  <c r="F12" i="27" s="1"/>
  <c r="B13" i="25"/>
  <c r="E18" i="1"/>
  <c r="F22" i="1" l="1"/>
  <c r="G19" i="27" l="1"/>
  <c r="G18" i="27"/>
  <c r="H11" i="27"/>
  <c r="H18" i="27" l="1"/>
  <c r="H19" i="27"/>
  <c r="F6" i="25" l="1"/>
  <c r="F22" i="25" l="1"/>
  <c r="F24" i="25" s="1"/>
  <c r="G20" i="27"/>
  <c r="C19" i="25"/>
  <c r="H20" i="27" l="1"/>
  <c r="G29" i="27"/>
  <c r="G21" i="27"/>
  <c r="E28" i="1"/>
  <c r="E30" i="1" s="1"/>
  <c r="G27" i="1"/>
  <c r="F26" i="1"/>
  <c r="F25" i="1"/>
  <c r="G9" i="27" s="1"/>
  <c r="F13" i="1"/>
  <c r="C5" i="25"/>
  <c r="F8" i="25"/>
  <c r="F10" i="25" s="1"/>
  <c r="C12" i="27" l="1"/>
  <c r="G27" i="27"/>
  <c r="H9" i="27"/>
  <c r="G26" i="1"/>
  <c r="G10" i="27"/>
  <c r="G12" i="27" s="1"/>
  <c r="H29" i="27"/>
  <c r="H21" i="27"/>
  <c r="E32" i="1"/>
  <c r="F28" i="1"/>
  <c r="F30" i="1" s="1"/>
  <c r="G25" i="1"/>
  <c r="G28" i="1" s="1"/>
  <c r="E29" i="24"/>
  <c r="C21" i="27" s="1"/>
  <c r="F28" i="24"/>
  <c r="G28" i="24" s="1"/>
  <c r="F27" i="24"/>
  <c r="G27" i="24" s="1"/>
  <c r="F26" i="24"/>
  <c r="G26" i="24" s="1"/>
  <c r="F13" i="24"/>
  <c r="B20" i="25"/>
  <c r="N12" i="27" l="1"/>
  <c r="G28" i="27"/>
  <c r="G30" i="27" s="1"/>
  <c r="H10" i="27"/>
  <c r="H28" i="27" s="1"/>
  <c r="C28" i="27" s="1"/>
  <c r="H12" i="27"/>
  <c r="H27" i="27"/>
  <c r="C27" i="27" s="1"/>
  <c r="E30" i="24"/>
  <c r="G29" i="24"/>
  <c r="C29" i="27"/>
  <c r="F21" i="27"/>
  <c r="N21" i="27" s="1"/>
  <c r="C20" i="25"/>
  <c r="C21" i="25" s="1"/>
  <c r="B21" i="25"/>
  <c r="B25" i="25" s="1"/>
  <c r="B26" i="25" s="1"/>
  <c r="F29" i="24"/>
  <c r="E21" i="24"/>
  <c r="H30" i="27" l="1"/>
  <c r="C30" i="27" s="1"/>
  <c r="F30" i="24"/>
  <c r="F30" i="27"/>
  <c r="N30" i="27" s="1"/>
  <c r="E32" i="24"/>
  <c r="B28" i="25"/>
  <c r="C6" i="25" l="1"/>
  <c r="C7" i="25" s="1"/>
  <c r="B7" i="25"/>
  <c r="B11" i="25" s="1"/>
  <c r="B12" i="25" s="1"/>
  <c r="B14" i="25" l="1"/>
  <c r="F21" i="24" l="1"/>
  <c r="F32" i="24" l="1"/>
  <c r="H32" i="24" s="1"/>
  <c r="H21" i="24"/>
  <c r="G32" i="24" s="1"/>
  <c r="F32" i="1"/>
  <c r="K21" i="27" l="1"/>
  <c r="H32" i="1"/>
  <c r="H22" i="1"/>
  <c r="G32" i="1" s="1"/>
  <c r="K12" i="27" l="1"/>
  <c r="H25" i="1"/>
  <c r="H26" i="1" l="1"/>
  <c r="D10" i="27" s="1"/>
  <c r="H27" i="1"/>
  <c r="D11" i="27" s="1"/>
  <c r="K30" i="27"/>
  <c r="H28" i="24"/>
  <c r="D20" i="27" s="1"/>
  <c r="H26" i="24"/>
  <c r="D18" i="27" s="1"/>
  <c r="H27" i="24"/>
  <c r="D19" i="27" s="1"/>
  <c r="D9" i="27"/>
  <c r="E9" i="27" l="1"/>
  <c r="D12" i="27"/>
  <c r="I11" i="27"/>
  <c r="E11" i="27"/>
  <c r="I10" i="27"/>
  <c r="J10" i="27" s="1"/>
  <c r="E10" i="27"/>
  <c r="I19" i="27"/>
  <c r="J19" i="27" s="1"/>
  <c r="E19" i="27"/>
  <c r="I18" i="27"/>
  <c r="E18" i="27"/>
  <c r="D21" i="27"/>
  <c r="I20" i="27"/>
  <c r="J20" i="27" s="1"/>
  <c r="E20" i="27"/>
  <c r="I9" i="27"/>
  <c r="I29" i="27" l="1"/>
  <c r="D29" i="27" s="1"/>
  <c r="E29" i="27" s="1"/>
  <c r="E12" i="27"/>
  <c r="J11" i="27"/>
  <c r="J29" i="27" s="1"/>
  <c r="J28" i="27"/>
  <c r="J18" i="27"/>
  <c r="J21" i="27" s="1"/>
  <c r="L21" i="27" s="1"/>
  <c r="I21" i="27"/>
  <c r="I28" i="27"/>
  <c r="D28" i="27" s="1"/>
  <c r="E28" i="27" s="1"/>
  <c r="E21" i="27"/>
  <c r="I27" i="27"/>
  <c r="I12" i="27"/>
  <c r="J9" i="27"/>
  <c r="D27" i="27" l="1"/>
  <c r="E27" i="27" s="1"/>
  <c r="I30" i="27"/>
  <c r="D30" i="27" s="1"/>
  <c r="E30" i="27" s="1"/>
  <c r="J12" i="27"/>
  <c r="L12" i="27" s="1"/>
  <c r="J27" i="27"/>
  <c r="J30" i="27" s="1"/>
  <c r="L30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E20" authorId="0" shapeId="0" xr:uid="{0048C144-672A-4A20-BFE5-D5BD61938BFD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Rate Approved in TG-190377
</t>
        </r>
      </text>
    </comment>
    <comment ref="F20" authorId="0" shapeId="0" xr:uid="{D4C103B9-C0D3-482C-836C-0CDBDEE54DA5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Rate per Cedar Grove letter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E19" authorId="0" shapeId="0" xr:uid="{C9168D41-6BAA-4FC2-ACD0-9910A38FEBA9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Rate approved in TG-190376</t>
        </r>
      </text>
    </comment>
    <comment ref="F19" authorId="0" shapeId="0" xr:uid="{2838603C-5E2D-4BA0-A2DF-996C0642AE02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Rate per Cedar Grove Letter</t>
        </r>
      </text>
    </comment>
  </commentList>
</comments>
</file>

<file path=xl/sharedStrings.xml><?xml version="1.0" encoding="utf-8"?>
<sst xmlns="http://schemas.openxmlformats.org/spreadsheetml/2006/main" count="155" uniqueCount="66">
  <si>
    <t>% Regulated</t>
  </si>
  <si>
    <t>Regulated Processing Costs</t>
  </si>
  <si>
    <t>Marysville</t>
  </si>
  <si>
    <t>Seattle</t>
  </si>
  <si>
    <t>Total</t>
  </si>
  <si>
    <t>Regulated SS Tonnage</t>
  </si>
  <si>
    <t>Processing Fee/ton reflected in most recent rate case</t>
  </si>
  <si>
    <t>Waste Management of Washington, Inc.</t>
  </si>
  <si>
    <t>Last General Filing Docket</t>
  </si>
  <si>
    <t>Tariff No.</t>
  </si>
  <si>
    <t>Designated information is confidential per WAC 480-07-160</t>
  </si>
  <si>
    <t>Proposed</t>
  </si>
  <si>
    <t>Processing Fees Reflected Yard Waste Collection Rates</t>
  </si>
  <si>
    <t>Total WUTC Customers in most recent rate case:</t>
  </si>
  <si>
    <t>Pro Forma</t>
  </si>
  <si>
    <t>North Sound</t>
  </si>
  <si>
    <t>35 gallon Cart</t>
  </si>
  <si>
    <t>64 gallon Cart</t>
  </si>
  <si>
    <t>96 gallon Cart</t>
  </si>
  <si>
    <t>King County:</t>
  </si>
  <si>
    <t>Weighted Average Collection Rate</t>
  </si>
  <si>
    <t>Increase</t>
  </si>
  <si>
    <t>Current</t>
  </si>
  <si>
    <t>Per Ton</t>
  </si>
  <si>
    <t>Per Pound</t>
  </si>
  <si>
    <t>Gross Up Factors</t>
  </si>
  <si>
    <t>Current Rate</t>
  </si>
  <si>
    <t>B&amp;O tax</t>
  </si>
  <si>
    <t>New Rate</t>
  </si>
  <si>
    <t>WUTC fees</t>
  </si>
  <si>
    <t>Factor</t>
  </si>
  <si>
    <t>Increase per ton</t>
  </si>
  <si>
    <t>Grossed Up Increase per ton</t>
  </si>
  <si>
    <t>Tons Collected</t>
  </si>
  <si>
    <t>Disposal Fee Revenue Increase</t>
  </si>
  <si>
    <t>South Sound</t>
  </si>
  <si>
    <t>Customers</t>
  </si>
  <si>
    <t>Revenue</t>
  </si>
  <si>
    <t>North Sound/Marysville</t>
  </si>
  <si>
    <t>Seattle/ South Sound</t>
  </si>
  <si>
    <t>Cedar Grove Processing Fees</t>
  </si>
  <si>
    <t>Bad Debts</t>
  </si>
  <si>
    <t>From rate case TG-151382</t>
  </si>
  <si>
    <t>From TG-140471</t>
  </si>
  <si>
    <t>Cost</t>
  </si>
  <si>
    <t>Diff.</t>
  </si>
  <si>
    <t>North Sound/Marysville Tariff #19</t>
  </si>
  <si>
    <t>Seattle/South Sound Tariff #23</t>
  </si>
  <si>
    <t>Monthly Collection Rate:</t>
  </si>
  <si>
    <t>Total - Average</t>
  </si>
  <si>
    <t>Tonnage</t>
  </si>
  <si>
    <t>lbs./mo./</t>
  </si>
  <si>
    <t>Customer</t>
  </si>
  <si>
    <t>Rate Impact Summary</t>
  </si>
  <si>
    <t>Snohommish County - Regulated</t>
  </si>
  <si>
    <t>King County - Regulated</t>
  </si>
  <si>
    <t>Average lbs./customer per month</t>
  </si>
  <si>
    <t>Inc.</t>
  </si>
  <si>
    <t>Gallons</t>
  </si>
  <si>
    <t>Monthly Processing Cost/customer (exlcuding Notice cost)</t>
  </si>
  <si>
    <t>October, 2019 - September, 2020 Actuals</t>
  </si>
  <si>
    <t>Residential YW Tonnage</t>
  </si>
  <si>
    <t>Total WUTC Customers:</t>
  </si>
  <si>
    <t>Total Regulated SS Tonnage</t>
  </si>
  <si>
    <t>WM North Sound/Marysville Tariff #19</t>
  </si>
  <si>
    <t>WM South Sound/Seattle Tariff #23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</si>
</sst>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_(* #,##0.0000_);_(* \(#,##0.0000\);_(* &quot;-&quot;??_);_(@_)"/>
    <numFmt numFmtId="171" formatCode="_(* #,##0.00000_);_(* \(#,##0.00000\);_(* &quot;-&quot;??_);_(@_)"/>
    <numFmt numFmtId="172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indexed="56"/>
      <name val="Arial"/>
      <family val="2"/>
    </font>
    <font>
      <u/>
      <sz val="11"/>
      <color rgb="FFFF0000"/>
      <name val="Calibri"/>
      <family val="2"/>
      <scheme val="minor"/>
    </font>
    <font>
      <sz val="9"/>
      <color indexed="10"/>
      <name val="Helv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 val="doub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i/>
      <u val="double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2" fillId="0" borderId="0" applyNumberFormat="0" applyFont="0" applyFill="0" applyBorder="0">
      <alignment horizontal="left" indent="4"/>
      <protection locked="0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7" fontId="10" fillId="2" borderId="0" xfId="0" applyNumberFormat="1" applyFont="1" applyFill="1" applyBorder="1" applyProtection="1"/>
    <xf numFmtId="0" fontId="0" fillId="0" borderId="0" xfId="0" applyFill="1"/>
    <xf numFmtId="4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/>
    <xf numFmtId="44" fontId="0" fillId="0" borderId="0" xfId="2" applyFont="1"/>
    <xf numFmtId="168" fontId="0" fillId="0" borderId="0" xfId="2" applyNumberFormat="1" applyFont="1"/>
    <xf numFmtId="166" fontId="6" fillId="0" borderId="0" xfId="3" applyNumberFormat="1" applyFont="1" applyFill="1"/>
    <xf numFmtId="44" fontId="0" fillId="0" borderId="0" xfId="0" applyNumberFormat="1" applyFill="1"/>
    <xf numFmtId="169" fontId="0" fillId="0" borderId="0" xfId="0" applyNumberFormat="1" applyFill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44" fontId="0" fillId="3" borderId="0" xfId="2" applyFont="1" applyFill="1"/>
    <xf numFmtId="168" fontId="0" fillId="0" borderId="1" xfId="2" applyNumberFormat="1" applyFont="1" applyBorder="1"/>
    <xf numFmtId="165" fontId="0" fillId="3" borderId="1" xfId="0" applyNumberFormat="1" applyFill="1" applyBorder="1"/>
    <xf numFmtId="44" fontId="0" fillId="0" borderId="0" xfId="2" applyFont="1" applyFill="1"/>
    <xf numFmtId="164" fontId="5" fillId="0" borderId="0" xfId="0" applyNumberFormat="1" applyFont="1"/>
    <xf numFmtId="44" fontId="0" fillId="3" borderId="1" xfId="2" applyNumberFormat="1" applyFont="1" applyFill="1" applyBorder="1"/>
    <xf numFmtId="44" fontId="0" fillId="3" borderId="0" xfId="0" applyNumberFormat="1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0" fontId="13" fillId="0" borderId="1" xfId="1" applyNumberFormat="1" applyFont="1" applyFill="1" applyBorder="1"/>
    <xf numFmtId="170" fontId="0" fillId="0" borderId="0" xfId="1" applyNumberFormat="1" applyFont="1" applyBorder="1"/>
    <xf numFmtId="170" fontId="0" fillId="0" borderId="0" xfId="1" applyNumberFormat="1" applyFont="1"/>
    <xf numFmtId="170" fontId="5" fillId="0" borderId="0" xfId="0" applyNumberFormat="1" applyFont="1"/>
    <xf numFmtId="171" fontId="5" fillId="0" borderId="0" xfId="0" applyNumberFormat="1" applyFont="1"/>
    <xf numFmtId="170" fontId="14" fillId="0" borderId="1" xfId="1" applyNumberFormat="1" applyFont="1" applyBorder="1" applyProtection="1"/>
    <xf numFmtId="172" fontId="6" fillId="0" borderId="0" xfId="0" applyNumberFormat="1" applyFont="1"/>
    <xf numFmtId="0" fontId="0" fillId="0" borderId="0" xfId="0"/>
    <xf numFmtId="0" fontId="7" fillId="0" borderId="0" xfId="0" quotePrefix="1" applyFont="1" applyAlignment="1">
      <alignment horizontal="center"/>
    </xf>
    <xf numFmtId="0" fontId="0" fillId="0" borderId="0" xfId="0"/>
    <xf numFmtId="0" fontId="15" fillId="0" borderId="0" xfId="0" applyFont="1"/>
    <xf numFmtId="0" fontId="16" fillId="0" borderId="0" xfId="0" applyFont="1"/>
    <xf numFmtId="0" fontId="0" fillId="0" borderId="0" xfId="0"/>
    <xf numFmtId="0" fontId="0" fillId="0" borderId="0" xfId="0"/>
    <xf numFmtId="0" fontId="7" fillId="0" borderId="0" xfId="0" applyFont="1" applyAlignment="1">
      <alignment horizontal="center"/>
    </xf>
    <xf numFmtId="0" fontId="17" fillId="0" borderId="0" xfId="0" applyFont="1"/>
    <xf numFmtId="0" fontId="2" fillId="4" borderId="0" xfId="0" applyFont="1" applyFill="1" applyAlignment="1">
      <alignment horizontal="center"/>
    </xf>
    <xf numFmtId="0" fontId="0" fillId="4" borderId="0" xfId="0" applyFill="1"/>
    <xf numFmtId="165" fontId="0" fillId="4" borderId="0" xfId="0" applyNumberFormat="1" applyFill="1"/>
    <xf numFmtId="165" fontId="5" fillId="4" borderId="0" xfId="1" applyNumberFormat="1" applyFont="1" applyFill="1"/>
    <xf numFmtId="165" fontId="5" fillId="4" borderId="0" xfId="0" applyNumberFormat="1" applyFont="1" applyFill="1"/>
    <xf numFmtId="0" fontId="7" fillId="4" borderId="0" xfId="0" applyFont="1" applyFill="1" applyAlignment="1">
      <alignment horizontal="center"/>
    </xf>
    <xf numFmtId="44" fontId="4" fillId="4" borderId="0" xfId="2" applyFont="1" applyFill="1"/>
    <xf numFmtId="44" fontId="4" fillId="4" borderId="0" xfId="0" applyNumberFormat="1" applyFont="1" applyFill="1"/>
    <xf numFmtId="165" fontId="4" fillId="4" borderId="0" xfId="0" applyNumberFormat="1" applyFont="1" applyFill="1"/>
    <xf numFmtId="44" fontId="5" fillId="4" borderId="0" xfId="2" applyFont="1" applyFill="1"/>
    <xf numFmtId="44" fontId="5" fillId="4" borderId="0" xfId="0" applyNumberFormat="1" applyFont="1" applyFill="1"/>
    <xf numFmtId="44" fontId="0" fillId="4" borderId="0" xfId="0" applyNumberFormat="1" applyFill="1"/>
    <xf numFmtId="44" fontId="1" fillId="4" borderId="0" xfId="2" applyFont="1" applyFill="1"/>
    <xf numFmtId="164" fontId="0" fillId="4" borderId="0" xfId="0" applyNumberFormat="1" applyFill="1"/>
    <xf numFmtId="164" fontId="1" fillId="4" borderId="0" xfId="2" applyNumberFormat="1" applyFont="1" applyFill="1"/>
    <xf numFmtId="164" fontId="4" fillId="4" borderId="0" xfId="0" applyNumberFormat="1" applyFont="1" applyFill="1"/>
    <xf numFmtId="164" fontId="4" fillId="4" borderId="0" xfId="2" applyNumberFormat="1" applyFont="1" applyFill="1"/>
    <xf numFmtId="164" fontId="5" fillId="4" borderId="0" xfId="0" applyNumberFormat="1" applyFont="1" applyFill="1"/>
    <xf numFmtId="43" fontId="5" fillId="4" borderId="0" xfId="0" applyNumberFormat="1" applyFont="1" applyFill="1"/>
    <xf numFmtId="169" fontId="0" fillId="4" borderId="0" xfId="0" applyNumberFormat="1" applyFill="1"/>
    <xf numFmtId="0" fontId="7" fillId="0" borderId="0" xfId="0" applyFont="1" applyAlignment="1">
      <alignment horizontal="center"/>
    </xf>
    <xf numFmtId="0" fontId="0" fillId="0" borderId="0" xfId="0"/>
    <xf numFmtId="166" fontId="2" fillId="0" borderId="0" xfId="3" applyNumberFormat="1" applyFont="1"/>
    <xf numFmtId="0" fontId="7" fillId="0" borderId="0" xfId="0" applyFont="1" applyAlignment="1">
      <alignment horizontal="center"/>
    </xf>
    <xf numFmtId="0" fontId="0" fillId="0" borderId="0" xfId="0"/>
    <xf numFmtId="0" fontId="2" fillId="0" borderId="0" xfId="0" applyFont="1" applyFill="1"/>
    <xf numFmtId="165" fontId="5" fillId="0" borderId="0" xfId="0" applyNumberFormat="1" applyFont="1" applyFill="1"/>
    <xf numFmtId="165" fontId="2" fillId="0" borderId="0" xfId="0" applyNumberFormat="1" applyFont="1" applyFill="1"/>
    <xf numFmtId="165" fontId="5" fillId="0" borderId="0" xfId="1" applyNumberFormat="1" applyFont="1" applyFill="1"/>
    <xf numFmtId="165" fontId="2" fillId="0" borderId="0" xfId="1" applyNumberFormat="1" applyFont="1" applyFill="1"/>
    <xf numFmtId="166" fontId="7" fillId="0" borderId="0" xfId="3" applyNumberFormat="1" applyFont="1" applyFill="1"/>
    <xf numFmtId="166" fontId="7" fillId="0" borderId="0" xfId="3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44" fontId="4" fillId="0" borderId="0" xfId="2" applyFont="1" applyFill="1"/>
    <xf numFmtId="44" fontId="4" fillId="0" borderId="0" xfId="0" applyNumberFormat="1" applyFont="1" applyFill="1"/>
    <xf numFmtId="164" fontId="5" fillId="0" borderId="0" xfId="2" applyNumberFormat="1" applyFont="1" applyFill="1"/>
    <xf numFmtId="164" fontId="5" fillId="0" borderId="0" xfId="0" applyNumberFormat="1" applyFont="1" applyFill="1"/>
    <xf numFmtId="165" fontId="4" fillId="0" borderId="0" xfId="1" applyNumberFormat="1" applyFont="1" applyFill="1"/>
    <xf numFmtId="165" fontId="1" fillId="0" borderId="0" xfId="1" applyNumberFormat="1" applyFont="1" applyFill="1"/>
    <xf numFmtId="165" fontId="0" fillId="0" borderId="0" xfId="0" applyNumberFormat="1" applyFill="1"/>
    <xf numFmtId="44" fontId="2" fillId="0" borderId="0" xfId="2" applyFont="1" applyFill="1"/>
    <xf numFmtId="165" fontId="4" fillId="0" borderId="0" xfId="0" applyNumberFormat="1" applyFont="1" applyFill="1"/>
    <xf numFmtId="0" fontId="18" fillId="0" borderId="0" xfId="0" applyFont="1" applyFill="1"/>
    <xf numFmtId="43" fontId="19" fillId="0" borderId="0" xfId="1" applyNumberFormat="1" applyFont="1" applyFill="1"/>
    <xf numFmtId="43" fontId="0" fillId="0" borderId="0" xfId="0" applyNumberFormat="1" applyFill="1"/>
    <xf numFmtId="44" fontId="5" fillId="0" borderId="0" xfId="2" applyNumberFormat="1" applyFont="1" applyFill="1"/>
    <xf numFmtId="44" fontId="5" fillId="0" borderId="0" xfId="2" applyFont="1" applyFill="1"/>
    <xf numFmtId="44" fontId="5" fillId="0" borderId="0" xfId="0" applyNumberFormat="1" applyFont="1" applyFill="1"/>
    <xf numFmtId="0" fontId="23" fillId="0" borderId="0" xfId="0" applyFont="1" applyAlignment="1">
      <alignment horizontal="center"/>
    </xf>
    <xf numFmtId="165" fontId="0" fillId="0" borderId="0" xfId="1" applyNumberFormat="1" applyFont="1" applyFill="1"/>
    <xf numFmtId="43" fontId="4" fillId="0" borderId="0" xfId="1" applyFont="1" applyFill="1"/>
    <xf numFmtId="166" fontId="22" fillId="0" borderId="0" xfId="3" applyNumberFormat="1" applyFont="1" applyFill="1"/>
    <xf numFmtId="166" fontId="3" fillId="0" borderId="0" xfId="0" applyNumberFormat="1" applyFont="1" applyFill="1"/>
    <xf numFmtId="166" fontId="3" fillId="0" borderId="0" xfId="3" applyNumberFormat="1" applyFont="1" applyFill="1"/>
    <xf numFmtId="164" fontId="2" fillId="0" borderId="0" xfId="2" applyNumberFormat="1" applyFont="1" applyFill="1"/>
    <xf numFmtId="168" fontId="5" fillId="0" borderId="0" xfId="2" applyNumberFormat="1" applyFont="1" applyFill="1"/>
    <xf numFmtId="0" fontId="20" fillId="0" borderId="0" xfId="0" quotePrefix="1" applyFont="1" applyAlignment="1">
      <alignment horizontal="center"/>
    </xf>
  </cellXfs>
  <cellStyles count="11">
    <cellStyle name="Comma" xfId="1" builtinId="3"/>
    <cellStyle name="Currency" xfId="2" builtinId="4"/>
    <cellStyle name="Currency 2" xfId="5" xr:uid="{00000000-0005-0000-0000-000002000000}"/>
    <cellStyle name="Currency 3" xfId="6" xr:uid="{00000000-0005-0000-0000-000003000000}"/>
    <cellStyle name="Normal" xfId="0" builtinId="0"/>
    <cellStyle name="Normal 10 2" xfId="9" xr:uid="{00000000-0005-0000-0000-000005000000}"/>
    <cellStyle name="Normal 12" xfId="7" xr:uid="{00000000-0005-0000-0000-000006000000}"/>
    <cellStyle name="Normal 9 4" xfId="8" xr:uid="{00000000-0005-0000-0000-000007000000}"/>
    <cellStyle name="Percent" xfId="3" builtinId="5"/>
    <cellStyle name="Percent 2 6 2 2" xfId="10" xr:uid="{00000000-0005-0000-0000-000009000000}"/>
    <cellStyle name="PS_Comma" xfId="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A21" workbookViewId="0">
      <selection activeCell="O21" sqref="O21"/>
    </sheetView>
  </sheetViews>
  <sheetFormatPr defaultRowHeight="15" x14ac:dyDescent="0.25"/>
  <cols>
    <col min="1" max="1" width="47.28515625" bestFit="1" customWidth="1"/>
    <col min="2" max="2" width="3.42578125" customWidth="1"/>
    <col min="3" max="3" width="11.5703125" bestFit="1" customWidth="1"/>
    <col min="4" max="4" width="10" bestFit="1" customWidth="1"/>
    <col min="5" max="5" width="8.7109375" customWidth="1"/>
    <col min="6" max="6" width="8.5703125" style="41" bestFit="1" customWidth="1"/>
    <col min="7" max="7" width="10.42578125" bestFit="1" customWidth="1"/>
    <col min="8" max="9" width="12.5703125" bestFit="1" customWidth="1"/>
    <col min="10" max="11" width="10" bestFit="1" customWidth="1"/>
    <col min="12" max="12" width="10.7109375" bestFit="1" customWidth="1"/>
    <col min="13" max="13" width="3.5703125" customWidth="1"/>
    <col min="14" max="14" width="9.5703125" bestFit="1" customWidth="1"/>
  </cols>
  <sheetData>
    <row r="1" spans="1:16" ht="26.25" x14ac:dyDescent="0.4">
      <c r="A1" s="6" t="s">
        <v>7</v>
      </c>
    </row>
    <row r="2" spans="1:16" ht="21" x14ac:dyDescent="0.35">
      <c r="A2" s="43" t="s">
        <v>53</v>
      </c>
    </row>
    <row r="3" spans="1:16" s="39" customFormat="1" x14ac:dyDescent="0.25">
      <c r="A3" s="7" t="s">
        <v>10</v>
      </c>
      <c r="F3" s="41"/>
    </row>
    <row r="4" spans="1:16" s="39" customFormat="1" x14ac:dyDescent="0.25">
      <c r="F4" s="41"/>
    </row>
    <row r="5" spans="1:16" s="39" customFormat="1" x14ac:dyDescent="0.25">
      <c r="F5" s="41"/>
    </row>
    <row r="6" spans="1:16" ht="18.75" x14ac:dyDescent="0.3">
      <c r="A6" s="42" t="s">
        <v>46</v>
      </c>
    </row>
    <row r="7" spans="1:16" x14ac:dyDescent="0.25">
      <c r="C7" s="8"/>
      <c r="D7" s="19"/>
      <c r="E7" s="8"/>
      <c r="F7" s="8"/>
      <c r="G7" s="31"/>
      <c r="H7" s="31" t="s">
        <v>22</v>
      </c>
      <c r="I7" s="31" t="s">
        <v>14</v>
      </c>
      <c r="J7" s="31" t="s">
        <v>37</v>
      </c>
      <c r="K7" s="31" t="s">
        <v>44</v>
      </c>
      <c r="L7" s="39"/>
      <c r="N7" s="31" t="s">
        <v>51</v>
      </c>
    </row>
    <row r="8" spans="1:16" x14ac:dyDescent="0.25">
      <c r="A8" s="4" t="s">
        <v>48</v>
      </c>
      <c r="C8" s="11" t="s">
        <v>22</v>
      </c>
      <c r="D8" s="11" t="s">
        <v>11</v>
      </c>
      <c r="E8" s="30" t="s">
        <v>57</v>
      </c>
      <c r="F8" s="30" t="s">
        <v>50</v>
      </c>
      <c r="G8" s="30" t="s">
        <v>36</v>
      </c>
      <c r="H8" s="30" t="s">
        <v>37</v>
      </c>
      <c r="I8" s="30" t="s">
        <v>37</v>
      </c>
      <c r="J8" s="30" t="s">
        <v>21</v>
      </c>
      <c r="K8" s="30" t="s">
        <v>21</v>
      </c>
      <c r="L8" s="30" t="s">
        <v>45</v>
      </c>
      <c r="N8" s="30" t="s">
        <v>52</v>
      </c>
    </row>
    <row r="9" spans="1:16" x14ac:dyDescent="0.25">
      <c r="A9" s="3" t="s">
        <v>16</v>
      </c>
      <c r="C9" s="60">
        <v>9.58</v>
      </c>
      <c r="D9" s="59">
        <f>+C9+'Process Fees inc. in Rates - NS'!H25</f>
        <v>9.8699999999999992</v>
      </c>
      <c r="E9" s="59">
        <f>+D9-C9</f>
        <v>0.28999999999999915</v>
      </c>
      <c r="F9" s="59"/>
      <c r="G9" s="50">
        <f>+'Process Fees inc. in Rates - NS'!F25</f>
        <v>3798</v>
      </c>
      <c r="H9" s="61">
        <f>+G9*C9*12</f>
        <v>436618.08000000007</v>
      </c>
      <c r="I9" s="62">
        <f>+G9*D9*12</f>
        <v>449835.11999999994</v>
      </c>
      <c r="J9" s="61">
        <f>+I9-H9</f>
        <v>13217.039999999863</v>
      </c>
      <c r="K9" s="49"/>
      <c r="L9" s="49"/>
      <c r="M9" s="49"/>
      <c r="N9" s="49"/>
    </row>
    <row r="10" spans="1:16" x14ac:dyDescent="0.25">
      <c r="A10" s="3" t="s">
        <v>17</v>
      </c>
      <c r="C10" s="60">
        <v>10.94</v>
      </c>
      <c r="D10" s="59">
        <f>+C10+'Process Fees inc. in Rates - NS'!H26</f>
        <v>11.469999999999999</v>
      </c>
      <c r="E10" s="59">
        <f t="shared" ref="E10:E12" si="0">+D10-C10</f>
        <v>0.52999999999999936</v>
      </c>
      <c r="F10" s="59"/>
      <c r="G10" s="50">
        <f>+'Process Fees inc. in Rates - NS'!F26</f>
        <v>3025</v>
      </c>
      <c r="H10" s="61">
        <f>+G10*C10*12</f>
        <v>397122</v>
      </c>
      <c r="I10" s="62">
        <f>+G10*D10*12</f>
        <v>416361</v>
      </c>
      <c r="J10" s="61">
        <f>+I10-H10</f>
        <v>19239</v>
      </c>
      <c r="K10" s="49"/>
      <c r="L10" s="49"/>
      <c r="M10" s="49"/>
      <c r="N10" s="49"/>
    </row>
    <row r="11" spans="1:16" ht="17.25" x14ac:dyDescent="0.4">
      <c r="A11" s="3" t="s">
        <v>18</v>
      </c>
      <c r="C11" s="54">
        <v>12.2</v>
      </c>
      <c r="D11" s="55">
        <f>+C11+'Process Fees inc. in Rates - NS'!H27</f>
        <v>13</v>
      </c>
      <c r="E11" s="55">
        <f t="shared" si="0"/>
        <v>0.80000000000000071</v>
      </c>
      <c r="F11" s="59"/>
      <c r="G11" s="56">
        <f>+'Process Fees inc. in Rates - NS'!F27</f>
        <v>56638</v>
      </c>
      <c r="H11" s="63">
        <f>+G11*C11*12</f>
        <v>8291803.1999999993</v>
      </c>
      <c r="I11" s="64">
        <f>+G11*D11*12</f>
        <v>8835528</v>
      </c>
      <c r="J11" s="63">
        <f>+I11-H11</f>
        <v>543724.80000000075</v>
      </c>
      <c r="K11" s="49"/>
      <c r="L11" s="49"/>
      <c r="M11" s="49"/>
      <c r="N11" s="49"/>
    </row>
    <row r="12" spans="1:16" ht="17.25" x14ac:dyDescent="0.4">
      <c r="A12" s="2" t="s">
        <v>20</v>
      </c>
      <c r="C12" s="57">
        <f>(+'Process Fees inc. in Rates - NS'!E25*'Rate Impact'!C9+'Rate Impact'!C10*'Process Fees inc. in Rates - NS'!E26+'Rate Impact'!C11*'Process Fees inc. in Rates - NS'!E27)/'Process Fees inc. in Rates - NS'!E28</f>
        <v>11.983138305415924</v>
      </c>
      <c r="D12" s="57">
        <f>(+'Process Fees inc. in Rates - NS'!F25*'Rate Impact'!D9+'Rate Impact'!D10*'Process Fees inc. in Rates - NS'!F26+'Rate Impact'!D11*'Process Fees inc. in Rates - NS'!F27)/'Process Fees inc. in Rates - NS'!F28</f>
        <v>12.73974582814642</v>
      </c>
      <c r="E12" s="58">
        <f t="shared" si="0"/>
        <v>0.75660752273049603</v>
      </c>
      <c r="F12" s="51">
        <f>+'Process Fees inc. in Rates - NS'!F17</f>
        <v>40608.9</v>
      </c>
      <c r="G12" s="52">
        <f>SUM(G9:G11)</f>
        <v>63461</v>
      </c>
      <c r="H12" s="65">
        <f>SUM(H9:H11)</f>
        <v>9125543.2799999993</v>
      </c>
      <c r="I12" s="65">
        <f>SUM(I9:I11)</f>
        <v>9701724.1199999992</v>
      </c>
      <c r="J12" s="65">
        <f>SUM(J9:J11)</f>
        <v>576180.84000000055</v>
      </c>
      <c r="K12" s="65">
        <f>+'Process Fees inc. in Rates - NS'!H22</f>
        <v>574210</v>
      </c>
      <c r="L12" s="65">
        <f>+J12-K12</f>
        <v>1970.8400000005495</v>
      </c>
      <c r="M12" s="49"/>
      <c r="N12" s="66">
        <f>+F12*2000/G12/12</f>
        <v>106.65054127731993</v>
      </c>
      <c r="P12" s="70">
        <f>+D12/C12-1</f>
        <v>6.3139346592414602E-2</v>
      </c>
    </row>
    <row r="13" spans="1:16" x14ac:dyDescent="0.25"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6" s="39" customFormat="1" x14ac:dyDescent="0.25"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6" ht="18.75" x14ac:dyDescent="0.3">
      <c r="A15" s="42" t="s">
        <v>47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6" x14ac:dyDescent="0.25">
      <c r="C16" s="49"/>
      <c r="D16" s="67"/>
      <c r="E16" s="49"/>
      <c r="F16" s="49"/>
      <c r="G16" s="48"/>
      <c r="H16" s="48" t="s">
        <v>22</v>
      </c>
      <c r="I16" s="48" t="s">
        <v>14</v>
      </c>
      <c r="J16" s="48" t="s">
        <v>37</v>
      </c>
      <c r="K16" s="48" t="s">
        <v>44</v>
      </c>
      <c r="L16" s="49"/>
      <c r="M16" s="49"/>
      <c r="N16" s="48" t="s">
        <v>51</v>
      </c>
    </row>
    <row r="17" spans="1:16" x14ac:dyDescent="0.25">
      <c r="A17" s="4" t="s">
        <v>48</v>
      </c>
      <c r="C17" s="53" t="s">
        <v>22</v>
      </c>
      <c r="D17" s="53" t="s">
        <v>11</v>
      </c>
      <c r="E17" s="53" t="s">
        <v>57</v>
      </c>
      <c r="F17" s="53" t="s">
        <v>50</v>
      </c>
      <c r="G17" s="53" t="s">
        <v>36</v>
      </c>
      <c r="H17" s="53" t="s">
        <v>37</v>
      </c>
      <c r="I17" s="53" t="s">
        <v>37</v>
      </c>
      <c r="J17" s="53" t="s">
        <v>21</v>
      </c>
      <c r="K17" s="53" t="s">
        <v>21</v>
      </c>
      <c r="L17" s="53" t="s">
        <v>45</v>
      </c>
      <c r="M17" s="49"/>
      <c r="N17" s="53" t="s">
        <v>52</v>
      </c>
    </row>
    <row r="18" spans="1:16" x14ac:dyDescent="0.25">
      <c r="A18" s="3" t="s">
        <v>16</v>
      </c>
      <c r="C18" s="60">
        <v>10.38</v>
      </c>
      <c r="D18" s="59">
        <f>+C18+'Process fees inc. in Rates-SS'!H26</f>
        <v>10.700000000000001</v>
      </c>
      <c r="E18" s="59">
        <f>+D18-C18</f>
        <v>0.32000000000000028</v>
      </c>
      <c r="F18" s="59"/>
      <c r="G18" s="50">
        <f>+'Process fees inc. in Rates-SS'!E26</f>
        <v>1704</v>
      </c>
      <c r="H18" s="61">
        <f>+G18*C18*12</f>
        <v>212250.23999999999</v>
      </c>
      <c r="I18" s="62">
        <f>+G18*D18*12</f>
        <v>218793.60000000003</v>
      </c>
      <c r="J18" s="61">
        <f>+I18-H18</f>
        <v>6543.3600000000442</v>
      </c>
      <c r="K18" s="49"/>
      <c r="L18" s="49"/>
      <c r="M18" s="49"/>
      <c r="N18" s="49"/>
      <c r="P18" s="70"/>
    </row>
    <row r="19" spans="1:16" x14ac:dyDescent="0.25">
      <c r="A19" s="3" t="s">
        <v>17</v>
      </c>
      <c r="C19" s="60">
        <v>11.66</v>
      </c>
      <c r="D19" s="59">
        <f>+C19+'Process fees inc. in Rates-SS'!H27</f>
        <v>12.24</v>
      </c>
      <c r="E19" s="59">
        <f t="shared" ref="E19:E21" si="1">+D19-C19</f>
        <v>0.58000000000000007</v>
      </c>
      <c r="F19" s="59"/>
      <c r="G19" s="50">
        <f>+'Process fees inc. in Rates-SS'!E27</f>
        <v>2044</v>
      </c>
      <c r="H19" s="61">
        <f>+G19*C19*12</f>
        <v>285996.48</v>
      </c>
      <c r="I19" s="62">
        <f>+G19*D19*12</f>
        <v>300222.72000000003</v>
      </c>
      <c r="J19" s="61">
        <f>+I19-H19</f>
        <v>14226.240000000049</v>
      </c>
      <c r="K19" s="49"/>
      <c r="L19" s="49"/>
      <c r="M19" s="49"/>
      <c r="N19" s="49"/>
      <c r="P19" s="70"/>
    </row>
    <row r="20" spans="1:16" ht="17.25" x14ac:dyDescent="0.4">
      <c r="A20" s="3" t="s">
        <v>18</v>
      </c>
      <c r="C20" s="54">
        <v>13.18</v>
      </c>
      <c r="D20" s="55">
        <f>+C20+'Process fees inc. in Rates-SS'!H28</f>
        <v>14.04</v>
      </c>
      <c r="E20" s="55">
        <f t="shared" si="1"/>
        <v>0.85999999999999943</v>
      </c>
      <c r="F20" s="59"/>
      <c r="G20" s="56">
        <f>+'Process fees inc. in Rates-SS'!E28</f>
        <v>6801</v>
      </c>
      <c r="H20" s="63">
        <f>+G20*C20*12</f>
        <v>1075646.1599999999</v>
      </c>
      <c r="I20" s="64">
        <f>+G20*D20*12</f>
        <v>1145832.48</v>
      </c>
      <c r="J20" s="63">
        <f>+I20-H20</f>
        <v>70186.320000000065</v>
      </c>
      <c r="K20" s="49"/>
      <c r="L20" s="49"/>
      <c r="M20" s="49"/>
      <c r="N20" s="49"/>
      <c r="P20" s="70"/>
    </row>
    <row r="21" spans="1:16" ht="17.25" x14ac:dyDescent="0.4">
      <c r="A21" s="2" t="s">
        <v>20</v>
      </c>
      <c r="C21" s="57">
        <f>ROUND(+((+'Process fees inc. in Rates-SS'!E26)*C18+(+'Process fees inc. in Rates-SS'!E27)*C19+(+'Process fees inc. in Rates-SS'!E28)*C20)/'Process fees inc. in Rates-SS'!E29,2)</f>
        <v>12.43</v>
      </c>
      <c r="D21" s="57">
        <f>ROUND(+((+'Process fees inc. in Rates-SS'!F26)*D18+(+'Process fees inc. in Rates-SS'!F27)*D19+(+'Process fees inc. in Rates-SS'!F28)*D20)/'Process fees inc. in Rates-SS'!F29,2)</f>
        <v>13.15</v>
      </c>
      <c r="E21" s="58">
        <f t="shared" si="1"/>
        <v>0.72000000000000064</v>
      </c>
      <c r="F21" s="51">
        <f>+'Process fees inc. in Rates-SS'!F15</f>
        <v>6425.46</v>
      </c>
      <c r="G21" s="52">
        <f>SUM(G18:G20)</f>
        <v>10549</v>
      </c>
      <c r="H21" s="65">
        <f>SUM(H18:H20)</f>
        <v>1573892.88</v>
      </c>
      <c r="I21" s="65">
        <f>SUM(I18:I20)</f>
        <v>1664848.8</v>
      </c>
      <c r="J21" s="65">
        <f>SUM(J18:J20)</f>
        <v>90955.920000000158</v>
      </c>
      <c r="K21" s="65">
        <f>+'Process fees inc. in Rates-SS'!H21</f>
        <v>90856</v>
      </c>
      <c r="L21" s="65">
        <f>+J21-K21</f>
        <v>99.920000000158325</v>
      </c>
      <c r="M21" s="49"/>
      <c r="N21" s="66">
        <f>+F21*2000/G21/12</f>
        <v>101.51767940089108</v>
      </c>
      <c r="P21" s="70">
        <f>+D21/C21-1</f>
        <v>5.7924376508447395E-2</v>
      </c>
    </row>
    <row r="22" spans="1:16" x14ac:dyDescent="0.25"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6" x14ac:dyDescent="0.25"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6" ht="18.75" x14ac:dyDescent="0.3">
      <c r="A24" s="42" t="s">
        <v>49</v>
      </c>
      <c r="B24" s="3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6" x14ac:dyDescent="0.25">
      <c r="A25" s="39"/>
      <c r="B25" s="39"/>
      <c r="C25" s="49"/>
      <c r="D25" s="67"/>
      <c r="E25" s="49"/>
      <c r="F25" s="49"/>
      <c r="G25" s="48"/>
      <c r="H25" s="48" t="s">
        <v>22</v>
      </c>
      <c r="I25" s="48" t="s">
        <v>14</v>
      </c>
      <c r="J25" s="48" t="s">
        <v>37</v>
      </c>
      <c r="K25" s="48" t="s">
        <v>44</v>
      </c>
      <c r="L25" s="49"/>
      <c r="M25" s="49"/>
      <c r="N25" s="48" t="s">
        <v>51</v>
      </c>
    </row>
    <row r="26" spans="1:16" x14ac:dyDescent="0.25">
      <c r="A26" s="4" t="s">
        <v>48</v>
      </c>
      <c r="B26" s="39"/>
      <c r="C26" s="53" t="s">
        <v>22</v>
      </c>
      <c r="D26" s="53" t="s">
        <v>11</v>
      </c>
      <c r="E26" s="53" t="s">
        <v>57</v>
      </c>
      <c r="F26" s="53" t="s">
        <v>50</v>
      </c>
      <c r="G26" s="53" t="s">
        <v>36</v>
      </c>
      <c r="H26" s="53" t="s">
        <v>37</v>
      </c>
      <c r="I26" s="53" t="s">
        <v>37</v>
      </c>
      <c r="J26" s="53" t="s">
        <v>21</v>
      </c>
      <c r="K26" s="53" t="s">
        <v>21</v>
      </c>
      <c r="L26" s="53" t="s">
        <v>45</v>
      </c>
      <c r="M26" s="49"/>
      <c r="N26" s="53" t="s">
        <v>52</v>
      </c>
    </row>
    <row r="27" spans="1:16" x14ac:dyDescent="0.25">
      <c r="A27" s="3" t="s">
        <v>16</v>
      </c>
      <c r="B27" s="39"/>
      <c r="C27" s="60">
        <f>+H27/G27/12</f>
        <v>9.827764449291168</v>
      </c>
      <c r="D27" s="59">
        <f>+I27/G27/12</f>
        <v>10.127055616139584</v>
      </c>
      <c r="E27" s="59">
        <f>+D27-C27</f>
        <v>0.29929116684841617</v>
      </c>
      <c r="F27" s="59"/>
      <c r="G27" s="50">
        <f t="shared" ref="G27:J29" si="2">+G9+G18</f>
        <v>5502</v>
      </c>
      <c r="H27" s="50">
        <f t="shared" si="2"/>
        <v>648868.32000000007</v>
      </c>
      <c r="I27" s="50">
        <f t="shared" si="2"/>
        <v>668628.72</v>
      </c>
      <c r="J27" s="50">
        <f t="shared" si="2"/>
        <v>19760.399999999907</v>
      </c>
      <c r="K27" s="49"/>
      <c r="L27" s="49"/>
      <c r="M27" s="49"/>
      <c r="N27" s="49"/>
    </row>
    <row r="28" spans="1:16" x14ac:dyDescent="0.25">
      <c r="A28" s="3" t="s">
        <v>17</v>
      </c>
      <c r="B28" s="39"/>
      <c r="C28" s="60">
        <f t="shared" ref="C28:C30" si="3">+H28/G28/12</f>
        <v>11.230329453541131</v>
      </c>
      <c r="D28" s="59">
        <f t="shared" ref="D28:D30" si="4">+I28/G28/12</f>
        <v>11.780491221148155</v>
      </c>
      <c r="E28" s="59">
        <f t="shared" ref="E28:E30" si="5">+D28-C28</f>
        <v>0.55016176760702429</v>
      </c>
      <c r="F28" s="59"/>
      <c r="G28" s="50">
        <f t="shared" si="2"/>
        <v>5069</v>
      </c>
      <c r="H28" s="50">
        <f t="shared" si="2"/>
        <v>683118.48</v>
      </c>
      <c r="I28" s="50">
        <f t="shared" si="2"/>
        <v>716583.72</v>
      </c>
      <c r="J28" s="50">
        <f t="shared" si="2"/>
        <v>33465.240000000049</v>
      </c>
      <c r="K28" s="49"/>
      <c r="L28" s="49"/>
      <c r="M28" s="49"/>
      <c r="N28" s="49"/>
    </row>
    <row r="29" spans="1:16" ht="17.25" x14ac:dyDescent="0.4">
      <c r="A29" s="3" t="s">
        <v>18</v>
      </c>
      <c r="B29" s="39"/>
      <c r="C29" s="54">
        <f t="shared" si="3"/>
        <v>12.305061239931272</v>
      </c>
      <c r="D29" s="55">
        <f t="shared" si="4"/>
        <v>13.111493560743392</v>
      </c>
      <c r="E29" s="55">
        <f t="shared" si="5"/>
        <v>0.80643232081212091</v>
      </c>
      <c r="F29" s="59"/>
      <c r="G29" s="56">
        <f t="shared" si="2"/>
        <v>63439</v>
      </c>
      <c r="H29" s="56">
        <f t="shared" si="2"/>
        <v>9367449.3599999994</v>
      </c>
      <c r="I29" s="56">
        <f t="shared" si="2"/>
        <v>9981360.4800000004</v>
      </c>
      <c r="J29" s="56">
        <f t="shared" si="2"/>
        <v>613911.12000000081</v>
      </c>
      <c r="K29" s="49"/>
      <c r="L29" s="49"/>
      <c r="M29" s="49"/>
      <c r="N29" s="49"/>
    </row>
    <row r="30" spans="1:16" ht="17.25" x14ac:dyDescent="0.4">
      <c r="A30" s="2" t="s">
        <v>20</v>
      </c>
      <c r="B30" s="39"/>
      <c r="C30" s="57">
        <f t="shared" si="3"/>
        <v>12.047286582894204</v>
      </c>
      <c r="D30" s="58">
        <f t="shared" si="4"/>
        <v>12.798465207404405</v>
      </c>
      <c r="E30" s="58">
        <f t="shared" si="5"/>
        <v>0.75117862451020123</v>
      </c>
      <c r="F30" s="51">
        <f>+F21+F12</f>
        <v>47034.36</v>
      </c>
      <c r="G30" s="52">
        <f>SUM(G27:G29)</f>
        <v>74010</v>
      </c>
      <c r="H30" s="65">
        <f>SUM(H27:H29)</f>
        <v>10699436.16</v>
      </c>
      <c r="I30" s="65">
        <f>SUM(I27:I29)</f>
        <v>11366572.92</v>
      </c>
      <c r="J30" s="65">
        <f>SUM(J27:J29)</f>
        <v>667136.76000000071</v>
      </c>
      <c r="K30" s="65">
        <f>+K21+K12</f>
        <v>665066</v>
      </c>
      <c r="L30" s="65">
        <f>+J30-K30</f>
        <v>2070.7600000007078</v>
      </c>
      <c r="M30" s="49"/>
      <c r="N30" s="66">
        <f>+F30*2000/G30/12</f>
        <v>105.9189298743413</v>
      </c>
      <c r="P30" s="70"/>
    </row>
    <row r="31" spans="1:16" x14ac:dyDescent="0.25">
      <c r="A31" s="39"/>
      <c r="B31" s="39"/>
      <c r="C31" s="8"/>
      <c r="D31" s="8"/>
      <c r="E31" s="8"/>
      <c r="F31" s="8"/>
      <c r="G31" s="8"/>
      <c r="H31" s="8"/>
      <c r="I31" s="8"/>
      <c r="J31" s="8"/>
      <c r="K31" s="39"/>
      <c r="L31" s="39"/>
    </row>
    <row r="32" spans="1:16" x14ac:dyDescent="0.25">
      <c r="A32" s="1"/>
      <c r="B32" s="39"/>
      <c r="C32" s="17"/>
      <c r="D32" s="17"/>
      <c r="E32" s="17"/>
      <c r="F32" s="17"/>
      <c r="G32" s="17"/>
      <c r="H32" s="17"/>
      <c r="I32" s="17"/>
      <c r="J32" s="8"/>
      <c r="K32" s="39"/>
      <c r="L32" s="39"/>
    </row>
  </sheetData>
  <pageMargins left="0.7" right="0.7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8"/>
  <sheetViews>
    <sheetView workbookViewId="0">
      <selection activeCell="H15" sqref="H15"/>
    </sheetView>
  </sheetViews>
  <sheetFormatPr defaultRowHeight="15" x14ac:dyDescent="0.25"/>
  <cols>
    <col min="1" max="1" width="4.42578125" customWidth="1"/>
    <col min="2" max="2" width="51.5703125" customWidth="1"/>
    <col min="3" max="3" width="11.140625" customWidth="1"/>
    <col min="4" max="4" width="10.42578125" style="72" customWidth="1"/>
    <col min="5" max="6" width="11.5703125" bestFit="1" customWidth="1"/>
    <col min="7" max="7" width="10.5703125" style="69" bestFit="1" customWidth="1"/>
    <col min="8" max="8" width="10" bestFit="1" customWidth="1"/>
  </cols>
  <sheetData>
    <row r="1" spans="1:8" ht="26.25" x14ac:dyDescent="0.4">
      <c r="A1" s="6" t="s">
        <v>7</v>
      </c>
    </row>
    <row r="2" spans="1:8" ht="18.75" x14ac:dyDescent="0.3">
      <c r="A2" s="5" t="s">
        <v>12</v>
      </c>
    </row>
    <row r="3" spans="1:8" x14ac:dyDescent="0.25">
      <c r="A3" s="7" t="s">
        <v>64</v>
      </c>
    </row>
    <row r="6" spans="1:8" x14ac:dyDescent="0.25">
      <c r="E6" s="2"/>
      <c r="H6" s="14"/>
    </row>
    <row r="7" spans="1:8" x14ac:dyDescent="0.25">
      <c r="E7" s="11"/>
      <c r="H7" s="11"/>
    </row>
    <row r="8" spans="1:8" s="1" customFormat="1" ht="15.75" x14ac:dyDescent="0.25">
      <c r="C8" s="104" t="s">
        <v>60</v>
      </c>
      <c r="D8" s="104"/>
      <c r="E8" s="104"/>
      <c r="F8" s="104"/>
      <c r="H8" s="11"/>
    </row>
    <row r="9" spans="1:8" s="1" customFormat="1" x14ac:dyDescent="0.25">
      <c r="E9" s="2"/>
      <c r="G9" s="2" t="s">
        <v>4</v>
      </c>
      <c r="H9" s="2" t="s">
        <v>44</v>
      </c>
    </row>
    <row r="10" spans="1:8" s="1" customFormat="1" x14ac:dyDescent="0.25">
      <c r="C10" s="40" t="s">
        <v>15</v>
      </c>
      <c r="D10" s="71" t="s">
        <v>2</v>
      </c>
      <c r="E10" s="11" t="s">
        <v>22</v>
      </c>
      <c r="F10" s="11" t="s">
        <v>11</v>
      </c>
      <c r="G10" s="68" t="s">
        <v>58</v>
      </c>
      <c r="H10" s="46" t="s">
        <v>57</v>
      </c>
    </row>
    <row r="11" spans="1:8" s="1" customFormat="1" x14ac:dyDescent="0.25">
      <c r="D11" s="72"/>
      <c r="E11" s="2"/>
    </row>
    <row r="12" spans="1:8" x14ac:dyDescent="0.25">
      <c r="C12" s="97"/>
      <c r="D12" s="97"/>
      <c r="E12" s="8"/>
      <c r="F12" s="8"/>
      <c r="G12" s="8"/>
      <c r="H12" s="8"/>
    </row>
    <row r="13" spans="1:8" x14ac:dyDescent="0.25">
      <c r="A13" t="s">
        <v>61</v>
      </c>
      <c r="C13" s="77">
        <v>63502.18</v>
      </c>
      <c r="D13" s="77">
        <f>18652.73</f>
        <v>18652.73</v>
      </c>
      <c r="E13" s="75">
        <f>+D13+C13</f>
        <v>82154.91</v>
      </c>
      <c r="F13" s="75">
        <f>+E13</f>
        <v>82154.91</v>
      </c>
      <c r="G13" s="87"/>
      <c r="H13" s="87"/>
    </row>
    <row r="14" spans="1:8" s="72" customFormat="1" x14ac:dyDescent="0.25">
      <c r="C14" s="77"/>
      <c r="D14" s="77"/>
      <c r="E14" s="87"/>
      <c r="F14" s="87"/>
      <c r="G14" s="87"/>
      <c r="H14" s="87"/>
    </row>
    <row r="15" spans="1:8" s="45" customFormat="1" x14ac:dyDescent="0.25">
      <c r="B15" s="3" t="s">
        <v>54</v>
      </c>
      <c r="C15" s="86">
        <v>23554.63</v>
      </c>
      <c r="D15" s="86">
        <v>9281.1200000000008</v>
      </c>
      <c r="E15" s="87">
        <f>+D15+C15</f>
        <v>32835.75</v>
      </c>
      <c r="F15" s="87"/>
      <c r="G15" s="87"/>
      <c r="H15" s="87"/>
    </row>
    <row r="16" spans="1:8" s="45" customFormat="1" ht="17.25" x14ac:dyDescent="0.4">
      <c r="B16" t="s">
        <v>55</v>
      </c>
      <c r="C16" s="85">
        <v>7773.15</v>
      </c>
      <c r="D16" s="98">
        <v>0</v>
      </c>
      <c r="E16" s="89">
        <f>+D16+C16</f>
        <v>7773.15</v>
      </c>
      <c r="F16" s="87"/>
      <c r="G16" s="87"/>
      <c r="H16" s="87"/>
    </row>
    <row r="17" spans="1:8" ht="17.25" x14ac:dyDescent="0.4">
      <c r="B17" s="2" t="s">
        <v>63</v>
      </c>
      <c r="C17" s="74">
        <f>SUM(C15:C16)</f>
        <v>31327.78</v>
      </c>
      <c r="D17" s="74">
        <f t="shared" ref="D17:E17" si="0">SUM(D15:D16)</f>
        <v>9281.1200000000008</v>
      </c>
      <c r="E17" s="74">
        <f t="shared" si="0"/>
        <v>40608.9</v>
      </c>
      <c r="F17" s="74">
        <f>+E17</f>
        <v>40608.9</v>
      </c>
      <c r="G17" s="8"/>
      <c r="H17" s="8"/>
    </row>
    <row r="18" spans="1:8" x14ac:dyDescent="0.25">
      <c r="B18" s="96" t="s">
        <v>0</v>
      </c>
      <c r="C18" s="99">
        <f>+C17/C13</f>
        <v>0.49333392963832107</v>
      </c>
      <c r="D18" s="99">
        <f t="shared" ref="D18:E18" si="1">+D17/D13</f>
        <v>0.49757434970645054</v>
      </c>
      <c r="E18" s="99">
        <f t="shared" si="1"/>
        <v>0.49429668902321239</v>
      </c>
      <c r="F18" s="100"/>
      <c r="G18" s="100"/>
      <c r="H18" s="101"/>
    </row>
    <row r="19" spans="1:8" x14ac:dyDescent="0.25">
      <c r="C19" s="8"/>
      <c r="D19" s="8"/>
      <c r="E19" s="30"/>
      <c r="F19" s="30"/>
      <c r="G19" s="30"/>
      <c r="H19" s="30"/>
    </row>
    <row r="20" spans="1:8" ht="17.25" x14ac:dyDescent="0.4">
      <c r="A20" t="s">
        <v>6</v>
      </c>
      <c r="C20" s="8"/>
      <c r="D20" s="8"/>
      <c r="E20" s="81">
        <f>+'Gross Up - Rev. Sensitive'!B5</f>
        <v>50.86</v>
      </c>
      <c r="F20" s="82">
        <f>+'Gross Up - Rev. Sensitive'!B6</f>
        <v>65</v>
      </c>
      <c r="G20" s="82"/>
      <c r="H20" s="81"/>
    </row>
    <row r="21" spans="1:8" x14ac:dyDescent="0.25">
      <c r="C21" s="8"/>
      <c r="D21" s="8"/>
      <c r="E21" s="8"/>
      <c r="F21" s="8"/>
      <c r="G21" s="8"/>
      <c r="H21" s="8"/>
    </row>
    <row r="22" spans="1:8" s="1" customFormat="1" ht="17.25" x14ac:dyDescent="0.4">
      <c r="B22" s="1" t="s">
        <v>1</v>
      </c>
      <c r="C22" s="8"/>
      <c r="D22" s="8"/>
      <c r="E22" s="83">
        <f>ROUND(+E17*E20,0)</f>
        <v>2065369</v>
      </c>
      <c r="F22" s="83">
        <f>ROUND(+F17*F20,0)</f>
        <v>2639579</v>
      </c>
      <c r="G22" s="8"/>
      <c r="H22" s="83">
        <f>+F22-E22</f>
        <v>574210</v>
      </c>
    </row>
    <row r="23" spans="1:8" s="1" customFormat="1" ht="17.25" x14ac:dyDescent="0.4">
      <c r="C23" s="73"/>
      <c r="D23" s="73"/>
      <c r="E23" s="83"/>
      <c r="F23" s="83"/>
      <c r="G23" s="8"/>
      <c r="H23" s="102"/>
    </row>
    <row r="24" spans="1:8" ht="17.25" x14ac:dyDescent="0.4">
      <c r="A24" s="4" t="s">
        <v>62</v>
      </c>
      <c r="C24" s="8"/>
      <c r="D24" s="8"/>
      <c r="E24" s="85"/>
      <c r="F24" s="8"/>
      <c r="G24" s="8"/>
      <c r="H24" s="8"/>
    </row>
    <row r="25" spans="1:8" x14ac:dyDescent="0.25">
      <c r="B25" s="12" t="s">
        <v>16</v>
      </c>
      <c r="C25" s="8"/>
      <c r="D25" s="8"/>
      <c r="E25" s="86">
        <f>22+3776</f>
        <v>3798</v>
      </c>
      <c r="F25" s="87">
        <f>+E25</f>
        <v>3798</v>
      </c>
      <c r="G25" s="87">
        <f>+F25*35</f>
        <v>132930</v>
      </c>
      <c r="H25" s="88">
        <f>ROUND(+G$32*35,2)</f>
        <v>0.28999999999999998</v>
      </c>
    </row>
    <row r="26" spans="1:8" x14ac:dyDescent="0.25">
      <c r="B26" s="12" t="s">
        <v>17</v>
      </c>
      <c r="C26" s="8"/>
      <c r="D26" s="8"/>
      <c r="E26" s="86">
        <f>2999+13+13</f>
        <v>3025</v>
      </c>
      <c r="F26" s="87">
        <f t="shared" ref="F26" si="2">+E26</f>
        <v>3025</v>
      </c>
      <c r="G26" s="87">
        <f>+F26*64</f>
        <v>193600</v>
      </c>
      <c r="H26" s="88">
        <f>ROUND(+G$32*64,2)</f>
        <v>0.53</v>
      </c>
    </row>
    <row r="27" spans="1:8" ht="17.25" x14ac:dyDescent="0.4">
      <c r="B27" s="12" t="s">
        <v>18</v>
      </c>
      <c r="C27" s="8"/>
      <c r="D27" s="8"/>
      <c r="E27" s="85">
        <f>63461-3798-3025</f>
        <v>56638</v>
      </c>
      <c r="F27" s="89">
        <f>+E27</f>
        <v>56638</v>
      </c>
      <c r="G27" s="89">
        <f>+F27*96</f>
        <v>5437248</v>
      </c>
      <c r="H27" s="88">
        <f>ROUND(+G$32*96,2)</f>
        <v>0.8</v>
      </c>
    </row>
    <row r="28" spans="1:8" ht="17.25" x14ac:dyDescent="0.4">
      <c r="C28" s="8"/>
      <c r="D28" s="8"/>
      <c r="E28" s="76">
        <f>SUM(E25:E27)</f>
        <v>63461</v>
      </c>
      <c r="F28" s="76">
        <f>SUM(F25:F27)</f>
        <v>63461</v>
      </c>
      <c r="G28" s="76">
        <f>SUM(G25:G27)</f>
        <v>5763778</v>
      </c>
      <c r="H28" s="73"/>
    </row>
    <row r="29" spans="1:8" ht="17.25" x14ac:dyDescent="0.4">
      <c r="C29" s="8"/>
      <c r="D29" s="8"/>
      <c r="E29" s="76"/>
      <c r="F29" s="8"/>
      <c r="G29" s="8"/>
      <c r="H29" s="73"/>
    </row>
    <row r="30" spans="1:8" s="3" customFormat="1" ht="17.25" x14ac:dyDescent="0.4">
      <c r="B30" s="47" t="s">
        <v>56</v>
      </c>
      <c r="C30" s="90"/>
      <c r="D30" s="90"/>
      <c r="E30" s="91">
        <f>+E17*2000/E28/12</f>
        <v>106.65054127731993</v>
      </c>
      <c r="F30" s="91">
        <f>+F17*2000/F28/12</f>
        <v>106.65054127731993</v>
      </c>
      <c r="G30" s="91"/>
      <c r="H30" s="91"/>
    </row>
    <row r="31" spans="1:8" s="45" customFormat="1" ht="17.25" x14ac:dyDescent="0.4">
      <c r="C31" s="8"/>
      <c r="D31" s="8"/>
      <c r="E31" s="76"/>
      <c r="F31" s="92"/>
      <c r="G31" s="92"/>
      <c r="H31" s="8"/>
    </row>
    <row r="32" spans="1:8" ht="17.25" x14ac:dyDescent="0.4">
      <c r="B32" s="1" t="s">
        <v>59</v>
      </c>
      <c r="C32" s="8"/>
      <c r="D32" s="8"/>
      <c r="E32" s="93">
        <f>ROUNDUP(+E22/E28/12,2)</f>
        <v>2.7199999999999998</v>
      </c>
      <c r="F32" s="93">
        <f>ROUNDUP(+F22/F28/12,2)</f>
        <v>3.4699999999999998</v>
      </c>
      <c r="G32" s="103">
        <f>ROUND(+H22/G28/12,4)</f>
        <v>8.3000000000000001E-3</v>
      </c>
      <c r="H32" s="95">
        <f>+F32-E32</f>
        <v>0.75</v>
      </c>
    </row>
    <row r="33" spans="3:8" x14ac:dyDescent="0.25">
      <c r="C33" s="8"/>
      <c r="D33" s="8"/>
      <c r="E33" s="8"/>
      <c r="F33" s="8"/>
      <c r="G33" s="8"/>
      <c r="H33" s="8"/>
    </row>
    <row r="34" spans="3:8" x14ac:dyDescent="0.25">
      <c r="C34" s="8"/>
      <c r="D34" s="8"/>
      <c r="E34" s="8"/>
      <c r="F34" s="8"/>
      <c r="G34" s="8"/>
      <c r="H34" s="8"/>
    </row>
    <row r="35" spans="3:8" x14ac:dyDescent="0.25">
      <c r="C35" s="8"/>
      <c r="D35" s="8"/>
      <c r="E35" s="8"/>
      <c r="F35" s="8"/>
      <c r="G35" s="8"/>
      <c r="H35" s="8"/>
    </row>
    <row r="36" spans="3:8" x14ac:dyDescent="0.25">
      <c r="C36" s="8"/>
      <c r="D36" s="8"/>
      <c r="E36" s="8"/>
      <c r="F36" s="8"/>
      <c r="G36" s="8"/>
      <c r="H36" s="8"/>
    </row>
    <row r="37" spans="3:8" x14ac:dyDescent="0.25">
      <c r="C37" s="8"/>
      <c r="D37" s="8"/>
      <c r="E37" s="8"/>
      <c r="F37" s="8"/>
      <c r="G37" s="8"/>
      <c r="H37" s="8"/>
    </row>
    <row r="38" spans="3:8" x14ac:dyDescent="0.25">
      <c r="C38" s="8"/>
      <c r="D38" s="8"/>
      <c r="E38" s="8"/>
      <c r="F38" s="8"/>
      <c r="G38" s="8"/>
      <c r="H38" s="8"/>
    </row>
    <row r="39" spans="3:8" x14ac:dyDescent="0.25">
      <c r="C39" s="8"/>
      <c r="D39" s="8"/>
      <c r="E39" s="8"/>
      <c r="F39" s="8"/>
      <c r="G39" s="8"/>
      <c r="H39" s="8"/>
    </row>
    <row r="40" spans="3:8" x14ac:dyDescent="0.25">
      <c r="C40" s="8"/>
      <c r="D40" s="8"/>
      <c r="E40" s="8"/>
      <c r="F40" s="8"/>
      <c r="G40" s="8"/>
      <c r="H40" s="8"/>
    </row>
    <row r="41" spans="3:8" x14ac:dyDescent="0.25">
      <c r="C41" s="8"/>
      <c r="D41" s="8"/>
      <c r="E41" s="8"/>
      <c r="F41" s="8"/>
      <c r="G41" s="8"/>
      <c r="H41" s="8"/>
    </row>
    <row r="42" spans="3:8" x14ac:dyDescent="0.25">
      <c r="C42" s="8"/>
      <c r="D42" s="8"/>
      <c r="E42" s="8"/>
      <c r="F42" s="8"/>
      <c r="G42" s="8"/>
      <c r="H42" s="8"/>
    </row>
    <row r="43" spans="3:8" x14ac:dyDescent="0.25">
      <c r="C43" s="8"/>
      <c r="D43" s="8"/>
      <c r="E43" s="8"/>
      <c r="F43" s="8"/>
      <c r="G43" s="8"/>
      <c r="H43" s="8"/>
    </row>
    <row r="44" spans="3:8" x14ac:dyDescent="0.25">
      <c r="C44" s="8"/>
      <c r="D44" s="8"/>
      <c r="E44" s="8"/>
      <c r="F44" s="8"/>
      <c r="G44" s="8"/>
      <c r="H44" s="8"/>
    </row>
    <row r="45" spans="3:8" x14ac:dyDescent="0.25">
      <c r="C45" s="8"/>
      <c r="D45" s="8"/>
      <c r="E45" s="8"/>
      <c r="F45" s="8"/>
      <c r="G45" s="8"/>
      <c r="H45" s="8"/>
    </row>
    <row r="46" spans="3:8" x14ac:dyDescent="0.25">
      <c r="C46" s="8"/>
      <c r="D46" s="8"/>
      <c r="E46" s="8"/>
      <c r="F46" s="8"/>
      <c r="G46" s="8"/>
      <c r="H46" s="8"/>
    </row>
    <row r="47" spans="3:8" x14ac:dyDescent="0.25">
      <c r="C47" s="8"/>
      <c r="D47" s="8"/>
      <c r="E47" s="8"/>
      <c r="F47" s="8"/>
      <c r="G47" s="8"/>
      <c r="H47" s="8"/>
    </row>
    <row r="48" spans="3:8" x14ac:dyDescent="0.25">
      <c r="C48" s="8"/>
      <c r="D48" s="8"/>
      <c r="E48" s="8"/>
      <c r="F48" s="8"/>
      <c r="G48" s="8"/>
      <c r="H48" s="8"/>
    </row>
  </sheetData>
  <mergeCells count="1">
    <mergeCell ref="C8:F8"/>
  </mergeCells>
  <pageMargins left="0.7" right="0.7" top="0.75" bottom="0.75" header="0.3" footer="0.3"/>
  <pageSetup scale="7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4"/>
  <sheetViews>
    <sheetView topLeftCell="A5" workbookViewId="0">
      <selection activeCell="G15" sqref="G15"/>
    </sheetView>
  </sheetViews>
  <sheetFormatPr defaultRowHeight="15" x14ac:dyDescent="0.25"/>
  <cols>
    <col min="1" max="1" width="4.42578125" customWidth="1"/>
    <col min="2" max="2" width="46.5703125" bestFit="1" customWidth="1"/>
    <col min="3" max="3" width="7.28515625" bestFit="1" customWidth="1"/>
    <col min="4" max="4" width="12.140625" style="72" bestFit="1" customWidth="1"/>
    <col min="5" max="5" width="12.7109375" bestFit="1" customWidth="1"/>
    <col min="6" max="6" width="10" bestFit="1" customWidth="1"/>
    <col min="7" max="7" width="10" style="69" customWidth="1"/>
    <col min="8" max="8" width="8.7109375" customWidth="1"/>
  </cols>
  <sheetData>
    <row r="1" spans="1:8" ht="26.25" x14ac:dyDescent="0.4">
      <c r="A1" s="6" t="s">
        <v>7</v>
      </c>
    </row>
    <row r="2" spans="1:8" ht="18.75" x14ac:dyDescent="0.3">
      <c r="A2" s="5" t="s">
        <v>12</v>
      </c>
    </row>
    <row r="3" spans="1:8" x14ac:dyDescent="0.25">
      <c r="A3" s="7" t="s">
        <v>65</v>
      </c>
    </row>
    <row r="6" spans="1:8" x14ac:dyDescent="0.25">
      <c r="E6" s="2"/>
      <c r="H6" s="14"/>
    </row>
    <row r="7" spans="1:8" x14ac:dyDescent="0.25">
      <c r="E7" s="11"/>
      <c r="H7" s="11"/>
    </row>
    <row r="8" spans="1:8" s="1" customFormat="1" ht="15.75" x14ac:dyDescent="0.25">
      <c r="A8" s="1" t="s">
        <v>9</v>
      </c>
      <c r="C8" s="104" t="s">
        <v>60</v>
      </c>
      <c r="D8" s="104"/>
      <c r="E8" s="104"/>
      <c r="F8" s="104"/>
      <c r="H8" s="11"/>
    </row>
    <row r="9" spans="1:8" s="1" customFormat="1" x14ac:dyDescent="0.25">
      <c r="A9" s="1" t="s">
        <v>8</v>
      </c>
      <c r="E9" s="2"/>
      <c r="G9" s="2" t="s">
        <v>4</v>
      </c>
    </row>
    <row r="10" spans="1:8" s="1" customFormat="1" x14ac:dyDescent="0.25">
      <c r="C10" s="40" t="s">
        <v>3</v>
      </c>
      <c r="D10" s="71" t="s">
        <v>35</v>
      </c>
      <c r="E10" s="11" t="s">
        <v>22</v>
      </c>
      <c r="F10" s="11" t="s">
        <v>11</v>
      </c>
      <c r="G10" s="68" t="s">
        <v>58</v>
      </c>
      <c r="H10" s="46" t="s">
        <v>57</v>
      </c>
    </row>
    <row r="11" spans="1:8" s="1" customFormat="1" x14ac:dyDescent="0.25">
      <c r="C11" s="73"/>
      <c r="D11" s="73"/>
      <c r="E11" s="31"/>
      <c r="F11" s="73"/>
      <c r="G11" s="73"/>
      <c r="H11" s="73"/>
    </row>
    <row r="12" spans="1:8" x14ac:dyDescent="0.25">
      <c r="C12" s="8"/>
      <c r="D12" s="8"/>
      <c r="E12" s="8"/>
      <c r="F12" s="8"/>
      <c r="G12" s="8"/>
      <c r="H12" s="8"/>
    </row>
    <row r="13" spans="1:8" s="1" customFormat="1" ht="17.25" x14ac:dyDescent="0.4">
      <c r="A13" s="1" t="s">
        <v>61</v>
      </c>
      <c r="C13" s="74">
        <v>8284.93</v>
      </c>
      <c r="D13" s="76">
        <v>28262.67</v>
      </c>
      <c r="E13" s="74">
        <f>+D13+C13</f>
        <v>36547.599999999999</v>
      </c>
      <c r="F13" s="74">
        <f>+E13</f>
        <v>36547.599999999999</v>
      </c>
      <c r="G13" s="75"/>
      <c r="H13" s="75"/>
    </row>
    <row r="14" spans="1:8" x14ac:dyDescent="0.25">
      <c r="C14" s="8"/>
      <c r="D14" s="8"/>
      <c r="E14" s="8"/>
      <c r="F14" s="8"/>
      <c r="G14" s="8"/>
      <c r="H14" s="8"/>
    </row>
    <row r="15" spans="1:8" s="1" customFormat="1" ht="17.25" x14ac:dyDescent="0.4">
      <c r="B15" s="1" t="s">
        <v>5</v>
      </c>
      <c r="C15" s="76">
        <v>4678.63</v>
      </c>
      <c r="D15" s="76">
        <v>1746.83</v>
      </c>
      <c r="E15" s="76">
        <f>+D15+C15</f>
        <v>6425.46</v>
      </c>
      <c r="F15" s="76">
        <f>+E15</f>
        <v>6425.46</v>
      </c>
      <c r="G15" s="77"/>
      <c r="H15" s="77"/>
    </row>
    <row r="16" spans="1:8" x14ac:dyDescent="0.25">
      <c r="C16" s="8"/>
      <c r="D16" s="8"/>
      <c r="E16" s="8"/>
      <c r="F16" s="8"/>
      <c r="G16" s="8"/>
      <c r="H16" s="8"/>
    </row>
    <row r="17" spans="1:10" x14ac:dyDescent="0.25">
      <c r="A17" s="1" t="s">
        <v>0</v>
      </c>
      <c r="C17" s="78"/>
      <c r="D17" s="78"/>
      <c r="E17" s="79">
        <f>+E15/E13</f>
        <v>0.17581072354956276</v>
      </c>
      <c r="F17" s="80"/>
      <c r="G17" s="30"/>
      <c r="H17" s="30"/>
    </row>
    <row r="18" spans="1:10" s="72" customFormat="1" x14ac:dyDescent="0.25">
      <c r="A18" s="1"/>
      <c r="C18" s="78"/>
      <c r="D18" s="78"/>
      <c r="E18" s="79"/>
      <c r="F18" s="80"/>
      <c r="G18" s="30"/>
      <c r="H18" s="30"/>
    </row>
    <row r="19" spans="1:10" ht="17.25" x14ac:dyDescent="0.4">
      <c r="A19" t="s">
        <v>6</v>
      </c>
      <c r="C19" s="8"/>
      <c r="D19" s="8"/>
      <c r="E19" s="81">
        <f>+'Gross Up - Rev. Sensitive'!B19</f>
        <v>50.86</v>
      </c>
      <c r="F19" s="82">
        <f>+'Gross Up - Rev. Sensitive'!B20</f>
        <v>65</v>
      </c>
      <c r="G19" s="82"/>
      <c r="H19" s="81"/>
    </row>
    <row r="20" spans="1:10" ht="17.25" x14ac:dyDescent="0.4">
      <c r="C20" s="8"/>
      <c r="D20" s="8"/>
      <c r="E20" s="8"/>
      <c r="F20" s="8"/>
      <c r="G20" s="82"/>
      <c r="H20" s="8"/>
    </row>
    <row r="21" spans="1:10" s="1" customFormat="1" ht="17.25" x14ac:dyDescent="0.4">
      <c r="B21" s="1" t="s">
        <v>1</v>
      </c>
      <c r="C21" s="73"/>
      <c r="D21" s="73"/>
      <c r="E21" s="83">
        <f>ROUND(+E15*E19,0)</f>
        <v>326799</v>
      </c>
      <c r="F21" s="83">
        <f>ROUND(+F15*F19,0)</f>
        <v>417655</v>
      </c>
      <c r="G21" s="82"/>
      <c r="H21" s="83">
        <f>+F21-E21</f>
        <v>90856</v>
      </c>
    </row>
    <row r="22" spans="1:10" s="1" customFormat="1" ht="17.25" x14ac:dyDescent="0.4">
      <c r="C22" s="73"/>
      <c r="D22" s="73"/>
      <c r="E22" s="83"/>
      <c r="F22" s="83"/>
      <c r="G22" s="82"/>
      <c r="H22" s="83"/>
    </row>
    <row r="23" spans="1:10" s="69" customFormat="1" ht="17.25" x14ac:dyDescent="0.4">
      <c r="C23" s="8"/>
      <c r="D23" s="8"/>
      <c r="E23" s="8"/>
      <c r="F23" s="8"/>
      <c r="G23" s="8"/>
      <c r="H23" s="84"/>
    </row>
    <row r="24" spans="1:10" ht="17.25" x14ac:dyDescent="0.4">
      <c r="A24" s="4" t="s">
        <v>13</v>
      </c>
      <c r="C24" s="8"/>
      <c r="D24" s="8"/>
      <c r="E24" s="85"/>
      <c r="F24" s="8"/>
      <c r="G24" s="8"/>
      <c r="H24" s="8"/>
    </row>
    <row r="25" spans="1:10" ht="17.25" x14ac:dyDescent="0.4">
      <c r="B25" s="4" t="s">
        <v>19</v>
      </c>
      <c r="C25" s="8"/>
      <c r="D25" s="8"/>
      <c r="E25" s="76"/>
      <c r="F25" s="8"/>
      <c r="G25" s="8"/>
      <c r="H25" s="8"/>
    </row>
    <row r="26" spans="1:10" x14ac:dyDescent="0.25">
      <c r="B26" s="12" t="s">
        <v>16</v>
      </c>
      <c r="C26" s="8"/>
      <c r="D26" s="8"/>
      <c r="E26" s="86">
        <v>1704</v>
      </c>
      <c r="F26" s="87">
        <f>+E26</f>
        <v>1704</v>
      </c>
      <c r="G26" s="87">
        <f>+F26*35</f>
        <v>59640</v>
      </c>
      <c r="H26" s="88">
        <f>ROUND(+G$32*35,2)</f>
        <v>0.32</v>
      </c>
    </row>
    <row r="27" spans="1:10" x14ac:dyDescent="0.25">
      <c r="B27" s="12" t="s">
        <v>17</v>
      </c>
      <c r="C27" s="8"/>
      <c r="D27" s="8"/>
      <c r="E27" s="86">
        <f>2035+9</f>
        <v>2044</v>
      </c>
      <c r="F27" s="87">
        <f t="shared" ref="F27:F28" si="0">+E27</f>
        <v>2044</v>
      </c>
      <c r="G27" s="87">
        <f>+F27*64</f>
        <v>130816</v>
      </c>
      <c r="H27" s="88">
        <f>ROUND(+G$32*64,2)</f>
        <v>0.57999999999999996</v>
      </c>
    </row>
    <row r="28" spans="1:10" ht="17.25" x14ac:dyDescent="0.4">
      <c r="B28" s="12" t="s">
        <v>18</v>
      </c>
      <c r="C28" s="8"/>
      <c r="D28" s="8"/>
      <c r="E28" s="85">
        <f>6694+100+4+3</f>
        <v>6801</v>
      </c>
      <c r="F28" s="89">
        <f t="shared" si="0"/>
        <v>6801</v>
      </c>
      <c r="G28" s="89">
        <f>+F28*96</f>
        <v>652896</v>
      </c>
      <c r="H28" s="88">
        <f>ROUND(+G$32*96,2)</f>
        <v>0.86</v>
      </c>
    </row>
    <row r="29" spans="1:10" ht="17.25" x14ac:dyDescent="0.4">
      <c r="B29" s="13"/>
      <c r="C29" s="8"/>
      <c r="D29" s="8"/>
      <c r="E29" s="76">
        <f>SUM(E26:E28)</f>
        <v>10549</v>
      </c>
      <c r="F29" s="76">
        <f>SUM(F26:F28)</f>
        <v>10549</v>
      </c>
      <c r="G29" s="76">
        <f>SUM(G26:G28)</f>
        <v>843352</v>
      </c>
      <c r="H29" s="8"/>
      <c r="I29" s="44"/>
      <c r="J29" s="9"/>
    </row>
    <row r="30" spans="1:10" s="45" customFormat="1" ht="17.25" x14ac:dyDescent="0.4">
      <c r="B30" s="47" t="s">
        <v>56</v>
      </c>
      <c r="C30" s="90"/>
      <c r="D30" s="90"/>
      <c r="E30" s="91">
        <f>+E15*2000/E29/12</f>
        <v>101.51767940089108</v>
      </c>
      <c r="F30" s="91">
        <f>+F15*2000/F29/12</f>
        <v>101.51767940089108</v>
      </c>
      <c r="G30" s="91"/>
      <c r="H30" s="91"/>
      <c r="J30" s="9"/>
    </row>
    <row r="31" spans="1:10" ht="17.25" x14ac:dyDescent="0.4">
      <c r="C31" s="8"/>
      <c r="D31" s="8"/>
      <c r="E31" s="76"/>
      <c r="F31" s="92"/>
      <c r="G31" s="92"/>
      <c r="H31" s="92"/>
    </row>
    <row r="32" spans="1:10" ht="17.25" x14ac:dyDescent="0.4">
      <c r="B32" s="1" t="s">
        <v>59</v>
      </c>
      <c r="C32" s="8"/>
      <c r="D32" s="8"/>
      <c r="E32" s="93">
        <f>ROUNDUP(+E21/E29/12,2)</f>
        <v>2.59</v>
      </c>
      <c r="F32" s="93">
        <f>ROUNDUP(+F21/F29/12,2)</f>
        <v>3.3</v>
      </c>
      <c r="G32" s="94">
        <f>ROUND(+H21/G29/12,4)</f>
        <v>8.9999999999999993E-3</v>
      </c>
      <c r="H32" s="95">
        <f>+F32-E32</f>
        <v>0.71</v>
      </c>
    </row>
    <row r="33" spans="3:8" x14ac:dyDescent="0.25">
      <c r="C33" s="8"/>
      <c r="D33" s="8"/>
      <c r="E33" s="8"/>
      <c r="F33" s="8"/>
      <c r="G33" s="8"/>
      <c r="H33" s="8"/>
    </row>
    <row r="34" spans="3:8" x14ac:dyDescent="0.25">
      <c r="C34" s="8"/>
      <c r="D34" s="8"/>
      <c r="E34" s="8"/>
      <c r="F34" s="8"/>
      <c r="G34" s="8"/>
      <c r="H34" s="8"/>
    </row>
    <row r="35" spans="3:8" x14ac:dyDescent="0.25">
      <c r="C35" s="8"/>
      <c r="D35" s="8"/>
      <c r="E35" s="8"/>
      <c r="F35" s="8"/>
      <c r="G35" s="8"/>
      <c r="H35" s="8"/>
    </row>
    <row r="36" spans="3:8" x14ac:dyDescent="0.25">
      <c r="C36" s="8"/>
      <c r="D36" s="8"/>
      <c r="E36" s="8"/>
      <c r="F36" s="8"/>
      <c r="G36" s="8"/>
      <c r="H36" s="8"/>
    </row>
    <row r="37" spans="3:8" x14ac:dyDescent="0.25">
      <c r="C37" s="8"/>
      <c r="D37" s="8"/>
      <c r="E37" s="8"/>
      <c r="F37" s="8"/>
      <c r="G37" s="8"/>
      <c r="H37" s="8"/>
    </row>
    <row r="38" spans="3:8" x14ac:dyDescent="0.25">
      <c r="C38" s="8"/>
      <c r="D38" s="8"/>
      <c r="E38" s="8"/>
      <c r="F38" s="8"/>
      <c r="G38" s="8"/>
      <c r="H38" s="8"/>
    </row>
    <row r="39" spans="3:8" x14ac:dyDescent="0.25">
      <c r="C39" s="8"/>
      <c r="D39" s="8"/>
      <c r="E39" s="8"/>
      <c r="F39" s="8"/>
      <c r="G39" s="8"/>
      <c r="H39" s="8"/>
    </row>
    <row r="40" spans="3:8" x14ac:dyDescent="0.25">
      <c r="C40" s="8"/>
      <c r="D40" s="8"/>
      <c r="E40" s="8"/>
      <c r="F40" s="8"/>
      <c r="G40" s="8"/>
      <c r="H40" s="8"/>
    </row>
    <row r="41" spans="3:8" x14ac:dyDescent="0.25">
      <c r="C41" s="8"/>
      <c r="D41" s="8"/>
      <c r="E41" s="8"/>
      <c r="F41" s="8"/>
      <c r="G41" s="8"/>
      <c r="H41" s="8"/>
    </row>
    <row r="42" spans="3:8" x14ac:dyDescent="0.25">
      <c r="C42" s="8"/>
      <c r="D42" s="8"/>
      <c r="E42" s="8"/>
      <c r="F42" s="8"/>
      <c r="G42" s="8"/>
      <c r="H42" s="8"/>
    </row>
    <row r="43" spans="3:8" x14ac:dyDescent="0.25">
      <c r="C43" s="8"/>
      <c r="D43" s="8"/>
      <c r="E43" s="8"/>
      <c r="F43" s="8"/>
      <c r="G43" s="8"/>
      <c r="H43" s="8"/>
    </row>
    <row r="44" spans="3:8" x14ac:dyDescent="0.25">
      <c r="C44" s="8"/>
      <c r="D44" s="8"/>
      <c r="E44" s="8"/>
      <c r="F44" s="8"/>
      <c r="G44" s="8"/>
      <c r="H44" s="8"/>
    </row>
  </sheetData>
  <mergeCells count="1">
    <mergeCell ref="C8:F8"/>
  </mergeCells>
  <pageMargins left="0.7" right="0.7" top="0.75" bottom="0.75" header="0.3" footer="0.3"/>
  <pageSetup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I28"/>
  <sheetViews>
    <sheetView workbookViewId="0">
      <selection activeCell="F7" sqref="F7"/>
    </sheetView>
  </sheetViews>
  <sheetFormatPr defaultRowHeight="15" x14ac:dyDescent="0.25"/>
  <cols>
    <col min="1" max="1" width="36.28515625" bestFit="1" customWidth="1"/>
    <col min="2" max="2" width="14.28515625" bestFit="1" customWidth="1"/>
    <col min="5" max="5" width="17.5703125" customWidth="1"/>
  </cols>
  <sheetData>
    <row r="2" spans="1:9" x14ac:dyDescent="0.25">
      <c r="A2" s="4" t="s">
        <v>38</v>
      </c>
      <c r="B2" s="10"/>
    </row>
    <row r="4" spans="1:9" x14ac:dyDescent="0.25">
      <c r="A4" s="20" t="s">
        <v>40</v>
      </c>
      <c r="B4" s="21" t="s">
        <v>23</v>
      </c>
      <c r="C4" s="22" t="s">
        <v>24</v>
      </c>
      <c r="E4" s="20" t="s">
        <v>25</v>
      </c>
      <c r="F4" s="22"/>
    </row>
    <row r="5" spans="1:9" x14ac:dyDescent="0.25">
      <c r="A5" t="s">
        <v>26</v>
      </c>
      <c r="B5" s="23">
        <v>50.86</v>
      </c>
      <c r="C5" s="16">
        <f>B5/2000</f>
        <v>2.5430000000000001E-2</v>
      </c>
      <c r="E5" t="s">
        <v>27</v>
      </c>
      <c r="F5" s="34">
        <f>0.0175</f>
        <v>1.7500000000000002E-2</v>
      </c>
    </row>
    <row r="6" spans="1:9" x14ac:dyDescent="0.25">
      <c r="A6" t="s">
        <v>28</v>
      </c>
      <c r="B6" s="28">
        <v>65</v>
      </c>
      <c r="C6" s="24">
        <f>B6/2000</f>
        <v>3.2500000000000001E-2</v>
      </c>
      <c r="E6" t="s">
        <v>29</v>
      </c>
      <c r="F6" s="33">
        <f>0.0051</f>
        <v>5.1000000000000004E-3</v>
      </c>
    </row>
    <row r="7" spans="1:9" x14ac:dyDescent="0.25">
      <c r="A7" t="s">
        <v>21</v>
      </c>
      <c r="B7" s="15">
        <f>B6-B5</f>
        <v>14.14</v>
      </c>
      <c r="C7" s="16">
        <f>C6-C5</f>
        <v>7.0699999999999999E-3</v>
      </c>
      <c r="E7" s="3" t="s">
        <v>41</v>
      </c>
      <c r="F7" s="32">
        <v>2.8895328891521423E-3</v>
      </c>
      <c r="G7" s="3" t="s">
        <v>42</v>
      </c>
    </row>
    <row r="8" spans="1:9" ht="17.25" x14ac:dyDescent="0.4">
      <c r="E8" s="1" t="s">
        <v>4</v>
      </c>
      <c r="F8" s="35">
        <f>SUM(F5:F7)</f>
        <v>2.5489532889152143E-2</v>
      </c>
    </row>
    <row r="10" spans="1:9" ht="17.25" x14ac:dyDescent="0.4">
      <c r="E10" s="1" t="s">
        <v>30</v>
      </c>
      <c r="F10" s="36">
        <f>1-F8</f>
        <v>0.97451046711084788</v>
      </c>
      <c r="G10" s="3"/>
      <c r="H10" s="3"/>
      <c r="I10" s="3"/>
    </row>
    <row r="11" spans="1:9" x14ac:dyDescent="0.25">
      <c r="A11" t="s">
        <v>31</v>
      </c>
      <c r="B11" s="29">
        <f>B7</f>
        <v>14.14</v>
      </c>
      <c r="C11" s="9"/>
    </row>
    <row r="12" spans="1:9" x14ac:dyDescent="0.25">
      <c r="A12" t="s">
        <v>32</v>
      </c>
      <c r="B12" s="29">
        <f>ROUND(B11/F10,2)</f>
        <v>14.51</v>
      </c>
    </row>
    <row r="13" spans="1:9" x14ac:dyDescent="0.25">
      <c r="A13" t="s">
        <v>33</v>
      </c>
      <c r="B13" s="25">
        <f>+'Process Fees inc. in Rates - NS'!E17</f>
        <v>40608.9</v>
      </c>
      <c r="E13" s="26"/>
      <c r="F13" s="8"/>
    </row>
    <row r="14" spans="1:9" ht="17.25" x14ac:dyDescent="0.4">
      <c r="A14" s="1" t="s">
        <v>34</v>
      </c>
      <c r="B14" s="27">
        <f>B12*B13</f>
        <v>589235.13899999997</v>
      </c>
      <c r="E14" s="18"/>
      <c r="F14" s="8"/>
    </row>
    <row r="16" spans="1:9" x14ac:dyDescent="0.25">
      <c r="A16" s="4" t="s">
        <v>39</v>
      </c>
    </row>
    <row r="18" spans="1:7" x14ac:dyDescent="0.25">
      <c r="A18" s="20" t="s">
        <v>40</v>
      </c>
      <c r="B18" s="21" t="s">
        <v>23</v>
      </c>
      <c r="C18" s="22" t="s">
        <v>24</v>
      </c>
      <c r="E18" s="20" t="s">
        <v>25</v>
      </c>
      <c r="F18" s="22"/>
    </row>
    <row r="19" spans="1:7" x14ac:dyDescent="0.25">
      <c r="A19" t="s">
        <v>26</v>
      </c>
      <c r="B19" s="23">
        <f>+B5</f>
        <v>50.86</v>
      </c>
      <c r="C19" s="16">
        <f>B19/2000</f>
        <v>2.5430000000000001E-2</v>
      </c>
      <c r="E19" t="s">
        <v>27</v>
      </c>
      <c r="F19" s="34">
        <f>0.0175</f>
        <v>1.7500000000000002E-2</v>
      </c>
    </row>
    <row r="20" spans="1:7" x14ac:dyDescent="0.25">
      <c r="A20" t="s">
        <v>28</v>
      </c>
      <c r="B20" s="28">
        <f>+B6</f>
        <v>65</v>
      </c>
      <c r="C20" s="24">
        <f>B20/2000</f>
        <v>3.2500000000000001E-2</v>
      </c>
      <c r="E20" t="s">
        <v>29</v>
      </c>
      <c r="F20" s="33">
        <v>5.1000000000000004E-3</v>
      </c>
    </row>
    <row r="21" spans="1:7" x14ac:dyDescent="0.25">
      <c r="A21" t="s">
        <v>21</v>
      </c>
      <c r="B21" s="15">
        <f>B20-B19</f>
        <v>14.14</v>
      </c>
      <c r="C21" s="16">
        <f>C20-C19</f>
        <v>7.0699999999999999E-3</v>
      </c>
      <c r="E21" s="3" t="s">
        <v>41</v>
      </c>
      <c r="F21" s="37">
        <v>4.6624689709292297E-3</v>
      </c>
      <c r="G21" s="3" t="s">
        <v>43</v>
      </c>
    </row>
    <row r="22" spans="1:7" ht="17.25" x14ac:dyDescent="0.4">
      <c r="E22" t="s">
        <v>4</v>
      </c>
      <c r="F22" s="35">
        <f>SUM(F19:F21)</f>
        <v>2.7262468970929231E-2</v>
      </c>
    </row>
    <row r="24" spans="1:7" x14ac:dyDescent="0.25">
      <c r="C24" s="9"/>
      <c r="E24" s="1" t="s">
        <v>30</v>
      </c>
      <c r="F24" s="38">
        <f>1-F22</f>
        <v>0.97273753102907079</v>
      </c>
    </row>
    <row r="25" spans="1:7" x14ac:dyDescent="0.25">
      <c r="A25" t="s">
        <v>31</v>
      </c>
      <c r="B25" s="29">
        <f>B21</f>
        <v>14.14</v>
      </c>
    </row>
    <row r="26" spans="1:7" x14ac:dyDescent="0.25">
      <c r="A26" t="s">
        <v>32</v>
      </c>
      <c r="B26" s="29">
        <f>ROUND(B25/F24,2)</f>
        <v>14.54</v>
      </c>
    </row>
    <row r="27" spans="1:7" x14ac:dyDescent="0.25">
      <c r="A27" t="s">
        <v>33</v>
      </c>
      <c r="B27" s="25">
        <f>+'Process fees inc. in Rates-SS'!E15</f>
        <v>6425.46</v>
      </c>
    </row>
    <row r="28" spans="1:7" ht="17.25" x14ac:dyDescent="0.4">
      <c r="A28" s="1" t="s">
        <v>34</v>
      </c>
      <c r="B28" s="27">
        <f>B26*B27</f>
        <v>93426.188399999999</v>
      </c>
      <c r="E28" s="3"/>
      <c r="G28" s="3"/>
    </row>
  </sheetData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2020-10-28T07:00:00+00:00</OpenedDate>
    <SignificantOrder xmlns="dc463f71-b30c-4ab2-9473-d307f9d35888">false</SignificantOrder>
    <Date1 xmlns="dc463f71-b30c-4ab2-9473-d307f9d35888">2020-10-28T07:00:00+00:00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200890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B9262266037945A73E3370E89DC9B9" ma:contentTypeVersion="52" ma:contentTypeDescription="" ma:contentTypeScope="" ma:versionID="456287137c45849b1737c774d80e56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8D6D6-764C-4227-9007-CA9C8858BB81}"/>
</file>

<file path=customXml/itemProps2.xml><?xml version="1.0" encoding="utf-8"?>
<ds:datastoreItem xmlns:ds="http://schemas.openxmlformats.org/officeDocument/2006/customXml" ds:itemID="{DD397ADB-1576-45BF-8D50-639235EB45E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326B9C-39FD-4FC3-8A75-959188A8B4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0B9A56-86EA-4A68-AE09-C376E5CB65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Rate Impact</vt:lpstr>
      <vt:lpstr>Process Fees inc. in Rates - NS</vt:lpstr>
      <vt:lpstr>Process fees inc. in Rates-SS</vt:lpstr>
      <vt:lpstr>Gross Up - Rev. Sensitive</vt:lpstr>
      <vt:lpstr>'Gross Up - Rev. Sensitive'!Print_Area</vt:lpstr>
      <vt:lpstr>'Process Fees inc. in Rates - NS'!Print_Area</vt:lpstr>
      <vt:lpstr>'Process fees inc. in Rates-SS'!Print_Area</vt:lpstr>
      <vt:lpstr>'Rate Impact'!Print_Area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Weinstein, Mike</cp:lastModifiedBy>
  <cp:lastPrinted>2019-05-09T15:28:46Z</cp:lastPrinted>
  <dcterms:created xsi:type="dcterms:W3CDTF">2017-10-04T14:53:46Z</dcterms:created>
  <dcterms:modified xsi:type="dcterms:W3CDTF">2020-10-28T20:11:14Z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0x0101006E56B4D1795A2E4DB2F0B01679ED314A0080B9262266037945A73E3370E89DC9B9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