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110" yWindow="105" windowWidth="14805" windowHeight="8010"/>
  </bookViews>
  <sheets>
    <sheet name="WA Nat Gas" sheetId="4" r:id="rId1"/>
  </sheets>
  <externalReferences>
    <externalReference r:id="rId2"/>
    <externalReference r:id="rId3"/>
    <externalReference r:id="rId4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Titles" localSheetId="0">'WA Nat Gas'!$A:$B,'WA Nat Gas'!$2:$2</definedName>
    <definedName name="Recover">[3]Macro1!$A$162</definedName>
    <definedName name="Sch25_Annual_excess_kva">#REF!</definedName>
    <definedName name="Sch25_Annual_kva">#REF!</definedName>
    <definedName name="Sch25_Annual_kW">#REF!</definedName>
    <definedName name="Sch25_Annual_kWh">#REF!</definedName>
    <definedName name="Sch25_kWh">#REF!</definedName>
    <definedName name="Sch25_n">#REF!</definedName>
    <definedName name="Sch25_nD">#REF!</definedName>
    <definedName name="SL_RateIncr">'[1]St Lts'!$AD$1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AF81" i="4" l="1"/>
  <c r="V85" i="4"/>
  <c r="U85" i="4"/>
  <c r="T85" i="4"/>
  <c r="S85" i="4"/>
  <c r="X85" i="4"/>
  <c r="Y85" i="4"/>
  <c r="Z85" i="4"/>
  <c r="AA85" i="4"/>
  <c r="AB85" i="4"/>
  <c r="AC85" i="4"/>
  <c r="AD85" i="4"/>
  <c r="W85" i="4"/>
  <c r="D60" i="4" l="1"/>
  <c r="D54" i="4"/>
  <c r="Q59" i="4" l="1"/>
  <c r="Q53" i="4"/>
  <c r="P63" i="4" l="1"/>
  <c r="P62" i="4"/>
  <c r="E64" i="4"/>
  <c r="F64" i="4"/>
  <c r="G64" i="4"/>
  <c r="H64" i="4"/>
  <c r="I64" i="4"/>
  <c r="J64" i="4"/>
  <c r="K64" i="4"/>
  <c r="L64" i="4"/>
  <c r="M64" i="4"/>
  <c r="N64" i="4"/>
  <c r="O64" i="4"/>
  <c r="D64" i="4"/>
  <c r="P64" i="4" l="1"/>
  <c r="L58" i="4" l="1"/>
  <c r="K58" i="4"/>
  <c r="J58" i="4"/>
  <c r="I58" i="4"/>
  <c r="H58" i="4"/>
  <c r="G58" i="4"/>
  <c r="F58" i="4"/>
  <c r="E58" i="4"/>
  <c r="D58" i="4"/>
  <c r="M58" i="4"/>
  <c r="P56" i="4"/>
  <c r="P57" i="4"/>
  <c r="O58" i="4"/>
  <c r="N58" i="4"/>
  <c r="P58" i="4" l="1"/>
  <c r="E80" i="4" l="1"/>
  <c r="E91" i="4" s="1"/>
  <c r="F80" i="4"/>
  <c r="F91" i="4" s="1"/>
  <c r="G80" i="4"/>
  <c r="G91" i="4" s="1"/>
  <c r="H80" i="4"/>
  <c r="H91" i="4" s="1"/>
  <c r="I80" i="4"/>
  <c r="I91" i="4" s="1"/>
  <c r="J80" i="4"/>
  <c r="J91" i="4" s="1"/>
  <c r="K80" i="4"/>
  <c r="K91" i="4" s="1"/>
  <c r="L80" i="4"/>
  <c r="L91" i="4" s="1"/>
  <c r="M80" i="4"/>
  <c r="M91" i="4" s="1"/>
  <c r="N80" i="4"/>
  <c r="N91" i="4" s="1"/>
  <c r="O80" i="4"/>
  <c r="O91" i="4" s="1"/>
  <c r="D80" i="4"/>
  <c r="D91" i="4" s="1"/>
  <c r="T68" i="4" l="1"/>
  <c r="U69" i="4" s="1"/>
  <c r="U68" i="4"/>
  <c r="V69" i="4" s="1"/>
  <c r="V68" i="4"/>
  <c r="W69" i="4" s="1"/>
  <c r="W68" i="4"/>
  <c r="X69" i="4" s="1"/>
  <c r="X68" i="4"/>
  <c r="Y69" i="4" s="1"/>
  <c r="Y68" i="4"/>
  <c r="Z69" i="4" s="1"/>
  <c r="Z68" i="4"/>
  <c r="AA69" i="4" s="1"/>
  <c r="AA68" i="4"/>
  <c r="AB69" i="4" s="1"/>
  <c r="AB68" i="4"/>
  <c r="AC69" i="4" s="1"/>
  <c r="AC68" i="4"/>
  <c r="AD69" i="4" s="1"/>
  <c r="AD68" i="4"/>
  <c r="S69" i="4"/>
  <c r="S68" i="4"/>
  <c r="T69" i="4" s="1"/>
  <c r="AC45" i="4"/>
  <c r="AD45" i="4"/>
  <c r="AC46" i="4"/>
  <c r="AD46" i="4"/>
  <c r="AC47" i="4"/>
  <c r="AD47" i="4"/>
  <c r="T45" i="4"/>
  <c r="U45" i="4"/>
  <c r="V45" i="4"/>
  <c r="W45" i="4"/>
  <c r="X45" i="4"/>
  <c r="Y45" i="4"/>
  <c r="Z45" i="4"/>
  <c r="AA45" i="4"/>
  <c r="AB45" i="4"/>
  <c r="T46" i="4"/>
  <c r="U46" i="4"/>
  <c r="V46" i="4"/>
  <c r="W46" i="4"/>
  <c r="X46" i="4"/>
  <c r="Y46" i="4"/>
  <c r="Z46" i="4"/>
  <c r="AA46" i="4"/>
  <c r="AB46" i="4"/>
  <c r="T47" i="4"/>
  <c r="U47" i="4"/>
  <c r="V47" i="4"/>
  <c r="W47" i="4"/>
  <c r="X47" i="4"/>
  <c r="Y47" i="4"/>
  <c r="Z47" i="4"/>
  <c r="AA47" i="4"/>
  <c r="AB47" i="4"/>
  <c r="S47" i="4"/>
  <c r="S45" i="4"/>
  <c r="S46" i="4"/>
  <c r="P46" i="4"/>
  <c r="P47" i="4"/>
  <c r="AE46" i="4" l="1"/>
  <c r="AE47" i="4"/>
  <c r="S43" i="4" l="1"/>
  <c r="T43" i="4"/>
  <c r="U43" i="4"/>
  <c r="V43" i="4"/>
  <c r="W43" i="4"/>
  <c r="X43" i="4"/>
  <c r="Y43" i="4"/>
  <c r="Z43" i="4"/>
  <c r="AA43" i="4"/>
  <c r="AB43" i="4"/>
  <c r="AC43" i="4"/>
  <c r="AD43" i="4"/>
  <c r="P43" i="4"/>
  <c r="P36" i="4"/>
  <c r="P37" i="4"/>
  <c r="S44" i="4"/>
  <c r="T44" i="4"/>
  <c r="U44" i="4"/>
  <c r="V44" i="4"/>
  <c r="W44" i="4"/>
  <c r="X44" i="4"/>
  <c r="Y44" i="4"/>
  <c r="Z44" i="4"/>
  <c r="AA44" i="4"/>
  <c r="AB44" i="4"/>
  <c r="AC44" i="4"/>
  <c r="AD44" i="4"/>
  <c r="S33" i="4"/>
  <c r="T33" i="4"/>
  <c r="U33" i="4"/>
  <c r="V33" i="4"/>
  <c r="W33" i="4"/>
  <c r="X33" i="4"/>
  <c r="Y33" i="4"/>
  <c r="Z33" i="4"/>
  <c r="AA33" i="4"/>
  <c r="AB33" i="4"/>
  <c r="AC33" i="4"/>
  <c r="AD33" i="4"/>
  <c r="S34" i="4"/>
  <c r="T34" i="4"/>
  <c r="U34" i="4"/>
  <c r="V34" i="4"/>
  <c r="W34" i="4"/>
  <c r="X34" i="4"/>
  <c r="Y34" i="4"/>
  <c r="Z34" i="4"/>
  <c r="AA34" i="4"/>
  <c r="AB34" i="4"/>
  <c r="AC34" i="4"/>
  <c r="AD34" i="4"/>
  <c r="S35" i="4"/>
  <c r="T35" i="4"/>
  <c r="U35" i="4"/>
  <c r="V35" i="4"/>
  <c r="W35" i="4"/>
  <c r="X35" i="4"/>
  <c r="Y35" i="4"/>
  <c r="Z35" i="4"/>
  <c r="AA35" i="4"/>
  <c r="AB35" i="4"/>
  <c r="AC35" i="4"/>
  <c r="AD35" i="4"/>
  <c r="S36" i="4"/>
  <c r="T36" i="4"/>
  <c r="U36" i="4"/>
  <c r="V36" i="4"/>
  <c r="W36" i="4"/>
  <c r="X36" i="4"/>
  <c r="Y36" i="4"/>
  <c r="Z36" i="4"/>
  <c r="AA36" i="4"/>
  <c r="AB36" i="4"/>
  <c r="AC36" i="4"/>
  <c r="AD36" i="4"/>
  <c r="S37" i="4"/>
  <c r="T37" i="4"/>
  <c r="U37" i="4"/>
  <c r="V37" i="4"/>
  <c r="W37" i="4"/>
  <c r="X37" i="4"/>
  <c r="Y37" i="4"/>
  <c r="Z37" i="4"/>
  <c r="AA37" i="4"/>
  <c r="AB37" i="4"/>
  <c r="AC37" i="4"/>
  <c r="AD37" i="4"/>
  <c r="S38" i="4"/>
  <c r="T38" i="4"/>
  <c r="U38" i="4"/>
  <c r="V38" i="4"/>
  <c r="W38" i="4"/>
  <c r="X38" i="4"/>
  <c r="Y38" i="4"/>
  <c r="Z38" i="4"/>
  <c r="AA38" i="4"/>
  <c r="AB38" i="4"/>
  <c r="AC38" i="4"/>
  <c r="AD38" i="4"/>
  <c r="S26" i="4"/>
  <c r="T26" i="4"/>
  <c r="U26" i="4"/>
  <c r="V26" i="4"/>
  <c r="W26" i="4"/>
  <c r="X26" i="4"/>
  <c r="Y26" i="4"/>
  <c r="Z26" i="4"/>
  <c r="AA26" i="4"/>
  <c r="AB26" i="4"/>
  <c r="AC26" i="4"/>
  <c r="AD26" i="4"/>
  <c r="S27" i="4"/>
  <c r="T27" i="4"/>
  <c r="U27" i="4"/>
  <c r="V27" i="4"/>
  <c r="W27" i="4"/>
  <c r="X27" i="4"/>
  <c r="Y27" i="4"/>
  <c r="Z27" i="4"/>
  <c r="AA27" i="4"/>
  <c r="AB27" i="4"/>
  <c r="AC27" i="4"/>
  <c r="AD27" i="4"/>
  <c r="S28" i="4"/>
  <c r="T28" i="4"/>
  <c r="U28" i="4"/>
  <c r="V28" i="4"/>
  <c r="W28" i="4"/>
  <c r="X28" i="4"/>
  <c r="Y28" i="4"/>
  <c r="Z28" i="4"/>
  <c r="AA28" i="4"/>
  <c r="AB28" i="4"/>
  <c r="AC28" i="4"/>
  <c r="AD28" i="4"/>
  <c r="S20" i="4"/>
  <c r="T20" i="4"/>
  <c r="U20" i="4"/>
  <c r="V20" i="4"/>
  <c r="W20" i="4"/>
  <c r="X20" i="4"/>
  <c r="Y20" i="4"/>
  <c r="Z20" i="4"/>
  <c r="AA20" i="4"/>
  <c r="AB20" i="4"/>
  <c r="AC20" i="4"/>
  <c r="AD20" i="4"/>
  <c r="S21" i="4"/>
  <c r="T21" i="4"/>
  <c r="U21" i="4"/>
  <c r="V21" i="4"/>
  <c r="W21" i="4"/>
  <c r="X21" i="4"/>
  <c r="Y21" i="4"/>
  <c r="Z21" i="4"/>
  <c r="AA21" i="4"/>
  <c r="AB21" i="4"/>
  <c r="AC21" i="4"/>
  <c r="AD21" i="4"/>
  <c r="S22" i="4"/>
  <c r="T22" i="4"/>
  <c r="U22" i="4"/>
  <c r="V22" i="4"/>
  <c r="W22" i="4"/>
  <c r="X22" i="4"/>
  <c r="Y22" i="4"/>
  <c r="Z22" i="4"/>
  <c r="AA22" i="4"/>
  <c r="AB22" i="4"/>
  <c r="AC22" i="4"/>
  <c r="AD22" i="4"/>
  <c r="S16" i="4"/>
  <c r="T16" i="4"/>
  <c r="U16" i="4"/>
  <c r="V16" i="4"/>
  <c r="W16" i="4"/>
  <c r="X16" i="4"/>
  <c r="Y16" i="4"/>
  <c r="Z16" i="4"/>
  <c r="AA16" i="4"/>
  <c r="AB16" i="4"/>
  <c r="AC16" i="4"/>
  <c r="AD16" i="4"/>
  <c r="AC12" i="4"/>
  <c r="AD12" i="4"/>
  <c r="T12" i="4"/>
  <c r="U12" i="4"/>
  <c r="V12" i="4"/>
  <c r="W12" i="4"/>
  <c r="X12" i="4"/>
  <c r="Y12" i="4"/>
  <c r="Z12" i="4"/>
  <c r="AA12" i="4"/>
  <c r="AB12" i="4"/>
  <c r="S12" i="4"/>
  <c r="P74" i="4"/>
  <c r="P73" i="4"/>
  <c r="P72" i="4"/>
  <c r="O70" i="4"/>
  <c r="O82" i="4" s="1"/>
  <c r="O93" i="4" s="1"/>
  <c r="N70" i="4"/>
  <c r="N82" i="4" s="1"/>
  <c r="N93" i="4" s="1"/>
  <c r="M70" i="4"/>
  <c r="M82" i="4" s="1"/>
  <c r="M93" i="4" s="1"/>
  <c r="L70" i="4"/>
  <c r="L82" i="4" s="1"/>
  <c r="L93" i="4" s="1"/>
  <c r="K70" i="4"/>
  <c r="K82" i="4" s="1"/>
  <c r="K93" i="4" s="1"/>
  <c r="J70" i="4"/>
  <c r="J82" i="4" s="1"/>
  <c r="J93" i="4" s="1"/>
  <c r="I70" i="4"/>
  <c r="I82" i="4" s="1"/>
  <c r="I93" i="4" s="1"/>
  <c r="H70" i="4"/>
  <c r="H82" i="4" s="1"/>
  <c r="H93" i="4" s="1"/>
  <c r="G70" i="4"/>
  <c r="G82" i="4" s="1"/>
  <c r="G93" i="4" s="1"/>
  <c r="F70" i="4"/>
  <c r="F82" i="4" s="1"/>
  <c r="F93" i="4" s="1"/>
  <c r="E70" i="4"/>
  <c r="E82" i="4" s="1"/>
  <c r="E93" i="4" s="1"/>
  <c r="D70" i="4"/>
  <c r="P69" i="4"/>
  <c r="P68" i="4"/>
  <c r="O67" i="4"/>
  <c r="O81" i="4" s="1"/>
  <c r="O92" i="4" s="1"/>
  <c r="N67" i="4"/>
  <c r="N81" i="4" s="1"/>
  <c r="N92" i="4" s="1"/>
  <c r="M67" i="4"/>
  <c r="M81" i="4" s="1"/>
  <c r="M92" i="4" s="1"/>
  <c r="L67" i="4"/>
  <c r="L81" i="4" s="1"/>
  <c r="L92" i="4" s="1"/>
  <c r="K67" i="4"/>
  <c r="K81" i="4" s="1"/>
  <c r="K92" i="4" s="1"/>
  <c r="J67" i="4"/>
  <c r="J81" i="4" s="1"/>
  <c r="J92" i="4" s="1"/>
  <c r="I67" i="4"/>
  <c r="I81" i="4" s="1"/>
  <c r="I92" i="4" s="1"/>
  <c r="H67" i="4"/>
  <c r="H81" i="4" s="1"/>
  <c r="H92" i="4" s="1"/>
  <c r="G67" i="4"/>
  <c r="G81" i="4" s="1"/>
  <c r="G92" i="4" s="1"/>
  <c r="F67" i="4"/>
  <c r="F81" i="4" s="1"/>
  <c r="F92" i="4" s="1"/>
  <c r="E67" i="4"/>
  <c r="E81" i="4" s="1"/>
  <c r="E92" i="4" s="1"/>
  <c r="D67" i="4"/>
  <c r="P66" i="4"/>
  <c r="P65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P59" i="4"/>
  <c r="O55" i="4"/>
  <c r="O71" i="4" s="1"/>
  <c r="N55" i="4"/>
  <c r="M55" i="4"/>
  <c r="M78" i="4" s="1"/>
  <c r="M89" i="4" s="1"/>
  <c r="L55" i="4"/>
  <c r="L78" i="4" s="1"/>
  <c r="L89" i="4" s="1"/>
  <c r="K55" i="4"/>
  <c r="K78" i="4" s="1"/>
  <c r="K89" i="4" s="1"/>
  <c r="J55" i="4"/>
  <c r="J78" i="4" s="1"/>
  <c r="J89" i="4" s="1"/>
  <c r="I55" i="4"/>
  <c r="I78" i="4" s="1"/>
  <c r="I89" i="4" s="1"/>
  <c r="H55" i="4"/>
  <c r="H78" i="4" s="1"/>
  <c r="H89" i="4" s="1"/>
  <c r="G55" i="4"/>
  <c r="G78" i="4" s="1"/>
  <c r="G89" i="4" s="1"/>
  <c r="F55" i="4"/>
  <c r="F78" i="4" s="1"/>
  <c r="F89" i="4" s="1"/>
  <c r="E55" i="4"/>
  <c r="E78" i="4" s="1"/>
  <c r="E89" i="4" s="1"/>
  <c r="D55" i="4"/>
  <c r="P54" i="4"/>
  <c r="P53" i="4"/>
  <c r="O52" i="4"/>
  <c r="O77" i="4" s="1"/>
  <c r="O88" i="4" s="1"/>
  <c r="N52" i="4"/>
  <c r="M52" i="4"/>
  <c r="L52" i="4"/>
  <c r="K52" i="4"/>
  <c r="J52" i="4"/>
  <c r="I52" i="4"/>
  <c r="H52" i="4"/>
  <c r="G52" i="4"/>
  <c r="F52" i="4"/>
  <c r="E52" i="4"/>
  <c r="D52" i="4"/>
  <c r="P51" i="4"/>
  <c r="P50" i="4"/>
  <c r="P48" i="4"/>
  <c r="P45" i="4"/>
  <c r="AD42" i="4"/>
  <c r="AC42" i="4"/>
  <c r="AB42" i="4"/>
  <c r="AA42" i="4"/>
  <c r="Z42" i="4"/>
  <c r="Y42" i="4"/>
  <c r="X42" i="4"/>
  <c r="W42" i="4"/>
  <c r="V42" i="4"/>
  <c r="U42" i="4"/>
  <c r="T42" i="4"/>
  <c r="S42" i="4"/>
  <c r="P42" i="4"/>
  <c r="AD41" i="4"/>
  <c r="AC41" i="4"/>
  <c r="AB41" i="4"/>
  <c r="AA41" i="4"/>
  <c r="Z41" i="4"/>
  <c r="Y41" i="4"/>
  <c r="X41" i="4"/>
  <c r="W41" i="4"/>
  <c r="V41" i="4"/>
  <c r="U41" i="4"/>
  <c r="T41" i="4"/>
  <c r="S41" i="4"/>
  <c r="P41" i="4"/>
  <c r="AD40" i="4"/>
  <c r="AC40" i="4"/>
  <c r="AB40" i="4"/>
  <c r="AA40" i="4"/>
  <c r="Z40" i="4"/>
  <c r="Y40" i="4"/>
  <c r="X40" i="4"/>
  <c r="W40" i="4"/>
  <c r="V40" i="4"/>
  <c r="U40" i="4"/>
  <c r="T40" i="4"/>
  <c r="S40" i="4"/>
  <c r="P40" i="4"/>
  <c r="AD39" i="4"/>
  <c r="AC39" i="4"/>
  <c r="AB39" i="4"/>
  <c r="AA39" i="4"/>
  <c r="Z39" i="4"/>
  <c r="Y39" i="4"/>
  <c r="X39" i="4"/>
  <c r="W39" i="4"/>
  <c r="V39" i="4"/>
  <c r="U39" i="4"/>
  <c r="T39" i="4"/>
  <c r="S39" i="4"/>
  <c r="P39" i="4"/>
  <c r="P35" i="4"/>
  <c r="P34" i="4"/>
  <c r="AD32" i="4"/>
  <c r="AC32" i="4"/>
  <c r="AB32" i="4"/>
  <c r="AA32" i="4"/>
  <c r="Z32" i="4"/>
  <c r="Y32" i="4"/>
  <c r="X32" i="4"/>
  <c r="W32" i="4"/>
  <c r="V32" i="4"/>
  <c r="U32" i="4"/>
  <c r="T32" i="4"/>
  <c r="S32" i="4"/>
  <c r="P32" i="4"/>
  <c r="AD31" i="4"/>
  <c r="AC31" i="4"/>
  <c r="AB31" i="4"/>
  <c r="AA31" i="4"/>
  <c r="Z31" i="4"/>
  <c r="Y31" i="4"/>
  <c r="X31" i="4"/>
  <c r="W31" i="4"/>
  <c r="V31" i="4"/>
  <c r="U31" i="4"/>
  <c r="T31" i="4"/>
  <c r="S31" i="4"/>
  <c r="P31" i="4"/>
  <c r="AD30" i="4"/>
  <c r="AC30" i="4"/>
  <c r="AB30" i="4"/>
  <c r="AA30" i="4"/>
  <c r="Z30" i="4"/>
  <c r="Y30" i="4"/>
  <c r="X30" i="4"/>
  <c r="W30" i="4"/>
  <c r="V30" i="4"/>
  <c r="U30" i="4"/>
  <c r="T30" i="4"/>
  <c r="S30" i="4"/>
  <c r="P30" i="4"/>
  <c r="AD29" i="4"/>
  <c r="AC29" i="4"/>
  <c r="AB29" i="4"/>
  <c r="AA29" i="4"/>
  <c r="Z29" i="4"/>
  <c r="Y29" i="4"/>
  <c r="X29" i="4"/>
  <c r="W29" i="4"/>
  <c r="V29" i="4"/>
  <c r="U29" i="4"/>
  <c r="T29" i="4"/>
  <c r="S29" i="4"/>
  <c r="P29" i="4"/>
  <c r="AD25" i="4"/>
  <c r="AC25" i="4"/>
  <c r="AB25" i="4"/>
  <c r="AA25" i="4"/>
  <c r="Z25" i="4"/>
  <c r="Y25" i="4"/>
  <c r="X25" i="4"/>
  <c r="W25" i="4"/>
  <c r="V25" i="4"/>
  <c r="U25" i="4"/>
  <c r="T25" i="4"/>
  <c r="S25" i="4"/>
  <c r="P25" i="4"/>
  <c r="AD24" i="4"/>
  <c r="AC24" i="4"/>
  <c r="AB24" i="4"/>
  <c r="AA24" i="4"/>
  <c r="Z24" i="4"/>
  <c r="Y24" i="4"/>
  <c r="X24" i="4"/>
  <c r="W24" i="4"/>
  <c r="V24" i="4"/>
  <c r="U24" i="4"/>
  <c r="T24" i="4"/>
  <c r="S24" i="4"/>
  <c r="P24" i="4"/>
  <c r="AD23" i="4"/>
  <c r="AC23" i="4"/>
  <c r="AB23" i="4"/>
  <c r="AA23" i="4"/>
  <c r="Z23" i="4"/>
  <c r="Y23" i="4"/>
  <c r="X23" i="4"/>
  <c r="W23" i="4"/>
  <c r="V23" i="4"/>
  <c r="U23" i="4"/>
  <c r="T23" i="4"/>
  <c r="S23" i="4"/>
  <c r="P23" i="4"/>
  <c r="AD19" i="4"/>
  <c r="AC19" i="4"/>
  <c r="AB19" i="4"/>
  <c r="AA19" i="4"/>
  <c r="Z19" i="4"/>
  <c r="Y19" i="4"/>
  <c r="X19" i="4"/>
  <c r="W19" i="4"/>
  <c r="V19" i="4"/>
  <c r="U19" i="4"/>
  <c r="T19" i="4"/>
  <c r="S19" i="4"/>
  <c r="P19" i="4"/>
  <c r="AD18" i="4"/>
  <c r="AC18" i="4"/>
  <c r="AB18" i="4"/>
  <c r="AA18" i="4"/>
  <c r="Z18" i="4"/>
  <c r="Y18" i="4"/>
  <c r="X18" i="4"/>
  <c r="W18" i="4"/>
  <c r="V18" i="4"/>
  <c r="U18" i="4"/>
  <c r="T18" i="4"/>
  <c r="S18" i="4"/>
  <c r="P18" i="4"/>
  <c r="AD17" i="4"/>
  <c r="AC17" i="4"/>
  <c r="AB17" i="4"/>
  <c r="AA17" i="4"/>
  <c r="Z17" i="4"/>
  <c r="Y17" i="4"/>
  <c r="X17" i="4"/>
  <c r="W17" i="4"/>
  <c r="V17" i="4"/>
  <c r="U17" i="4"/>
  <c r="T17" i="4"/>
  <c r="S17" i="4"/>
  <c r="P17" i="4"/>
  <c r="AD15" i="4"/>
  <c r="AC15" i="4"/>
  <c r="AB15" i="4"/>
  <c r="AA15" i="4"/>
  <c r="Z15" i="4"/>
  <c r="Y15" i="4"/>
  <c r="X15" i="4"/>
  <c r="W15" i="4"/>
  <c r="V15" i="4"/>
  <c r="U15" i="4"/>
  <c r="T15" i="4"/>
  <c r="S15" i="4"/>
  <c r="P15" i="4"/>
  <c r="AD14" i="4"/>
  <c r="AC14" i="4"/>
  <c r="AB14" i="4"/>
  <c r="AA14" i="4"/>
  <c r="Z14" i="4"/>
  <c r="Y14" i="4"/>
  <c r="X14" i="4"/>
  <c r="W14" i="4"/>
  <c r="V14" i="4"/>
  <c r="U14" i="4"/>
  <c r="T14" i="4"/>
  <c r="S14" i="4"/>
  <c r="P14" i="4"/>
  <c r="AD13" i="4"/>
  <c r="AC13" i="4"/>
  <c r="AB13" i="4"/>
  <c r="AA13" i="4"/>
  <c r="Z13" i="4"/>
  <c r="Y13" i="4"/>
  <c r="X13" i="4"/>
  <c r="W13" i="4"/>
  <c r="V13" i="4"/>
  <c r="U13" i="4"/>
  <c r="T13" i="4"/>
  <c r="S13" i="4"/>
  <c r="P13" i="4"/>
  <c r="AD11" i="4"/>
  <c r="AC11" i="4"/>
  <c r="AB11" i="4"/>
  <c r="AA11" i="4"/>
  <c r="Z11" i="4"/>
  <c r="Y11" i="4"/>
  <c r="X11" i="4"/>
  <c r="W11" i="4"/>
  <c r="V11" i="4"/>
  <c r="U11" i="4"/>
  <c r="T11" i="4"/>
  <c r="S11" i="4"/>
  <c r="P11" i="4"/>
  <c r="AD10" i="4"/>
  <c r="AC10" i="4"/>
  <c r="AB10" i="4"/>
  <c r="AA10" i="4"/>
  <c r="Z10" i="4"/>
  <c r="Y10" i="4"/>
  <c r="Y53" i="4" s="1"/>
  <c r="Z54" i="4" s="1"/>
  <c r="X10" i="4"/>
  <c r="W10" i="4"/>
  <c r="V10" i="4"/>
  <c r="U10" i="4"/>
  <c r="T10" i="4"/>
  <c r="S10" i="4"/>
  <c r="P10" i="4"/>
  <c r="AD9" i="4"/>
  <c r="AC9" i="4"/>
  <c r="AB9" i="4"/>
  <c r="AA9" i="4"/>
  <c r="Z9" i="4"/>
  <c r="Y9" i="4"/>
  <c r="X9" i="4"/>
  <c r="W9" i="4"/>
  <c r="V9" i="4"/>
  <c r="U9" i="4"/>
  <c r="T9" i="4"/>
  <c r="S9" i="4"/>
  <c r="P9" i="4"/>
  <c r="AD8" i="4"/>
  <c r="AC8" i="4"/>
  <c r="AB8" i="4"/>
  <c r="AA8" i="4"/>
  <c r="Z8" i="4"/>
  <c r="Y8" i="4"/>
  <c r="X8" i="4"/>
  <c r="W8" i="4"/>
  <c r="V8" i="4"/>
  <c r="U8" i="4"/>
  <c r="T8" i="4"/>
  <c r="S8" i="4"/>
  <c r="P8" i="4"/>
  <c r="AD7" i="4"/>
  <c r="AC7" i="4"/>
  <c r="AB7" i="4"/>
  <c r="AA7" i="4"/>
  <c r="Z7" i="4"/>
  <c r="Y7" i="4"/>
  <c r="X7" i="4"/>
  <c r="W7" i="4"/>
  <c r="V7" i="4"/>
  <c r="U7" i="4"/>
  <c r="T7" i="4"/>
  <c r="S7" i="4"/>
  <c r="P7" i="4"/>
  <c r="AD6" i="4"/>
  <c r="AC6" i="4"/>
  <c r="AB6" i="4"/>
  <c r="AA6" i="4"/>
  <c r="Z6" i="4"/>
  <c r="Y6" i="4"/>
  <c r="X6" i="4"/>
  <c r="W6" i="4"/>
  <c r="V6" i="4"/>
  <c r="U6" i="4"/>
  <c r="T6" i="4"/>
  <c r="S6" i="4"/>
  <c r="P6" i="4"/>
  <c r="AD5" i="4"/>
  <c r="AC5" i="4"/>
  <c r="AB5" i="4"/>
  <c r="AA5" i="4"/>
  <c r="Z5" i="4"/>
  <c r="Y5" i="4"/>
  <c r="X5" i="4"/>
  <c r="W5" i="4"/>
  <c r="V5" i="4"/>
  <c r="U5" i="4"/>
  <c r="T5" i="4"/>
  <c r="S5" i="4"/>
  <c r="P5" i="4"/>
  <c r="AD4" i="4"/>
  <c r="AC4" i="4"/>
  <c r="AB4" i="4"/>
  <c r="AA4" i="4"/>
  <c r="Z4" i="4"/>
  <c r="Y4" i="4"/>
  <c r="X4" i="4"/>
  <c r="W4" i="4"/>
  <c r="V4" i="4"/>
  <c r="U4" i="4"/>
  <c r="T4" i="4"/>
  <c r="S4" i="4"/>
  <c r="P4" i="4"/>
  <c r="AD3" i="4"/>
  <c r="AC3" i="4"/>
  <c r="AB3" i="4"/>
  <c r="AA3" i="4"/>
  <c r="Z3" i="4"/>
  <c r="Y3" i="4"/>
  <c r="X3" i="4"/>
  <c r="W3" i="4"/>
  <c r="V3" i="4"/>
  <c r="U3" i="4"/>
  <c r="T3" i="4"/>
  <c r="S3" i="4"/>
  <c r="P3" i="4"/>
  <c r="Z62" i="4" l="1"/>
  <c r="AA63" i="4" s="1"/>
  <c r="U53" i="4"/>
  <c r="V54" i="4" s="1"/>
  <c r="W53" i="4"/>
  <c r="X54" i="4" s="1"/>
  <c r="AC53" i="4"/>
  <c r="AD54" i="4" s="1"/>
  <c r="V62" i="4"/>
  <c r="W63" i="4" s="1"/>
  <c r="AD62" i="4"/>
  <c r="AA53" i="4"/>
  <c r="AB54" i="4" s="1"/>
  <c r="D82" i="4"/>
  <c r="P82" i="4" s="1"/>
  <c r="P93" i="4" s="1"/>
  <c r="D81" i="4"/>
  <c r="D92" i="4" s="1"/>
  <c r="H79" i="4"/>
  <c r="H90" i="4" s="1"/>
  <c r="I79" i="4"/>
  <c r="I90" i="4" s="1"/>
  <c r="J79" i="4"/>
  <c r="J90" i="4" s="1"/>
  <c r="K79" i="4"/>
  <c r="K90" i="4" s="1"/>
  <c r="D79" i="4"/>
  <c r="D90" i="4" s="1"/>
  <c r="L79" i="4"/>
  <c r="L90" i="4" s="1"/>
  <c r="E79" i="4"/>
  <c r="E90" i="4" s="1"/>
  <c r="M79" i="4"/>
  <c r="M90" i="4" s="1"/>
  <c r="F79" i="4"/>
  <c r="F90" i="4" s="1"/>
  <c r="N79" i="4"/>
  <c r="N90" i="4" s="1"/>
  <c r="G79" i="4"/>
  <c r="G90" i="4" s="1"/>
  <c r="D78" i="4"/>
  <c r="D89" i="4" s="1"/>
  <c r="D77" i="4"/>
  <c r="D88" i="4" s="1"/>
  <c r="D71" i="4"/>
  <c r="L77" i="4"/>
  <c r="L88" i="4" s="1"/>
  <c r="L71" i="4"/>
  <c r="E77" i="4"/>
  <c r="E88" i="4" s="1"/>
  <c r="E71" i="4"/>
  <c r="M77" i="4"/>
  <c r="M88" i="4" s="1"/>
  <c r="M71" i="4"/>
  <c r="F77" i="4"/>
  <c r="F88" i="4" s="1"/>
  <c r="F71" i="4"/>
  <c r="N77" i="4"/>
  <c r="N88" i="4" s="1"/>
  <c r="N71" i="4"/>
  <c r="G77" i="4"/>
  <c r="G88" i="4" s="1"/>
  <c r="G71" i="4"/>
  <c r="H77" i="4"/>
  <c r="H88" i="4" s="1"/>
  <c r="H71" i="4"/>
  <c r="I77" i="4"/>
  <c r="I88" i="4" s="1"/>
  <c r="I71" i="4"/>
  <c r="J77" i="4"/>
  <c r="J88" i="4" s="1"/>
  <c r="J71" i="4"/>
  <c r="K77" i="4"/>
  <c r="K88" i="4" s="1"/>
  <c r="K71" i="4"/>
  <c r="V65" i="4"/>
  <c r="W66" i="4" s="1"/>
  <c r="Z65" i="4"/>
  <c r="AA66" i="4" s="1"/>
  <c r="AD65" i="4"/>
  <c r="X62" i="4"/>
  <c r="Y63" i="4" s="1"/>
  <c r="T62" i="4"/>
  <c r="U63" i="4" s="1"/>
  <c r="W62" i="4"/>
  <c r="X63" i="4" s="1"/>
  <c r="AA62" i="4"/>
  <c r="AB63" i="4" s="1"/>
  <c r="T56" i="4"/>
  <c r="U57" i="4" s="1"/>
  <c r="X56" i="4"/>
  <c r="Y57" i="4" s="1"/>
  <c r="AB56" i="4"/>
  <c r="AC57" i="4" s="1"/>
  <c r="V56" i="4"/>
  <c r="W57" i="4" s="1"/>
  <c r="Z56" i="4"/>
  <c r="AA57" i="4" s="1"/>
  <c r="AD56" i="4"/>
  <c r="O79" i="4"/>
  <c r="O90" i="4" s="1"/>
  <c r="U65" i="4"/>
  <c r="V66" i="4" s="1"/>
  <c r="Y65" i="4"/>
  <c r="Z66" i="4" s="1"/>
  <c r="AC65" i="4"/>
  <c r="AD66" i="4" s="1"/>
  <c r="W65" i="4"/>
  <c r="X66" i="4" s="1"/>
  <c r="AA65" i="4"/>
  <c r="AB66" i="4" s="1"/>
  <c r="T65" i="4"/>
  <c r="U66" i="4" s="1"/>
  <c r="X65" i="4"/>
  <c r="Y66" i="4" s="1"/>
  <c r="AB65" i="4"/>
  <c r="AC66" i="4" s="1"/>
  <c r="S65" i="4"/>
  <c r="S66" i="4"/>
  <c r="AB62" i="4"/>
  <c r="AC63" i="4" s="1"/>
  <c r="U62" i="4"/>
  <c r="V63" i="4" s="1"/>
  <c r="Y62" i="4"/>
  <c r="Z63" i="4" s="1"/>
  <c r="AC62" i="4"/>
  <c r="AD63" i="4" s="1"/>
  <c r="S63" i="4"/>
  <c r="S62" i="4"/>
  <c r="S60" i="4"/>
  <c r="S59" i="4"/>
  <c r="T60" i="4" s="1"/>
  <c r="N78" i="4"/>
  <c r="N89" i="4" s="1"/>
  <c r="O78" i="4"/>
  <c r="O89" i="4" s="1"/>
  <c r="S53" i="4"/>
  <c r="S54" i="4"/>
  <c r="T53" i="4"/>
  <c r="U54" i="4" s="1"/>
  <c r="X53" i="4"/>
  <c r="Y54" i="4" s="1"/>
  <c r="AB53" i="4"/>
  <c r="AC54" i="4" s="1"/>
  <c r="U56" i="4"/>
  <c r="V57" i="4" s="1"/>
  <c r="Y56" i="4"/>
  <c r="Z57" i="4" s="1"/>
  <c r="AC56" i="4"/>
  <c r="AD57" i="4" s="1"/>
  <c r="S57" i="4"/>
  <c r="Q11" i="4"/>
  <c r="V53" i="4"/>
  <c r="W54" i="4" s="1"/>
  <c r="Z53" i="4"/>
  <c r="AA54" i="4" s="1"/>
  <c r="AD53" i="4"/>
  <c r="S56" i="4"/>
  <c r="W56" i="4"/>
  <c r="X57" i="4" s="1"/>
  <c r="AA56" i="4"/>
  <c r="AB57" i="4" s="1"/>
  <c r="V80" i="4"/>
  <c r="V91" i="4" s="1"/>
  <c r="Z80" i="4"/>
  <c r="Z91" i="4" s="1"/>
  <c r="T80" i="4"/>
  <c r="T91" i="4" s="1"/>
  <c r="X80" i="4"/>
  <c r="X91" i="4" s="1"/>
  <c r="AB80" i="4"/>
  <c r="AB91" i="4" s="1"/>
  <c r="U80" i="4"/>
  <c r="U91" i="4" s="1"/>
  <c r="Y80" i="4"/>
  <c r="Y91" i="4" s="1"/>
  <c r="S80" i="4"/>
  <c r="S91" i="4" s="1"/>
  <c r="W80" i="4"/>
  <c r="W91" i="4" s="1"/>
  <c r="AA80" i="4"/>
  <c r="AA91" i="4" s="1"/>
  <c r="Q5" i="4"/>
  <c r="AC80" i="4"/>
  <c r="AC91" i="4" s="1"/>
  <c r="AD80" i="4"/>
  <c r="AD91" i="4" s="1"/>
  <c r="Q19" i="4"/>
  <c r="AE43" i="4"/>
  <c r="AE37" i="4"/>
  <c r="AE36" i="4"/>
  <c r="AE44" i="4"/>
  <c r="AE38" i="4"/>
  <c r="AE33" i="4"/>
  <c r="AE27" i="4"/>
  <c r="AB59" i="4"/>
  <c r="AC60" i="4" s="1"/>
  <c r="AE26" i="4"/>
  <c r="AE28" i="4"/>
  <c r="AE20" i="4"/>
  <c r="AE22" i="4"/>
  <c r="AE21" i="4"/>
  <c r="AE16" i="4"/>
  <c r="S50" i="4"/>
  <c r="T51" i="4" s="1"/>
  <c r="W50" i="4"/>
  <c r="X51" i="4" s="1"/>
  <c r="AA50" i="4"/>
  <c r="AB51" i="4" s="1"/>
  <c r="U50" i="4"/>
  <c r="V51" i="4" s="1"/>
  <c r="V59" i="4"/>
  <c r="W60" i="4" s="1"/>
  <c r="Z59" i="4"/>
  <c r="AA60" i="4" s="1"/>
  <c r="AD59" i="4"/>
  <c r="W59" i="4"/>
  <c r="X60" i="4" s="1"/>
  <c r="P20" i="4"/>
  <c r="P44" i="4"/>
  <c r="Q18" i="4"/>
  <c r="AB50" i="4"/>
  <c r="AC51" i="4" s="1"/>
  <c r="AE15" i="4"/>
  <c r="AC59" i="4"/>
  <c r="AD60" i="4" s="1"/>
  <c r="P26" i="4"/>
  <c r="AE29" i="4"/>
  <c r="P16" i="4"/>
  <c r="U59" i="4"/>
  <c r="V60" i="4" s="1"/>
  <c r="Y59" i="4"/>
  <c r="Z60" i="4" s="1"/>
  <c r="P22" i="4"/>
  <c r="Q22" i="4" s="1"/>
  <c r="P70" i="4"/>
  <c r="AE45" i="4"/>
  <c r="AE41" i="4"/>
  <c r="AE42" i="4"/>
  <c r="AE39" i="4"/>
  <c r="AE34" i="4"/>
  <c r="AE31" i="4"/>
  <c r="AE32" i="4"/>
  <c r="AE23" i="4"/>
  <c r="AE25" i="4"/>
  <c r="AA59" i="4"/>
  <c r="AB60" i="4" s="1"/>
  <c r="T59" i="4"/>
  <c r="U60" i="4" s="1"/>
  <c r="X59" i="4"/>
  <c r="Y60" i="4" s="1"/>
  <c r="AE13" i="4"/>
  <c r="AE5" i="4"/>
  <c r="Y50" i="4"/>
  <c r="Z51" i="4" s="1"/>
  <c r="AE3" i="4"/>
  <c r="V50" i="4"/>
  <c r="W51" i="4" s="1"/>
  <c r="Z50" i="4"/>
  <c r="AA51" i="4" s="1"/>
  <c r="AD50" i="4"/>
  <c r="AE6" i="4"/>
  <c r="AE9" i="4"/>
  <c r="Q10" i="4"/>
  <c r="Q4" i="4"/>
  <c r="AE11" i="4"/>
  <c r="AE18" i="4"/>
  <c r="AE48" i="4"/>
  <c r="R70" i="4" s="1"/>
  <c r="P55" i="4"/>
  <c r="AE4" i="4"/>
  <c r="AC50" i="4"/>
  <c r="AD51" i="4" s="1"/>
  <c r="AE8" i="4"/>
  <c r="AE14" i="4"/>
  <c r="AE19" i="4"/>
  <c r="AE24" i="4"/>
  <c r="AE30" i="4"/>
  <c r="P33" i="4"/>
  <c r="AE35" i="4"/>
  <c r="S51" i="4"/>
  <c r="T50" i="4"/>
  <c r="U51" i="4" s="1"/>
  <c r="X50" i="4"/>
  <c r="Y51" i="4" s="1"/>
  <c r="AE17" i="4"/>
  <c r="P28" i="4"/>
  <c r="AE7" i="4"/>
  <c r="P27" i="4"/>
  <c r="P61" i="4"/>
  <c r="P67" i="4"/>
  <c r="AE10" i="4"/>
  <c r="P21" i="4"/>
  <c r="P38" i="4"/>
  <c r="AE40" i="4"/>
  <c r="P52" i="4"/>
  <c r="D93" i="4" l="1"/>
  <c r="P71" i="4"/>
  <c r="R64" i="4"/>
  <c r="AC64" i="4" s="1"/>
  <c r="AE62" i="4"/>
  <c r="T63" i="4"/>
  <c r="AE63" i="4" s="1"/>
  <c r="R58" i="4"/>
  <c r="T57" i="4"/>
  <c r="AE57" i="4" s="1"/>
  <c r="AE56" i="4"/>
  <c r="Q21" i="4"/>
  <c r="R72" i="4"/>
  <c r="R67" i="4"/>
  <c r="Z67" i="4" s="1"/>
  <c r="Z81" i="4" s="1"/>
  <c r="Z92" i="4" s="1"/>
  <c r="Q20" i="4"/>
  <c r="R61" i="4"/>
  <c r="U70" i="4"/>
  <c r="U82" i="4" s="1"/>
  <c r="U93" i="4" s="1"/>
  <c r="Y70" i="4"/>
  <c r="Y82" i="4" s="1"/>
  <c r="Y93" i="4" s="1"/>
  <c r="AC70" i="4"/>
  <c r="AC82" i="4" s="1"/>
  <c r="AC93" i="4" s="1"/>
  <c r="V70" i="4"/>
  <c r="V82" i="4" s="1"/>
  <c r="V93" i="4" s="1"/>
  <c r="Z70" i="4"/>
  <c r="Z82" i="4" s="1"/>
  <c r="Z93" i="4" s="1"/>
  <c r="AD70" i="4"/>
  <c r="AD82" i="4" s="1"/>
  <c r="AD93" i="4" s="1"/>
  <c r="W70" i="4"/>
  <c r="W82" i="4" s="1"/>
  <c r="W93" i="4" s="1"/>
  <c r="AA70" i="4"/>
  <c r="AA82" i="4" s="1"/>
  <c r="AA93" i="4" s="1"/>
  <c r="T70" i="4"/>
  <c r="T82" i="4" s="1"/>
  <c r="T93" i="4" s="1"/>
  <c r="X70" i="4"/>
  <c r="X82" i="4" s="1"/>
  <c r="X93" i="4" s="1"/>
  <c r="AB70" i="4"/>
  <c r="AB82" i="4" s="1"/>
  <c r="AB93" i="4" s="1"/>
  <c r="AE65" i="4"/>
  <c r="AE60" i="4"/>
  <c r="AE59" i="4"/>
  <c r="E83" i="4"/>
  <c r="P77" i="4"/>
  <c r="P88" i="4" s="1"/>
  <c r="D83" i="4"/>
  <c r="P80" i="4"/>
  <c r="P91" i="4" s="1"/>
  <c r="T66" i="4"/>
  <c r="AE66" i="4" s="1"/>
  <c r="O83" i="4"/>
  <c r="M83" i="4"/>
  <c r="P81" i="4"/>
  <c r="P92" i="4" s="1"/>
  <c r="G83" i="4"/>
  <c r="K83" i="4"/>
  <c r="J83" i="4"/>
  <c r="L83" i="4"/>
  <c r="H83" i="4"/>
  <c r="AE68" i="4"/>
  <c r="P78" i="4"/>
  <c r="P89" i="4" s="1"/>
  <c r="N83" i="4"/>
  <c r="T54" i="4"/>
  <c r="AE54" i="4" s="1"/>
  <c r="AE53" i="4"/>
  <c r="I83" i="4"/>
  <c r="AE51" i="4"/>
  <c r="R52" i="4"/>
  <c r="P79" i="4"/>
  <c r="P90" i="4" s="1"/>
  <c r="F83" i="4"/>
  <c r="AE69" i="4"/>
  <c r="AE50" i="4"/>
  <c r="W64" i="4" l="1"/>
  <c r="Z64" i="4"/>
  <c r="V64" i="4"/>
  <c r="Y64" i="4"/>
  <c r="U64" i="4"/>
  <c r="T64" i="4"/>
  <c r="AB64" i="4"/>
  <c r="S64" i="4"/>
  <c r="X64" i="4"/>
  <c r="AD64" i="4"/>
  <c r="AA64" i="4"/>
  <c r="X58" i="4"/>
  <c r="AB58" i="4"/>
  <c r="U58" i="4"/>
  <c r="Y58" i="4"/>
  <c r="AC58" i="4"/>
  <c r="S58" i="4"/>
  <c r="V58" i="4"/>
  <c r="Z58" i="4"/>
  <c r="AD58" i="4"/>
  <c r="T58" i="4"/>
  <c r="W58" i="4"/>
  <c r="AA58" i="4"/>
  <c r="R74" i="4"/>
  <c r="AD74" i="4" s="1"/>
  <c r="S70" i="4"/>
  <c r="S82" i="4" s="1"/>
  <c r="U67" i="4"/>
  <c r="U81" i="4" s="1"/>
  <c r="U92" i="4" s="1"/>
  <c r="S67" i="4"/>
  <c r="S81" i="4" s="1"/>
  <c r="S92" i="4" s="1"/>
  <c r="AA67" i="4"/>
  <c r="AA81" i="4" s="1"/>
  <c r="AA92" i="4" s="1"/>
  <c r="X67" i="4"/>
  <c r="X81" i="4" s="1"/>
  <c r="X92" i="4" s="1"/>
  <c r="AD67" i="4"/>
  <c r="AD81" i="4" s="1"/>
  <c r="AD92" i="4" s="1"/>
  <c r="T67" i="4"/>
  <c r="T81" i="4" s="1"/>
  <c r="T92" i="4" s="1"/>
  <c r="W67" i="4"/>
  <c r="W81" i="4" s="1"/>
  <c r="W92" i="4" s="1"/>
  <c r="AC67" i="4"/>
  <c r="AC81" i="4" s="1"/>
  <c r="AC92" i="4" s="1"/>
  <c r="Y67" i="4"/>
  <c r="Y81" i="4" s="1"/>
  <c r="Y92" i="4" s="1"/>
  <c r="AB67" i="4"/>
  <c r="AB81" i="4" s="1"/>
  <c r="AB92" i="4" s="1"/>
  <c r="V67" i="4"/>
  <c r="V81" i="4" s="1"/>
  <c r="V92" i="4" s="1"/>
  <c r="AC52" i="4"/>
  <c r="Y52" i="4"/>
  <c r="U52" i="4"/>
  <c r="AB52" i="4"/>
  <c r="W52" i="4"/>
  <c r="AA52" i="4"/>
  <c r="V52" i="4"/>
  <c r="AD52" i="4"/>
  <c r="S52" i="4"/>
  <c r="Z52" i="4"/>
  <c r="X52" i="4"/>
  <c r="T52" i="4"/>
  <c r="AA72" i="4"/>
  <c r="W72" i="4"/>
  <c r="S72" i="4"/>
  <c r="AB72" i="4"/>
  <c r="V72" i="4"/>
  <c r="Y72" i="4"/>
  <c r="AD72" i="4"/>
  <c r="X72" i="4"/>
  <c r="AC72" i="4"/>
  <c r="U72" i="4"/>
  <c r="Z72" i="4"/>
  <c r="T72" i="4"/>
  <c r="AC61" i="4"/>
  <c r="Y61" i="4"/>
  <c r="U61" i="4"/>
  <c r="AD61" i="4"/>
  <c r="X61" i="4"/>
  <c r="S61" i="4"/>
  <c r="AB61" i="4"/>
  <c r="W61" i="4"/>
  <c r="AA61" i="4"/>
  <c r="V61" i="4"/>
  <c r="Z61" i="4"/>
  <c r="T61" i="4"/>
  <c r="P83" i="4"/>
  <c r="AE64" i="4" l="1"/>
  <c r="AC77" i="4"/>
  <c r="AC88" i="4" s="1"/>
  <c r="AD79" i="4"/>
  <c r="AD90" i="4" s="1"/>
  <c r="H84" i="4"/>
  <c r="E84" i="4"/>
  <c r="I84" i="4"/>
  <c r="M84" i="4"/>
  <c r="F84" i="4"/>
  <c r="J84" i="4"/>
  <c r="N84" i="4"/>
  <c r="G84" i="4"/>
  <c r="K84" i="4"/>
  <c r="O84" i="4"/>
  <c r="L84" i="4"/>
  <c r="D84" i="4"/>
  <c r="Z74" i="4"/>
  <c r="Y74" i="4"/>
  <c r="Y79" i="4" s="1"/>
  <c r="S74" i="4"/>
  <c r="S79" i="4" s="1"/>
  <c r="W74" i="4"/>
  <c r="W79" i="4" s="1"/>
  <c r="T74" i="4"/>
  <c r="T79" i="4" s="1"/>
  <c r="X74" i="4"/>
  <c r="U74" i="4"/>
  <c r="AC74" i="4"/>
  <c r="V74" i="4"/>
  <c r="V79" i="4" s="1"/>
  <c r="V90" i="4" s="1"/>
  <c r="AB74" i="4"/>
  <c r="AE58" i="4"/>
  <c r="AA74" i="4"/>
  <c r="AA79" i="4" s="1"/>
  <c r="V77" i="4"/>
  <c r="V88" i="4" s="1"/>
  <c r="U77" i="4"/>
  <c r="U88" i="4" s="1"/>
  <c r="AA77" i="4"/>
  <c r="AA88" i="4" s="1"/>
  <c r="T77" i="4"/>
  <c r="T88" i="4" s="1"/>
  <c r="AB77" i="4"/>
  <c r="AB88" i="4" s="1"/>
  <c r="AD77" i="4"/>
  <c r="AD88" i="4" s="1"/>
  <c r="X77" i="4"/>
  <c r="X88" i="4" s="1"/>
  <c r="Z77" i="4"/>
  <c r="Z88" i="4" s="1"/>
  <c r="Y77" i="4"/>
  <c r="Y88" i="4" s="1"/>
  <c r="S77" i="4"/>
  <c r="W77" i="4"/>
  <c r="W88" i="4" s="1"/>
  <c r="S93" i="4"/>
  <c r="AE82" i="4"/>
  <c r="AE93" i="4" s="1"/>
  <c r="AE70" i="4"/>
  <c r="AE67" i="4"/>
  <c r="AE80" i="4"/>
  <c r="AE91" i="4" s="1"/>
  <c r="AE61" i="4"/>
  <c r="AE72" i="4"/>
  <c r="AE52" i="4"/>
  <c r="AE85" i="4" l="1"/>
  <c r="P84" i="4"/>
  <c r="AB79" i="4"/>
  <c r="AB90" i="4" s="1"/>
  <c r="X79" i="4"/>
  <c r="X90" i="4" s="1"/>
  <c r="W90" i="4"/>
  <c r="AC79" i="4"/>
  <c r="AC90" i="4" s="1"/>
  <c r="U79" i="4"/>
  <c r="U90" i="4" s="1"/>
  <c r="AA90" i="4"/>
  <c r="T90" i="4"/>
  <c r="Y90" i="4"/>
  <c r="Z79" i="4"/>
  <c r="Z90" i="4" s="1"/>
  <c r="AE74" i="4"/>
  <c r="AE77" i="4"/>
  <c r="S88" i="4"/>
  <c r="AE81" i="4"/>
  <c r="S90" i="4"/>
  <c r="AF79" i="4" l="1"/>
  <c r="AE79" i="4"/>
  <c r="AE90" i="4" s="1"/>
  <c r="AE92" i="4"/>
  <c r="AE88" i="4"/>
  <c r="AF77" i="4"/>
  <c r="P12" i="4" l="1"/>
  <c r="Q12" i="4" s="1"/>
  <c r="R73" i="4" s="1"/>
  <c r="AE12" i="4"/>
  <c r="AC73" i="4" l="1"/>
  <c r="T73" i="4"/>
  <c r="Y73" i="4"/>
  <c r="AB73" i="4"/>
  <c r="S73" i="4"/>
  <c r="AD73" i="4"/>
  <c r="Z73" i="4"/>
  <c r="X73" i="4"/>
  <c r="AA73" i="4"/>
  <c r="V73" i="4"/>
  <c r="U73" i="4"/>
  <c r="W73" i="4"/>
  <c r="R55" i="4"/>
  <c r="Z55" i="4" l="1"/>
  <c r="Z78" i="4" s="1"/>
  <c r="AD55" i="4"/>
  <c r="AD78" i="4" s="1"/>
  <c r="AC55" i="4"/>
  <c r="AC78" i="4" s="1"/>
  <c r="X55" i="4"/>
  <c r="X78" i="4" s="1"/>
  <c r="AA55" i="4"/>
  <c r="AA78" i="4" s="1"/>
  <c r="U55" i="4"/>
  <c r="U78" i="4" s="1"/>
  <c r="T55" i="4"/>
  <c r="T78" i="4" s="1"/>
  <c r="V55" i="4"/>
  <c r="V78" i="4" s="1"/>
  <c r="Y55" i="4"/>
  <c r="Y78" i="4" s="1"/>
  <c r="AB55" i="4"/>
  <c r="AB78" i="4" s="1"/>
  <c r="S55" i="4"/>
  <c r="S78" i="4" s="1"/>
  <c r="W55" i="4"/>
  <c r="W78" i="4" s="1"/>
  <c r="AE73" i="4"/>
  <c r="AD89" i="4" l="1"/>
  <c r="AD83" i="4"/>
  <c r="AC89" i="4"/>
  <c r="AC83" i="4"/>
  <c r="U89" i="4"/>
  <c r="U83" i="4"/>
  <c r="AA89" i="4"/>
  <c r="AA83" i="4"/>
  <c r="Z89" i="4"/>
  <c r="Z83" i="4"/>
  <c r="W89" i="4"/>
  <c r="W83" i="4"/>
  <c r="V89" i="4"/>
  <c r="V83" i="4"/>
  <c r="X89" i="4"/>
  <c r="X83" i="4"/>
  <c r="AE55" i="4"/>
  <c r="T89" i="4"/>
  <c r="T83" i="4"/>
  <c r="AB89" i="4"/>
  <c r="AB83" i="4"/>
  <c r="Y89" i="4"/>
  <c r="Y83" i="4"/>
  <c r="AE78" i="4" l="1"/>
  <c r="AF83" i="4" s="1"/>
  <c r="S83" i="4"/>
  <c r="S89" i="4"/>
  <c r="AE89" i="4" l="1"/>
  <c r="AE83" i="4"/>
</calcChain>
</file>

<file path=xl/sharedStrings.xml><?xml version="1.0" encoding="utf-8"?>
<sst xmlns="http://schemas.openxmlformats.org/spreadsheetml/2006/main" count="165" uniqueCount="64">
  <si>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</si>
  <si>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</si>
  <si>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</si>
  <si>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</si>
  <si>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</si>
  <si>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</si>
  <si>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</si>
  <si>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</si>
  <si>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</si>
  <si>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</si>
  <si>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</si>
  <si>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</si>
  <si>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</si>
  <si>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</si>
  <si>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Charges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</si>
  <si>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</si>
  <si>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</si>
  <si>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</si>
  <si>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</si>
  <si>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</si>
  <si>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</si>
  <si>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</si>
  <si>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annual average rate calc</t>
  </si>
  <si>
    <t>Normalized Revenue</t>
  </si>
  <si>
    <t>Total Washington</t>
  </si>
  <si>
    <t>Customer Average</t>
  </si>
  <si>
    <t>Use per Customer</t>
  </si>
  <si>
    <t>Revenue per Customer</t>
  </si>
  <si>
    <t>WA Natural Gas Normalized Revenue Calculation</t>
  </si>
  <si>
    <t>Sch 101</t>
  </si>
  <si>
    <t>Sch 102</t>
  </si>
  <si>
    <t>Sch 111</t>
  </si>
  <si>
    <t>Sch 112</t>
  </si>
  <si>
    <t>Sch 121</t>
  </si>
  <si>
    <t>Sch 122</t>
  </si>
  <si>
    <t>Sch 131</t>
  </si>
  <si>
    <t>Sch 132</t>
  </si>
  <si>
    <t>Sch 146</t>
  </si>
  <si>
    <t>Sch 147</t>
  </si>
  <si>
    <t>Special Contracts</t>
  </si>
  <si>
    <t xml:space="preserve">Sch 121 </t>
  </si>
  <si>
    <t>Schedule 101/102</t>
  </si>
  <si>
    <t>Schedule 111/112</t>
  </si>
  <si>
    <t>Schedule 121/122</t>
  </si>
  <si>
    <t>Schedule 131/132</t>
  </si>
  <si>
    <t>Schedule 146</t>
  </si>
  <si>
    <t>Special Contracts (147/148)</t>
  </si>
  <si>
    <t>Therm Usage</t>
  </si>
  <si>
    <t>Block 1 Therms</t>
  </si>
  <si>
    <t>Block 2 Therms</t>
  </si>
  <si>
    <t>Block 3 Therms</t>
  </si>
  <si>
    <t>Block 4 Therms</t>
  </si>
  <si>
    <t>Block 5 Therms</t>
  </si>
  <si>
    <t>Therms</t>
  </si>
  <si>
    <t>varies by contract</t>
  </si>
  <si>
    <t>Sch 148</t>
  </si>
  <si>
    <t>Res</t>
  </si>
  <si>
    <t>Non-Res</t>
  </si>
  <si>
    <t>Excluded</t>
  </si>
  <si>
    <t>highlighted cells include adj for prior period sch shifting</t>
  </si>
  <si>
    <t>unbilled</t>
  </si>
  <si>
    <t>correction</t>
  </si>
  <si>
    <t>4/1/2020 Billing Rates</t>
  </si>
  <si>
    <t>Schedule 132 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</si>
</sst>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readingOrder="1"/>
    </xf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167" fontId="0" fillId="0" borderId="0" xfId="0" applyNumberFormat="1" applyFill="1"/>
    <xf numFmtId="167" fontId="0" fillId="0" borderId="1" xfId="0" applyNumberFormat="1" applyFill="1" applyBorder="1"/>
    <xf numFmtId="43" fontId="0" fillId="0" borderId="0" xfId="1" applyNumberFormat="1" applyFont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Border="1"/>
    <xf numFmtId="166" fontId="0" fillId="0" borderId="0" xfId="1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166" fontId="2" fillId="2" borderId="0" xfId="1" applyNumberFormat="1" applyFont="1" applyFill="1"/>
    <xf numFmtId="10" fontId="0" fillId="0" borderId="0" xfId="2" applyNumberFormat="1" applyFont="1" applyBorder="1"/>
    <xf numFmtId="17" fontId="0" fillId="0" borderId="0" xfId="0" applyNumberFormat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165" fontId="0" fillId="3" borderId="0" xfId="0" applyNumberFormat="1" applyFill="1" applyAlignment="1">
      <alignment horizontal="right"/>
    </xf>
  </cellXfs>
  <cellStyles count="19">
    <cellStyle name="Comma" xfId="1" builtinId="3"/>
    <cellStyle name="Comma 10 2" xfId="9"/>
    <cellStyle name="Comma 2 10 2" xfId="4"/>
    <cellStyle name="Comma 2 2" xfId="5"/>
    <cellStyle name="Comma 3 10 7" xfId="15"/>
    <cellStyle name="Comma 3 31" xfId="13"/>
    <cellStyle name="Comma 3 32" xfId="16"/>
    <cellStyle name="Comma 3 33" xfId="14"/>
    <cellStyle name="Comma 3 36" xfId="18"/>
    <cellStyle name="Comma 3 37" xfId="17"/>
    <cellStyle name="Currency 2 10" xfId="7"/>
    <cellStyle name="Currency 3 3 11" xfId="8"/>
    <cellStyle name="Normal" xfId="0" builtinId="0"/>
    <cellStyle name="Normal 16 7" xfId="12"/>
    <cellStyle name="Normal 2" xfId="3"/>
    <cellStyle name="Normal 3 2 7" xfId="6"/>
    <cellStyle name="Normal 3 31" xfId="11"/>
    <cellStyle name="Normal 59 2" xfId="10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tabSelected="1" zoomScale="83" zoomScaleNormal="83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Q53" sqref="Q53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3" customWidth="1"/>
    <col min="15" max="15" width="13.140625" style="13" customWidth="1"/>
    <col min="16" max="16" width="14.42578125" customWidth="1"/>
    <col min="17" max="17" width="12.140625" customWidth="1"/>
    <col min="18" max="18" width="10.85546875" style="29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.85546875" customWidth="1"/>
    <col min="29" max="29" width="11.85546875" style="13" customWidth="1"/>
    <col min="30" max="30" width="12.28515625" style="13" customWidth="1"/>
    <col min="31" max="31" width="12.7109375" customWidth="1"/>
    <col min="32" max="32" width="18" customWidth="1"/>
    <col min="33" max="33" width="8.85546875" hidden="1" customWidth="1"/>
  </cols>
  <sheetData>
    <row r="1" spans="1:31" x14ac:dyDescent="0.25">
      <c r="A1" t="s">
        <v>28</v>
      </c>
      <c r="O1" s="16" t="s">
        <v>59</v>
      </c>
      <c r="R1" s="29" t="s">
        <v>62</v>
      </c>
    </row>
    <row r="2" spans="1:31" x14ac:dyDescent="0.25">
      <c r="B2">
        <v>2019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6" t="s">
        <v>10</v>
      </c>
      <c r="O2" s="16" t="s">
        <v>11</v>
      </c>
      <c r="P2" s="1" t="s">
        <v>12</v>
      </c>
      <c r="Q2" s="1" t="s">
        <v>19</v>
      </c>
      <c r="R2" s="29" t="s">
        <v>14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6" t="s">
        <v>10</v>
      </c>
      <c r="AD2" s="16" t="s">
        <v>11</v>
      </c>
      <c r="AE2" s="1" t="s">
        <v>12</v>
      </c>
    </row>
    <row r="3" spans="1:31" x14ac:dyDescent="0.25">
      <c r="A3" t="s">
        <v>29</v>
      </c>
      <c r="B3" t="s">
        <v>13</v>
      </c>
      <c r="D3" s="5">
        <v>164288</v>
      </c>
      <c r="E3" s="5">
        <v>161396</v>
      </c>
      <c r="F3" s="5">
        <v>166929</v>
      </c>
      <c r="G3" s="5">
        <v>162943</v>
      </c>
      <c r="H3" s="5">
        <v>166722</v>
      </c>
      <c r="I3" s="5">
        <v>164425</v>
      </c>
      <c r="J3" s="5">
        <v>165191</v>
      </c>
      <c r="K3" s="5">
        <v>165534</v>
      </c>
      <c r="L3" s="5">
        <v>162178</v>
      </c>
      <c r="M3" s="5">
        <v>169324</v>
      </c>
      <c r="N3" s="9">
        <v>166592</v>
      </c>
      <c r="O3" s="9">
        <v>166937</v>
      </c>
      <c r="P3" s="2">
        <f>SUM(D3:O3)</f>
        <v>1982459</v>
      </c>
      <c r="Q3" s="2">
        <v>8</v>
      </c>
      <c r="R3" s="30">
        <v>9.5</v>
      </c>
      <c r="S3" s="3">
        <f t="shared" ref="S3:AD12" si="0">$R3*D3</f>
        <v>1560736</v>
      </c>
      <c r="T3" s="3">
        <f t="shared" si="0"/>
        <v>1533262</v>
      </c>
      <c r="U3" s="3">
        <f t="shared" si="0"/>
        <v>1585825.5</v>
      </c>
      <c r="V3" s="3">
        <f t="shared" si="0"/>
        <v>1547958.5</v>
      </c>
      <c r="W3" s="3">
        <f t="shared" si="0"/>
        <v>1583859</v>
      </c>
      <c r="X3" s="3">
        <f t="shared" si="0"/>
        <v>1562037.5</v>
      </c>
      <c r="Y3" s="3">
        <f t="shared" si="0"/>
        <v>1569314.5</v>
      </c>
      <c r="Z3" s="3">
        <f t="shared" si="0"/>
        <v>1572573</v>
      </c>
      <c r="AA3" s="3">
        <f t="shared" si="0"/>
        <v>1540691</v>
      </c>
      <c r="AB3" s="3">
        <f t="shared" si="0"/>
        <v>1608578</v>
      </c>
      <c r="AC3" s="18">
        <f t="shared" si="0"/>
        <v>1582624</v>
      </c>
      <c r="AD3" s="18">
        <f t="shared" si="0"/>
        <v>1585901.5</v>
      </c>
      <c r="AE3" s="3">
        <f>SUM(S3:AD3)</f>
        <v>18833360.5</v>
      </c>
    </row>
    <row r="4" spans="1:31" x14ac:dyDescent="0.25">
      <c r="B4" t="s">
        <v>48</v>
      </c>
      <c r="D4" s="5">
        <v>10599098.857480001</v>
      </c>
      <c r="E4" s="5">
        <v>10474942.53136</v>
      </c>
      <c r="F4" s="5">
        <v>10898959.141860001</v>
      </c>
      <c r="G4" s="5">
        <v>8787409.3593799993</v>
      </c>
      <c r="H4" s="5">
        <v>5879186.0550899999</v>
      </c>
      <c r="I4" s="5">
        <v>2894111.8379799998</v>
      </c>
      <c r="J4" s="5">
        <v>2320621.92289</v>
      </c>
      <c r="K4" s="5">
        <v>1982982.7909599999</v>
      </c>
      <c r="L4" s="5">
        <v>2235091.8746699998</v>
      </c>
      <c r="M4" s="5">
        <v>6563723.9511599997</v>
      </c>
      <c r="N4" s="9">
        <v>9620467.1335000005</v>
      </c>
      <c r="O4" s="9">
        <v>10697247.52844</v>
      </c>
      <c r="P4" s="2">
        <f t="shared" ref="P4:P59" si="1">SUM(D4:O4)</f>
        <v>82953842.98477</v>
      </c>
      <c r="Q4" s="2">
        <f>IF(P4-P3*Q3&gt;0,P4-P3*Q3,0)</f>
        <v>67094170.98477</v>
      </c>
      <c r="R4" s="31">
        <v>0.71111000000000002</v>
      </c>
      <c r="S4" s="3">
        <f t="shared" si="0"/>
        <v>7537125.1885426035</v>
      </c>
      <c r="T4" s="3">
        <f t="shared" si="0"/>
        <v>7448836.3834754098</v>
      </c>
      <c r="U4" s="3">
        <f t="shared" si="0"/>
        <v>7750358.8353680652</v>
      </c>
      <c r="V4" s="3">
        <f t="shared" si="0"/>
        <v>6248814.6695487117</v>
      </c>
      <c r="W4" s="3">
        <f t="shared" si="0"/>
        <v>4180747.9956350499</v>
      </c>
      <c r="X4" s="3">
        <f t="shared" si="0"/>
        <v>2058031.8691059577</v>
      </c>
      <c r="Y4" s="3">
        <f t="shared" si="0"/>
        <v>1650217.4555863079</v>
      </c>
      <c r="Z4" s="3">
        <f t="shared" si="0"/>
        <v>1410118.8924795655</v>
      </c>
      <c r="AA4" s="3">
        <f t="shared" si="0"/>
        <v>1589396.1829965836</v>
      </c>
      <c r="AB4" s="3">
        <f t="shared" si="0"/>
        <v>4667529.738909388</v>
      </c>
      <c r="AC4" s="18">
        <f t="shared" si="0"/>
        <v>6841210.3833031859</v>
      </c>
      <c r="AD4" s="18">
        <f t="shared" si="0"/>
        <v>7606919.6899489686</v>
      </c>
      <c r="AE4" s="3">
        <f t="shared" ref="AE4:AE48" si="2">SUM(S4:AD4)</f>
        <v>58989307.284899808</v>
      </c>
    </row>
    <row r="5" spans="1:31" x14ac:dyDescent="0.25">
      <c r="B5" t="s">
        <v>49</v>
      </c>
      <c r="D5" s="5">
        <v>10571224.331189999</v>
      </c>
      <c r="E5" s="5">
        <v>11436355.536739999</v>
      </c>
      <c r="F5" s="5">
        <v>13019138.331359999</v>
      </c>
      <c r="G5" s="5">
        <v>3081201.7368800002</v>
      </c>
      <c r="H5" s="5">
        <v>702856.48450000002</v>
      </c>
      <c r="I5" s="5">
        <v>184244.63879</v>
      </c>
      <c r="J5" s="5">
        <v>212767.54294000001</v>
      </c>
      <c r="K5" s="5">
        <v>157743.01681</v>
      </c>
      <c r="L5" s="5">
        <v>206674.86277000001</v>
      </c>
      <c r="M5" s="5">
        <v>1037706.60695</v>
      </c>
      <c r="N5" s="9">
        <v>4314630.5612899996</v>
      </c>
      <c r="O5" s="9">
        <v>9562077.9307300001</v>
      </c>
      <c r="P5" s="2">
        <f t="shared" si="1"/>
        <v>54486621.580949992</v>
      </c>
      <c r="Q5" s="2">
        <f>IF(P4-P3*Q3&lt;0,P5+P4-P3*Q3,P5)</f>
        <v>54486621.580949992</v>
      </c>
      <c r="R5" s="31">
        <v>0.83409</v>
      </c>
      <c r="S5" s="3">
        <f t="shared" si="0"/>
        <v>8817352.5024022665</v>
      </c>
      <c r="T5" s="3">
        <f t="shared" si="0"/>
        <v>9538949.7896394655</v>
      </c>
      <c r="U5" s="3">
        <f t="shared" si="0"/>
        <v>10859133.090804061</v>
      </c>
      <c r="V5" s="3">
        <f t="shared" si="0"/>
        <v>2569999.5567142395</v>
      </c>
      <c r="W5" s="3">
        <f t="shared" si="0"/>
        <v>586245.56515660498</v>
      </c>
      <c r="X5" s="3">
        <f t="shared" si="0"/>
        <v>153676.61076835109</v>
      </c>
      <c r="Y5" s="3">
        <f t="shared" si="0"/>
        <v>177467.2798908246</v>
      </c>
      <c r="Z5" s="3">
        <f t="shared" si="0"/>
        <v>131571.87289105289</v>
      </c>
      <c r="AA5" s="3">
        <f t="shared" si="0"/>
        <v>172385.4362878293</v>
      </c>
      <c r="AB5" s="3">
        <f t="shared" si="0"/>
        <v>865540.70379092556</v>
      </c>
      <c r="AC5" s="18">
        <f t="shared" si="0"/>
        <v>3598790.2048663758</v>
      </c>
      <c r="AD5" s="18">
        <f t="shared" si="0"/>
        <v>7975633.5812425856</v>
      </c>
      <c r="AE5" s="3">
        <f t="shared" si="2"/>
        <v>45446746.194454588</v>
      </c>
    </row>
    <row r="6" spans="1:31" x14ac:dyDescent="0.25">
      <c r="A6" t="s">
        <v>30</v>
      </c>
      <c r="B6" t="s">
        <v>13</v>
      </c>
      <c r="D6" s="5">
        <v>167</v>
      </c>
      <c r="E6" s="5">
        <v>165</v>
      </c>
      <c r="F6" s="5">
        <v>166</v>
      </c>
      <c r="G6" s="5">
        <v>163</v>
      </c>
      <c r="H6" s="5">
        <v>164</v>
      </c>
      <c r="I6" s="5">
        <v>162</v>
      </c>
      <c r="J6" s="5">
        <v>164</v>
      </c>
      <c r="K6" s="5">
        <v>159</v>
      </c>
      <c r="L6" s="5">
        <v>154</v>
      </c>
      <c r="M6" s="5">
        <v>124</v>
      </c>
      <c r="N6" s="9">
        <v>137</v>
      </c>
      <c r="O6" s="9">
        <v>155</v>
      </c>
      <c r="P6" s="2">
        <f t="shared" si="1"/>
        <v>1880</v>
      </c>
      <c r="Q6" s="2"/>
      <c r="R6" s="30">
        <v>9.5</v>
      </c>
      <c r="S6" s="3">
        <f t="shared" si="0"/>
        <v>1586.5</v>
      </c>
      <c r="T6" s="3">
        <f t="shared" si="0"/>
        <v>1567.5</v>
      </c>
      <c r="U6" s="3">
        <f t="shared" si="0"/>
        <v>1577</v>
      </c>
      <c r="V6" s="3">
        <f t="shared" si="0"/>
        <v>1548.5</v>
      </c>
      <c r="W6" s="3">
        <f t="shared" si="0"/>
        <v>1558</v>
      </c>
      <c r="X6" s="3">
        <f t="shared" si="0"/>
        <v>1539</v>
      </c>
      <c r="Y6" s="3">
        <f t="shared" si="0"/>
        <v>1558</v>
      </c>
      <c r="Z6" s="3">
        <f t="shared" si="0"/>
        <v>1510.5</v>
      </c>
      <c r="AA6" s="3">
        <f t="shared" si="0"/>
        <v>1463</v>
      </c>
      <c r="AB6" s="3">
        <f t="shared" si="0"/>
        <v>1178</v>
      </c>
      <c r="AC6" s="18">
        <f t="shared" si="0"/>
        <v>1301.5</v>
      </c>
      <c r="AD6" s="18">
        <f t="shared" si="0"/>
        <v>1472.5</v>
      </c>
      <c r="AE6" s="3">
        <f t="shared" si="2"/>
        <v>17860</v>
      </c>
    </row>
    <row r="7" spans="1:31" x14ac:dyDescent="0.25">
      <c r="B7" t="s">
        <v>48</v>
      </c>
      <c r="D7" s="5">
        <v>11502.249820000001</v>
      </c>
      <c r="E7" s="5">
        <v>11356.585999999999</v>
      </c>
      <c r="F7" s="5">
        <v>11452.98929</v>
      </c>
      <c r="G7" s="5">
        <v>9777.8402800000003</v>
      </c>
      <c r="H7" s="5">
        <v>6698.16806</v>
      </c>
      <c r="I7" s="5">
        <v>3018.10203</v>
      </c>
      <c r="J7" s="5">
        <v>2202.9206399999998</v>
      </c>
      <c r="K7" s="5">
        <v>1688.2435599999999</v>
      </c>
      <c r="L7" s="5">
        <v>2041.70389</v>
      </c>
      <c r="M7" s="5">
        <v>5658.9417700000004</v>
      </c>
      <c r="N7" s="9">
        <v>8759.0939099999996</v>
      </c>
      <c r="O7" s="9">
        <v>10607.951370000001</v>
      </c>
      <c r="P7" s="2">
        <f t="shared" si="1"/>
        <v>84764.790619999985</v>
      </c>
      <c r="Q7" s="2"/>
      <c r="R7" s="31">
        <v>0.22642000000000001</v>
      </c>
      <c r="S7" s="3">
        <f t="shared" si="0"/>
        <v>2604.3394042444002</v>
      </c>
      <c r="T7" s="3">
        <f t="shared" si="0"/>
        <v>2571.35820212</v>
      </c>
      <c r="U7" s="3">
        <f t="shared" si="0"/>
        <v>2593.1858350418001</v>
      </c>
      <c r="V7" s="3">
        <f t="shared" si="0"/>
        <v>2213.8985961976</v>
      </c>
      <c r="W7" s="3">
        <f t="shared" si="0"/>
        <v>1516.5992121452</v>
      </c>
      <c r="X7" s="3">
        <f t="shared" si="0"/>
        <v>683.35866163260005</v>
      </c>
      <c r="Y7" s="3">
        <f t="shared" si="0"/>
        <v>498.78529130879997</v>
      </c>
      <c r="Z7" s="3">
        <f t="shared" si="0"/>
        <v>382.2521068552</v>
      </c>
      <c r="AA7" s="3">
        <f t="shared" si="0"/>
        <v>462.28259477380004</v>
      </c>
      <c r="AB7" s="3">
        <f t="shared" si="0"/>
        <v>1281.2975955634001</v>
      </c>
      <c r="AC7" s="18">
        <f t="shared" si="0"/>
        <v>1983.2340431022001</v>
      </c>
      <c r="AD7" s="18">
        <f t="shared" si="0"/>
        <v>2401.8523491954002</v>
      </c>
      <c r="AE7" s="3">
        <f t="shared" si="2"/>
        <v>19192.443892180396</v>
      </c>
    </row>
    <row r="8" spans="1:31" x14ac:dyDescent="0.25">
      <c r="B8" t="s">
        <v>49</v>
      </c>
      <c r="D8" s="5">
        <v>10477.249</v>
      </c>
      <c r="E8" s="5">
        <v>11165.88384</v>
      </c>
      <c r="F8" s="5">
        <v>13080.972390000001</v>
      </c>
      <c r="G8" s="5">
        <v>2946.8702899999998</v>
      </c>
      <c r="H8" s="5">
        <v>554.99699999999996</v>
      </c>
      <c r="I8" s="5">
        <v>26.334</v>
      </c>
      <c r="J8" s="5">
        <v>3.5750000000000002</v>
      </c>
      <c r="K8" s="5">
        <v>184.07599999999999</v>
      </c>
      <c r="L8" s="5">
        <v>209.69900000000001</v>
      </c>
      <c r="M8" s="5">
        <v>601.42836</v>
      </c>
      <c r="N8" s="9">
        <v>3039.45739</v>
      </c>
      <c r="O8" s="9">
        <v>7968.6739200000002</v>
      </c>
      <c r="P8" s="2">
        <f t="shared" si="1"/>
        <v>50259.216190000006</v>
      </c>
      <c r="Q8" s="2"/>
      <c r="R8" s="31">
        <v>0.34939999999999999</v>
      </c>
      <c r="S8" s="3">
        <f t="shared" si="0"/>
        <v>3660.7508005999998</v>
      </c>
      <c r="T8" s="3">
        <f t="shared" si="0"/>
        <v>3901.3598136959999</v>
      </c>
      <c r="U8" s="3">
        <f t="shared" si="0"/>
        <v>4570.4917530660005</v>
      </c>
      <c r="V8" s="3">
        <f t="shared" si="0"/>
        <v>1029.636479326</v>
      </c>
      <c r="W8" s="3">
        <f t="shared" si="0"/>
        <v>193.91595179999999</v>
      </c>
      <c r="X8" s="3">
        <f t="shared" si="0"/>
        <v>9.2010995999999992</v>
      </c>
      <c r="Y8" s="3">
        <f t="shared" si="0"/>
        <v>1.2491049999999999</v>
      </c>
      <c r="Z8" s="3">
        <f t="shared" si="0"/>
        <v>64.316154400000002</v>
      </c>
      <c r="AA8" s="3">
        <f t="shared" si="0"/>
        <v>73.268830600000001</v>
      </c>
      <c r="AB8" s="3">
        <f t="shared" si="0"/>
        <v>210.13906898400001</v>
      </c>
      <c r="AC8" s="18">
        <f t="shared" si="0"/>
        <v>1061.986412066</v>
      </c>
      <c r="AD8" s="18">
        <f t="shared" si="0"/>
        <v>2784.2546676480001</v>
      </c>
      <c r="AE8" s="3">
        <f t="shared" si="2"/>
        <v>17560.570136786002</v>
      </c>
    </row>
    <row r="9" spans="1:31" x14ac:dyDescent="0.25">
      <c r="A9" t="s">
        <v>31</v>
      </c>
      <c r="B9" t="s">
        <v>13</v>
      </c>
      <c r="D9" s="5">
        <v>3099</v>
      </c>
      <c r="E9" s="5">
        <v>3047</v>
      </c>
      <c r="F9" s="5">
        <v>3151</v>
      </c>
      <c r="G9" s="5">
        <v>3101</v>
      </c>
      <c r="H9" s="5">
        <v>3103</v>
      </c>
      <c r="I9" s="5">
        <v>3094</v>
      </c>
      <c r="J9" s="5">
        <v>3109</v>
      </c>
      <c r="K9" s="5">
        <v>3101</v>
      </c>
      <c r="L9" s="5">
        <v>3036</v>
      </c>
      <c r="M9" s="5">
        <v>3136</v>
      </c>
      <c r="N9" s="9">
        <v>3080</v>
      </c>
      <c r="O9" s="9">
        <v>3123</v>
      </c>
      <c r="P9" s="2">
        <f t="shared" si="1"/>
        <v>37180</v>
      </c>
      <c r="Q9" s="2">
        <v>507</v>
      </c>
      <c r="R9" s="30">
        <v>107.56</v>
      </c>
      <c r="S9" s="3">
        <f t="shared" si="0"/>
        <v>333328.44</v>
      </c>
      <c r="T9" s="3">
        <f t="shared" si="0"/>
        <v>327735.32</v>
      </c>
      <c r="U9" s="3">
        <f t="shared" si="0"/>
        <v>338921.56</v>
      </c>
      <c r="V9" s="3">
        <f t="shared" si="0"/>
        <v>333543.56</v>
      </c>
      <c r="W9" s="3">
        <f t="shared" si="0"/>
        <v>333758.68</v>
      </c>
      <c r="X9" s="3">
        <f t="shared" si="0"/>
        <v>332790.64</v>
      </c>
      <c r="Y9" s="3">
        <f t="shared" si="0"/>
        <v>334404.03999999998</v>
      </c>
      <c r="Z9" s="3">
        <f t="shared" si="0"/>
        <v>333543.56</v>
      </c>
      <c r="AA9" s="3">
        <f t="shared" si="0"/>
        <v>326552.16000000003</v>
      </c>
      <c r="AB9" s="3">
        <f t="shared" si="0"/>
        <v>337308.16000000003</v>
      </c>
      <c r="AC9" s="18">
        <f t="shared" si="0"/>
        <v>331284.8</v>
      </c>
      <c r="AD9" s="18">
        <f t="shared" si="0"/>
        <v>335909.88</v>
      </c>
      <c r="AE9" s="3">
        <f t="shared" si="2"/>
        <v>3999080.8000000003</v>
      </c>
    </row>
    <row r="10" spans="1:31" x14ac:dyDescent="0.25">
      <c r="B10" t="s">
        <v>48</v>
      </c>
      <c r="D10" s="5">
        <v>614056.35540999996</v>
      </c>
      <c r="E10" s="5">
        <v>602122.74292999995</v>
      </c>
      <c r="F10" s="5">
        <v>622422.34710999997</v>
      </c>
      <c r="G10" s="5">
        <v>609380.26335999998</v>
      </c>
      <c r="H10" s="5">
        <v>576533.97387999995</v>
      </c>
      <c r="I10" s="5">
        <v>475143.39107999997</v>
      </c>
      <c r="J10" s="5">
        <v>418973.52477000002</v>
      </c>
      <c r="K10" s="5">
        <v>390683.52333</v>
      </c>
      <c r="L10" s="5">
        <v>412392.87789</v>
      </c>
      <c r="M10" s="5">
        <v>583775.72603999998</v>
      </c>
      <c r="N10" s="9">
        <v>605892.19857999997</v>
      </c>
      <c r="O10" s="9">
        <v>617103.10869000002</v>
      </c>
      <c r="P10" s="2">
        <f t="shared" si="1"/>
        <v>6528480.0330699999</v>
      </c>
      <c r="Q10" s="2">
        <f>IF(P10-P9*Q9&gt;0,P10-P9*Q9,0)</f>
        <v>0</v>
      </c>
      <c r="R10" s="31">
        <v>0.30359000000000003</v>
      </c>
      <c r="S10" s="3">
        <f t="shared" si="0"/>
        <v>186421.36893892189</v>
      </c>
      <c r="T10" s="3">
        <f t="shared" si="0"/>
        <v>182798.4435261187</v>
      </c>
      <c r="U10" s="3">
        <f t="shared" si="0"/>
        <v>188961.20035912489</v>
      </c>
      <c r="V10" s="3">
        <f t="shared" si="0"/>
        <v>185001.75415346242</v>
      </c>
      <c r="W10" s="3">
        <f t="shared" si="0"/>
        <v>175029.94913022919</v>
      </c>
      <c r="X10" s="3">
        <f t="shared" si="0"/>
        <v>144248.78209797721</v>
      </c>
      <c r="Y10" s="3">
        <f t="shared" si="0"/>
        <v>127196.17238492431</v>
      </c>
      <c r="Z10" s="3">
        <f t="shared" si="0"/>
        <v>118607.61084775471</v>
      </c>
      <c r="AA10" s="3">
        <f t="shared" si="0"/>
        <v>125198.35379862512</v>
      </c>
      <c r="AB10" s="3">
        <f t="shared" si="0"/>
        <v>177228.47266848362</v>
      </c>
      <c r="AC10" s="18">
        <f t="shared" si="0"/>
        <v>183942.8125669022</v>
      </c>
      <c r="AD10" s="18">
        <f t="shared" si="0"/>
        <v>187346.33276719713</v>
      </c>
      <c r="AE10" s="3">
        <f t="shared" si="2"/>
        <v>1981981.2532397213</v>
      </c>
    </row>
    <row r="11" spans="1:31" x14ac:dyDescent="0.25">
      <c r="B11" t="s">
        <v>49</v>
      </c>
      <c r="D11" s="5">
        <v>2138595.4322799998</v>
      </c>
      <c r="E11" s="5">
        <v>2126686.93463</v>
      </c>
      <c r="F11" s="5">
        <v>2204489.0396699999</v>
      </c>
      <c r="G11" s="5">
        <v>1740453.23205</v>
      </c>
      <c r="H11" s="5">
        <v>1233274.3351400001</v>
      </c>
      <c r="I11" s="5">
        <v>790386.61638000002</v>
      </c>
      <c r="J11" s="5">
        <v>661102.01732999994</v>
      </c>
      <c r="K11" s="5">
        <v>598927.16105</v>
      </c>
      <c r="L11" s="5">
        <v>653630.31680999999</v>
      </c>
      <c r="M11" s="5">
        <v>1291112.3426399999</v>
      </c>
      <c r="N11" s="9">
        <v>1852542.1540000001</v>
      </c>
      <c r="O11" s="9">
        <v>2139447.9695700002</v>
      </c>
      <c r="P11" s="2">
        <f t="shared" si="1"/>
        <v>17430647.551550001</v>
      </c>
      <c r="Q11" s="2">
        <f>IF(P10+P11-P9*Q9&gt;0,P11+P10-P9*Q9,0)</f>
        <v>5108867.5846199989</v>
      </c>
      <c r="R11" s="31">
        <v>0.66517999999999999</v>
      </c>
      <c r="S11" s="3">
        <f t="shared" si="0"/>
        <v>1422550.9096440102</v>
      </c>
      <c r="T11" s="3">
        <f t="shared" si="0"/>
        <v>1414629.6151771834</v>
      </c>
      <c r="U11" s="3">
        <f t="shared" si="0"/>
        <v>1466382.0194076905</v>
      </c>
      <c r="V11" s="3">
        <f t="shared" si="0"/>
        <v>1157714.6808950191</v>
      </c>
      <c r="W11" s="3">
        <f t="shared" si="0"/>
        <v>820349.42224842531</v>
      </c>
      <c r="X11" s="3">
        <f t="shared" si="0"/>
        <v>525749.36948364845</v>
      </c>
      <c r="Y11" s="3">
        <f t="shared" si="0"/>
        <v>439751.83988756937</v>
      </c>
      <c r="Z11" s="3">
        <f t="shared" si="0"/>
        <v>398394.36898723897</v>
      </c>
      <c r="AA11" s="3">
        <f t="shared" si="0"/>
        <v>434781.81413567578</v>
      </c>
      <c r="AB11" s="3">
        <f t="shared" si="0"/>
        <v>858822.1080772751</v>
      </c>
      <c r="AC11" s="18">
        <f t="shared" si="0"/>
        <v>1232273.9899977201</v>
      </c>
      <c r="AD11" s="18">
        <f t="shared" si="0"/>
        <v>1423118.0003985728</v>
      </c>
      <c r="AE11" s="3">
        <f t="shared" si="2"/>
        <v>11594518.13834003</v>
      </c>
    </row>
    <row r="12" spans="1:31" x14ac:dyDescent="0.25">
      <c r="B12" t="s">
        <v>50</v>
      </c>
      <c r="D12" s="5">
        <v>5155066.8745499998</v>
      </c>
      <c r="E12" s="5">
        <v>5631083.6064299997</v>
      </c>
      <c r="F12" s="5">
        <v>6052517.2962100003</v>
      </c>
      <c r="G12" s="5">
        <v>3000246.7173700002</v>
      </c>
      <c r="H12" s="5">
        <v>1482782.7072099999</v>
      </c>
      <c r="I12" s="5">
        <v>1094702.3844999999</v>
      </c>
      <c r="J12" s="5">
        <v>849960.72112999996</v>
      </c>
      <c r="K12" s="5">
        <v>736777.64992999996</v>
      </c>
      <c r="L12" s="5">
        <v>911913.09623000002</v>
      </c>
      <c r="M12" s="5">
        <v>1783804.8626699999</v>
      </c>
      <c r="N12" s="9">
        <v>3226679.9686099999</v>
      </c>
      <c r="O12" s="9">
        <v>4992833.8671000004</v>
      </c>
      <c r="P12" s="2">
        <f t="shared" si="1"/>
        <v>34918369.751939997</v>
      </c>
      <c r="Q12" s="2">
        <f>P12</f>
        <v>34918369.751939997</v>
      </c>
      <c r="R12" s="31">
        <v>0.57921</v>
      </c>
      <c r="S12" s="3">
        <f t="shared" si="0"/>
        <v>2985866.2844081055</v>
      </c>
      <c r="T12" s="3">
        <f t="shared" ref="T12" si="3">$R12*E12</f>
        <v>3261579.93568032</v>
      </c>
      <c r="U12" s="3">
        <f t="shared" ref="U12" si="4">$R12*F12</f>
        <v>3505678.5431377944</v>
      </c>
      <c r="V12" s="3">
        <f t="shared" ref="V12" si="5">$R12*G12</f>
        <v>1737772.9011678777</v>
      </c>
      <c r="W12" s="3">
        <f t="shared" ref="W12" si="6">$R12*H12</f>
        <v>858842.57184310409</v>
      </c>
      <c r="X12" s="3">
        <f t="shared" ref="X12" si="7">$R12*I12</f>
        <v>634062.56812624494</v>
      </c>
      <c r="Y12" s="3">
        <f t="shared" ref="Y12" si="8">$R12*J12</f>
        <v>492305.74928570731</v>
      </c>
      <c r="Z12" s="3">
        <f t="shared" ref="Z12" si="9">$R12*K12</f>
        <v>426748.98261595529</v>
      </c>
      <c r="AA12" s="3">
        <f t="shared" ref="AA12" si="10">$R12*L12</f>
        <v>528189.18446737831</v>
      </c>
      <c r="AB12" s="3">
        <f t="shared" ref="AB12" si="11">$R12*M12</f>
        <v>1033197.6145070906</v>
      </c>
      <c r="AC12" s="18">
        <f t="shared" ref="AC12" si="12">$R12*N12</f>
        <v>1868925.304618598</v>
      </c>
      <c r="AD12" s="18">
        <f t="shared" ref="AD12" si="13">$R12*O12</f>
        <v>2891899.3041629912</v>
      </c>
      <c r="AE12" s="3">
        <f t="shared" si="2"/>
        <v>20225068.944021165</v>
      </c>
    </row>
    <row r="13" spans="1:31" x14ac:dyDescent="0.25">
      <c r="A13" t="s">
        <v>32</v>
      </c>
      <c r="B13" t="s">
        <v>13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9">
        <v>1</v>
      </c>
      <c r="O13" s="9">
        <v>1</v>
      </c>
      <c r="P13" s="2">
        <f t="shared" si="1"/>
        <v>12</v>
      </c>
      <c r="Q13" s="2"/>
      <c r="R13" s="30">
        <v>107.56</v>
      </c>
      <c r="S13" s="3">
        <f t="shared" ref="S13:AD15" si="14">$R13*D13</f>
        <v>107.56</v>
      </c>
      <c r="T13" s="3">
        <f t="shared" si="14"/>
        <v>107.56</v>
      </c>
      <c r="U13" s="3">
        <f t="shared" si="14"/>
        <v>107.56</v>
      </c>
      <c r="V13" s="3">
        <f t="shared" si="14"/>
        <v>107.56</v>
      </c>
      <c r="W13" s="3">
        <f t="shared" si="14"/>
        <v>107.56</v>
      </c>
      <c r="X13" s="3">
        <f t="shared" si="14"/>
        <v>107.56</v>
      </c>
      <c r="Y13" s="3">
        <f t="shared" si="14"/>
        <v>107.56</v>
      </c>
      <c r="Z13" s="3">
        <f t="shared" si="14"/>
        <v>107.56</v>
      </c>
      <c r="AA13" s="3">
        <f t="shared" si="14"/>
        <v>107.56</v>
      </c>
      <c r="AB13" s="3">
        <f t="shared" si="14"/>
        <v>107.56</v>
      </c>
      <c r="AC13" s="18">
        <f t="shared" si="14"/>
        <v>107.56</v>
      </c>
      <c r="AD13" s="18">
        <f t="shared" si="14"/>
        <v>107.56</v>
      </c>
      <c r="AE13" s="3">
        <f t="shared" si="2"/>
        <v>1290.7199999999996</v>
      </c>
    </row>
    <row r="14" spans="1:31" x14ac:dyDescent="0.25">
      <c r="B14" t="s">
        <v>48</v>
      </c>
      <c r="D14" s="5">
        <v>200</v>
      </c>
      <c r="E14" s="5">
        <v>200</v>
      </c>
      <c r="F14" s="5">
        <v>200</v>
      </c>
      <c r="G14" s="5">
        <v>200</v>
      </c>
      <c r="H14" s="5">
        <v>200</v>
      </c>
      <c r="I14" s="5">
        <v>200</v>
      </c>
      <c r="J14" s="5">
        <v>200</v>
      </c>
      <c r="K14" s="5">
        <v>200</v>
      </c>
      <c r="L14" s="5">
        <v>200</v>
      </c>
      <c r="M14" s="5">
        <v>200</v>
      </c>
      <c r="N14" s="9">
        <v>200</v>
      </c>
      <c r="O14" s="9">
        <v>200</v>
      </c>
      <c r="P14" s="2">
        <f t="shared" si="1"/>
        <v>2400</v>
      </c>
      <c r="Q14" s="2"/>
      <c r="R14" s="31">
        <v>0.29274</v>
      </c>
      <c r="S14" s="3">
        <f t="shared" si="14"/>
        <v>58.548000000000002</v>
      </c>
      <c r="T14" s="3">
        <f t="shared" si="14"/>
        <v>58.548000000000002</v>
      </c>
      <c r="U14" s="3">
        <f t="shared" si="14"/>
        <v>58.548000000000002</v>
      </c>
      <c r="V14" s="3">
        <f t="shared" si="14"/>
        <v>58.548000000000002</v>
      </c>
      <c r="W14" s="3">
        <f t="shared" si="14"/>
        <v>58.548000000000002</v>
      </c>
      <c r="X14" s="3">
        <f t="shared" si="14"/>
        <v>58.548000000000002</v>
      </c>
      <c r="Y14" s="3">
        <f t="shared" si="14"/>
        <v>58.548000000000002</v>
      </c>
      <c r="Z14" s="3">
        <f t="shared" si="14"/>
        <v>58.548000000000002</v>
      </c>
      <c r="AA14" s="3">
        <f t="shared" si="14"/>
        <v>58.548000000000002</v>
      </c>
      <c r="AB14" s="3">
        <f t="shared" si="14"/>
        <v>58.548000000000002</v>
      </c>
      <c r="AC14" s="18">
        <f t="shared" si="14"/>
        <v>58.548000000000002</v>
      </c>
      <c r="AD14" s="18">
        <f t="shared" si="14"/>
        <v>58.548000000000002</v>
      </c>
      <c r="AE14" s="3">
        <f t="shared" si="2"/>
        <v>702.57600000000002</v>
      </c>
    </row>
    <row r="15" spans="1:31" x14ac:dyDescent="0.25">
      <c r="B15" t="s">
        <v>49</v>
      </c>
      <c r="D15" s="5">
        <v>800</v>
      </c>
      <c r="E15" s="5">
        <v>800</v>
      </c>
      <c r="F15" s="5">
        <v>800</v>
      </c>
      <c r="G15" s="5">
        <v>800</v>
      </c>
      <c r="H15" s="5">
        <v>800</v>
      </c>
      <c r="I15" s="5">
        <v>800</v>
      </c>
      <c r="J15" s="5">
        <v>800</v>
      </c>
      <c r="K15" s="5">
        <v>800</v>
      </c>
      <c r="L15" s="5">
        <v>800</v>
      </c>
      <c r="M15" s="5">
        <v>800</v>
      </c>
      <c r="N15" s="9">
        <v>800</v>
      </c>
      <c r="O15" s="9">
        <v>800</v>
      </c>
      <c r="P15" s="2">
        <f t="shared" si="1"/>
        <v>9600</v>
      </c>
      <c r="Q15" s="2"/>
      <c r="R15" s="31">
        <v>0.65432999999999997</v>
      </c>
      <c r="S15" s="3">
        <f t="shared" si="14"/>
        <v>523.46399999999994</v>
      </c>
      <c r="T15" s="3">
        <f t="shared" si="14"/>
        <v>523.46399999999994</v>
      </c>
      <c r="U15" s="3">
        <f t="shared" si="14"/>
        <v>523.46399999999994</v>
      </c>
      <c r="V15" s="3">
        <f t="shared" si="14"/>
        <v>523.46399999999994</v>
      </c>
      <c r="W15" s="3">
        <f t="shared" si="14"/>
        <v>523.46399999999994</v>
      </c>
      <c r="X15" s="3">
        <f t="shared" si="14"/>
        <v>523.46399999999994</v>
      </c>
      <c r="Y15" s="3">
        <f t="shared" si="14"/>
        <v>523.46399999999994</v>
      </c>
      <c r="Z15" s="3">
        <f t="shared" si="14"/>
        <v>523.46399999999994</v>
      </c>
      <c r="AA15" s="3">
        <f t="shared" si="14"/>
        <v>523.46399999999994</v>
      </c>
      <c r="AB15" s="3">
        <f t="shared" si="14"/>
        <v>523.46399999999994</v>
      </c>
      <c r="AC15" s="18">
        <f t="shared" si="14"/>
        <v>523.46399999999994</v>
      </c>
      <c r="AD15" s="18">
        <f t="shared" si="14"/>
        <v>523.46399999999994</v>
      </c>
      <c r="AE15" s="3">
        <f t="shared" si="2"/>
        <v>6281.5679999999993</v>
      </c>
    </row>
    <row r="16" spans="1:31" x14ac:dyDescent="0.25">
      <c r="B16" t="s">
        <v>50</v>
      </c>
      <c r="D16" s="5">
        <v>16301.425999999999</v>
      </c>
      <c r="E16" s="5">
        <v>21381.554</v>
      </c>
      <c r="F16" s="5">
        <v>16519.166000000001</v>
      </c>
      <c r="G16" s="5">
        <v>11233.788</v>
      </c>
      <c r="H16" s="5">
        <v>8290.1059999999998</v>
      </c>
      <c r="I16" s="5">
        <v>4926.2240000000002</v>
      </c>
      <c r="J16" s="5">
        <v>4552.99</v>
      </c>
      <c r="K16" s="5">
        <v>4665.0860000000002</v>
      </c>
      <c r="L16" s="5">
        <v>5765.2939999999999</v>
      </c>
      <c r="M16" s="5">
        <v>10540.242</v>
      </c>
      <c r="N16" s="9">
        <v>15255.312</v>
      </c>
      <c r="O16" s="9">
        <v>17990.132000000001</v>
      </c>
      <c r="P16" s="2">
        <f t="shared" si="1"/>
        <v>137421.32</v>
      </c>
      <c r="Q16" s="2"/>
      <c r="R16" s="31">
        <v>0.56835999999999998</v>
      </c>
      <c r="S16" s="3">
        <f t="shared" ref="S16" si="15">$R16*D16</f>
        <v>9265.0784813599985</v>
      </c>
      <c r="T16" s="3">
        <f t="shared" ref="T16" si="16">$R16*E16</f>
        <v>12152.420031439999</v>
      </c>
      <c r="U16" s="3">
        <f t="shared" ref="U16" si="17">$R16*F16</f>
        <v>9388.8331877599994</v>
      </c>
      <c r="V16" s="3">
        <f t="shared" ref="V16" si="18">$R16*G16</f>
        <v>6384.8357476800002</v>
      </c>
      <c r="W16" s="3">
        <f t="shared" ref="W16" si="19">$R16*H16</f>
        <v>4711.7646461599998</v>
      </c>
      <c r="X16" s="3">
        <f t="shared" ref="X16" si="20">$R16*I16</f>
        <v>2799.8686726400001</v>
      </c>
      <c r="Y16" s="3">
        <f t="shared" ref="Y16" si="21">$R16*J16</f>
        <v>2587.7373963999999</v>
      </c>
      <c r="Z16" s="3">
        <f t="shared" ref="Z16" si="22">$R16*K16</f>
        <v>2651.4482789600002</v>
      </c>
      <c r="AA16" s="3">
        <f t="shared" ref="AA16" si="23">$R16*L16</f>
        <v>3276.7624978399999</v>
      </c>
      <c r="AB16" s="3">
        <f t="shared" ref="AB16" si="24">$R16*M16</f>
        <v>5990.6519431199995</v>
      </c>
      <c r="AC16" s="18">
        <f t="shared" ref="AC16" si="25">$R16*N16</f>
        <v>8670.5091283199999</v>
      </c>
      <c r="AD16" s="18">
        <f t="shared" ref="AD16" si="26">$R16*O16</f>
        <v>10224.87142352</v>
      </c>
      <c r="AE16" s="3">
        <f t="shared" si="2"/>
        <v>78104.781435199999</v>
      </c>
    </row>
    <row r="17" spans="1:31" x14ac:dyDescent="0.25">
      <c r="A17" t="s">
        <v>33</v>
      </c>
      <c r="B17" t="s">
        <v>13</v>
      </c>
      <c r="D17" s="5">
        <v>3</v>
      </c>
      <c r="E17" s="5">
        <v>3</v>
      </c>
      <c r="F17" s="5">
        <v>5</v>
      </c>
      <c r="G17" s="5">
        <v>5</v>
      </c>
      <c r="H17" s="5">
        <v>5</v>
      </c>
      <c r="I17" s="5">
        <v>-7</v>
      </c>
      <c r="J17" s="5">
        <v>3</v>
      </c>
      <c r="K17" s="5">
        <v>4</v>
      </c>
      <c r="L17" s="5">
        <v>4</v>
      </c>
      <c r="M17" s="5">
        <v>4</v>
      </c>
      <c r="N17" s="9">
        <v>4</v>
      </c>
      <c r="O17" s="9">
        <v>4</v>
      </c>
      <c r="P17" s="2">
        <f t="shared" si="1"/>
        <v>37</v>
      </c>
      <c r="Q17" s="2">
        <v>507</v>
      </c>
      <c r="R17" s="30">
        <v>107.56</v>
      </c>
      <c r="S17" s="3">
        <f t="shared" ref="S17:AD19" si="27">$R17*D17</f>
        <v>322.68</v>
      </c>
      <c r="T17" s="3">
        <f t="shared" si="27"/>
        <v>322.68</v>
      </c>
      <c r="U17" s="3">
        <f t="shared" si="27"/>
        <v>537.79999999999995</v>
      </c>
      <c r="V17" s="3">
        <f t="shared" si="27"/>
        <v>537.79999999999995</v>
      </c>
      <c r="W17" s="3">
        <f t="shared" si="27"/>
        <v>537.79999999999995</v>
      </c>
      <c r="X17" s="3">
        <f t="shared" si="27"/>
        <v>-752.92000000000007</v>
      </c>
      <c r="Y17" s="3">
        <f t="shared" si="27"/>
        <v>322.68</v>
      </c>
      <c r="Z17" s="3">
        <f t="shared" si="27"/>
        <v>430.24</v>
      </c>
      <c r="AA17" s="3">
        <f t="shared" si="27"/>
        <v>430.24</v>
      </c>
      <c r="AB17" s="3">
        <f t="shared" si="27"/>
        <v>430.24</v>
      </c>
      <c r="AC17" s="18">
        <f t="shared" si="27"/>
        <v>430.24</v>
      </c>
      <c r="AD17" s="18">
        <f t="shared" si="27"/>
        <v>430.24</v>
      </c>
      <c r="AE17" s="3">
        <f t="shared" si="2"/>
        <v>3979.7199999999993</v>
      </c>
    </row>
    <row r="18" spans="1:31" x14ac:dyDescent="0.25">
      <c r="B18" t="s">
        <v>48</v>
      </c>
      <c r="D18" s="5">
        <v>1500</v>
      </c>
      <c r="E18" s="5">
        <v>1500</v>
      </c>
      <c r="F18" s="5">
        <v>1500</v>
      </c>
      <c r="G18" s="5">
        <v>2262.183</v>
      </c>
      <c r="H18" s="5">
        <v>2500</v>
      </c>
      <c r="I18" s="5">
        <v>-3599.0826699999998</v>
      </c>
      <c r="J18" s="5">
        <v>1500</v>
      </c>
      <c r="K18" s="5">
        <v>1916.6666700000001</v>
      </c>
      <c r="L18" s="5">
        <v>2000</v>
      </c>
      <c r="M18" s="5">
        <v>2000</v>
      </c>
      <c r="N18" s="9">
        <v>2000</v>
      </c>
      <c r="O18" s="9">
        <v>2000</v>
      </c>
      <c r="P18" s="2">
        <f t="shared" si="1"/>
        <v>17079.767</v>
      </c>
      <c r="Q18" s="2">
        <f>IF(P18-P17*Q17&gt;0,P18-P17*Q17,0)</f>
        <v>0</v>
      </c>
      <c r="R18" s="31">
        <v>0.30359000000000003</v>
      </c>
      <c r="S18" s="3">
        <f t="shared" si="27"/>
        <v>455.38500000000005</v>
      </c>
      <c r="T18" s="3">
        <f t="shared" si="27"/>
        <v>455.38500000000005</v>
      </c>
      <c r="U18" s="3">
        <f t="shared" si="27"/>
        <v>455.38500000000005</v>
      </c>
      <c r="V18" s="3">
        <f t="shared" si="27"/>
        <v>686.77613697000004</v>
      </c>
      <c r="W18" s="3">
        <f t="shared" si="27"/>
        <v>758.97500000000002</v>
      </c>
      <c r="X18" s="3">
        <f t="shared" si="27"/>
        <v>-1092.6455077853</v>
      </c>
      <c r="Y18" s="3">
        <f t="shared" si="27"/>
        <v>455.38500000000005</v>
      </c>
      <c r="Z18" s="3">
        <f t="shared" si="27"/>
        <v>581.88083434530006</v>
      </c>
      <c r="AA18" s="3">
        <f t="shared" si="27"/>
        <v>607.18000000000006</v>
      </c>
      <c r="AB18" s="3">
        <f t="shared" si="27"/>
        <v>607.18000000000006</v>
      </c>
      <c r="AC18" s="18">
        <f t="shared" si="27"/>
        <v>607.18000000000006</v>
      </c>
      <c r="AD18" s="18">
        <f t="shared" si="27"/>
        <v>607.18000000000006</v>
      </c>
      <c r="AE18" s="3">
        <f t="shared" si="2"/>
        <v>5185.2464635300012</v>
      </c>
    </row>
    <row r="19" spans="1:31" x14ac:dyDescent="0.25">
      <c r="B19" t="s">
        <v>49</v>
      </c>
      <c r="D19" s="5">
        <v>1500</v>
      </c>
      <c r="E19" s="5">
        <v>1500</v>
      </c>
      <c r="F19" s="5">
        <v>1500</v>
      </c>
      <c r="G19" s="5">
        <v>1733.7</v>
      </c>
      <c r="H19" s="5">
        <v>2371.1999999999998</v>
      </c>
      <c r="I19" s="5">
        <v>-3616.6666599999999</v>
      </c>
      <c r="J19" s="5">
        <v>1500</v>
      </c>
      <c r="K19" s="5">
        <v>1916.6666600000001</v>
      </c>
      <c r="L19" s="5">
        <v>2000</v>
      </c>
      <c r="M19" s="5">
        <v>2000</v>
      </c>
      <c r="N19" s="9">
        <v>2000</v>
      </c>
      <c r="O19" s="9">
        <v>2000</v>
      </c>
      <c r="P19" s="2">
        <f t="shared" si="1"/>
        <v>16404.900000000001</v>
      </c>
      <c r="Q19" s="2">
        <f>IF(P18+P19-P17*Q17&gt;0,P18+P19-P17*Q17,0)</f>
        <v>14725.667000000001</v>
      </c>
      <c r="R19" s="31">
        <v>0.66517999999999999</v>
      </c>
      <c r="S19" s="3">
        <f t="shared" si="27"/>
        <v>997.77</v>
      </c>
      <c r="T19" s="3">
        <f t="shared" si="27"/>
        <v>997.77</v>
      </c>
      <c r="U19" s="3">
        <f t="shared" si="27"/>
        <v>997.77</v>
      </c>
      <c r="V19" s="3">
        <f t="shared" si="27"/>
        <v>1153.2225659999999</v>
      </c>
      <c r="W19" s="3">
        <f t="shared" si="27"/>
        <v>1577.2748159999999</v>
      </c>
      <c r="X19" s="3">
        <f t="shared" si="27"/>
        <v>-2405.7343288988</v>
      </c>
      <c r="Y19" s="3">
        <f t="shared" si="27"/>
        <v>997.77</v>
      </c>
      <c r="Z19" s="3">
        <f t="shared" si="27"/>
        <v>1274.9283288988001</v>
      </c>
      <c r="AA19" s="3">
        <f t="shared" si="27"/>
        <v>1330.36</v>
      </c>
      <c r="AB19" s="3">
        <f t="shared" si="27"/>
        <v>1330.36</v>
      </c>
      <c r="AC19" s="18">
        <f t="shared" si="27"/>
        <v>1330.36</v>
      </c>
      <c r="AD19" s="18">
        <f t="shared" si="27"/>
        <v>1330.36</v>
      </c>
      <c r="AE19" s="3">
        <f t="shared" si="2"/>
        <v>10912.211382000001</v>
      </c>
    </row>
    <row r="20" spans="1:31" x14ac:dyDescent="0.25">
      <c r="B20" t="s">
        <v>50</v>
      </c>
      <c r="D20" s="5">
        <v>27000</v>
      </c>
      <c r="E20" s="5">
        <v>27000</v>
      </c>
      <c r="F20" s="5">
        <v>27000</v>
      </c>
      <c r="G20" s="5">
        <v>26504.148000000001</v>
      </c>
      <c r="H20" s="5">
        <v>29844.404999999999</v>
      </c>
      <c r="I20" s="5">
        <v>-63941.101000000002</v>
      </c>
      <c r="J20" s="5">
        <v>21935.782999999999</v>
      </c>
      <c r="K20" s="5">
        <v>28270.388999999999</v>
      </c>
      <c r="L20" s="5">
        <v>27289.355</v>
      </c>
      <c r="M20" s="5">
        <v>30125</v>
      </c>
      <c r="N20" s="9">
        <v>32833.216</v>
      </c>
      <c r="O20" s="9">
        <v>32564.799999999999</v>
      </c>
      <c r="P20" s="2">
        <f t="shared" si="1"/>
        <v>246425.995</v>
      </c>
      <c r="Q20" s="2">
        <f>IF(P18+P19+P20-P$17*Q$17&gt;0,P18+P19+P20-P$17*Q$17,0)</f>
        <v>261151.66200000001</v>
      </c>
      <c r="R20" s="31">
        <v>0.57921</v>
      </c>
      <c r="S20" s="3">
        <f t="shared" ref="S20:S22" si="28">$R20*D20</f>
        <v>15638.67</v>
      </c>
      <c r="T20" s="3">
        <f t="shared" ref="T20:T22" si="29">$R20*E20</f>
        <v>15638.67</v>
      </c>
      <c r="U20" s="3">
        <f t="shared" ref="U20:U22" si="30">$R20*F20</f>
        <v>15638.67</v>
      </c>
      <c r="V20" s="3">
        <f t="shared" ref="V20:V22" si="31">$R20*G20</f>
        <v>15351.467563080001</v>
      </c>
      <c r="W20" s="3">
        <f t="shared" ref="W20:W22" si="32">$R20*H20</f>
        <v>17286.177820050001</v>
      </c>
      <c r="X20" s="3">
        <f t="shared" ref="X20:X22" si="33">$R20*I20</f>
        <v>-37035.325110210004</v>
      </c>
      <c r="Y20" s="3">
        <f t="shared" ref="Y20:Y22" si="34">$R20*J20</f>
        <v>12705.424871429999</v>
      </c>
      <c r="Z20" s="3">
        <f t="shared" ref="Z20:Z22" si="35">$R20*K20</f>
        <v>16374.49201269</v>
      </c>
      <c r="AA20" s="3">
        <f t="shared" ref="AA20:AA22" si="36">$R20*L20</f>
        <v>15806.267309549999</v>
      </c>
      <c r="AB20" s="3">
        <f t="shared" ref="AB20:AB22" si="37">$R20*M20</f>
        <v>17448.701250000002</v>
      </c>
      <c r="AC20" s="18">
        <f t="shared" ref="AC20:AC22" si="38">$R20*N20</f>
        <v>19017.32703936</v>
      </c>
      <c r="AD20" s="18">
        <f t="shared" ref="AD20:AD22" si="39">$R20*O20</f>
        <v>18861.857808000001</v>
      </c>
      <c r="AE20" s="3">
        <f t="shared" si="2"/>
        <v>142732.40056394998</v>
      </c>
    </row>
    <row r="21" spans="1:31" x14ac:dyDescent="0.25">
      <c r="B21" t="s">
        <v>51</v>
      </c>
      <c r="D21" s="5">
        <v>36521.375</v>
      </c>
      <c r="E21" s="5">
        <v>36230.735999999997</v>
      </c>
      <c r="F21" s="5">
        <v>35818.733999999997</v>
      </c>
      <c r="G21" s="5">
        <v>30000</v>
      </c>
      <c r="H21" s="5">
        <v>30000</v>
      </c>
      <c r="I21" s="5">
        <v>3070.4385900000002</v>
      </c>
      <c r="J21" s="5">
        <v>30000</v>
      </c>
      <c r="K21" s="5">
        <v>42500</v>
      </c>
      <c r="L21" s="5">
        <v>30000</v>
      </c>
      <c r="M21" s="5">
        <v>45000</v>
      </c>
      <c r="N21" s="9">
        <v>45000</v>
      </c>
      <c r="O21" s="9">
        <v>45000</v>
      </c>
      <c r="P21" s="2">
        <f t="shared" si="1"/>
        <v>409141.28359000001</v>
      </c>
      <c r="Q21" s="2">
        <f>IF(P18+P19+P20+P21-P$17*Q$17&gt;0,P18+P19+P20+P21-P$17*Q$17,0)</f>
        <v>670292.94559000002</v>
      </c>
      <c r="R21" s="31">
        <v>0.53876000000000002</v>
      </c>
      <c r="S21" s="3">
        <f t="shared" si="28"/>
        <v>19676.255995</v>
      </c>
      <c r="T21" s="3">
        <f t="shared" si="29"/>
        <v>19519.67132736</v>
      </c>
      <c r="U21" s="3">
        <f t="shared" si="30"/>
        <v>19297.701129839999</v>
      </c>
      <c r="V21" s="3">
        <f t="shared" si="31"/>
        <v>16162.800000000001</v>
      </c>
      <c r="W21" s="3">
        <f t="shared" si="32"/>
        <v>16162.800000000001</v>
      </c>
      <c r="X21" s="3">
        <f t="shared" si="33"/>
        <v>1654.2294947484002</v>
      </c>
      <c r="Y21" s="3">
        <f t="shared" si="34"/>
        <v>16162.800000000001</v>
      </c>
      <c r="Z21" s="3">
        <f t="shared" si="35"/>
        <v>22897.3</v>
      </c>
      <c r="AA21" s="3">
        <f t="shared" si="36"/>
        <v>16162.800000000001</v>
      </c>
      <c r="AB21" s="3">
        <f t="shared" si="37"/>
        <v>24244.2</v>
      </c>
      <c r="AC21" s="18">
        <f t="shared" si="38"/>
        <v>24244.2</v>
      </c>
      <c r="AD21" s="18">
        <f t="shared" si="39"/>
        <v>24244.2</v>
      </c>
      <c r="AE21" s="3">
        <f t="shared" si="2"/>
        <v>220428.95794694845</v>
      </c>
    </row>
    <row r="22" spans="1:31" x14ac:dyDescent="0.25">
      <c r="B22" t="s">
        <v>52</v>
      </c>
      <c r="D22" s="5">
        <v>106328.424</v>
      </c>
      <c r="E22" s="5">
        <v>104128.5</v>
      </c>
      <c r="F22" s="5">
        <v>99020.85</v>
      </c>
      <c r="G22" s="5">
        <v>57660.207000000002</v>
      </c>
      <c r="H22" s="5">
        <v>43447.576999999997</v>
      </c>
      <c r="I22" s="5">
        <v>26473.607</v>
      </c>
      <c r="J22" s="5">
        <v>24024.713</v>
      </c>
      <c r="K22" s="5">
        <v>35024.154670000004</v>
      </c>
      <c r="L22" s="5">
        <v>25157.077000000001</v>
      </c>
      <c r="M22" s="5">
        <v>58216.474000000002</v>
      </c>
      <c r="N22" s="9">
        <v>104272.602</v>
      </c>
      <c r="O22" s="9">
        <v>122777.09</v>
      </c>
      <c r="P22" s="2">
        <f t="shared" si="1"/>
        <v>806531.27566999989</v>
      </c>
      <c r="Q22" s="2">
        <f>P22</f>
        <v>806531.27566999989</v>
      </c>
      <c r="R22" s="31">
        <v>0.46855999999999998</v>
      </c>
      <c r="S22" s="3">
        <f t="shared" si="28"/>
        <v>49821.24634944</v>
      </c>
      <c r="T22" s="3">
        <f t="shared" si="29"/>
        <v>48790.449959999998</v>
      </c>
      <c r="U22" s="3">
        <f t="shared" si="30"/>
        <v>46397.209476000004</v>
      </c>
      <c r="V22" s="3">
        <f t="shared" si="31"/>
        <v>27017.266591920001</v>
      </c>
      <c r="W22" s="3">
        <f t="shared" si="32"/>
        <v>20357.796679119998</v>
      </c>
      <c r="X22" s="3">
        <f t="shared" si="33"/>
        <v>12404.473295919999</v>
      </c>
      <c r="Y22" s="3">
        <f t="shared" si="34"/>
        <v>11257.01952328</v>
      </c>
      <c r="Z22" s="3">
        <f t="shared" si="35"/>
        <v>16410.917912175202</v>
      </c>
      <c r="AA22" s="3">
        <f t="shared" si="36"/>
        <v>11787.599999120001</v>
      </c>
      <c r="AB22" s="3">
        <f t="shared" si="37"/>
        <v>27277.91105744</v>
      </c>
      <c r="AC22" s="18">
        <f t="shared" si="38"/>
        <v>48857.970393119998</v>
      </c>
      <c r="AD22" s="18">
        <f t="shared" si="39"/>
        <v>57528.433290399997</v>
      </c>
      <c r="AE22" s="3">
        <f t="shared" si="2"/>
        <v>377908.29452793521</v>
      </c>
    </row>
    <row r="23" spans="1:31" x14ac:dyDescent="0.25">
      <c r="A23" t="s">
        <v>34</v>
      </c>
      <c r="B23" t="s">
        <v>13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9">
        <v>2</v>
      </c>
      <c r="O23" s="9">
        <v>4</v>
      </c>
      <c r="P23" s="2">
        <f t="shared" si="1"/>
        <v>16</v>
      </c>
      <c r="Q23" s="2"/>
      <c r="R23" s="30">
        <v>107.56</v>
      </c>
      <c r="S23" s="3">
        <f t="shared" ref="S23:AD25" si="40">$R23*D23</f>
        <v>107.56</v>
      </c>
      <c r="T23" s="3">
        <f t="shared" si="40"/>
        <v>107.56</v>
      </c>
      <c r="U23" s="3">
        <f t="shared" si="40"/>
        <v>107.56</v>
      </c>
      <c r="V23" s="3">
        <f t="shared" si="40"/>
        <v>107.56</v>
      </c>
      <c r="W23" s="3">
        <f t="shared" si="40"/>
        <v>107.56</v>
      </c>
      <c r="X23" s="3">
        <f t="shared" si="40"/>
        <v>107.56</v>
      </c>
      <c r="Y23" s="3">
        <f t="shared" si="40"/>
        <v>107.56</v>
      </c>
      <c r="Z23" s="3">
        <f t="shared" si="40"/>
        <v>107.56</v>
      </c>
      <c r="AA23" s="3">
        <f t="shared" si="40"/>
        <v>107.56</v>
      </c>
      <c r="AB23" s="3">
        <f t="shared" si="40"/>
        <v>107.56</v>
      </c>
      <c r="AC23" s="18">
        <f t="shared" si="40"/>
        <v>215.12</v>
      </c>
      <c r="AD23" s="18">
        <f t="shared" si="40"/>
        <v>430.24</v>
      </c>
      <c r="AE23" s="3">
        <f t="shared" si="2"/>
        <v>1720.9599999999998</v>
      </c>
    </row>
    <row r="24" spans="1:31" x14ac:dyDescent="0.25">
      <c r="B24" t="s">
        <v>48</v>
      </c>
      <c r="D24" s="5">
        <v>500</v>
      </c>
      <c r="E24" s="5">
        <v>500</v>
      </c>
      <c r="F24" s="5">
        <v>500</v>
      </c>
      <c r="G24" s="5">
        <v>500</v>
      </c>
      <c r="H24" s="5">
        <v>500</v>
      </c>
      <c r="I24" s="5">
        <v>500</v>
      </c>
      <c r="J24" s="5">
        <v>500</v>
      </c>
      <c r="K24" s="5">
        <v>500</v>
      </c>
      <c r="L24" s="5">
        <v>500</v>
      </c>
      <c r="M24" s="5">
        <v>500</v>
      </c>
      <c r="N24" s="9">
        <v>1000</v>
      </c>
      <c r="O24" s="9">
        <v>2000</v>
      </c>
      <c r="P24" s="2">
        <f t="shared" si="1"/>
        <v>8000</v>
      </c>
      <c r="Q24" s="2"/>
      <c r="R24" s="31">
        <v>0.29274</v>
      </c>
      <c r="S24" s="3">
        <f t="shared" si="40"/>
        <v>146.37</v>
      </c>
      <c r="T24" s="3">
        <f t="shared" si="40"/>
        <v>146.37</v>
      </c>
      <c r="U24" s="3">
        <f t="shared" si="40"/>
        <v>146.37</v>
      </c>
      <c r="V24" s="3">
        <f t="shared" si="40"/>
        <v>146.37</v>
      </c>
      <c r="W24" s="3">
        <f t="shared" si="40"/>
        <v>146.37</v>
      </c>
      <c r="X24" s="3">
        <f t="shared" si="40"/>
        <v>146.37</v>
      </c>
      <c r="Y24" s="3">
        <f t="shared" si="40"/>
        <v>146.37</v>
      </c>
      <c r="Z24" s="3">
        <f t="shared" si="40"/>
        <v>146.37</v>
      </c>
      <c r="AA24" s="3">
        <f t="shared" si="40"/>
        <v>146.37</v>
      </c>
      <c r="AB24" s="3">
        <f t="shared" si="40"/>
        <v>146.37</v>
      </c>
      <c r="AC24" s="18">
        <f t="shared" si="40"/>
        <v>292.74</v>
      </c>
      <c r="AD24" s="18">
        <f t="shared" si="40"/>
        <v>585.48</v>
      </c>
      <c r="AE24" s="3">
        <f t="shared" si="2"/>
        <v>2341.92</v>
      </c>
    </row>
    <row r="25" spans="1:31" x14ac:dyDescent="0.25">
      <c r="B25" t="s">
        <v>49</v>
      </c>
      <c r="D25" s="5">
        <v>500</v>
      </c>
      <c r="E25" s="5">
        <v>500</v>
      </c>
      <c r="F25" s="5">
        <v>500</v>
      </c>
      <c r="G25" s="5">
        <v>500</v>
      </c>
      <c r="H25" s="5">
        <v>500</v>
      </c>
      <c r="I25" s="5">
        <v>500</v>
      </c>
      <c r="J25" s="5">
        <v>500</v>
      </c>
      <c r="K25" s="5">
        <v>500</v>
      </c>
      <c r="L25" s="5">
        <v>500</v>
      </c>
      <c r="M25" s="5">
        <v>500</v>
      </c>
      <c r="N25" s="9">
        <v>1000</v>
      </c>
      <c r="O25" s="9">
        <v>2000</v>
      </c>
      <c r="P25" s="2">
        <f t="shared" si="1"/>
        <v>8000</v>
      </c>
      <c r="Q25" s="2"/>
      <c r="R25" s="31">
        <v>0.65432999999999997</v>
      </c>
      <c r="S25" s="3">
        <f t="shared" si="40"/>
        <v>327.16499999999996</v>
      </c>
      <c r="T25" s="3">
        <f t="shared" si="40"/>
        <v>327.16499999999996</v>
      </c>
      <c r="U25" s="3">
        <f t="shared" si="40"/>
        <v>327.16499999999996</v>
      </c>
      <c r="V25" s="3">
        <f t="shared" si="40"/>
        <v>327.16499999999996</v>
      </c>
      <c r="W25" s="3">
        <f t="shared" si="40"/>
        <v>327.16499999999996</v>
      </c>
      <c r="X25" s="3">
        <f t="shared" si="40"/>
        <v>327.16499999999996</v>
      </c>
      <c r="Y25" s="3">
        <f t="shared" si="40"/>
        <v>327.16499999999996</v>
      </c>
      <c r="Z25" s="3">
        <f t="shared" si="40"/>
        <v>327.16499999999996</v>
      </c>
      <c r="AA25" s="3">
        <f t="shared" si="40"/>
        <v>327.16499999999996</v>
      </c>
      <c r="AB25" s="3">
        <f t="shared" si="40"/>
        <v>327.16499999999996</v>
      </c>
      <c r="AC25" s="18">
        <f t="shared" si="40"/>
        <v>654.32999999999993</v>
      </c>
      <c r="AD25" s="18">
        <f t="shared" si="40"/>
        <v>1308.6599999999999</v>
      </c>
      <c r="AE25" s="3">
        <f t="shared" si="2"/>
        <v>5234.6399999999994</v>
      </c>
    </row>
    <row r="26" spans="1:31" x14ac:dyDescent="0.25">
      <c r="B26" t="s">
        <v>50</v>
      </c>
      <c r="D26" s="5">
        <v>9000</v>
      </c>
      <c r="E26" s="5">
        <v>9000</v>
      </c>
      <c r="F26" s="5">
        <v>9000</v>
      </c>
      <c r="G26" s="5">
        <v>9000</v>
      </c>
      <c r="H26" s="5">
        <v>9000</v>
      </c>
      <c r="I26" s="5">
        <v>9000</v>
      </c>
      <c r="J26" s="5">
        <v>9000</v>
      </c>
      <c r="K26" s="5">
        <v>9000</v>
      </c>
      <c r="L26" s="5">
        <v>9000</v>
      </c>
      <c r="M26" s="5">
        <v>9000</v>
      </c>
      <c r="N26" s="9">
        <v>18000</v>
      </c>
      <c r="O26" s="9">
        <v>36000</v>
      </c>
      <c r="P26" s="2">
        <f t="shared" si="1"/>
        <v>144000</v>
      </c>
      <c r="Q26" s="2"/>
      <c r="R26" s="31">
        <v>0.56835999999999998</v>
      </c>
      <c r="S26" s="3">
        <f t="shared" ref="S26:S28" si="41">$R26*D26</f>
        <v>5115.24</v>
      </c>
      <c r="T26" s="3">
        <f t="shared" ref="T26:T28" si="42">$R26*E26</f>
        <v>5115.24</v>
      </c>
      <c r="U26" s="3">
        <f t="shared" ref="U26:U28" si="43">$R26*F26</f>
        <v>5115.24</v>
      </c>
      <c r="V26" s="3">
        <f t="shared" ref="V26:V28" si="44">$R26*G26</f>
        <v>5115.24</v>
      </c>
      <c r="W26" s="3">
        <f t="shared" ref="W26:W28" si="45">$R26*H26</f>
        <v>5115.24</v>
      </c>
      <c r="X26" s="3">
        <f t="shared" ref="X26:X28" si="46">$R26*I26</f>
        <v>5115.24</v>
      </c>
      <c r="Y26" s="3">
        <f t="shared" ref="Y26:Y28" si="47">$R26*J26</f>
        <v>5115.24</v>
      </c>
      <c r="Z26" s="3">
        <f t="shared" ref="Z26:Z28" si="48">$R26*K26</f>
        <v>5115.24</v>
      </c>
      <c r="AA26" s="3">
        <f t="shared" ref="AA26:AA28" si="49">$R26*L26</f>
        <v>5115.24</v>
      </c>
      <c r="AB26" s="3">
        <f t="shared" ref="AB26:AB28" si="50">$R26*M26</f>
        <v>5115.24</v>
      </c>
      <c r="AC26" s="18">
        <f t="shared" ref="AC26:AC28" si="51">$R26*N26</f>
        <v>10230.48</v>
      </c>
      <c r="AD26" s="18">
        <f t="shared" ref="AD26:AD28" si="52">$R26*O26</f>
        <v>20460.96</v>
      </c>
      <c r="AE26" s="3">
        <f t="shared" si="2"/>
        <v>81843.839999999997</v>
      </c>
    </row>
    <row r="27" spans="1:31" x14ac:dyDescent="0.25">
      <c r="B27" t="s">
        <v>51</v>
      </c>
      <c r="D27" s="5">
        <v>15000</v>
      </c>
      <c r="E27" s="5">
        <v>15000</v>
      </c>
      <c r="F27" s="5">
        <v>15000</v>
      </c>
      <c r="G27" s="5">
        <v>15000</v>
      </c>
      <c r="H27" s="5">
        <v>15000</v>
      </c>
      <c r="I27" s="5">
        <v>15000</v>
      </c>
      <c r="J27" s="5">
        <v>15000</v>
      </c>
      <c r="K27" s="5">
        <v>15000</v>
      </c>
      <c r="L27" s="5">
        <v>14698.951999999999</v>
      </c>
      <c r="M27" s="5">
        <v>15000</v>
      </c>
      <c r="N27" s="9">
        <v>30000</v>
      </c>
      <c r="O27" s="9">
        <v>60000</v>
      </c>
      <c r="P27" s="2">
        <f t="shared" si="1"/>
        <v>239698.95199999999</v>
      </c>
      <c r="Q27" s="2"/>
      <c r="R27" s="31">
        <v>0.52790999999999999</v>
      </c>
      <c r="S27" s="3">
        <f t="shared" si="41"/>
        <v>7918.65</v>
      </c>
      <c r="T27" s="3">
        <f t="shared" si="42"/>
        <v>7918.65</v>
      </c>
      <c r="U27" s="3">
        <f t="shared" si="43"/>
        <v>7918.65</v>
      </c>
      <c r="V27" s="3">
        <f t="shared" si="44"/>
        <v>7918.65</v>
      </c>
      <c r="W27" s="3">
        <f t="shared" si="45"/>
        <v>7918.65</v>
      </c>
      <c r="X27" s="3">
        <f t="shared" si="46"/>
        <v>7918.65</v>
      </c>
      <c r="Y27" s="3">
        <f t="shared" si="47"/>
        <v>7918.65</v>
      </c>
      <c r="Z27" s="3">
        <f t="shared" si="48"/>
        <v>7918.65</v>
      </c>
      <c r="AA27" s="3">
        <f t="shared" si="49"/>
        <v>7759.7237503199995</v>
      </c>
      <c r="AB27" s="3">
        <f t="shared" si="50"/>
        <v>7918.65</v>
      </c>
      <c r="AC27" s="18">
        <f t="shared" si="51"/>
        <v>15837.3</v>
      </c>
      <c r="AD27" s="18">
        <f t="shared" si="52"/>
        <v>31674.6</v>
      </c>
      <c r="AE27" s="3">
        <f t="shared" si="2"/>
        <v>126539.47375032</v>
      </c>
    </row>
    <row r="28" spans="1:31" x14ac:dyDescent="0.25">
      <c r="B28" t="s">
        <v>52</v>
      </c>
      <c r="D28" s="5">
        <v>33512.194000000003</v>
      </c>
      <c r="E28" s="5">
        <v>30557.243999999999</v>
      </c>
      <c r="F28" s="5">
        <v>44433.48</v>
      </c>
      <c r="G28" s="5">
        <v>22250.396000000001</v>
      </c>
      <c r="H28" s="5">
        <v>15225.32</v>
      </c>
      <c r="I28" s="5">
        <v>1141.6959999999999</v>
      </c>
      <c r="J28" s="5">
        <v>4214.0200000000004</v>
      </c>
      <c r="K28" s="5">
        <v>80.813000000000002</v>
      </c>
      <c r="L28" s="5">
        <v>0</v>
      </c>
      <c r="M28" s="5">
        <v>5772.9440000000004</v>
      </c>
      <c r="N28" s="9">
        <v>213533.557</v>
      </c>
      <c r="O28" s="9">
        <v>436882.13900000002</v>
      </c>
      <c r="P28" s="2">
        <f t="shared" si="1"/>
        <v>807603.80300000007</v>
      </c>
      <c r="Q28" s="2"/>
      <c r="R28" s="31">
        <v>0.45771000000000001</v>
      </c>
      <c r="S28" s="3">
        <f t="shared" si="41"/>
        <v>15338.866315740002</v>
      </c>
      <c r="T28" s="3">
        <f t="shared" si="42"/>
        <v>13986.356151239999</v>
      </c>
      <c r="U28" s="3">
        <f t="shared" si="43"/>
        <v>20337.6481308</v>
      </c>
      <c r="V28" s="3">
        <f t="shared" si="44"/>
        <v>10184.22875316</v>
      </c>
      <c r="W28" s="3">
        <f t="shared" si="45"/>
        <v>6968.7812172000004</v>
      </c>
      <c r="X28" s="3">
        <f t="shared" si="46"/>
        <v>522.56567615999995</v>
      </c>
      <c r="Y28" s="3">
        <f t="shared" si="47"/>
        <v>1928.7990942000001</v>
      </c>
      <c r="Z28" s="3">
        <f t="shared" si="48"/>
        <v>36.988918230000003</v>
      </c>
      <c r="AA28" s="3">
        <f t="shared" si="49"/>
        <v>0</v>
      </c>
      <c r="AB28" s="3">
        <f t="shared" si="50"/>
        <v>2642.3341982400002</v>
      </c>
      <c r="AC28" s="18">
        <f t="shared" si="51"/>
        <v>97736.444374469997</v>
      </c>
      <c r="AD28" s="18">
        <f t="shared" si="52"/>
        <v>199965.32384169003</v>
      </c>
      <c r="AE28" s="3">
        <f t="shared" si="2"/>
        <v>369648.33667113003</v>
      </c>
    </row>
    <row r="29" spans="1:31" x14ac:dyDescent="0.25">
      <c r="A29" t="s">
        <v>35</v>
      </c>
      <c r="B29" t="s">
        <v>13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9"/>
      <c r="O29" s="9"/>
      <c r="P29" s="2">
        <f t="shared" si="1"/>
        <v>0</v>
      </c>
      <c r="Q29" s="2"/>
      <c r="R29" s="30">
        <v>0</v>
      </c>
      <c r="S29" s="3">
        <f t="shared" ref="S29:AD32" si="53">$R29*D29</f>
        <v>0</v>
      </c>
      <c r="T29" s="3">
        <f t="shared" si="53"/>
        <v>0</v>
      </c>
      <c r="U29" s="3">
        <f t="shared" si="53"/>
        <v>0</v>
      </c>
      <c r="V29" s="3">
        <f t="shared" si="53"/>
        <v>0</v>
      </c>
      <c r="W29" s="3">
        <f t="shared" si="53"/>
        <v>0</v>
      </c>
      <c r="X29" s="3">
        <f t="shared" si="53"/>
        <v>0</v>
      </c>
      <c r="Y29" s="3">
        <f t="shared" si="53"/>
        <v>0</v>
      </c>
      <c r="Z29" s="3">
        <f t="shared" si="53"/>
        <v>0</v>
      </c>
      <c r="AA29" s="3">
        <f t="shared" si="53"/>
        <v>0</v>
      </c>
      <c r="AB29" s="3">
        <f t="shared" si="53"/>
        <v>0</v>
      </c>
      <c r="AC29" s="18">
        <f t="shared" si="53"/>
        <v>0</v>
      </c>
      <c r="AD29" s="18">
        <f t="shared" si="53"/>
        <v>0</v>
      </c>
      <c r="AE29" s="3">
        <f t="shared" si="2"/>
        <v>0</v>
      </c>
    </row>
    <row r="30" spans="1:31" x14ac:dyDescent="0.25">
      <c r="B30" t="s">
        <v>48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9"/>
      <c r="O30" s="9"/>
      <c r="P30" s="2">
        <f t="shared" si="1"/>
        <v>0</v>
      </c>
      <c r="Q30" s="2"/>
      <c r="R30" s="31">
        <v>0.52692000000000005</v>
      </c>
      <c r="S30" s="3">
        <f t="shared" si="53"/>
        <v>0</v>
      </c>
      <c r="T30" s="3">
        <f t="shared" si="53"/>
        <v>0</v>
      </c>
      <c r="U30" s="3">
        <f t="shared" si="53"/>
        <v>0</v>
      </c>
      <c r="V30" s="3">
        <f t="shared" si="53"/>
        <v>0</v>
      </c>
      <c r="W30" s="3">
        <f t="shared" si="53"/>
        <v>0</v>
      </c>
      <c r="X30" s="3">
        <f t="shared" si="53"/>
        <v>0</v>
      </c>
      <c r="Y30" s="3">
        <f t="shared" si="53"/>
        <v>0</v>
      </c>
      <c r="Z30" s="3">
        <f t="shared" si="53"/>
        <v>0</v>
      </c>
      <c r="AA30" s="3">
        <f t="shared" si="53"/>
        <v>0</v>
      </c>
      <c r="AB30" s="3">
        <f t="shared" si="53"/>
        <v>0</v>
      </c>
      <c r="AC30" s="18">
        <f t="shared" si="53"/>
        <v>0</v>
      </c>
      <c r="AD30" s="18">
        <f t="shared" si="53"/>
        <v>0</v>
      </c>
      <c r="AE30" s="3">
        <f t="shared" si="2"/>
        <v>0</v>
      </c>
    </row>
    <row r="31" spans="1:31" x14ac:dyDescent="0.25">
      <c r="B31" t="s">
        <v>49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9"/>
      <c r="O31" s="9"/>
      <c r="P31" s="2">
        <f t="shared" si="1"/>
        <v>0</v>
      </c>
      <c r="Q31" s="2"/>
      <c r="R31" s="31">
        <v>0.47365000000000002</v>
      </c>
      <c r="S31" s="3">
        <f t="shared" si="53"/>
        <v>0</v>
      </c>
      <c r="T31" s="3">
        <f t="shared" si="53"/>
        <v>0</v>
      </c>
      <c r="U31" s="3">
        <f t="shared" si="53"/>
        <v>0</v>
      </c>
      <c r="V31" s="3">
        <f t="shared" si="53"/>
        <v>0</v>
      </c>
      <c r="W31" s="3">
        <f t="shared" si="53"/>
        <v>0</v>
      </c>
      <c r="X31" s="3">
        <f t="shared" si="53"/>
        <v>0</v>
      </c>
      <c r="Y31" s="3">
        <f t="shared" si="53"/>
        <v>0</v>
      </c>
      <c r="Z31" s="3">
        <f t="shared" si="53"/>
        <v>0</v>
      </c>
      <c r="AA31" s="3">
        <f t="shared" si="53"/>
        <v>0</v>
      </c>
      <c r="AB31" s="3">
        <f t="shared" si="53"/>
        <v>0</v>
      </c>
      <c r="AC31" s="18">
        <f t="shared" si="53"/>
        <v>0</v>
      </c>
      <c r="AD31" s="18">
        <f t="shared" si="53"/>
        <v>0</v>
      </c>
      <c r="AE31" s="3">
        <f t="shared" si="2"/>
        <v>0</v>
      </c>
    </row>
    <row r="32" spans="1:31" x14ac:dyDescent="0.25">
      <c r="B32" t="s">
        <v>50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9"/>
      <c r="O32" s="9"/>
      <c r="P32" s="2">
        <f t="shared" si="1"/>
        <v>0</v>
      </c>
      <c r="Q32" s="2"/>
      <c r="R32" s="31">
        <v>0.46056999999999998</v>
      </c>
      <c r="S32" s="3">
        <f t="shared" si="53"/>
        <v>0</v>
      </c>
      <c r="T32" s="3">
        <f t="shared" si="53"/>
        <v>0</v>
      </c>
      <c r="U32" s="3">
        <f t="shared" si="53"/>
        <v>0</v>
      </c>
      <c r="V32" s="3">
        <f t="shared" si="53"/>
        <v>0</v>
      </c>
      <c r="W32" s="3">
        <f t="shared" si="53"/>
        <v>0</v>
      </c>
      <c r="X32" s="3">
        <f t="shared" si="53"/>
        <v>0</v>
      </c>
      <c r="Y32" s="3">
        <f t="shared" si="53"/>
        <v>0</v>
      </c>
      <c r="Z32" s="3">
        <f t="shared" si="53"/>
        <v>0</v>
      </c>
      <c r="AA32" s="3">
        <f t="shared" si="53"/>
        <v>0</v>
      </c>
      <c r="AB32" s="3">
        <f t="shared" si="53"/>
        <v>0</v>
      </c>
      <c r="AC32" s="18">
        <f t="shared" si="53"/>
        <v>0</v>
      </c>
      <c r="AD32" s="18">
        <f t="shared" si="53"/>
        <v>0</v>
      </c>
      <c r="AE32" s="3">
        <f t="shared" si="2"/>
        <v>0</v>
      </c>
    </row>
    <row r="33" spans="1:31" x14ac:dyDescent="0.25">
      <c r="B33" t="s">
        <v>51</v>
      </c>
      <c r="D33" s="2"/>
      <c r="E33" s="2"/>
      <c r="F33" s="5"/>
      <c r="G33" s="5"/>
      <c r="H33" s="5"/>
      <c r="I33" s="5"/>
      <c r="J33" s="5"/>
      <c r="K33" s="5"/>
      <c r="L33" s="5"/>
      <c r="M33" s="5"/>
      <c r="N33" s="9"/>
      <c r="O33" s="9"/>
      <c r="P33" s="2">
        <f t="shared" si="1"/>
        <v>0</v>
      </c>
      <c r="Q33" s="2"/>
      <c r="R33" s="31">
        <v>0.43886999999999998</v>
      </c>
      <c r="S33" s="3">
        <f t="shared" ref="S33:S38" si="54">$R33*D33</f>
        <v>0</v>
      </c>
      <c r="T33" s="3">
        <f t="shared" ref="T33:T38" si="55">$R33*E33</f>
        <v>0</v>
      </c>
      <c r="U33" s="3">
        <f t="shared" ref="U33:U38" si="56">$R33*F33</f>
        <v>0</v>
      </c>
      <c r="V33" s="3">
        <f t="shared" ref="V33:V38" si="57">$R33*G33</f>
        <v>0</v>
      </c>
      <c r="W33" s="3">
        <f t="shared" ref="W33:W38" si="58">$R33*H33</f>
        <v>0</v>
      </c>
      <c r="X33" s="3">
        <f t="shared" ref="X33:X38" si="59">$R33*I33</f>
        <v>0</v>
      </c>
      <c r="Y33" s="3">
        <f t="shared" ref="Y33:Y38" si="60">$R33*J33</f>
        <v>0</v>
      </c>
      <c r="Z33" s="3">
        <f t="shared" ref="Z33:Z38" si="61">$R33*K33</f>
        <v>0</v>
      </c>
      <c r="AA33" s="3">
        <f t="shared" ref="AA33:AA38" si="62">$R33*L33</f>
        <v>0</v>
      </c>
      <c r="AB33" s="3">
        <f t="shared" ref="AB33:AB38" si="63">$R33*M33</f>
        <v>0</v>
      </c>
      <c r="AC33" s="18">
        <f t="shared" ref="AC33:AC38" si="64">$R33*N33</f>
        <v>0</v>
      </c>
      <c r="AD33" s="18">
        <f t="shared" ref="AD33:AD38" si="65">$R33*O33</f>
        <v>0</v>
      </c>
      <c r="AE33" s="3">
        <f t="shared" si="2"/>
        <v>0</v>
      </c>
    </row>
    <row r="34" spans="1:31" x14ac:dyDescent="0.25">
      <c r="A34" t="s">
        <v>36</v>
      </c>
      <c r="B34" t="s">
        <v>13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5">
        <v>2</v>
      </c>
      <c r="J34" s="5">
        <v>2</v>
      </c>
      <c r="K34" s="5">
        <v>2</v>
      </c>
      <c r="L34" s="5">
        <v>1</v>
      </c>
      <c r="M34" s="5">
        <v>3</v>
      </c>
      <c r="N34" s="9">
        <v>2</v>
      </c>
      <c r="O34" s="9">
        <v>1</v>
      </c>
      <c r="P34" s="2">
        <f t="shared" si="1"/>
        <v>23</v>
      </c>
      <c r="Q34" s="2"/>
      <c r="R34" s="30">
        <v>0</v>
      </c>
      <c r="S34" s="3">
        <f t="shared" si="54"/>
        <v>0</v>
      </c>
      <c r="T34" s="3">
        <f t="shared" si="55"/>
        <v>0</v>
      </c>
      <c r="U34" s="3">
        <f t="shared" si="56"/>
        <v>0</v>
      </c>
      <c r="V34" s="3">
        <f t="shared" si="57"/>
        <v>0</v>
      </c>
      <c r="W34" s="3">
        <f t="shared" si="58"/>
        <v>0</v>
      </c>
      <c r="X34" s="3">
        <f t="shared" si="59"/>
        <v>0</v>
      </c>
      <c r="Y34" s="3">
        <f t="shared" si="60"/>
        <v>0</v>
      </c>
      <c r="Z34" s="3">
        <f t="shared" si="61"/>
        <v>0</v>
      </c>
      <c r="AA34" s="3">
        <f t="shared" si="62"/>
        <v>0</v>
      </c>
      <c r="AB34" s="3">
        <f t="shared" si="63"/>
        <v>0</v>
      </c>
      <c r="AC34" s="18">
        <f t="shared" si="64"/>
        <v>0</v>
      </c>
      <c r="AD34" s="18">
        <f t="shared" si="65"/>
        <v>0</v>
      </c>
      <c r="AE34" s="3">
        <f t="shared" si="2"/>
        <v>0</v>
      </c>
    </row>
    <row r="35" spans="1:31" x14ac:dyDescent="0.25">
      <c r="B35" t="s">
        <v>48</v>
      </c>
      <c r="D35" s="5">
        <v>20000</v>
      </c>
      <c r="E35" s="5">
        <v>20000</v>
      </c>
      <c r="F35" s="5">
        <v>20000</v>
      </c>
      <c r="G35" s="5">
        <v>20000</v>
      </c>
      <c r="H35" s="5">
        <v>20000</v>
      </c>
      <c r="I35" s="5">
        <v>20000</v>
      </c>
      <c r="J35" s="5">
        <v>20000</v>
      </c>
      <c r="K35" s="5">
        <v>20000</v>
      </c>
      <c r="L35" s="5">
        <v>10000</v>
      </c>
      <c r="M35" s="5">
        <v>30000</v>
      </c>
      <c r="N35" s="9">
        <v>20000</v>
      </c>
      <c r="O35" s="9">
        <v>10000</v>
      </c>
      <c r="P35" s="2">
        <f t="shared" si="1"/>
        <v>230000</v>
      </c>
      <c r="Q35" s="2"/>
      <c r="R35" s="31">
        <v>0.50851000000000002</v>
      </c>
      <c r="S35" s="3">
        <f t="shared" si="54"/>
        <v>10170.200000000001</v>
      </c>
      <c r="T35" s="3">
        <f t="shared" si="55"/>
        <v>10170.200000000001</v>
      </c>
      <c r="U35" s="3">
        <f t="shared" si="56"/>
        <v>10170.200000000001</v>
      </c>
      <c r="V35" s="3">
        <f t="shared" si="57"/>
        <v>10170.200000000001</v>
      </c>
      <c r="W35" s="3">
        <f t="shared" si="58"/>
        <v>10170.200000000001</v>
      </c>
      <c r="X35" s="3">
        <f t="shared" si="59"/>
        <v>10170.200000000001</v>
      </c>
      <c r="Y35" s="3">
        <f t="shared" si="60"/>
        <v>10170.200000000001</v>
      </c>
      <c r="Z35" s="3">
        <f t="shared" si="61"/>
        <v>10170.200000000001</v>
      </c>
      <c r="AA35" s="3">
        <f t="shared" si="62"/>
        <v>5085.1000000000004</v>
      </c>
      <c r="AB35" s="3">
        <f t="shared" si="63"/>
        <v>15255.300000000001</v>
      </c>
      <c r="AC35" s="18">
        <f t="shared" si="64"/>
        <v>10170.200000000001</v>
      </c>
      <c r="AD35" s="18">
        <f t="shared" si="65"/>
        <v>5085.1000000000004</v>
      </c>
      <c r="AE35" s="3">
        <f t="shared" si="2"/>
        <v>116957.3</v>
      </c>
    </row>
    <row r="36" spans="1:31" x14ac:dyDescent="0.25">
      <c r="B36" t="s">
        <v>49</v>
      </c>
      <c r="D36" s="5">
        <v>30000</v>
      </c>
      <c r="E36" s="5">
        <v>30000</v>
      </c>
      <c r="F36" s="5">
        <v>30000</v>
      </c>
      <c r="G36" s="5">
        <v>30000</v>
      </c>
      <c r="H36" s="5">
        <v>30000</v>
      </c>
      <c r="I36" s="5">
        <v>28688.616000000002</v>
      </c>
      <c r="J36" s="5">
        <v>15356.308999999999</v>
      </c>
      <c r="K36" s="5">
        <v>16912.334999999999</v>
      </c>
      <c r="L36" s="5">
        <v>1737.692</v>
      </c>
      <c r="M36" s="5">
        <v>42708.305999999997</v>
      </c>
      <c r="N36" s="9">
        <v>30000</v>
      </c>
      <c r="O36" s="9">
        <v>15000</v>
      </c>
      <c r="P36" s="2">
        <f t="shared" si="1"/>
        <v>300403.25800000003</v>
      </c>
      <c r="Q36" s="2"/>
      <c r="R36" s="31">
        <v>0.45523999999999998</v>
      </c>
      <c r="S36" s="3">
        <f t="shared" si="54"/>
        <v>13657.199999999999</v>
      </c>
      <c r="T36" s="3">
        <f t="shared" si="55"/>
        <v>13657.199999999999</v>
      </c>
      <c r="U36" s="3">
        <f t="shared" si="56"/>
        <v>13657.199999999999</v>
      </c>
      <c r="V36" s="3">
        <f t="shared" si="57"/>
        <v>13657.199999999999</v>
      </c>
      <c r="W36" s="3">
        <f t="shared" si="58"/>
        <v>13657.199999999999</v>
      </c>
      <c r="X36" s="3">
        <f t="shared" si="59"/>
        <v>13060.20554784</v>
      </c>
      <c r="Y36" s="3">
        <f t="shared" si="60"/>
        <v>6990.8061091599993</v>
      </c>
      <c r="Z36" s="3">
        <f t="shared" si="61"/>
        <v>7699.1713853999991</v>
      </c>
      <c r="AA36" s="3">
        <f t="shared" si="62"/>
        <v>791.06690607999997</v>
      </c>
      <c r="AB36" s="3">
        <f t="shared" si="63"/>
        <v>19442.529223439997</v>
      </c>
      <c r="AC36" s="18">
        <f t="shared" si="64"/>
        <v>13657.199999999999</v>
      </c>
      <c r="AD36" s="18">
        <f t="shared" si="65"/>
        <v>6828.5999999999995</v>
      </c>
      <c r="AE36" s="3">
        <f t="shared" si="2"/>
        <v>136755.57917191999</v>
      </c>
    </row>
    <row r="37" spans="1:31" x14ac:dyDescent="0.25">
      <c r="B37" t="s">
        <v>50</v>
      </c>
      <c r="D37" s="5">
        <v>50000</v>
      </c>
      <c r="E37" s="5">
        <v>50000</v>
      </c>
      <c r="F37" s="5">
        <v>50000</v>
      </c>
      <c r="G37" s="5">
        <v>45350.682999999997</v>
      </c>
      <c r="H37" s="5">
        <v>24295.216</v>
      </c>
      <c r="I37" s="5">
        <v>3785.57</v>
      </c>
      <c r="J37" s="5">
        <v>3243.3710000000001</v>
      </c>
      <c r="K37" s="5">
        <v>0</v>
      </c>
      <c r="L37" s="5">
        <v>0</v>
      </c>
      <c r="M37" s="5">
        <v>34296.074000000001</v>
      </c>
      <c r="N37" s="9">
        <v>41014.214999999997</v>
      </c>
      <c r="O37" s="9">
        <v>25000</v>
      </c>
      <c r="P37" s="2">
        <f t="shared" si="1"/>
        <v>326985.12899999996</v>
      </c>
      <c r="Q37" s="2"/>
      <c r="R37" s="31">
        <v>0.44216</v>
      </c>
      <c r="S37" s="3">
        <f t="shared" si="54"/>
        <v>22108</v>
      </c>
      <c r="T37" s="3">
        <f t="shared" si="55"/>
        <v>22108</v>
      </c>
      <c r="U37" s="3">
        <f t="shared" si="56"/>
        <v>22108</v>
      </c>
      <c r="V37" s="3">
        <f t="shared" si="57"/>
        <v>20052.257995279997</v>
      </c>
      <c r="W37" s="3">
        <f t="shared" si="58"/>
        <v>10742.37270656</v>
      </c>
      <c r="X37" s="3">
        <f t="shared" si="59"/>
        <v>1673.8276312</v>
      </c>
      <c r="Y37" s="3">
        <f t="shared" si="60"/>
        <v>1434.0889213600001</v>
      </c>
      <c r="Z37" s="3">
        <f t="shared" si="61"/>
        <v>0</v>
      </c>
      <c r="AA37" s="3">
        <f t="shared" si="62"/>
        <v>0</v>
      </c>
      <c r="AB37" s="3">
        <f t="shared" si="63"/>
        <v>15164.35207984</v>
      </c>
      <c r="AC37" s="18">
        <f t="shared" si="64"/>
        <v>18134.845304399998</v>
      </c>
      <c r="AD37" s="18">
        <f t="shared" si="65"/>
        <v>11054</v>
      </c>
      <c r="AE37" s="3">
        <f t="shared" si="2"/>
        <v>144579.74463864</v>
      </c>
    </row>
    <row r="38" spans="1:31" x14ac:dyDescent="0.25">
      <c r="B38" t="s">
        <v>51</v>
      </c>
      <c r="D38" s="5">
        <v>41223.597999999998</v>
      </c>
      <c r="E38" s="5">
        <v>42095.962</v>
      </c>
      <c r="F38" s="5">
        <v>33435.254000000001</v>
      </c>
      <c r="G38" s="5">
        <v>2448.4720000000002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9">
        <v>4158.9920000000002</v>
      </c>
      <c r="O38" s="9">
        <v>12449.625</v>
      </c>
      <c r="P38" s="2">
        <f t="shared" si="1"/>
        <v>135811.90299999999</v>
      </c>
      <c r="Q38" s="2"/>
      <c r="R38" s="31">
        <v>0.42046</v>
      </c>
      <c r="S38" s="3">
        <f t="shared" si="54"/>
        <v>17332.87401508</v>
      </c>
      <c r="T38" s="3">
        <f t="shared" si="55"/>
        <v>17699.668182519999</v>
      </c>
      <c r="U38" s="3">
        <f t="shared" si="56"/>
        <v>14058.186896839999</v>
      </c>
      <c r="V38" s="3">
        <f t="shared" si="57"/>
        <v>1029.4845371200001</v>
      </c>
      <c r="W38" s="3">
        <f t="shared" si="58"/>
        <v>0</v>
      </c>
      <c r="X38" s="3">
        <f t="shared" si="59"/>
        <v>0</v>
      </c>
      <c r="Y38" s="3">
        <f t="shared" si="60"/>
        <v>0</v>
      </c>
      <c r="Z38" s="3">
        <f t="shared" si="61"/>
        <v>0</v>
      </c>
      <c r="AA38" s="3">
        <f t="shared" si="62"/>
        <v>0</v>
      </c>
      <c r="AB38" s="3">
        <f t="shared" si="63"/>
        <v>0</v>
      </c>
      <c r="AC38" s="18">
        <f t="shared" si="64"/>
        <v>1748.6897763200002</v>
      </c>
      <c r="AD38" s="18">
        <f t="shared" si="65"/>
        <v>5234.5693275000003</v>
      </c>
      <c r="AE38" s="3">
        <f t="shared" si="2"/>
        <v>57103.472735380004</v>
      </c>
    </row>
    <row r="39" spans="1:31" x14ac:dyDescent="0.25">
      <c r="A39" t="s">
        <v>37</v>
      </c>
      <c r="B39" t="s">
        <v>13</v>
      </c>
      <c r="D39" s="5">
        <v>39</v>
      </c>
      <c r="E39" s="5">
        <v>39</v>
      </c>
      <c r="F39" s="5">
        <v>39</v>
      </c>
      <c r="G39" s="5">
        <v>39</v>
      </c>
      <c r="H39" s="5">
        <v>39</v>
      </c>
      <c r="I39" s="5">
        <v>39</v>
      </c>
      <c r="J39" s="5">
        <v>39</v>
      </c>
      <c r="K39" s="5">
        <v>39</v>
      </c>
      <c r="L39" s="5">
        <v>39</v>
      </c>
      <c r="M39" s="5">
        <v>38</v>
      </c>
      <c r="N39" s="9">
        <v>37</v>
      </c>
      <c r="O39" s="9">
        <v>37</v>
      </c>
      <c r="P39" s="2">
        <f t="shared" si="1"/>
        <v>463</v>
      </c>
      <c r="Q39" s="2"/>
      <c r="R39" s="30">
        <v>625</v>
      </c>
      <c r="S39" s="3">
        <f t="shared" ref="S39:AD42" si="66">$R39*D39</f>
        <v>24375</v>
      </c>
      <c r="T39" s="3">
        <f t="shared" si="66"/>
        <v>24375</v>
      </c>
      <c r="U39" s="3">
        <f t="shared" si="66"/>
        <v>24375</v>
      </c>
      <c r="V39" s="3">
        <f t="shared" si="66"/>
        <v>24375</v>
      </c>
      <c r="W39" s="3">
        <f t="shared" si="66"/>
        <v>24375</v>
      </c>
      <c r="X39" s="3">
        <f t="shared" si="66"/>
        <v>24375</v>
      </c>
      <c r="Y39" s="3">
        <f t="shared" si="66"/>
        <v>24375</v>
      </c>
      <c r="Z39" s="3">
        <f t="shared" si="66"/>
        <v>24375</v>
      </c>
      <c r="AA39" s="3">
        <f t="shared" si="66"/>
        <v>24375</v>
      </c>
      <c r="AB39" s="3">
        <f t="shared" si="66"/>
        <v>23750</v>
      </c>
      <c r="AC39" s="18">
        <f t="shared" si="66"/>
        <v>23125</v>
      </c>
      <c r="AD39" s="18">
        <f t="shared" si="66"/>
        <v>23125</v>
      </c>
      <c r="AE39" s="3">
        <f t="shared" si="2"/>
        <v>289375</v>
      </c>
    </row>
    <row r="40" spans="1:31" x14ac:dyDescent="0.25">
      <c r="B40" t="s">
        <v>48</v>
      </c>
      <c r="D40" s="5">
        <v>675586</v>
      </c>
      <c r="E40" s="5">
        <v>676645</v>
      </c>
      <c r="F40" s="5">
        <v>676872</v>
      </c>
      <c r="G40" s="5">
        <v>680115</v>
      </c>
      <c r="H40" s="5">
        <v>737212</v>
      </c>
      <c r="I40" s="5">
        <v>729149</v>
      </c>
      <c r="J40" s="5">
        <v>682316</v>
      </c>
      <c r="K40" s="5">
        <v>660970</v>
      </c>
      <c r="L40" s="5">
        <v>651097</v>
      </c>
      <c r="M40" s="5">
        <v>725132</v>
      </c>
      <c r="N40" s="9">
        <v>730503</v>
      </c>
      <c r="O40" s="9">
        <v>679873</v>
      </c>
      <c r="P40" s="2">
        <f t="shared" si="1"/>
        <v>8305470</v>
      </c>
      <c r="Q40" s="2"/>
      <c r="R40" s="31">
        <v>0.10296</v>
      </c>
      <c r="S40" s="3">
        <f t="shared" si="66"/>
        <v>69558.334560000003</v>
      </c>
      <c r="T40" s="3">
        <f t="shared" si="66"/>
        <v>69667.369200000001</v>
      </c>
      <c r="U40" s="3">
        <f t="shared" si="66"/>
        <v>69690.741119999991</v>
      </c>
      <c r="V40" s="3">
        <f t="shared" si="66"/>
        <v>70024.640400000004</v>
      </c>
      <c r="W40" s="3">
        <f t="shared" si="66"/>
        <v>75903.347519999996</v>
      </c>
      <c r="X40" s="3">
        <f t="shared" si="66"/>
        <v>75073.181039999996</v>
      </c>
      <c r="Y40" s="3">
        <f t="shared" si="66"/>
        <v>70251.255359999996</v>
      </c>
      <c r="Z40" s="3">
        <f t="shared" si="66"/>
        <v>68053.4712</v>
      </c>
      <c r="AA40" s="3">
        <f t="shared" si="66"/>
        <v>67036.947119999997</v>
      </c>
      <c r="AB40" s="3">
        <f t="shared" si="66"/>
        <v>74659.590719999993</v>
      </c>
      <c r="AC40" s="18">
        <f t="shared" si="66"/>
        <v>75212.588879999996</v>
      </c>
      <c r="AD40" s="18">
        <f t="shared" si="66"/>
        <v>69999.72408</v>
      </c>
      <c r="AE40" s="3">
        <f t="shared" si="2"/>
        <v>855131.19119999988</v>
      </c>
    </row>
    <row r="41" spans="1:31" x14ac:dyDescent="0.25">
      <c r="B41" t="s">
        <v>49</v>
      </c>
      <c r="D41" s="5">
        <v>789204</v>
      </c>
      <c r="E41" s="5">
        <v>857635</v>
      </c>
      <c r="F41" s="5">
        <v>821345</v>
      </c>
      <c r="G41" s="5">
        <v>814880</v>
      </c>
      <c r="H41" s="5">
        <v>705203</v>
      </c>
      <c r="I41" s="5">
        <v>617644</v>
      </c>
      <c r="J41" s="5">
        <v>540738</v>
      </c>
      <c r="K41" s="5">
        <v>541994</v>
      </c>
      <c r="L41" s="5">
        <v>516837</v>
      </c>
      <c r="M41" s="5">
        <v>586908</v>
      </c>
      <c r="N41" s="9">
        <v>844642</v>
      </c>
      <c r="O41" s="9">
        <v>747410</v>
      </c>
      <c r="P41" s="2">
        <f t="shared" si="1"/>
        <v>8384440</v>
      </c>
      <c r="Q41" s="2"/>
      <c r="R41" s="31">
        <v>9.1380000000000003E-2</v>
      </c>
      <c r="S41" s="3">
        <f t="shared" si="66"/>
        <v>72117.461519999997</v>
      </c>
      <c r="T41" s="3">
        <f t="shared" si="66"/>
        <v>78370.686300000001</v>
      </c>
      <c r="U41" s="3">
        <f t="shared" si="66"/>
        <v>75054.506099999999</v>
      </c>
      <c r="V41" s="3">
        <f t="shared" si="66"/>
        <v>74463.734400000001</v>
      </c>
      <c r="W41" s="3">
        <f t="shared" si="66"/>
        <v>64441.450140000001</v>
      </c>
      <c r="X41" s="3">
        <f t="shared" si="66"/>
        <v>56440.308720000001</v>
      </c>
      <c r="Y41" s="3">
        <f t="shared" si="66"/>
        <v>49412.638440000002</v>
      </c>
      <c r="Z41" s="3">
        <f t="shared" si="66"/>
        <v>49527.411720000004</v>
      </c>
      <c r="AA41" s="3">
        <f t="shared" si="66"/>
        <v>47228.565060000001</v>
      </c>
      <c r="AB41" s="3">
        <f t="shared" si="66"/>
        <v>53631.653040000005</v>
      </c>
      <c r="AC41" s="18">
        <f t="shared" si="66"/>
        <v>77183.38596</v>
      </c>
      <c r="AD41" s="18">
        <f t="shared" si="66"/>
        <v>68298.325800000006</v>
      </c>
      <c r="AE41" s="3">
        <f t="shared" si="2"/>
        <v>766170.12719999999</v>
      </c>
    </row>
    <row r="42" spans="1:31" x14ac:dyDescent="0.25">
      <c r="B42" t="s">
        <v>50</v>
      </c>
      <c r="D42" s="5">
        <v>1493745</v>
      </c>
      <c r="E42" s="5">
        <v>1724226</v>
      </c>
      <c r="F42" s="5">
        <v>1861045</v>
      </c>
      <c r="G42" s="5">
        <v>1620552</v>
      </c>
      <c r="H42" s="5">
        <v>1169089</v>
      </c>
      <c r="I42" s="5">
        <v>796207</v>
      </c>
      <c r="J42" s="5">
        <v>729723</v>
      </c>
      <c r="K42" s="5">
        <v>784513</v>
      </c>
      <c r="L42" s="5">
        <v>708883</v>
      </c>
      <c r="M42" s="5">
        <v>772666</v>
      </c>
      <c r="N42" s="9">
        <v>1157091</v>
      </c>
      <c r="O42" s="9">
        <v>1275903</v>
      </c>
      <c r="P42" s="2">
        <f t="shared" si="1"/>
        <v>14093643</v>
      </c>
      <c r="Q42" s="2"/>
      <c r="R42" s="31">
        <v>8.2210000000000005E-2</v>
      </c>
      <c r="S42" s="3">
        <f t="shared" si="66"/>
        <v>122800.77645</v>
      </c>
      <c r="T42" s="3">
        <f t="shared" si="66"/>
        <v>141748.61946000002</v>
      </c>
      <c r="U42" s="3">
        <f t="shared" si="66"/>
        <v>152996.50945000001</v>
      </c>
      <c r="V42" s="3">
        <f t="shared" si="66"/>
        <v>133225.57992000002</v>
      </c>
      <c r="W42" s="3">
        <f t="shared" si="66"/>
        <v>96110.806690000012</v>
      </c>
      <c r="X42" s="3">
        <f t="shared" si="66"/>
        <v>65456.177470000002</v>
      </c>
      <c r="Y42" s="3">
        <f t="shared" si="66"/>
        <v>59990.527830000006</v>
      </c>
      <c r="Z42" s="3">
        <f t="shared" si="66"/>
        <v>64494.813730000002</v>
      </c>
      <c r="AA42" s="3">
        <f t="shared" si="66"/>
        <v>58277.271430000001</v>
      </c>
      <c r="AB42" s="3">
        <f t="shared" si="66"/>
        <v>63520.871860000007</v>
      </c>
      <c r="AC42" s="18">
        <f t="shared" si="66"/>
        <v>95124.451110000009</v>
      </c>
      <c r="AD42" s="18">
        <f t="shared" si="66"/>
        <v>104891.98563000001</v>
      </c>
      <c r="AE42" s="3">
        <f t="shared" si="2"/>
        <v>1158638.3910300001</v>
      </c>
    </row>
    <row r="43" spans="1:31" x14ac:dyDescent="0.25">
      <c r="B43" t="s">
        <v>51</v>
      </c>
      <c r="D43" s="5">
        <v>307320</v>
      </c>
      <c r="E43" s="5">
        <v>336828</v>
      </c>
      <c r="F43" s="5">
        <v>440471</v>
      </c>
      <c r="G43" s="5">
        <v>235580</v>
      </c>
      <c r="H43" s="5">
        <v>200000</v>
      </c>
      <c r="I43" s="5">
        <v>200000</v>
      </c>
      <c r="J43" s="5">
        <v>200000</v>
      </c>
      <c r="K43" s="5">
        <v>200000</v>
      </c>
      <c r="L43" s="5">
        <v>200000</v>
      </c>
      <c r="M43" s="5">
        <v>200000</v>
      </c>
      <c r="N43" s="9">
        <v>203840</v>
      </c>
      <c r="O43" s="9">
        <v>214974</v>
      </c>
      <c r="P43" s="2">
        <f t="shared" si="1"/>
        <v>2939013</v>
      </c>
      <c r="Q43" s="2"/>
      <c r="R43" s="31">
        <v>7.5870000000000007E-2</v>
      </c>
      <c r="S43" s="3">
        <f t="shared" ref="S43" si="67">$R43*D43</f>
        <v>23316.368400000003</v>
      </c>
      <c r="T43" s="3">
        <f t="shared" ref="T43" si="68">$R43*E43</f>
        <v>25555.140360000001</v>
      </c>
      <c r="U43" s="3">
        <f t="shared" ref="U43" si="69">$R43*F43</f>
        <v>33418.534770000006</v>
      </c>
      <c r="V43" s="3">
        <f t="shared" ref="V43" si="70">$R43*G43</f>
        <v>17873.454600000001</v>
      </c>
      <c r="W43" s="3">
        <f t="shared" ref="W43" si="71">$R43*H43</f>
        <v>15174.000000000002</v>
      </c>
      <c r="X43" s="3">
        <f t="shared" ref="X43" si="72">$R43*I43</f>
        <v>15174.000000000002</v>
      </c>
      <c r="Y43" s="3">
        <f t="shared" ref="Y43" si="73">$R43*J43</f>
        <v>15174.000000000002</v>
      </c>
      <c r="Z43" s="3">
        <f t="shared" ref="Z43" si="74">$R43*K43</f>
        <v>15174.000000000002</v>
      </c>
      <c r="AA43" s="3">
        <f t="shared" ref="AA43" si="75">$R43*L43</f>
        <v>15174.000000000002</v>
      </c>
      <c r="AB43" s="3">
        <f t="shared" ref="AB43" si="76">$R43*M43</f>
        <v>15174.000000000002</v>
      </c>
      <c r="AC43" s="18">
        <f t="shared" ref="AC43" si="77">$R43*N43</f>
        <v>15465.340800000002</v>
      </c>
      <c r="AD43" s="18">
        <f t="shared" ref="AD43" si="78">$R43*O43</f>
        <v>16310.077380000001</v>
      </c>
      <c r="AE43" s="3">
        <f t="shared" ref="AE43" si="79">SUM(S43:AD43)</f>
        <v>222982.91631000003</v>
      </c>
    </row>
    <row r="44" spans="1:31" x14ac:dyDescent="0.25">
      <c r="B44" t="s">
        <v>52</v>
      </c>
      <c r="D44" s="5">
        <v>279708</v>
      </c>
      <c r="E44" s="5">
        <v>322615</v>
      </c>
      <c r="F44" s="5">
        <v>255701</v>
      </c>
      <c r="G44" s="5">
        <v>343724</v>
      </c>
      <c r="H44" s="5">
        <v>298636</v>
      </c>
      <c r="I44" s="5">
        <v>256480</v>
      </c>
      <c r="J44" s="5">
        <v>267901</v>
      </c>
      <c r="K44" s="5">
        <v>237026</v>
      </c>
      <c r="L44" s="5">
        <v>248772</v>
      </c>
      <c r="M44" s="5">
        <v>281364</v>
      </c>
      <c r="N44" s="9">
        <v>274559</v>
      </c>
      <c r="O44" s="9">
        <v>289231</v>
      </c>
      <c r="P44" s="2">
        <f t="shared" si="1"/>
        <v>3355717</v>
      </c>
      <c r="Q44" s="2"/>
      <c r="R44" s="31">
        <v>5.6529999999999997E-2</v>
      </c>
      <c r="S44" s="3">
        <f t="shared" ref="S44:S47" si="80">$R44*D44</f>
        <v>15811.893239999999</v>
      </c>
      <c r="T44" s="3">
        <f t="shared" ref="T44:T47" si="81">$R44*E44</f>
        <v>18237.425950000001</v>
      </c>
      <c r="U44" s="3">
        <f t="shared" ref="U44:U47" si="82">$R44*F44</f>
        <v>14454.777529999999</v>
      </c>
      <c r="V44" s="3">
        <f t="shared" ref="V44:V47" si="83">$R44*G44</f>
        <v>19430.717720000001</v>
      </c>
      <c r="W44" s="3">
        <f t="shared" ref="W44:W47" si="84">$R44*H44</f>
        <v>16881.893079999998</v>
      </c>
      <c r="X44" s="3">
        <f t="shared" ref="X44:X47" si="85">$R44*I44</f>
        <v>14498.814399999999</v>
      </c>
      <c r="Y44" s="3">
        <f t="shared" ref="Y44:Y47" si="86">$R44*J44</f>
        <v>15144.443529999999</v>
      </c>
      <c r="Z44" s="3">
        <f t="shared" ref="Z44:Z47" si="87">$R44*K44</f>
        <v>13399.07978</v>
      </c>
      <c r="AA44" s="3">
        <f t="shared" ref="AA44:AA47" si="88">$R44*L44</f>
        <v>14063.08116</v>
      </c>
      <c r="AB44" s="3">
        <f t="shared" ref="AB44:AB47" si="89">$R44*M44</f>
        <v>15905.50692</v>
      </c>
      <c r="AC44" s="18">
        <f t="shared" ref="AC44" si="90">$R44*N44</f>
        <v>15520.820269999998</v>
      </c>
      <c r="AD44" s="18">
        <f t="shared" ref="AD44" si="91">$R44*O44</f>
        <v>16350.228429999999</v>
      </c>
      <c r="AE44" s="3">
        <f t="shared" si="2"/>
        <v>189698.68200999999</v>
      </c>
    </row>
    <row r="45" spans="1:31" ht="14.45" customHeight="1" x14ac:dyDescent="0.25">
      <c r="A45" s="11" t="s">
        <v>38</v>
      </c>
      <c r="B45" t="s">
        <v>13</v>
      </c>
      <c r="D45" s="5">
        <v>3</v>
      </c>
      <c r="E45" s="5">
        <v>3</v>
      </c>
      <c r="F45" s="5">
        <v>3</v>
      </c>
      <c r="G45" s="5">
        <v>3</v>
      </c>
      <c r="H45" s="5">
        <v>3</v>
      </c>
      <c r="I45" s="5">
        <v>1</v>
      </c>
      <c r="J45" s="5">
        <v>3</v>
      </c>
      <c r="K45" s="5">
        <v>3</v>
      </c>
      <c r="L45" s="5">
        <v>3</v>
      </c>
      <c r="M45" s="5">
        <v>3</v>
      </c>
      <c r="N45" s="9">
        <v>3</v>
      </c>
      <c r="O45" s="9">
        <v>3</v>
      </c>
      <c r="P45" s="2">
        <f t="shared" si="1"/>
        <v>34</v>
      </c>
      <c r="Q45" s="2"/>
      <c r="R45" s="30">
        <v>0</v>
      </c>
      <c r="S45" s="3">
        <f t="shared" si="80"/>
        <v>0</v>
      </c>
      <c r="T45" s="3">
        <f t="shared" si="81"/>
        <v>0</v>
      </c>
      <c r="U45" s="3">
        <f t="shared" si="82"/>
        <v>0</v>
      </c>
      <c r="V45" s="3">
        <f t="shared" si="83"/>
        <v>0</v>
      </c>
      <c r="W45" s="3">
        <f t="shared" si="84"/>
        <v>0</v>
      </c>
      <c r="X45" s="3">
        <f t="shared" si="85"/>
        <v>0</v>
      </c>
      <c r="Y45" s="3">
        <f t="shared" si="86"/>
        <v>0</v>
      </c>
      <c r="Z45" s="3">
        <f t="shared" si="87"/>
        <v>0</v>
      </c>
      <c r="AA45" s="3">
        <f t="shared" si="88"/>
        <v>0</v>
      </c>
      <c r="AB45" s="3">
        <f t="shared" si="89"/>
        <v>0</v>
      </c>
      <c r="AC45" s="18">
        <f t="shared" ref="AC45:AC47" si="92">$R45*N45</f>
        <v>0</v>
      </c>
      <c r="AD45" s="18">
        <f t="shared" ref="AD45:AD47" si="93">$R45*O45</f>
        <v>0</v>
      </c>
      <c r="AE45" s="3">
        <f t="shared" si="2"/>
        <v>0</v>
      </c>
    </row>
    <row r="46" spans="1:31" x14ac:dyDescent="0.25">
      <c r="A46" s="11"/>
      <c r="B46" t="s">
        <v>53</v>
      </c>
      <c r="D46" s="5">
        <v>379164</v>
      </c>
      <c r="E46" s="5">
        <v>176712</v>
      </c>
      <c r="F46" s="5">
        <v>583729</v>
      </c>
      <c r="G46" s="5">
        <v>814272</v>
      </c>
      <c r="H46" s="5">
        <v>68975</v>
      </c>
      <c r="I46" s="5">
        <v>121440</v>
      </c>
      <c r="J46" s="5">
        <v>369851</v>
      </c>
      <c r="K46" s="5">
        <v>649887</v>
      </c>
      <c r="L46" s="5">
        <v>1405649</v>
      </c>
      <c r="M46" s="5">
        <v>813959</v>
      </c>
      <c r="N46" s="9">
        <v>1435027</v>
      </c>
      <c r="O46" s="9">
        <v>1088514</v>
      </c>
      <c r="P46" s="2">
        <f t="shared" si="1"/>
        <v>7907179</v>
      </c>
      <c r="Q46" s="2"/>
      <c r="R46" s="31">
        <v>2.0910000000000002E-2</v>
      </c>
      <c r="S46" s="3">
        <f t="shared" si="80"/>
        <v>7928.3192400000007</v>
      </c>
      <c r="T46" s="3">
        <f t="shared" si="81"/>
        <v>3695.0479200000004</v>
      </c>
      <c r="U46" s="3">
        <f t="shared" si="82"/>
        <v>12205.77339</v>
      </c>
      <c r="V46" s="3">
        <f t="shared" si="83"/>
        <v>17026.427520000001</v>
      </c>
      <c r="W46" s="3">
        <f t="shared" si="84"/>
        <v>1442.2672500000001</v>
      </c>
      <c r="X46" s="3">
        <f t="shared" si="85"/>
        <v>2539.3104000000003</v>
      </c>
      <c r="Y46" s="3">
        <f t="shared" si="86"/>
        <v>7733.5844100000004</v>
      </c>
      <c r="Z46" s="3">
        <f t="shared" si="87"/>
        <v>13589.137170000002</v>
      </c>
      <c r="AA46" s="3">
        <f t="shared" si="88"/>
        <v>29392.120590000002</v>
      </c>
      <c r="AB46" s="3">
        <f t="shared" si="89"/>
        <v>17019.882690000002</v>
      </c>
      <c r="AC46" s="18">
        <f t="shared" si="92"/>
        <v>30006.414570000001</v>
      </c>
      <c r="AD46" s="18">
        <f t="shared" si="93"/>
        <v>22760.827740000001</v>
      </c>
      <c r="AE46" s="3">
        <f t="shared" si="2"/>
        <v>165339.11289000002</v>
      </c>
    </row>
    <row r="47" spans="1:31" x14ac:dyDescent="0.25">
      <c r="A47" s="11" t="s">
        <v>55</v>
      </c>
      <c r="B47" t="s">
        <v>13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9">
        <v>5</v>
      </c>
      <c r="O47" s="9">
        <v>5</v>
      </c>
      <c r="P47" s="2">
        <f t="shared" si="1"/>
        <v>60</v>
      </c>
      <c r="Q47" s="2"/>
      <c r="R47" s="30">
        <v>200</v>
      </c>
      <c r="S47" s="3">
        <f t="shared" si="80"/>
        <v>1000</v>
      </c>
      <c r="T47" s="3">
        <f t="shared" si="81"/>
        <v>1000</v>
      </c>
      <c r="U47" s="3">
        <f t="shared" si="82"/>
        <v>1000</v>
      </c>
      <c r="V47" s="3">
        <f t="shared" si="83"/>
        <v>1000</v>
      </c>
      <c r="W47" s="3">
        <f t="shared" si="84"/>
        <v>1000</v>
      </c>
      <c r="X47" s="3">
        <f t="shared" si="85"/>
        <v>1000</v>
      </c>
      <c r="Y47" s="3">
        <f t="shared" si="86"/>
        <v>1000</v>
      </c>
      <c r="Z47" s="3">
        <f t="shared" si="87"/>
        <v>1000</v>
      </c>
      <c r="AA47" s="3">
        <f t="shared" si="88"/>
        <v>1000</v>
      </c>
      <c r="AB47" s="3">
        <f t="shared" si="89"/>
        <v>1000</v>
      </c>
      <c r="AC47" s="18">
        <f t="shared" si="92"/>
        <v>1000</v>
      </c>
      <c r="AD47" s="18">
        <f t="shared" si="93"/>
        <v>1000</v>
      </c>
      <c r="AE47" s="3">
        <f t="shared" si="2"/>
        <v>12000</v>
      </c>
    </row>
    <row r="48" spans="1:31" x14ac:dyDescent="0.25">
      <c r="A48" s="11"/>
      <c r="B48" t="s">
        <v>53</v>
      </c>
      <c r="D48" s="5">
        <v>4907937</v>
      </c>
      <c r="E48" s="5">
        <v>4829560</v>
      </c>
      <c r="F48" s="5">
        <v>4089100</v>
      </c>
      <c r="G48" s="5">
        <v>4540506</v>
      </c>
      <c r="H48" s="5">
        <v>3983350</v>
      </c>
      <c r="I48" s="5">
        <v>3756335</v>
      </c>
      <c r="J48" s="5">
        <v>3510549</v>
      </c>
      <c r="K48" s="5">
        <v>3507047</v>
      </c>
      <c r="L48" s="5">
        <v>3514085</v>
      </c>
      <c r="M48" s="5">
        <v>3678027</v>
      </c>
      <c r="N48" s="9">
        <v>4170776</v>
      </c>
      <c r="O48" s="9">
        <v>4436580</v>
      </c>
      <c r="P48" s="2">
        <f t="shared" si="1"/>
        <v>48923852</v>
      </c>
      <c r="Q48" s="2"/>
      <c r="R48" s="32" t="s">
        <v>54</v>
      </c>
      <c r="S48" s="4">
        <v>120671.89</v>
      </c>
      <c r="T48" s="4">
        <v>119443.2</v>
      </c>
      <c r="U48" s="4">
        <v>105140.79</v>
      </c>
      <c r="V48" s="4">
        <v>107404.16</v>
      </c>
      <c r="W48" s="4">
        <v>104253.86</v>
      </c>
      <c r="X48" s="4">
        <v>102199.92</v>
      </c>
      <c r="Y48" s="4">
        <v>97635.53</v>
      </c>
      <c r="Z48" s="4">
        <v>97917.93</v>
      </c>
      <c r="AA48" s="4">
        <v>96156.66</v>
      </c>
      <c r="AB48" s="4">
        <v>99782</v>
      </c>
      <c r="AC48" s="10">
        <v>106102.84</v>
      </c>
      <c r="AD48" s="10">
        <v>110913.21</v>
      </c>
      <c r="AE48" s="3">
        <f t="shared" si="2"/>
        <v>1267621.99</v>
      </c>
    </row>
    <row r="49" spans="1:32" x14ac:dyDescent="0.25">
      <c r="Q49" s="28">
        <v>43435</v>
      </c>
    </row>
    <row r="50" spans="1:32" x14ac:dyDescent="0.25">
      <c r="A50" t="s">
        <v>29</v>
      </c>
      <c r="B50" t="s">
        <v>16</v>
      </c>
      <c r="D50" s="5">
        <v>11324273</v>
      </c>
      <c r="E50" s="5">
        <v>12810504</v>
      </c>
      <c r="F50" s="5">
        <v>7364449</v>
      </c>
      <c r="G50" s="5">
        <v>4172084</v>
      </c>
      <c r="H50" s="5">
        <v>1901745</v>
      </c>
      <c r="I50" s="5">
        <v>1321131</v>
      </c>
      <c r="J50" s="5">
        <v>1180635</v>
      </c>
      <c r="K50" s="5">
        <v>1257274</v>
      </c>
      <c r="L50" s="5">
        <v>2486278</v>
      </c>
      <c r="M50" s="5">
        <v>7641625</v>
      </c>
      <c r="N50" s="9">
        <v>11025713</v>
      </c>
      <c r="O50" s="9">
        <v>10375003</v>
      </c>
      <c r="P50" s="2">
        <f t="shared" si="1"/>
        <v>72860714</v>
      </c>
      <c r="Q50" s="2" t="s">
        <v>60</v>
      </c>
      <c r="S50" s="3">
        <f t="shared" ref="S50:AD50" si="94">SUM(S4:S5)/SUM(D4:D5)*D50</f>
        <v>8748216.4771006703</v>
      </c>
      <c r="T50" s="3">
        <f t="shared" si="94"/>
        <v>9931958.4830376748</v>
      </c>
      <c r="U50" s="3">
        <f t="shared" si="94"/>
        <v>5729914.5285135452</v>
      </c>
      <c r="V50" s="3">
        <f t="shared" si="94"/>
        <v>3100011.739702052</v>
      </c>
      <c r="W50" s="3">
        <f t="shared" si="94"/>
        <v>1377324.1535191336</v>
      </c>
      <c r="X50" s="3">
        <f t="shared" si="94"/>
        <v>949193.72001735214</v>
      </c>
      <c r="Y50" s="3">
        <f t="shared" si="94"/>
        <v>851755.56177782058</v>
      </c>
      <c r="Z50" s="3">
        <f t="shared" si="94"/>
        <v>905453.51875761256</v>
      </c>
      <c r="AA50" s="3">
        <f t="shared" si="94"/>
        <v>1793897.350499413</v>
      </c>
      <c r="AB50" s="3">
        <f t="shared" si="94"/>
        <v>5562327.9195242142</v>
      </c>
      <c r="AC50" s="18">
        <f t="shared" si="94"/>
        <v>8260326.0290040942</v>
      </c>
      <c r="AD50" s="18">
        <f t="shared" si="94"/>
        <v>7979981.2319563562</v>
      </c>
      <c r="AE50" s="3">
        <f t="shared" ref="AE50:AE74" si="95">SUM(S50:AD50)</f>
        <v>55190360.713409938</v>
      </c>
      <c r="AF50" t="s">
        <v>20</v>
      </c>
    </row>
    <row r="51" spans="1:32" x14ac:dyDescent="0.25">
      <c r="B51" t="s">
        <v>17</v>
      </c>
      <c r="D51" s="5">
        <v>-11417514</v>
      </c>
      <c r="E51" s="5">
        <v>-11324273</v>
      </c>
      <c r="F51" s="5">
        <v>-12810504</v>
      </c>
      <c r="G51" s="5">
        <v>-7364449</v>
      </c>
      <c r="H51" s="5">
        <v>-4172084</v>
      </c>
      <c r="I51" s="5">
        <v>-1901745</v>
      </c>
      <c r="J51" s="5">
        <v>-1321131</v>
      </c>
      <c r="K51" s="5">
        <v>-1180635</v>
      </c>
      <c r="L51" s="5">
        <v>-1257274</v>
      </c>
      <c r="M51" s="5">
        <v>-2486278</v>
      </c>
      <c r="N51" s="9">
        <v>-7641625</v>
      </c>
      <c r="O51" s="9">
        <v>-11025713</v>
      </c>
      <c r="P51" s="2">
        <f t="shared" si="1"/>
        <v>-73903225</v>
      </c>
      <c r="Q51" s="2" t="s">
        <v>61</v>
      </c>
      <c r="S51" s="3">
        <f>SUM(S4:S5)/SUM(D4:D5)*D51</f>
        <v>-8820246.9246659447</v>
      </c>
      <c r="T51" s="3">
        <f>-S50</f>
        <v>-8748216.4771006703</v>
      </c>
      <c r="U51" s="3">
        <f t="shared" ref="U51:AD51" si="96">-T50</f>
        <v>-9931958.4830376748</v>
      </c>
      <c r="V51" s="3">
        <f t="shared" si="96"/>
        <v>-5729914.5285135452</v>
      </c>
      <c r="W51" s="3">
        <f t="shared" si="96"/>
        <v>-3100011.739702052</v>
      </c>
      <c r="X51" s="3">
        <f t="shared" si="96"/>
        <v>-1377324.1535191336</v>
      </c>
      <c r="Y51" s="3">
        <f t="shared" si="96"/>
        <v>-949193.72001735214</v>
      </c>
      <c r="Z51" s="3">
        <f t="shared" si="96"/>
        <v>-851755.56177782058</v>
      </c>
      <c r="AA51" s="3">
        <f t="shared" si="96"/>
        <v>-905453.51875761256</v>
      </c>
      <c r="AB51" s="3">
        <f t="shared" si="96"/>
        <v>-1793897.350499413</v>
      </c>
      <c r="AC51" s="18">
        <f t="shared" si="96"/>
        <v>-5562327.9195242142</v>
      </c>
      <c r="AD51" s="18">
        <f t="shared" si="96"/>
        <v>-8260326.0290040942</v>
      </c>
      <c r="AE51" s="3">
        <f t="shared" si="95"/>
        <v>-56030626.406119525</v>
      </c>
      <c r="AF51" t="s">
        <v>21</v>
      </c>
    </row>
    <row r="52" spans="1:32" x14ac:dyDescent="0.25">
      <c r="B52" t="s">
        <v>15</v>
      </c>
      <c r="D52" s="6">
        <f>D50+D51</f>
        <v>-93241</v>
      </c>
      <c r="E52" s="6">
        <f t="shared" ref="E52:O52" si="97">E50+E51</f>
        <v>1486231</v>
      </c>
      <c r="F52" s="6">
        <f t="shared" si="97"/>
        <v>-5446055</v>
      </c>
      <c r="G52" s="6">
        <f t="shared" si="97"/>
        <v>-3192365</v>
      </c>
      <c r="H52" s="6">
        <f t="shared" si="97"/>
        <v>-2270339</v>
      </c>
      <c r="I52" s="6">
        <f t="shared" si="97"/>
        <v>-580614</v>
      </c>
      <c r="J52" s="6">
        <f t="shared" si="97"/>
        <v>-140496</v>
      </c>
      <c r="K52" s="6">
        <f t="shared" si="97"/>
        <v>76639</v>
      </c>
      <c r="L52" s="6">
        <f t="shared" si="97"/>
        <v>1229004</v>
      </c>
      <c r="M52" s="6">
        <f t="shared" si="97"/>
        <v>5155347</v>
      </c>
      <c r="N52" s="15">
        <f t="shared" si="97"/>
        <v>3384088</v>
      </c>
      <c r="O52" s="15">
        <f t="shared" si="97"/>
        <v>-650710</v>
      </c>
      <c r="P52" s="2">
        <f t="shared" si="1"/>
        <v>-1042511</v>
      </c>
      <c r="Q52" s="2"/>
      <c r="R52" s="31">
        <f>ROUND(SUM(AE4:AE5)/SUM(P4:P5),5)</f>
        <v>0.75985999999999998</v>
      </c>
      <c r="S52" s="3">
        <f t="shared" ref="S52:AD52" si="98">$R52*D52</f>
        <v>-70850.10626</v>
      </c>
      <c r="T52" s="3">
        <f t="shared" si="98"/>
        <v>1129327.4876599999</v>
      </c>
      <c r="U52" s="3">
        <f t="shared" si="98"/>
        <v>-4138239.3522999999</v>
      </c>
      <c r="V52" s="3">
        <f t="shared" si="98"/>
        <v>-2425750.4688999997</v>
      </c>
      <c r="W52" s="3">
        <f t="shared" si="98"/>
        <v>-1725139.7925400001</v>
      </c>
      <c r="X52" s="3">
        <f t="shared" si="98"/>
        <v>-441185.35404000001</v>
      </c>
      <c r="Y52" s="3">
        <f t="shared" si="98"/>
        <v>-106757.29055999999</v>
      </c>
      <c r="Z52" s="3">
        <f t="shared" si="98"/>
        <v>58234.910539999997</v>
      </c>
      <c r="AA52" s="3">
        <f t="shared" si="98"/>
        <v>933870.97944000002</v>
      </c>
      <c r="AB52" s="3">
        <f t="shared" si="98"/>
        <v>3917341.9714199998</v>
      </c>
      <c r="AC52" s="18">
        <f t="shared" si="98"/>
        <v>2571433.1076799999</v>
      </c>
      <c r="AD52" s="18">
        <f t="shared" si="98"/>
        <v>-494448.50059999997</v>
      </c>
      <c r="AE52" s="3">
        <f t="shared" si="95"/>
        <v>-792162.4084599996</v>
      </c>
      <c r="AF52" t="s">
        <v>22</v>
      </c>
    </row>
    <row r="53" spans="1:32" x14ac:dyDescent="0.25">
      <c r="A53" t="s">
        <v>31</v>
      </c>
      <c r="B53" t="s">
        <v>16</v>
      </c>
      <c r="D53" s="5">
        <v>4053424</v>
      </c>
      <c r="E53" s="5">
        <v>4671541</v>
      </c>
      <c r="F53" s="5">
        <v>2618736</v>
      </c>
      <c r="G53" s="5">
        <v>1797571</v>
      </c>
      <c r="H53" s="5">
        <v>899949</v>
      </c>
      <c r="I53" s="5">
        <v>949948</v>
      </c>
      <c r="J53" s="5">
        <v>835623</v>
      </c>
      <c r="K53" s="5">
        <v>936252</v>
      </c>
      <c r="L53" s="5">
        <v>1802326</v>
      </c>
      <c r="M53" s="5">
        <v>3448041</v>
      </c>
      <c r="N53" s="9">
        <v>4267717</v>
      </c>
      <c r="O53" s="9">
        <v>3794161</v>
      </c>
      <c r="P53" s="2">
        <f t="shared" si="1"/>
        <v>30075289</v>
      </c>
      <c r="Q53" s="26">
        <f>7634427-3544231-134000</f>
        <v>3956196</v>
      </c>
      <c r="S53" s="3">
        <f>SUM(S10:S12)/SUM(D10:D12)*D53</f>
        <v>2355272.0706021646</v>
      </c>
      <c r="T53" s="3">
        <f>SUM(T10:T12)/SUM(E10:E12)*E53</f>
        <v>2715232.6344358651</v>
      </c>
      <c r="U53" s="3">
        <f t="shared" ref="U53:AD53" si="99">SUM(U10:U12)/SUM(F10:F12)*F53</f>
        <v>1522097.1945180031</v>
      </c>
      <c r="V53" s="3">
        <f t="shared" si="99"/>
        <v>1035012.2010066917</v>
      </c>
      <c r="W53" s="3">
        <f t="shared" si="99"/>
        <v>506806.09142010519</v>
      </c>
      <c r="X53" s="3">
        <f t="shared" si="99"/>
        <v>524859.27944422804</v>
      </c>
      <c r="Y53" s="3">
        <f t="shared" si="99"/>
        <v>458611.48977233906</v>
      </c>
      <c r="Z53" s="3">
        <f t="shared" si="99"/>
        <v>511813.42490348633</v>
      </c>
      <c r="AA53" s="3">
        <f t="shared" si="99"/>
        <v>991556.66703226371</v>
      </c>
      <c r="AB53" s="3">
        <f t="shared" si="99"/>
        <v>1950109.7113867877</v>
      </c>
      <c r="AC53" s="18">
        <f t="shared" si="99"/>
        <v>2466099.3651411734</v>
      </c>
      <c r="AD53" s="18">
        <f t="shared" si="99"/>
        <v>2204393.3345702887</v>
      </c>
      <c r="AE53" s="3">
        <f t="shared" si="95"/>
        <v>17241863.464233398</v>
      </c>
      <c r="AF53" t="s">
        <v>20</v>
      </c>
    </row>
    <row r="54" spans="1:32" x14ac:dyDescent="0.25">
      <c r="B54" t="s">
        <v>17</v>
      </c>
      <c r="D54" s="26">
        <f>-7634427+3544231+134000</f>
        <v>-3956196</v>
      </c>
      <c r="E54" s="5">
        <v>-4053424</v>
      </c>
      <c r="F54" s="5">
        <v>-4671541</v>
      </c>
      <c r="G54" s="5">
        <v>-2618736</v>
      </c>
      <c r="H54" s="5">
        <v>-1797571</v>
      </c>
      <c r="I54" s="5">
        <v>-899949</v>
      </c>
      <c r="J54" s="5">
        <v>-949948</v>
      </c>
      <c r="K54" s="5">
        <v>-835623</v>
      </c>
      <c r="L54" s="5">
        <v>-936252</v>
      </c>
      <c r="M54" s="5">
        <v>-1802326</v>
      </c>
      <c r="N54" s="9">
        <v>-3448041</v>
      </c>
      <c r="O54" s="9">
        <v>-4267717</v>
      </c>
      <c r="P54" s="2">
        <f t="shared" si="1"/>
        <v>-30237324</v>
      </c>
      <c r="Q54" s="2"/>
      <c r="S54" s="3">
        <f>SUM(S10:S12)/SUM(D10:D12)*D54</f>
        <v>-2298777.0202742182</v>
      </c>
      <c r="T54" s="3">
        <f>-S53</f>
        <v>-2355272.0706021646</v>
      </c>
      <c r="U54" s="3">
        <f t="shared" ref="U54:AD54" si="100">-T53</f>
        <v>-2715232.6344358651</v>
      </c>
      <c r="V54" s="3">
        <f t="shared" si="100"/>
        <v>-1522097.1945180031</v>
      </c>
      <c r="W54" s="3">
        <f t="shared" si="100"/>
        <v>-1035012.2010066917</v>
      </c>
      <c r="X54" s="3">
        <f t="shared" si="100"/>
        <v>-506806.09142010519</v>
      </c>
      <c r="Y54" s="3">
        <f t="shared" si="100"/>
        <v>-524859.27944422804</v>
      </c>
      <c r="Z54" s="3">
        <f t="shared" si="100"/>
        <v>-458611.48977233906</v>
      </c>
      <c r="AA54" s="3">
        <f t="shared" si="100"/>
        <v>-511813.42490348633</v>
      </c>
      <c r="AB54" s="3">
        <f t="shared" si="100"/>
        <v>-991556.66703226371</v>
      </c>
      <c r="AC54" s="18">
        <f t="shared" si="100"/>
        <v>-1950109.7113867877</v>
      </c>
      <c r="AD54" s="18">
        <f t="shared" si="100"/>
        <v>-2466099.3651411734</v>
      </c>
      <c r="AE54" s="3">
        <f t="shared" si="95"/>
        <v>-17336247.149937324</v>
      </c>
      <c r="AF54" t="s">
        <v>21</v>
      </c>
    </row>
    <row r="55" spans="1:32" x14ac:dyDescent="0.25">
      <c r="B55" t="s">
        <v>15</v>
      </c>
      <c r="D55" s="6">
        <f>D53+D54</f>
        <v>97228</v>
      </c>
      <c r="E55" s="6">
        <f t="shared" ref="E55:O55" si="101">E53+E54</f>
        <v>618117</v>
      </c>
      <c r="F55" s="6">
        <f t="shared" si="101"/>
        <v>-2052805</v>
      </c>
      <c r="G55" s="6">
        <f t="shared" si="101"/>
        <v>-821165</v>
      </c>
      <c r="H55" s="6">
        <f t="shared" si="101"/>
        <v>-897622</v>
      </c>
      <c r="I55" s="6">
        <f t="shared" si="101"/>
        <v>49999</v>
      </c>
      <c r="J55" s="6">
        <f t="shared" si="101"/>
        <v>-114325</v>
      </c>
      <c r="K55" s="6">
        <f t="shared" si="101"/>
        <v>100629</v>
      </c>
      <c r="L55" s="6">
        <f t="shared" si="101"/>
        <v>866074</v>
      </c>
      <c r="M55" s="6">
        <f t="shared" si="101"/>
        <v>1645715</v>
      </c>
      <c r="N55" s="15">
        <f t="shared" si="101"/>
        <v>819676</v>
      </c>
      <c r="O55" s="15">
        <f t="shared" si="101"/>
        <v>-473556</v>
      </c>
      <c r="P55" s="2">
        <f t="shared" si="1"/>
        <v>-162035</v>
      </c>
      <c r="Q55" s="2"/>
      <c r="R55" s="31">
        <f>ROUND(SUM(AE10:AE12)/SUM(P10:P12),5)</f>
        <v>0.57410000000000005</v>
      </c>
      <c r="S55" s="3">
        <f t="shared" ref="S55:AD55" si="102">$R55*D55</f>
        <v>55818.594800000006</v>
      </c>
      <c r="T55" s="3">
        <f t="shared" si="102"/>
        <v>354860.96970000002</v>
      </c>
      <c r="U55" s="3">
        <f t="shared" si="102"/>
        <v>-1178515.3505000002</v>
      </c>
      <c r="V55" s="3">
        <f t="shared" si="102"/>
        <v>-471430.82650000002</v>
      </c>
      <c r="W55" s="3">
        <f t="shared" si="102"/>
        <v>-515324.79020000005</v>
      </c>
      <c r="X55" s="3">
        <f t="shared" si="102"/>
        <v>28704.425900000002</v>
      </c>
      <c r="Y55" s="3">
        <f t="shared" si="102"/>
        <v>-65633.982500000013</v>
      </c>
      <c r="Z55" s="3">
        <f t="shared" si="102"/>
        <v>57771.108900000007</v>
      </c>
      <c r="AA55" s="3">
        <f t="shared" si="102"/>
        <v>497213.08340000006</v>
      </c>
      <c r="AB55" s="3">
        <f t="shared" si="102"/>
        <v>944804.98150000011</v>
      </c>
      <c r="AC55" s="18">
        <f t="shared" si="102"/>
        <v>470575.99160000007</v>
      </c>
      <c r="AD55" s="18">
        <f t="shared" si="102"/>
        <v>-271868.49960000004</v>
      </c>
      <c r="AE55" s="3">
        <f t="shared" si="95"/>
        <v>-93024.293499999621</v>
      </c>
      <c r="AF55" t="s">
        <v>22</v>
      </c>
    </row>
    <row r="56" spans="1:32" x14ac:dyDescent="0.25">
      <c r="A56" t="s">
        <v>32</v>
      </c>
      <c r="B56" t="s">
        <v>16</v>
      </c>
      <c r="D56" s="5">
        <v>9263</v>
      </c>
      <c r="E56" s="5">
        <v>13099</v>
      </c>
      <c r="F56" s="5">
        <v>5399</v>
      </c>
      <c r="G56" s="5">
        <v>4303</v>
      </c>
      <c r="H56" s="5">
        <v>2686</v>
      </c>
      <c r="I56" s="5">
        <v>2543</v>
      </c>
      <c r="J56" s="5">
        <v>2586</v>
      </c>
      <c r="K56" s="5">
        <v>3326</v>
      </c>
      <c r="L56" s="5">
        <v>6886</v>
      </c>
      <c r="M56" s="5">
        <v>11606</v>
      </c>
      <c r="N56" s="5">
        <v>12872</v>
      </c>
      <c r="O56" s="5">
        <v>9733</v>
      </c>
      <c r="P56" s="2">
        <f t="shared" si="1"/>
        <v>84302</v>
      </c>
      <c r="Q56" s="2"/>
      <c r="R56" s="31"/>
      <c r="S56" s="3">
        <f>SUM(S14:S16)/SUM(D14:D16)*D56</f>
        <v>5272.0278160215048</v>
      </c>
      <c r="T56" s="3">
        <f>SUM(T14:T16)/SUM(E14:E16)*E56</f>
        <v>7452.93759226158</v>
      </c>
      <c r="U56" s="3">
        <f t="shared" ref="U56:AD56" si="103">SUM(U14:U16)/SUM(F14:F16)*F56</f>
        <v>3072.7828692710737</v>
      </c>
      <c r="V56" s="3">
        <f t="shared" si="103"/>
        <v>2450.4549088366612</v>
      </c>
      <c r="W56" s="3">
        <f t="shared" si="103"/>
        <v>1530.5620917119525</v>
      </c>
      <c r="X56" s="3">
        <f t="shared" si="103"/>
        <v>1451.1976851572806</v>
      </c>
      <c r="Y56" s="3">
        <f t="shared" si="103"/>
        <v>1476.1366289315124</v>
      </c>
      <c r="Z56" s="3">
        <f t="shared" si="103"/>
        <v>1898.3805166984157</v>
      </c>
      <c r="AA56" s="3">
        <f t="shared" si="103"/>
        <v>3927.6225382261641</v>
      </c>
      <c r="AB56" s="3">
        <f t="shared" si="103"/>
        <v>6610.1159511083652</v>
      </c>
      <c r="AC56" s="3">
        <f t="shared" si="103"/>
        <v>7326.740450366935</v>
      </c>
      <c r="AD56" s="3">
        <f t="shared" si="103"/>
        <v>5538.8449306787415</v>
      </c>
      <c r="AE56" s="3">
        <f t="shared" si="95"/>
        <v>48007.803979270197</v>
      </c>
    </row>
    <row r="57" spans="1:32" x14ac:dyDescent="0.25">
      <c r="B57" t="s">
        <v>17</v>
      </c>
      <c r="D57" s="5">
        <v>-10281</v>
      </c>
      <c r="E57" s="5">
        <v>-9263</v>
      </c>
      <c r="F57" s="5">
        <v>-13099</v>
      </c>
      <c r="G57" s="5">
        <v>-5399</v>
      </c>
      <c r="H57" s="5">
        <v>-4303</v>
      </c>
      <c r="I57" s="5">
        <v>-2686</v>
      </c>
      <c r="J57" s="5">
        <v>-2543</v>
      </c>
      <c r="K57" s="5">
        <v>-2586</v>
      </c>
      <c r="L57" s="5">
        <v>-3326</v>
      </c>
      <c r="M57" s="5">
        <v>-6886</v>
      </c>
      <c r="N57" s="5">
        <v>-11606</v>
      </c>
      <c r="O57" s="5">
        <v>-12872</v>
      </c>
      <c r="P57" s="2">
        <f t="shared" si="1"/>
        <v>-84850</v>
      </c>
      <c r="Q57" s="2"/>
      <c r="R57" s="31"/>
      <c r="S57" s="3">
        <f>SUM(S13:S14)/SUM(D13:D14)*D57</f>
        <v>-8496.3002388059704</v>
      </c>
      <c r="T57" s="3">
        <f>-S56</f>
        <v>-5272.0278160215048</v>
      </c>
      <c r="U57" s="3">
        <f t="shared" ref="U57:AD57" si="104">-T56</f>
        <v>-7452.93759226158</v>
      </c>
      <c r="V57" s="3">
        <f t="shared" si="104"/>
        <v>-3072.7828692710737</v>
      </c>
      <c r="W57" s="3">
        <f t="shared" si="104"/>
        <v>-2450.4549088366612</v>
      </c>
      <c r="X57" s="3">
        <f t="shared" si="104"/>
        <v>-1530.5620917119525</v>
      </c>
      <c r="Y57" s="3">
        <f t="shared" si="104"/>
        <v>-1451.1976851572806</v>
      </c>
      <c r="Z57" s="3">
        <f t="shared" si="104"/>
        <v>-1476.1366289315124</v>
      </c>
      <c r="AA57" s="3">
        <f t="shared" si="104"/>
        <v>-1898.3805166984157</v>
      </c>
      <c r="AB57" s="3">
        <f t="shared" si="104"/>
        <v>-3927.6225382261641</v>
      </c>
      <c r="AC57" s="18">
        <f t="shared" si="104"/>
        <v>-6610.1159511083652</v>
      </c>
      <c r="AD57" s="18">
        <f t="shared" si="104"/>
        <v>-7326.740450366935</v>
      </c>
      <c r="AE57" s="3">
        <f t="shared" si="95"/>
        <v>-50965.259287397406</v>
      </c>
    </row>
    <row r="58" spans="1:32" x14ac:dyDescent="0.25">
      <c r="B58" t="s">
        <v>15</v>
      </c>
      <c r="D58" s="15">
        <f t="shared" ref="D58:L58" si="105">D56+D57</f>
        <v>-1018</v>
      </c>
      <c r="E58" s="15">
        <f t="shared" si="105"/>
        <v>3836</v>
      </c>
      <c r="F58" s="15">
        <f t="shared" si="105"/>
        <v>-7700</v>
      </c>
      <c r="G58" s="15">
        <f t="shared" si="105"/>
        <v>-1096</v>
      </c>
      <c r="H58" s="15">
        <f t="shared" si="105"/>
        <v>-1617</v>
      </c>
      <c r="I58" s="15">
        <f t="shared" si="105"/>
        <v>-143</v>
      </c>
      <c r="J58" s="15">
        <f t="shared" si="105"/>
        <v>43</v>
      </c>
      <c r="K58" s="15">
        <f t="shared" si="105"/>
        <v>740</v>
      </c>
      <c r="L58" s="15">
        <f t="shared" si="105"/>
        <v>3560</v>
      </c>
      <c r="M58" s="15">
        <f t="shared" ref="M58:O58" si="106">M56+M57</f>
        <v>4720</v>
      </c>
      <c r="N58" s="15">
        <f t="shared" si="106"/>
        <v>1266</v>
      </c>
      <c r="O58" s="15">
        <f t="shared" si="106"/>
        <v>-3139</v>
      </c>
      <c r="P58" s="2">
        <f t="shared" si="1"/>
        <v>-548</v>
      </c>
      <c r="Q58" s="2"/>
      <c r="R58" s="31">
        <f>ROUND(SUM(AE14:AE16)/SUM(P14:P16),5)</f>
        <v>0.56945999999999997</v>
      </c>
      <c r="S58" s="3">
        <f>$R58*D58</f>
        <v>-579.71028000000001</v>
      </c>
      <c r="T58" s="3">
        <f t="shared" ref="T58" si="107">$R58*E58</f>
        <v>2184.4485599999998</v>
      </c>
      <c r="U58" s="3">
        <f t="shared" ref="U58" si="108">$R58*F58</f>
        <v>-4384.8419999999996</v>
      </c>
      <c r="V58" s="3">
        <f t="shared" ref="V58" si="109">$R58*G58</f>
        <v>-624.12815999999998</v>
      </c>
      <c r="W58" s="3">
        <f t="shared" ref="W58" si="110">$R58*H58</f>
        <v>-920.81681999999989</v>
      </c>
      <c r="X58" s="3">
        <f t="shared" ref="X58" si="111">$R58*I58</f>
        <v>-81.432779999999994</v>
      </c>
      <c r="Y58" s="3">
        <f t="shared" ref="Y58" si="112">$R58*J58</f>
        <v>24.48678</v>
      </c>
      <c r="Z58" s="3">
        <f t="shared" ref="Z58" si="113">$R58*K58</f>
        <v>421.40039999999999</v>
      </c>
      <c r="AA58" s="3">
        <f t="shared" ref="AA58" si="114">$R58*L58</f>
        <v>2027.2775999999999</v>
      </c>
      <c r="AB58" s="3">
        <f t="shared" ref="AB58" si="115">$R58*M58</f>
        <v>2687.8512000000001</v>
      </c>
      <c r="AC58" s="18">
        <f t="shared" ref="AC58" si="116">$R58*N58</f>
        <v>720.93635999999992</v>
      </c>
      <c r="AD58" s="18">
        <f t="shared" ref="AD58" si="117">$R58*O58</f>
        <v>-1787.53494</v>
      </c>
      <c r="AE58" s="3">
        <f t="shared" si="95"/>
        <v>-312.06408000000033</v>
      </c>
    </row>
    <row r="59" spans="1:32" x14ac:dyDescent="0.25">
      <c r="A59" t="s">
        <v>33</v>
      </c>
      <c r="B59" t="s">
        <v>16</v>
      </c>
      <c r="D59" s="5">
        <v>92544</v>
      </c>
      <c r="E59" s="5">
        <v>99707</v>
      </c>
      <c r="F59" s="5">
        <v>50802</v>
      </c>
      <c r="G59" s="5">
        <v>41565</v>
      </c>
      <c r="H59" s="5">
        <v>31269</v>
      </c>
      <c r="I59" s="5">
        <v>-17856</v>
      </c>
      <c r="J59" s="5">
        <v>36777</v>
      </c>
      <c r="K59" s="5">
        <v>64354</v>
      </c>
      <c r="L59" s="5">
        <v>87993</v>
      </c>
      <c r="M59" s="5">
        <v>138127</v>
      </c>
      <c r="N59" s="9">
        <v>147373</v>
      </c>
      <c r="O59" s="9">
        <v>104730</v>
      </c>
      <c r="P59" s="2">
        <f t="shared" si="1"/>
        <v>877385</v>
      </c>
      <c r="Q59" s="26">
        <f>-3544231+3544231+134000</f>
        <v>134000</v>
      </c>
      <c r="S59" s="3">
        <f>SUM(S18:S22)/SUM(D18:D22)*D59</f>
        <v>46360.034874925455</v>
      </c>
      <c r="T59" s="3">
        <f t="shared" ref="T59:AD59" si="118">SUM(T18:T19)/SUM(E18:E19)*E59</f>
        <v>48296.575194999998</v>
      </c>
      <c r="U59" s="3">
        <f t="shared" si="118"/>
        <v>24607.726770000001</v>
      </c>
      <c r="V59" s="3">
        <f t="shared" si="118"/>
        <v>19139.585941066856</v>
      </c>
      <c r="W59" s="3">
        <f t="shared" si="118"/>
        <v>14996.755521535557</v>
      </c>
      <c r="X59" s="3">
        <f t="shared" si="118"/>
        <v>-8657.045513501962</v>
      </c>
      <c r="Y59" s="3">
        <f t="shared" si="118"/>
        <v>17814.227145000001</v>
      </c>
      <c r="Z59" s="3">
        <f t="shared" si="118"/>
        <v>31172.112259648133</v>
      </c>
      <c r="AA59" s="3">
        <f t="shared" si="118"/>
        <v>42622.489305000003</v>
      </c>
      <c r="AB59" s="3">
        <f t="shared" si="118"/>
        <v>66906.646894999998</v>
      </c>
      <c r="AC59" s="18">
        <f t="shared" si="118"/>
        <v>71385.270604999998</v>
      </c>
      <c r="AD59" s="18">
        <f t="shared" si="118"/>
        <v>50729.641049999998</v>
      </c>
      <c r="AE59" s="3">
        <f t="shared" si="95"/>
        <v>425374.02004867396</v>
      </c>
      <c r="AF59" t="s">
        <v>20</v>
      </c>
    </row>
    <row r="60" spans="1:32" x14ac:dyDescent="0.25">
      <c r="B60" t="s">
        <v>17</v>
      </c>
      <c r="D60" s="26">
        <f>3544231-3544231-134000</f>
        <v>-134000</v>
      </c>
      <c r="E60" s="5">
        <v>-92544</v>
      </c>
      <c r="F60" s="5">
        <v>-99707</v>
      </c>
      <c r="G60" s="5">
        <v>-50802</v>
      </c>
      <c r="H60" s="5">
        <v>-41565</v>
      </c>
      <c r="I60" s="5">
        <v>-31269</v>
      </c>
      <c r="J60" s="5">
        <v>17856</v>
      </c>
      <c r="K60" s="5">
        <v>-36777</v>
      </c>
      <c r="L60" s="5">
        <v>-64354</v>
      </c>
      <c r="M60" s="5">
        <v>-87993</v>
      </c>
      <c r="N60" s="9">
        <v>-138127</v>
      </c>
      <c r="O60" s="9">
        <v>-147373</v>
      </c>
      <c r="P60" s="2">
        <f t="shared" ref="P60:P74" si="119">SUM(D60:O60)</f>
        <v>-906655</v>
      </c>
      <c r="Q60" s="2"/>
      <c r="S60" s="3">
        <f>SUM(S18:S22)/SUM(D18:D22)*D60</f>
        <v>-67127.470967755988</v>
      </c>
      <c r="T60" s="3">
        <f>-S59</f>
        <v>-46360.034874925455</v>
      </c>
      <c r="U60" s="3">
        <f t="shared" ref="U60:AD60" si="120">-T59</f>
        <v>-48296.575194999998</v>
      </c>
      <c r="V60" s="3">
        <f t="shared" si="120"/>
        <v>-24607.726770000001</v>
      </c>
      <c r="W60" s="3">
        <f t="shared" si="120"/>
        <v>-19139.585941066856</v>
      </c>
      <c r="X60" s="3">
        <f t="shared" si="120"/>
        <v>-14996.755521535557</v>
      </c>
      <c r="Y60" s="3">
        <f t="shared" si="120"/>
        <v>8657.045513501962</v>
      </c>
      <c r="Z60" s="3">
        <f t="shared" si="120"/>
        <v>-17814.227145000001</v>
      </c>
      <c r="AA60" s="3">
        <f t="shared" si="120"/>
        <v>-31172.112259648133</v>
      </c>
      <c r="AB60" s="3">
        <f t="shared" si="120"/>
        <v>-42622.489305000003</v>
      </c>
      <c r="AC60" s="18">
        <f t="shared" si="120"/>
        <v>-66906.646894999998</v>
      </c>
      <c r="AD60" s="18">
        <f t="shared" si="120"/>
        <v>-71385.270604999998</v>
      </c>
      <c r="AE60" s="3">
        <f t="shared" si="95"/>
        <v>-441771.84996642999</v>
      </c>
      <c r="AF60" t="s">
        <v>21</v>
      </c>
    </row>
    <row r="61" spans="1:32" x14ac:dyDescent="0.25">
      <c r="B61" t="s">
        <v>15</v>
      </c>
      <c r="D61" s="6">
        <f>D59+D60</f>
        <v>-41456</v>
      </c>
      <c r="E61" s="6">
        <f t="shared" ref="E61:O61" si="121">E59+E60</f>
        <v>7163</v>
      </c>
      <c r="F61" s="6">
        <f t="shared" si="121"/>
        <v>-48905</v>
      </c>
      <c r="G61" s="6">
        <f t="shared" si="121"/>
        <v>-9237</v>
      </c>
      <c r="H61" s="6">
        <f t="shared" si="121"/>
        <v>-10296</v>
      </c>
      <c r="I61" s="6">
        <f t="shared" si="121"/>
        <v>-49125</v>
      </c>
      <c r="J61" s="6">
        <f t="shared" si="121"/>
        <v>54633</v>
      </c>
      <c r="K61" s="6">
        <f t="shared" si="121"/>
        <v>27577</v>
      </c>
      <c r="L61" s="6">
        <f t="shared" si="121"/>
        <v>23639</v>
      </c>
      <c r="M61" s="6">
        <f t="shared" si="121"/>
        <v>50134</v>
      </c>
      <c r="N61" s="15">
        <f t="shared" si="121"/>
        <v>9246</v>
      </c>
      <c r="O61" s="15">
        <f t="shared" si="121"/>
        <v>-42643</v>
      </c>
      <c r="P61" s="2">
        <f t="shared" si="119"/>
        <v>-29270</v>
      </c>
      <c r="Q61" s="2"/>
      <c r="R61" s="31">
        <f>ROUND(SUM(AE18:AE22)/SUM(P18:P22),5)</f>
        <v>0.50627</v>
      </c>
      <c r="S61" s="3">
        <f t="shared" ref="S61:AD61" si="122">$R61*D61</f>
        <v>-20987.929120000001</v>
      </c>
      <c r="T61" s="3">
        <f t="shared" si="122"/>
        <v>3626.41201</v>
      </c>
      <c r="U61" s="3">
        <f t="shared" si="122"/>
        <v>-24759.13435</v>
      </c>
      <c r="V61" s="3">
        <f t="shared" si="122"/>
        <v>-4676.4159900000004</v>
      </c>
      <c r="W61" s="3">
        <f t="shared" si="122"/>
        <v>-5212.5559199999998</v>
      </c>
      <c r="X61" s="3">
        <f t="shared" si="122"/>
        <v>-24870.513749999998</v>
      </c>
      <c r="Y61" s="3">
        <f t="shared" si="122"/>
        <v>27659.048910000001</v>
      </c>
      <c r="Z61" s="3">
        <f t="shared" si="122"/>
        <v>13961.407789999999</v>
      </c>
      <c r="AA61" s="3">
        <f t="shared" si="122"/>
        <v>11967.71653</v>
      </c>
      <c r="AB61" s="3">
        <f t="shared" si="122"/>
        <v>25381.340179999999</v>
      </c>
      <c r="AC61" s="18">
        <f t="shared" si="122"/>
        <v>4680.9724200000001</v>
      </c>
      <c r="AD61" s="18">
        <f t="shared" si="122"/>
        <v>-21588.871609999998</v>
      </c>
      <c r="AE61" s="3">
        <f t="shared" si="95"/>
        <v>-14818.522900000005</v>
      </c>
      <c r="AF61" t="s">
        <v>22</v>
      </c>
    </row>
    <row r="62" spans="1:32" x14ac:dyDescent="0.25">
      <c r="A62" t="s">
        <v>34</v>
      </c>
      <c r="B62" t="s">
        <v>16</v>
      </c>
      <c r="D62" s="5">
        <v>31328</v>
      </c>
      <c r="E62" s="5">
        <v>32516</v>
      </c>
      <c r="F62" s="5">
        <v>21399</v>
      </c>
      <c r="G62" s="5">
        <v>16621</v>
      </c>
      <c r="H62" s="5">
        <v>11629</v>
      </c>
      <c r="I62" s="5">
        <v>11217</v>
      </c>
      <c r="J62" s="5">
        <v>13607</v>
      </c>
      <c r="K62" s="5">
        <v>14723</v>
      </c>
      <c r="L62" s="5">
        <v>25141</v>
      </c>
      <c r="M62" s="5">
        <v>30949</v>
      </c>
      <c r="N62" s="5">
        <v>208686</v>
      </c>
      <c r="O62" s="5">
        <v>275164</v>
      </c>
      <c r="P62" s="2">
        <f t="shared" ref="P62" si="123">SUM(D62:O62)</f>
        <v>692980</v>
      </c>
      <c r="Q62" s="2"/>
      <c r="R62" s="31"/>
      <c r="S62" s="3">
        <f>SUM(S24:S28)/SUM(D24:D28)*D62</f>
        <v>15444.586035169059</v>
      </c>
      <c r="T62" s="3">
        <f>SUM(T24:T28)/SUM(E24:E28)*E62</f>
        <v>16091.291135926755</v>
      </c>
      <c r="U62" s="3">
        <f t="shared" ref="U62:AD62" si="124">SUM(U24:U28)/SUM(F24:F28)*F62</f>
        <v>10430.857274127538</v>
      </c>
      <c r="V62" s="3">
        <f t="shared" si="124"/>
        <v>8333.876758012193</v>
      </c>
      <c r="W62" s="3">
        <f t="shared" si="124"/>
        <v>5919.5999459996538</v>
      </c>
      <c r="X62" s="3">
        <f t="shared" si="124"/>
        <v>6020.053381941505</v>
      </c>
      <c r="Y62" s="3">
        <f t="shared" si="124"/>
        <v>7189.722648570083</v>
      </c>
      <c r="Z62" s="3">
        <f t="shared" si="124"/>
        <v>7950.8748826483525</v>
      </c>
      <c r="AA62" s="3">
        <f t="shared" si="124"/>
        <v>13587.402699588027</v>
      </c>
      <c r="AB62" s="3">
        <f t="shared" si="124"/>
        <v>16242.154063203368</v>
      </c>
      <c r="AC62" s="3">
        <f t="shared" si="124"/>
        <v>98787.603803452788</v>
      </c>
      <c r="AD62" s="3">
        <f t="shared" si="124"/>
        <v>130178.08130207662</v>
      </c>
      <c r="AE62" s="3">
        <f t="shared" ref="AE62:AE64" si="125">SUM(S62:AD62)</f>
        <v>336176.10393071594</v>
      </c>
      <c r="AF62" t="s">
        <v>20</v>
      </c>
    </row>
    <row r="63" spans="1:32" x14ac:dyDescent="0.25">
      <c r="B63" t="s">
        <v>17</v>
      </c>
      <c r="D63" s="5">
        <v>-32072</v>
      </c>
      <c r="E63" s="5">
        <v>-31328</v>
      </c>
      <c r="F63" s="5">
        <v>-32516</v>
      </c>
      <c r="G63" s="5">
        <v>-21399</v>
      </c>
      <c r="H63" s="5">
        <v>-16621</v>
      </c>
      <c r="I63" s="5">
        <v>-11629</v>
      </c>
      <c r="J63" s="5">
        <v>-11217</v>
      </c>
      <c r="K63" s="5">
        <v>-13607</v>
      </c>
      <c r="L63" s="5">
        <v>-14723</v>
      </c>
      <c r="M63" s="5">
        <v>-25141</v>
      </c>
      <c r="N63" s="5">
        <v>-30949</v>
      </c>
      <c r="O63" s="5">
        <v>-208686</v>
      </c>
      <c r="P63" s="2">
        <f t="shared" si="119"/>
        <v>-449888</v>
      </c>
      <c r="Q63" s="2"/>
      <c r="R63" s="31"/>
      <c r="S63" s="3">
        <f>SUM(S24:S28)/SUM(D24:D28)*D63</f>
        <v>-15811.375233654944</v>
      </c>
      <c r="T63" s="3">
        <f>-S62</f>
        <v>-15444.586035169059</v>
      </c>
      <c r="U63" s="3">
        <f t="shared" ref="U63:AD63" si="126">-T62</f>
        <v>-16091.291135926755</v>
      </c>
      <c r="V63" s="3">
        <f t="shared" si="126"/>
        <v>-10430.857274127538</v>
      </c>
      <c r="W63" s="3">
        <f t="shared" si="126"/>
        <v>-8333.876758012193</v>
      </c>
      <c r="X63" s="3">
        <f t="shared" si="126"/>
        <v>-5919.5999459996538</v>
      </c>
      <c r="Y63" s="3">
        <f t="shared" si="126"/>
        <v>-6020.053381941505</v>
      </c>
      <c r="Z63" s="3">
        <f t="shared" si="126"/>
        <v>-7189.722648570083</v>
      </c>
      <c r="AA63" s="3">
        <f t="shared" si="126"/>
        <v>-7950.8748826483525</v>
      </c>
      <c r="AB63" s="3">
        <f t="shared" si="126"/>
        <v>-13587.402699588027</v>
      </c>
      <c r="AC63" s="3">
        <f t="shared" si="126"/>
        <v>-16242.154063203368</v>
      </c>
      <c r="AD63" s="3">
        <f t="shared" si="126"/>
        <v>-98787.603803452788</v>
      </c>
      <c r="AE63" s="3">
        <f t="shared" si="125"/>
        <v>-221809.39786229425</v>
      </c>
      <c r="AF63" t="s">
        <v>21</v>
      </c>
    </row>
    <row r="64" spans="1:32" x14ac:dyDescent="0.25">
      <c r="B64" t="s">
        <v>15</v>
      </c>
      <c r="D64" s="6">
        <f>D62+D63</f>
        <v>-744</v>
      </c>
      <c r="E64" s="6">
        <f t="shared" ref="E64:O64" si="127">E62+E63</f>
        <v>1188</v>
      </c>
      <c r="F64" s="6">
        <f t="shared" si="127"/>
        <v>-11117</v>
      </c>
      <c r="G64" s="6">
        <f t="shared" si="127"/>
        <v>-4778</v>
      </c>
      <c r="H64" s="6">
        <f t="shared" si="127"/>
        <v>-4992</v>
      </c>
      <c r="I64" s="6">
        <f t="shared" si="127"/>
        <v>-412</v>
      </c>
      <c r="J64" s="6">
        <f t="shared" si="127"/>
        <v>2390</v>
      </c>
      <c r="K64" s="6">
        <f t="shared" si="127"/>
        <v>1116</v>
      </c>
      <c r="L64" s="6">
        <f t="shared" si="127"/>
        <v>10418</v>
      </c>
      <c r="M64" s="6">
        <f t="shared" si="127"/>
        <v>5808</v>
      </c>
      <c r="N64" s="6">
        <f t="shared" si="127"/>
        <v>177737</v>
      </c>
      <c r="O64" s="6">
        <f t="shared" si="127"/>
        <v>66478</v>
      </c>
      <c r="P64" s="2">
        <f t="shared" si="119"/>
        <v>243092</v>
      </c>
      <c r="Q64" s="2"/>
      <c r="R64" s="31">
        <f>ROUND(SUM(AE24:AE28)/SUM(P24:P28),5)</f>
        <v>0.48504999999999998</v>
      </c>
      <c r="S64" s="3">
        <f t="shared" ref="S64" si="128">$R64*D64</f>
        <v>-360.87719999999996</v>
      </c>
      <c r="T64" s="3">
        <f t="shared" ref="T64" si="129">$R64*E64</f>
        <v>576.23939999999993</v>
      </c>
      <c r="U64" s="3">
        <f t="shared" ref="U64" si="130">$R64*F64</f>
        <v>-5392.3008499999996</v>
      </c>
      <c r="V64" s="3">
        <f t="shared" ref="V64" si="131">$R64*G64</f>
        <v>-2317.5688999999998</v>
      </c>
      <c r="W64" s="3">
        <f t="shared" ref="W64" si="132">$R64*H64</f>
        <v>-2421.3696</v>
      </c>
      <c r="X64" s="3">
        <f t="shared" ref="X64" si="133">$R64*I64</f>
        <v>-199.84059999999999</v>
      </c>
      <c r="Y64" s="3">
        <f t="shared" ref="Y64" si="134">$R64*J64</f>
        <v>1159.2694999999999</v>
      </c>
      <c r="Z64" s="3">
        <f t="shared" ref="Z64" si="135">$R64*K64</f>
        <v>541.31579999999997</v>
      </c>
      <c r="AA64" s="3">
        <f t="shared" ref="AA64" si="136">$R64*L64</f>
        <v>5053.2509</v>
      </c>
      <c r="AB64" s="3">
        <f t="shared" ref="AB64" si="137">$R64*M64</f>
        <v>2817.1704</v>
      </c>
      <c r="AC64" s="3">
        <f t="shared" ref="AC64" si="138">$R64*N64</f>
        <v>86211.331850000002</v>
      </c>
      <c r="AD64" s="3">
        <f t="shared" ref="AD64" si="139">$R64*O64</f>
        <v>32245.153899999998</v>
      </c>
      <c r="AE64" s="3">
        <f t="shared" si="125"/>
        <v>117911.7746</v>
      </c>
      <c r="AF64" t="s">
        <v>22</v>
      </c>
    </row>
    <row r="65" spans="1:34" x14ac:dyDescent="0.25">
      <c r="A65" t="s">
        <v>37</v>
      </c>
      <c r="B65" t="s">
        <v>16</v>
      </c>
      <c r="D65" s="5">
        <v>3917947</v>
      </c>
      <c r="E65" s="5">
        <v>3900871</v>
      </c>
      <c r="F65" s="5">
        <v>3691957</v>
      </c>
      <c r="G65" s="5">
        <v>3110199</v>
      </c>
      <c r="H65" s="5">
        <v>2599480</v>
      </c>
      <c r="I65" s="5">
        <v>2420689</v>
      </c>
      <c r="J65" s="5">
        <v>2422964</v>
      </c>
      <c r="K65" s="5">
        <v>2325581</v>
      </c>
      <c r="L65" s="5">
        <v>2566202</v>
      </c>
      <c r="M65" s="5">
        <v>3210986</v>
      </c>
      <c r="N65" s="9">
        <v>3206337</v>
      </c>
      <c r="O65" s="9">
        <v>3156615</v>
      </c>
      <c r="P65" s="2">
        <f t="shared" si="119"/>
        <v>36529828</v>
      </c>
      <c r="Q65" s="2"/>
      <c r="S65" s="3">
        <f>SUM(S40:S44)/SUM(D40:D44)*D65</f>
        <v>335491.8948617889</v>
      </c>
      <c r="T65" s="3">
        <f>SUM(T40:T44)/SUM(E40:E44)*E65</f>
        <v>332125.19827903487</v>
      </c>
      <c r="U65" s="3">
        <f t="shared" ref="U65:AD65" si="140">SUM(U40:U44)/SUM(F40:F44)*F65</f>
        <v>314638.57461107115</v>
      </c>
      <c r="V65" s="3">
        <f t="shared" si="140"/>
        <v>265171.46799740533</v>
      </c>
      <c r="W65" s="3">
        <f t="shared" si="140"/>
        <v>224424.06687137438</v>
      </c>
      <c r="X65" s="3">
        <f t="shared" si="140"/>
        <v>211054.11936789015</v>
      </c>
      <c r="Y65" s="3">
        <f t="shared" si="140"/>
        <v>210171.15587431876</v>
      </c>
      <c r="Z65" s="3">
        <f t="shared" si="140"/>
        <v>202054.10846629424</v>
      </c>
      <c r="AA65" s="3">
        <f t="shared" si="140"/>
        <v>222656.66570167968</v>
      </c>
      <c r="AB65" s="3">
        <f t="shared" si="140"/>
        <v>278909.72556992777</v>
      </c>
      <c r="AC65" s="3">
        <f t="shared" si="140"/>
        <v>278133.75693778513</v>
      </c>
      <c r="AD65" s="3">
        <f t="shared" si="140"/>
        <v>271483.37236271845</v>
      </c>
      <c r="AE65" s="3">
        <f t="shared" si="95"/>
        <v>3146314.1069012885</v>
      </c>
      <c r="AF65" t="s">
        <v>20</v>
      </c>
    </row>
    <row r="66" spans="1:34" x14ac:dyDescent="0.25">
      <c r="B66" t="s">
        <v>17</v>
      </c>
      <c r="D66" s="5">
        <v>-3542437</v>
      </c>
      <c r="E66" s="5">
        <v>-3917947</v>
      </c>
      <c r="F66" s="5">
        <v>-3900871</v>
      </c>
      <c r="G66" s="5">
        <v>-3691957</v>
      </c>
      <c r="H66" s="5">
        <v>-3110199</v>
      </c>
      <c r="I66" s="5">
        <v>-2599480</v>
      </c>
      <c r="J66" s="5">
        <v>-2420689</v>
      </c>
      <c r="K66" s="5">
        <v>-2422964</v>
      </c>
      <c r="L66" s="5">
        <v>-2325581</v>
      </c>
      <c r="M66" s="5">
        <v>-2566202</v>
      </c>
      <c r="N66" s="9">
        <v>-3210986</v>
      </c>
      <c r="O66" s="9">
        <v>-3206337</v>
      </c>
      <c r="P66" s="2">
        <f t="shared" si="119"/>
        <v>-36915650</v>
      </c>
      <c r="Q66" s="2"/>
      <c r="S66" s="3">
        <f>SUM(S40:S44)/SUM(D40:D44)*D66</f>
        <v>-303337.15631133114</v>
      </c>
      <c r="T66" s="3">
        <f>-S65</f>
        <v>-335491.8948617889</v>
      </c>
      <c r="U66" s="3">
        <f t="shared" ref="U66:AD66" si="141">-T65</f>
        <v>-332125.19827903487</v>
      </c>
      <c r="V66" s="3">
        <f t="shared" si="141"/>
        <v>-314638.57461107115</v>
      </c>
      <c r="W66" s="3">
        <f t="shared" si="141"/>
        <v>-265171.46799740533</v>
      </c>
      <c r="X66" s="3">
        <f t="shared" si="141"/>
        <v>-224424.06687137438</v>
      </c>
      <c r="Y66" s="3">
        <f t="shared" si="141"/>
        <v>-211054.11936789015</v>
      </c>
      <c r="Z66" s="3">
        <f t="shared" si="141"/>
        <v>-210171.15587431876</v>
      </c>
      <c r="AA66" s="3">
        <f t="shared" si="141"/>
        <v>-202054.10846629424</v>
      </c>
      <c r="AB66" s="3">
        <f t="shared" si="141"/>
        <v>-222656.66570167968</v>
      </c>
      <c r="AC66" s="18">
        <f t="shared" si="141"/>
        <v>-278909.72556992777</v>
      </c>
      <c r="AD66" s="18">
        <f t="shared" si="141"/>
        <v>-278133.75693778513</v>
      </c>
      <c r="AE66" s="3">
        <f t="shared" si="95"/>
        <v>-3178167.8908499014</v>
      </c>
      <c r="AF66" t="s">
        <v>21</v>
      </c>
    </row>
    <row r="67" spans="1:34" x14ac:dyDescent="0.25">
      <c r="B67" t="s">
        <v>15</v>
      </c>
      <c r="D67" s="6">
        <f>D65+D66</f>
        <v>375510</v>
      </c>
      <c r="E67" s="6">
        <f t="shared" ref="E67:O67" si="142">E65+E66</f>
        <v>-17076</v>
      </c>
      <c r="F67" s="6">
        <f t="shared" si="142"/>
        <v>-208914</v>
      </c>
      <c r="G67" s="6">
        <f t="shared" si="142"/>
        <v>-581758</v>
      </c>
      <c r="H67" s="6">
        <f t="shared" si="142"/>
        <v>-510719</v>
      </c>
      <c r="I67" s="6">
        <f t="shared" si="142"/>
        <v>-178791</v>
      </c>
      <c r="J67" s="6">
        <f t="shared" si="142"/>
        <v>2275</v>
      </c>
      <c r="K67" s="6">
        <f t="shared" si="142"/>
        <v>-97383</v>
      </c>
      <c r="L67" s="6">
        <f t="shared" si="142"/>
        <v>240621</v>
      </c>
      <c r="M67" s="6">
        <f t="shared" si="142"/>
        <v>644784</v>
      </c>
      <c r="N67" s="15">
        <f t="shared" si="142"/>
        <v>-4649</v>
      </c>
      <c r="O67" s="15">
        <f t="shared" si="142"/>
        <v>-49722</v>
      </c>
      <c r="P67" s="2">
        <f t="shared" si="119"/>
        <v>-385822</v>
      </c>
      <c r="Q67" s="2"/>
      <c r="R67" s="31">
        <f>ROUND(SUM(AE40:AE44)/SUM(P40:P44),5)</f>
        <v>8.6099999999999996E-2</v>
      </c>
      <c r="S67" s="3">
        <f t="shared" ref="S67:AD67" si="143">$R67*D67</f>
        <v>32331.411</v>
      </c>
      <c r="T67" s="3">
        <f t="shared" si="143"/>
        <v>-1470.2436</v>
      </c>
      <c r="U67" s="3">
        <f t="shared" si="143"/>
        <v>-17987.4954</v>
      </c>
      <c r="V67" s="3">
        <f t="shared" si="143"/>
        <v>-50089.363799999999</v>
      </c>
      <c r="W67" s="3">
        <f t="shared" si="143"/>
        <v>-43972.905899999998</v>
      </c>
      <c r="X67" s="3">
        <f t="shared" si="143"/>
        <v>-15393.9051</v>
      </c>
      <c r="Y67" s="3">
        <f t="shared" si="143"/>
        <v>195.8775</v>
      </c>
      <c r="Z67" s="3">
        <f t="shared" si="143"/>
        <v>-8384.6762999999992</v>
      </c>
      <c r="AA67" s="3">
        <f t="shared" si="143"/>
        <v>20717.468099999998</v>
      </c>
      <c r="AB67" s="3">
        <f t="shared" si="143"/>
        <v>55515.902399999999</v>
      </c>
      <c r="AC67" s="18">
        <f t="shared" si="143"/>
        <v>-400.27889999999996</v>
      </c>
      <c r="AD67" s="18">
        <f t="shared" si="143"/>
        <v>-4281.0641999999998</v>
      </c>
      <c r="AE67" s="3">
        <f t="shared" si="95"/>
        <v>-33219.274200000007</v>
      </c>
      <c r="AF67" t="s">
        <v>22</v>
      </c>
    </row>
    <row r="68" spans="1:34" x14ac:dyDescent="0.25">
      <c r="A68" t="s">
        <v>55</v>
      </c>
      <c r="B68" t="s">
        <v>16</v>
      </c>
      <c r="D68" s="5">
        <v>4829560</v>
      </c>
      <c r="E68" s="5">
        <v>3966821</v>
      </c>
      <c r="F68" s="5">
        <v>4540256</v>
      </c>
      <c r="G68" s="5">
        <v>4029134</v>
      </c>
      <c r="H68" s="5">
        <v>3756335</v>
      </c>
      <c r="I68" s="5">
        <v>3510549</v>
      </c>
      <c r="J68" s="5">
        <v>3507079</v>
      </c>
      <c r="K68" s="5">
        <v>3514085</v>
      </c>
      <c r="L68" s="5">
        <v>3678155</v>
      </c>
      <c r="M68" s="5">
        <v>4165893</v>
      </c>
      <c r="N68" s="9">
        <v>4436580</v>
      </c>
      <c r="O68" s="9">
        <v>4791048</v>
      </c>
      <c r="P68" s="2">
        <f t="shared" si="119"/>
        <v>48725495</v>
      </c>
      <c r="Q68" s="2"/>
      <c r="S68" s="3">
        <f>SUM(S48)/SUM(D48)*D68</f>
        <v>118744.82762684199</v>
      </c>
      <c r="T68" s="3">
        <f t="shared" ref="T68:AD68" si="144">SUM(T48)/SUM(E48)*E68</f>
        <v>98106.203063467488</v>
      </c>
      <c r="U68" s="3">
        <f t="shared" si="144"/>
        <v>116741.11727329729</v>
      </c>
      <c r="V68" s="3">
        <f t="shared" si="144"/>
        <v>95307.825338726572</v>
      </c>
      <c r="W68" s="3">
        <f t="shared" si="144"/>
        <v>98312.330878054898</v>
      </c>
      <c r="X68" s="3">
        <f t="shared" si="144"/>
        <v>95512.734342405558</v>
      </c>
      <c r="Y68" s="3">
        <f t="shared" si="144"/>
        <v>97539.02222041908</v>
      </c>
      <c r="Z68" s="3">
        <f t="shared" si="144"/>
        <v>98114.433323548263</v>
      </c>
      <c r="AA68" s="3">
        <f t="shared" si="144"/>
        <v>100646.14252708742</v>
      </c>
      <c r="AB68" s="3">
        <f t="shared" si="144"/>
        <v>113017.42356051219</v>
      </c>
      <c r="AC68" s="18">
        <f t="shared" si="144"/>
        <v>112864.78532704704</v>
      </c>
      <c r="AD68" s="18">
        <f t="shared" si="144"/>
        <v>119774.80693328645</v>
      </c>
      <c r="AE68" s="3">
        <f t="shared" si="95"/>
        <v>1264681.6524146944</v>
      </c>
      <c r="AF68" t="s">
        <v>20</v>
      </c>
    </row>
    <row r="69" spans="1:34" x14ac:dyDescent="0.25">
      <c r="B69" t="s">
        <v>17</v>
      </c>
      <c r="D69" s="5">
        <v>-4907937</v>
      </c>
      <c r="E69" s="5">
        <v>-4829560</v>
      </c>
      <c r="F69" s="5">
        <v>-3966821</v>
      </c>
      <c r="G69" s="5">
        <v>-4540256</v>
      </c>
      <c r="H69" s="5">
        <v>-4029134</v>
      </c>
      <c r="I69" s="5">
        <v>-3756335</v>
      </c>
      <c r="J69" s="5">
        <v>-3510549</v>
      </c>
      <c r="K69" s="5">
        <v>-3507079</v>
      </c>
      <c r="L69" s="5">
        <v>-3514085</v>
      </c>
      <c r="M69" s="5">
        <v>-3678155</v>
      </c>
      <c r="N69" s="9">
        <v>-4165893</v>
      </c>
      <c r="O69" s="9">
        <v>-4436580</v>
      </c>
      <c r="P69" s="2">
        <f t="shared" si="119"/>
        <v>-48842384</v>
      </c>
      <c r="Q69" s="2"/>
      <c r="S69" s="3">
        <f>SUM(S48)/SUM(D48)*D69</f>
        <v>-120671.89</v>
      </c>
      <c r="T69" s="3">
        <f>-S68</f>
        <v>-118744.82762684199</v>
      </c>
      <c r="U69" s="3">
        <f t="shared" ref="U69:AD69" si="145">-T68</f>
        <v>-98106.203063467488</v>
      </c>
      <c r="V69" s="3">
        <f t="shared" si="145"/>
        <v>-116741.11727329729</v>
      </c>
      <c r="W69" s="3">
        <f t="shared" si="145"/>
        <v>-95307.825338726572</v>
      </c>
      <c r="X69" s="3">
        <f t="shared" si="145"/>
        <v>-98312.330878054898</v>
      </c>
      <c r="Y69" s="3">
        <f t="shared" si="145"/>
        <v>-95512.734342405558</v>
      </c>
      <c r="Z69" s="3">
        <f t="shared" si="145"/>
        <v>-97539.02222041908</v>
      </c>
      <c r="AA69" s="3">
        <f t="shared" si="145"/>
        <v>-98114.433323548263</v>
      </c>
      <c r="AB69" s="3">
        <f t="shared" si="145"/>
        <v>-100646.14252708742</v>
      </c>
      <c r="AC69" s="18">
        <f t="shared" si="145"/>
        <v>-113017.42356051219</v>
      </c>
      <c r="AD69" s="18">
        <f t="shared" si="145"/>
        <v>-112864.78532704704</v>
      </c>
      <c r="AE69" s="3">
        <f t="shared" si="95"/>
        <v>-1265578.735481408</v>
      </c>
      <c r="AF69" t="s">
        <v>21</v>
      </c>
    </row>
    <row r="70" spans="1:34" x14ac:dyDescent="0.25">
      <c r="B70" t="s">
        <v>15</v>
      </c>
      <c r="D70" s="6">
        <f t="shared" ref="D70:O70" si="146">D68+D69</f>
        <v>-78377</v>
      </c>
      <c r="E70" s="6">
        <f t="shared" si="146"/>
        <v>-862739</v>
      </c>
      <c r="F70" s="6">
        <f t="shared" si="146"/>
        <v>573435</v>
      </c>
      <c r="G70" s="6">
        <f t="shared" si="146"/>
        <v>-511122</v>
      </c>
      <c r="H70" s="6">
        <f t="shared" si="146"/>
        <v>-272799</v>
      </c>
      <c r="I70" s="6">
        <f t="shared" si="146"/>
        <v>-245786</v>
      </c>
      <c r="J70" s="6">
        <f t="shared" si="146"/>
        <v>-3470</v>
      </c>
      <c r="K70" s="6">
        <f t="shared" si="146"/>
        <v>7006</v>
      </c>
      <c r="L70" s="6">
        <f t="shared" si="146"/>
        <v>164070</v>
      </c>
      <c r="M70" s="6">
        <f t="shared" si="146"/>
        <v>487738</v>
      </c>
      <c r="N70" s="15">
        <f t="shared" si="146"/>
        <v>270687</v>
      </c>
      <c r="O70" s="15">
        <f t="shared" si="146"/>
        <v>354468</v>
      </c>
      <c r="P70" s="2">
        <f t="shared" si="119"/>
        <v>-116889</v>
      </c>
      <c r="Q70" s="2"/>
      <c r="R70" s="31">
        <f>ROUND(SUM(AE48)/SUM(P48),5)</f>
        <v>2.5909999999999999E-2</v>
      </c>
      <c r="S70" s="3">
        <f t="shared" ref="S70" si="147">$R70*D70</f>
        <v>-2030.7480699999999</v>
      </c>
      <c r="T70" s="3">
        <f t="shared" ref="T70" si="148">$R70*E70</f>
        <v>-22353.567489999998</v>
      </c>
      <c r="U70" s="3">
        <f t="shared" ref="U70" si="149">$R70*F70</f>
        <v>14857.700849999999</v>
      </c>
      <c r="V70" s="3">
        <f t="shared" ref="V70" si="150">$R70*G70</f>
        <v>-13243.17102</v>
      </c>
      <c r="W70" s="3">
        <f t="shared" ref="W70" si="151">$R70*H70</f>
        <v>-7068.2220899999993</v>
      </c>
      <c r="X70" s="3">
        <f t="shared" ref="X70" si="152">$R70*I70</f>
        <v>-6368.3152599999994</v>
      </c>
      <c r="Y70" s="3">
        <f t="shared" ref="Y70" si="153">$R70*J70</f>
        <v>-89.907699999999991</v>
      </c>
      <c r="Z70" s="3">
        <f t="shared" ref="Z70" si="154">$R70*K70</f>
        <v>181.52545999999998</v>
      </c>
      <c r="AA70" s="3">
        <f t="shared" ref="AA70" si="155">$R70*L70</f>
        <v>4251.0536999999995</v>
      </c>
      <c r="AB70" s="3">
        <f t="shared" ref="AB70" si="156">$R70*M70</f>
        <v>12637.291579999999</v>
      </c>
      <c r="AC70" s="18">
        <f t="shared" ref="AC70" si="157">$R70*N70</f>
        <v>7013.5001699999993</v>
      </c>
      <c r="AD70" s="18">
        <f t="shared" ref="AD70" si="158">$R70*O70</f>
        <v>9184.265879999999</v>
      </c>
      <c r="AE70" s="3">
        <f t="shared" si="95"/>
        <v>-3028.5939900000085</v>
      </c>
      <c r="AF70" t="s">
        <v>22</v>
      </c>
    </row>
    <row r="71" spans="1:34" x14ac:dyDescent="0.25">
      <c r="D71" s="6">
        <f>D52+D55+D58+D61+D64+D67+D70</f>
        <v>257902</v>
      </c>
      <c r="E71" s="6">
        <f t="shared" ref="E71:O71" si="159">E52+E55+E58+E61+E64+E67+E70</f>
        <v>1236720</v>
      </c>
      <c r="F71" s="6">
        <f t="shared" si="159"/>
        <v>-7202061</v>
      </c>
      <c r="G71" s="6">
        <f t="shared" si="159"/>
        <v>-5121521</v>
      </c>
      <c r="H71" s="6">
        <f t="shared" si="159"/>
        <v>-3968384</v>
      </c>
      <c r="I71" s="6">
        <f t="shared" si="159"/>
        <v>-1004872</v>
      </c>
      <c r="J71" s="6">
        <f t="shared" si="159"/>
        <v>-198950</v>
      </c>
      <c r="K71" s="6">
        <f t="shared" si="159"/>
        <v>116324</v>
      </c>
      <c r="L71" s="6">
        <f t="shared" si="159"/>
        <v>2537386</v>
      </c>
      <c r="M71" s="6">
        <f t="shared" si="159"/>
        <v>7994246</v>
      </c>
      <c r="N71" s="6">
        <f t="shared" si="159"/>
        <v>4658051</v>
      </c>
      <c r="O71" s="6">
        <f t="shared" si="159"/>
        <v>-798824</v>
      </c>
      <c r="P71" s="2">
        <f t="shared" si="119"/>
        <v>-1493983</v>
      </c>
    </row>
    <row r="72" spans="1:34" x14ac:dyDescent="0.25">
      <c r="A72" t="s">
        <v>29</v>
      </c>
      <c r="B72" t="s">
        <v>18</v>
      </c>
      <c r="D72" s="5">
        <v>955672</v>
      </c>
      <c r="E72" s="5">
        <v>-5579988</v>
      </c>
      <c r="F72" s="5">
        <v>-3103187</v>
      </c>
      <c r="G72" s="5">
        <v>647284</v>
      </c>
      <c r="H72" s="5">
        <v>1858877</v>
      </c>
      <c r="I72" s="5">
        <v>637272</v>
      </c>
      <c r="J72" s="5">
        <v>323996</v>
      </c>
      <c r="K72" s="5">
        <v>486920</v>
      </c>
      <c r="L72" s="5">
        <v>-901358</v>
      </c>
      <c r="M72" s="5">
        <v>-2606962</v>
      </c>
      <c r="N72" s="9">
        <v>-188880</v>
      </c>
      <c r="O72" s="9">
        <v>3044978</v>
      </c>
      <c r="P72" s="2">
        <f t="shared" si="119"/>
        <v>-4425376</v>
      </c>
      <c r="Q72" s="2"/>
      <c r="R72" s="31">
        <f>ROUND((Q4*R4+Q5*R5)/SUM(Q4:Q5),5)</f>
        <v>0.76622000000000001</v>
      </c>
      <c r="S72" s="3">
        <f t="shared" ref="S72:AD74" si="160">$R72*D72</f>
        <v>732254.99984000006</v>
      </c>
      <c r="T72" s="3">
        <f t="shared" si="160"/>
        <v>-4275498.4053600002</v>
      </c>
      <c r="U72" s="3">
        <f t="shared" si="160"/>
        <v>-2377723.9431400001</v>
      </c>
      <c r="V72" s="3">
        <f t="shared" si="160"/>
        <v>495961.94647999998</v>
      </c>
      <c r="W72" s="3">
        <f t="shared" si="160"/>
        <v>1424308.7349400001</v>
      </c>
      <c r="X72" s="3">
        <f t="shared" si="160"/>
        <v>488290.55184000003</v>
      </c>
      <c r="Y72" s="3">
        <f t="shared" si="160"/>
        <v>248252.21512000001</v>
      </c>
      <c r="Z72" s="3">
        <f t="shared" si="160"/>
        <v>373087.84240000002</v>
      </c>
      <c r="AA72" s="3">
        <f t="shared" si="160"/>
        <v>-690638.52676000004</v>
      </c>
      <c r="AB72" s="3">
        <f t="shared" si="160"/>
        <v>-1997506.4236399999</v>
      </c>
      <c r="AC72" s="18">
        <f t="shared" si="160"/>
        <v>-144723.6336</v>
      </c>
      <c r="AD72" s="18">
        <f t="shared" si="160"/>
        <v>2333123.0431599999</v>
      </c>
      <c r="AE72" s="3">
        <f t="shared" si="95"/>
        <v>-3390811.5987200001</v>
      </c>
    </row>
    <row r="73" spans="1:34" x14ac:dyDescent="0.25">
      <c r="A73" t="s">
        <v>31</v>
      </c>
      <c r="B73" t="s">
        <v>18</v>
      </c>
      <c r="D73" s="5">
        <v>297166</v>
      </c>
      <c r="E73" s="5">
        <v>-1736842</v>
      </c>
      <c r="F73" s="5">
        <v>-965494</v>
      </c>
      <c r="G73" s="5">
        <v>233134</v>
      </c>
      <c r="H73" s="5">
        <v>655578</v>
      </c>
      <c r="I73" s="5">
        <v>226858</v>
      </c>
      <c r="J73" s="5">
        <v>112785</v>
      </c>
      <c r="K73" s="5">
        <v>168868</v>
      </c>
      <c r="L73" s="5">
        <v>-312423</v>
      </c>
      <c r="M73" s="5">
        <v>-912947</v>
      </c>
      <c r="N73" s="9">
        <v>-66251</v>
      </c>
      <c r="O73" s="9">
        <v>938940</v>
      </c>
      <c r="P73" s="2">
        <f t="shared" si="119"/>
        <v>-1360628</v>
      </c>
      <c r="Q73" s="2"/>
      <c r="R73" s="31">
        <f>ROUND((Q10*R10+Q11*R11+Q12*R12)/SUM(Q10:Q12),5)</f>
        <v>0.59018000000000004</v>
      </c>
      <c r="S73" s="3">
        <f t="shared" si="160"/>
        <v>175381.42988000001</v>
      </c>
      <c r="T73" s="3">
        <f t="shared" si="160"/>
        <v>-1025049.41156</v>
      </c>
      <c r="U73" s="3">
        <f t="shared" si="160"/>
        <v>-569815.24892000004</v>
      </c>
      <c r="V73" s="3">
        <f t="shared" si="160"/>
        <v>137591.02412000002</v>
      </c>
      <c r="W73" s="3">
        <f t="shared" si="160"/>
        <v>386909.02404000005</v>
      </c>
      <c r="X73" s="3">
        <f t="shared" si="160"/>
        <v>133887.05444000001</v>
      </c>
      <c r="Y73" s="3">
        <f t="shared" si="160"/>
        <v>66563.451300000001</v>
      </c>
      <c r="Z73" s="3">
        <f t="shared" si="160"/>
        <v>99662.516240000012</v>
      </c>
      <c r="AA73" s="3">
        <f t="shared" si="160"/>
        <v>-184385.80614</v>
      </c>
      <c r="AB73" s="3">
        <f t="shared" si="160"/>
        <v>-538803.06046000007</v>
      </c>
      <c r="AC73" s="18">
        <f t="shared" si="160"/>
        <v>-39100.015180000002</v>
      </c>
      <c r="AD73" s="18">
        <f t="shared" si="160"/>
        <v>554143.60920000006</v>
      </c>
      <c r="AE73" s="3">
        <f t="shared" si="95"/>
        <v>-803015.43304000003</v>
      </c>
    </row>
    <row r="74" spans="1:34" x14ac:dyDescent="0.25">
      <c r="A74" t="s">
        <v>40</v>
      </c>
      <c r="B74" t="s">
        <v>18</v>
      </c>
      <c r="D74" s="5">
        <v>407</v>
      </c>
      <c r="E74" s="5">
        <v>-2419</v>
      </c>
      <c r="F74" s="5">
        <v>-1952</v>
      </c>
      <c r="G74" s="5">
        <v>480</v>
      </c>
      <c r="H74" s="5">
        <v>1349</v>
      </c>
      <c r="I74" s="5">
        <v>-469</v>
      </c>
      <c r="J74" s="5">
        <v>165</v>
      </c>
      <c r="K74" s="5">
        <v>310</v>
      </c>
      <c r="L74" s="5">
        <v>-585</v>
      </c>
      <c r="M74" s="5">
        <v>-1553</v>
      </c>
      <c r="N74" s="9">
        <v>-137</v>
      </c>
      <c r="O74" s="9">
        <v>2554</v>
      </c>
      <c r="P74" s="2">
        <f t="shared" si="119"/>
        <v>-1850</v>
      </c>
      <c r="Q74" s="2"/>
      <c r="R74" s="31">
        <f>ROUND((Q18*R18+Q19*R19+Q20*R20+Q21*R21+Q22*R22)/SUM(Q18:Q22),5)</f>
        <v>0.51354999999999995</v>
      </c>
      <c r="S74" s="3">
        <f t="shared" si="160"/>
        <v>209.01484999999997</v>
      </c>
      <c r="T74" s="3">
        <f t="shared" si="160"/>
        <v>-1242.2774499999998</v>
      </c>
      <c r="U74" s="3">
        <f t="shared" si="160"/>
        <v>-1002.4495999999999</v>
      </c>
      <c r="V74" s="3">
        <f t="shared" si="160"/>
        <v>246.50399999999996</v>
      </c>
      <c r="W74" s="3">
        <f t="shared" si="160"/>
        <v>692.7789499999999</v>
      </c>
      <c r="X74" s="3">
        <f t="shared" si="160"/>
        <v>-240.85494999999997</v>
      </c>
      <c r="Y74" s="3">
        <f t="shared" si="160"/>
        <v>84.735749999999996</v>
      </c>
      <c r="Z74" s="3">
        <f t="shared" si="160"/>
        <v>159.20049999999998</v>
      </c>
      <c r="AA74" s="3">
        <f t="shared" si="160"/>
        <v>-300.42674999999997</v>
      </c>
      <c r="AB74" s="3">
        <f t="shared" si="160"/>
        <v>-797.54314999999997</v>
      </c>
      <c r="AC74" s="18">
        <f t="shared" si="160"/>
        <v>-70.356349999999992</v>
      </c>
      <c r="AD74" s="18">
        <f t="shared" si="160"/>
        <v>1311.6066999999998</v>
      </c>
      <c r="AE74" s="3">
        <f t="shared" si="95"/>
        <v>-950.06750000000011</v>
      </c>
    </row>
    <row r="76" spans="1:34" x14ac:dyDescent="0.25">
      <c r="A76" t="s">
        <v>23</v>
      </c>
      <c r="C76" t="s">
        <v>47</v>
      </c>
    </row>
    <row r="77" spans="1:34" x14ac:dyDescent="0.25">
      <c r="A77" t="s">
        <v>41</v>
      </c>
      <c r="D77" s="2">
        <f>SUM(D4:D5,D7:D8)+D52+D72</f>
        <v>22054733.687490005</v>
      </c>
      <c r="E77" s="2">
        <f t="shared" ref="E77:O77" si="161">SUM(E4:E5,E7:E8)+E52+E72</f>
        <v>17840063.537939996</v>
      </c>
      <c r="F77" s="2">
        <f t="shared" si="161"/>
        <v>15393389.434899997</v>
      </c>
      <c r="G77" s="2">
        <f t="shared" si="161"/>
        <v>9336254.8068300001</v>
      </c>
      <c r="H77" s="2">
        <f t="shared" si="161"/>
        <v>6177833.7046500007</v>
      </c>
      <c r="I77" s="2">
        <f t="shared" si="161"/>
        <v>3138058.9127999996</v>
      </c>
      <c r="J77" s="2">
        <f t="shared" si="161"/>
        <v>2719095.9614700004</v>
      </c>
      <c r="K77" s="2">
        <f t="shared" si="161"/>
        <v>2706157.1273299996</v>
      </c>
      <c r="L77" s="2">
        <f t="shared" si="161"/>
        <v>2771664.1403299998</v>
      </c>
      <c r="M77" s="2">
        <f t="shared" si="161"/>
        <v>10156075.928240001</v>
      </c>
      <c r="N77" s="14">
        <f t="shared" si="161"/>
        <v>17142104.246089999</v>
      </c>
      <c r="O77" s="14">
        <f t="shared" si="161"/>
        <v>22672170.084460001</v>
      </c>
      <c r="P77" s="6">
        <f>SUM(D77:O77)</f>
        <v>132107601.57253</v>
      </c>
      <c r="S77" s="3">
        <f>SUM(S3:S8)+S52+S72</f>
        <v>18584470.174729712</v>
      </c>
      <c r="T77" s="3">
        <f t="shared" ref="T77:AD77" si="162">SUM(T3:T8)+T52+T72</f>
        <v>15382917.473430688</v>
      </c>
      <c r="U77" s="3">
        <f t="shared" si="162"/>
        <v>13688094.808320235</v>
      </c>
      <c r="V77" s="3">
        <f t="shared" si="162"/>
        <v>8441776.2389184739</v>
      </c>
      <c r="W77" s="3">
        <f t="shared" si="162"/>
        <v>6053290.0183555996</v>
      </c>
      <c r="X77" s="3">
        <f t="shared" si="162"/>
        <v>3823082.7374355411</v>
      </c>
      <c r="Y77" s="3">
        <f t="shared" si="162"/>
        <v>3540552.1944334409</v>
      </c>
      <c r="Z77" s="3">
        <f t="shared" si="162"/>
        <v>3547543.5865718736</v>
      </c>
      <c r="AA77" s="3">
        <f t="shared" si="162"/>
        <v>3547703.623389787</v>
      </c>
      <c r="AB77" s="3">
        <f t="shared" si="162"/>
        <v>9064153.4271448608</v>
      </c>
      <c r="AC77" s="18">
        <f t="shared" si="162"/>
        <v>14453680.78270473</v>
      </c>
      <c r="AD77" s="18">
        <f t="shared" si="162"/>
        <v>19013787.920768395</v>
      </c>
      <c r="AE77" s="3">
        <f>SUM(S77:AD77)</f>
        <v>119141052.98620333</v>
      </c>
      <c r="AF77" s="3">
        <f>AE77</f>
        <v>119141052.98620333</v>
      </c>
      <c r="AH77" t="s">
        <v>56</v>
      </c>
    </row>
    <row r="78" spans="1:34" x14ac:dyDescent="0.25">
      <c r="A78" t="s">
        <v>42</v>
      </c>
      <c r="D78" s="2">
        <f>SUM(D10:D12,D14:D16)+D55+D58+D73</f>
        <v>8318396.0882399995</v>
      </c>
      <c r="E78" s="2">
        <f t="shared" ref="E78:O78" si="163">SUM(E10:E12,E14:E16)+E55+E58+E73</f>
        <v>7267385.837989999</v>
      </c>
      <c r="F78" s="2">
        <f t="shared" si="163"/>
        <v>5870948.8489899989</v>
      </c>
      <c r="G78" s="2">
        <f t="shared" si="163"/>
        <v>4773187.0007800004</v>
      </c>
      <c r="H78" s="2">
        <f t="shared" si="163"/>
        <v>3058220.1222300003</v>
      </c>
      <c r="I78" s="2">
        <f t="shared" si="163"/>
        <v>2642872.6159599996</v>
      </c>
      <c r="J78" s="2">
        <f t="shared" si="163"/>
        <v>1934092.2532299999</v>
      </c>
      <c r="K78" s="2">
        <f t="shared" si="163"/>
        <v>2002290.4203099997</v>
      </c>
      <c r="L78" s="2">
        <f t="shared" si="163"/>
        <v>2541912.5849299999</v>
      </c>
      <c r="M78" s="2">
        <f t="shared" si="163"/>
        <v>4407721.1733500008</v>
      </c>
      <c r="N78" s="14">
        <f t="shared" si="163"/>
        <v>6456060.6331899995</v>
      </c>
      <c r="O78" s="14">
        <f t="shared" si="163"/>
        <v>8230620.0773600014</v>
      </c>
      <c r="P78" s="6">
        <f t="shared" ref="P78:P82" si="164">SUM(D78:O78)</f>
        <v>57503707.656560004</v>
      </c>
      <c r="S78" s="3">
        <f>SUM(S9:S16)+S55+S58+S73</f>
        <v>5168741.967872397</v>
      </c>
      <c r="T78" s="3">
        <f t="shared" ref="T78:AD78" si="165">SUM(T9:T16)+T55+T58+T73</f>
        <v>4531581.3131150631</v>
      </c>
      <c r="U78" s="3">
        <f t="shared" si="165"/>
        <v>3757306.2866723677</v>
      </c>
      <c r="V78" s="3">
        <f t="shared" si="165"/>
        <v>3086643.3734240397</v>
      </c>
      <c r="W78" s="3">
        <f t="shared" si="165"/>
        <v>2064045.3768879187</v>
      </c>
      <c r="X78" s="3">
        <f t="shared" si="165"/>
        <v>1802850.8479405106</v>
      </c>
      <c r="Y78" s="3">
        <f t="shared" si="165"/>
        <v>1397889.0665346009</v>
      </c>
      <c r="Z78" s="3">
        <f t="shared" si="165"/>
        <v>1438490.5682699091</v>
      </c>
      <c r="AA78" s="3">
        <f t="shared" si="165"/>
        <v>1733542.4017595192</v>
      </c>
      <c r="AB78" s="3">
        <f t="shared" si="165"/>
        <v>2821926.3514359696</v>
      </c>
      <c r="AC78" s="18">
        <f t="shared" si="165"/>
        <v>4057983.9010915407</v>
      </c>
      <c r="AD78" s="18">
        <f t="shared" si="165"/>
        <v>5129675.5354122818</v>
      </c>
      <c r="AE78" s="3">
        <f t="shared" ref="AE78:AE82" si="166">SUM(S78:AD78)</f>
        <v>36990676.990416124</v>
      </c>
    </row>
    <row r="79" spans="1:34" x14ac:dyDescent="0.25">
      <c r="A79" t="s">
        <v>43</v>
      </c>
      <c r="D79" s="2">
        <f>SUM(D18:D22,D24:D28)+D61+D64+D74</f>
        <v>189568.99300000002</v>
      </c>
      <c r="E79" s="2">
        <f t="shared" ref="E79:O79" si="167">SUM(E18:E22,E24:E28)+E61+E64+E74</f>
        <v>231848.48</v>
      </c>
      <c r="F79" s="2">
        <f t="shared" si="167"/>
        <v>172299.06400000001</v>
      </c>
      <c r="G79" s="2">
        <f t="shared" si="167"/>
        <v>151875.63400000002</v>
      </c>
      <c r="H79" s="2">
        <f t="shared" si="167"/>
        <v>134449.50200000001</v>
      </c>
      <c r="I79" s="2">
        <f t="shared" si="167"/>
        <v>-65477.108739999996</v>
      </c>
      <c r="J79" s="2">
        <f t="shared" si="167"/>
        <v>165362.516</v>
      </c>
      <c r="K79" s="2">
        <f t="shared" si="167"/>
        <v>163711.69</v>
      </c>
      <c r="L79" s="2">
        <f t="shared" si="167"/>
        <v>144617.38400000002</v>
      </c>
      <c r="M79" s="2">
        <f t="shared" si="167"/>
        <v>222503.41799999998</v>
      </c>
      <c r="N79" s="2">
        <f t="shared" si="167"/>
        <v>636485.375</v>
      </c>
      <c r="O79" s="2">
        <f t="shared" si="167"/>
        <v>767613.0290000001</v>
      </c>
      <c r="P79" s="6">
        <f t="shared" si="164"/>
        <v>2914857.9762600004</v>
      </c>
      <c r="S79" s="3">
        <f>SUM(S17:S28)+S61+S64+S74</f>
        <v>94726.067190179994</v>
      </c>
      <c r="T79" s="3">
        <f t="shared" ref="T79:AD79" si="168">SUM(T17:T28)+T61+T64+T74</f>
        <v>116286.34139860001</v>
      </c>
      <c r="U79" s="3">
        <f t="shared" si="168"/>
        <v>86123.283936639986</v>
      </c>
      <c r="V79" s="3">
        <f t="shared" si="168"/>
        <v>77961.065721130013</v>
      </c>
      <c r="W79" s="3">
        <f t="shared" si="168"/>
        <v>70323.443962369987</v>
      </c>
      <c r="X79" s="3">
        <f t="shared" si="168"/>
        <v>-38401.580780065713</v>
      </c>
      <c r="Y79" s="3">
        <f t="shared" si="168"/>
        <v>86347.917648910006</v>
      </c>
      <c r="Z79" s="3">
        <f t="shared" si="168"/>
        <v>86283.657096339288</v>
      </c>
      <c r="AA79" s="3">
        <f t="shared" si="168"/>
        <v>76301.04673899</v>
      </c>
      <c r="AB79" s="3">
        <f t="shared" si="168"/>
        <v>114996.87893568</v>
      </c>
      <c r="AC79" s="3">
        <f t="shared" si="168"/>
        <v>310275.63972694997</v>
      </c>
      <c r="AD79" s="3">
        <f t="shared" si="168"/>
        <v>369395.42393009004</v>
      </c>
      <c r="AE79" s="3">
        <f t="shared" si="166"/>
        <v>1450619.1855058135</v>
      </c>
      <c r="AF79" s="3">
        <f>AE78+AE79+AE80-AE85</f>
        <v>38441296.175921939</v>
      </c>
      <c r="AH79" t="s">
        <v>57</v>
      </c>
    </row>
    <row r="80" spans="1:34" x14ac:dyDescent="0.25">
      <c r="A80" t="s">
        <v>44</v>
      </c>
      <c r="D80" s="2">
        <f>SUM(D30:D33)+SUM(D35:D38)</f>
        <v>141223.598</v>
      </c>
      <c r="E80" s="2">
        <f t="shared" ref="E80:O80" si="169">SUM(E30:E33)+SUM(E35:E38)</f>
        <v>142095.962</v>
      </c>
      <c r="F80" s="2">
        <f t="shared" si="169"/>
        <v>133435.25400000002</v>
      </c>
      <c r="G80" s="2">
        <f t="shared" si="169"/>
        <v>97799.154999999984</v>
      </c>
      <c r="H80" s="2">
        <f t="shared" si="169"/>
        <v>74295.216</v>
      </c>
      <c r="I80" s="2">
        <f t="shared" si="169"/>
        <v>52474.186000000002</v>
      </c>
      <c r="J80" s="2">
        <f t="shared" si="169"/>
        <v>38599.68</v>
      </c>
      <c r="K80" s="2">
        <f t="shared" si="169"/>
        <v>36912.334999999999</v>
      </c>
      <c r="L80" s="2">
        <f t="shared" si="169"/>
        <v>11737.691999999999</v>
      </c>
      <c r="M80" s="2">
        <f t="shared" si="169"/>
        <v>107004.38</v>
      </c>
      <c r="N80" s="14">
        <f t="shared" si="169"/>
        <v>95173.206999999995</v>
      </c>
      <c r="O80" s="14">
        <f t="shared" si="169"/>
        <v>62449.625</v>
      </c>
      <c r="P80" s="6">
        <f t="shared" si="164"/>
        <v>993200.29</v>
      </c>
      <c r="S80" s="3">
        <f>SUM(S29:S38)</f>
        <v>63268.274015080002</v>
      </c>
      <c r="T80" s="3">
        <f t="shared" ref="T80:AD80" si="170">SUM(T29:T38)</f>
        <v>63635.068182520001</v>
      </c>
      <c r="U80" s="3">
        <f t="shared" si="170"/>
        <v>59993.586896840003</v>
      </c>
      <c r="V80" s="3">
        <f t="shared" si="170"/>
        <v>44909.142532399994</v>
      </c>
      <c r="W80" s="3">
        <f t="shared" si="170"/>
        <v>34569.772706560005</v>
      </c>
      <c r="X80" s="3">
        <f t="shared" si="170"/>
        <v>24904.233179040002</v>
      </c>
      <c r="Y80" s="3">
        <f t="shared" si="170"/>
        <v>18595.095030519999</v>
      </c>
      <c r="Z80" s="3">
        <f t="shared" si="170"/>
        <v>17869.371385400002</v>
      </c>
      <c r="AA80" s="3">
        <f t="shared" si="170"/>
        <v>5876.1669060800004</v>
      </c>
      <c r="AB80" s="3">
        <f t="shared" si="170"/>
        <v>49862.181303279998</v>
      </c>
      <c r="AC80" s="18">
        <f t="shared" si="170"/>
        <v>43710.935080720003</v>
      </c>
      <c r="AD80" s="18">
        <f t="shared" si="170"/>
        <v>28202.269327500002</v>
      </c>
      <c r="AE80" s="3">
        <f t="shared" si="166"/>
        <v>455396.09654594003</v>
      </c>
    </row>
    <row r="81" spans="1:34" x14ac:dyDescent="0.25">
      <c r="A81" t="s">
        <v>45</v>
      </c>
      <c r="D81" s="2">
        <f>SUM(D40:D44)+D67</f>
        <v>3921073</v>
      </c>
      <c r="E81" s="2">
        <f t="shared" ref="E81:O81" si="171">SUM(E40:E44)+E67</f>
        <v>3900873</v>
      </c>
      <c r="F81" s="2">
        <f t="shared" si="171"/>
        <v>3846520</v>
      </c>
      <c r="G81" s="2">
        <f t="shared" si="171"/>
        <v>3113093</v>
      </c>
      <c r="H81" s="2">
        <f t="shared" si="171"/>
        <v>2599421</v>
      </c>
      <c r="I81" s="2">
        <f t="shared" si="171"/>
        <v>2420689</v>
      </c>
      <c r="J81" s="2">
        <f t="shared" si="171"/>
        <v>2422953</v>
      </c>
      <c r="K81" s="2">
        <f t="shared" si="171"/>
        <v>2327120</v>
      </c>
      <c r="L81" s="2">
        <f t="shared" si="171"/>
        <v>2566210</v>
      </c>
      <c r="M81" s="2">
        <f t="shared" si="171"/>
        <v>3210854</v>
      </c>
      <c r="N81" s="14">
        <f t="shared" si="171"/>
        <v>3205986</v>
      </c>
      <c r="O81" s="14">
        <f t="shared" si="171"/>
        <v>3157669</v>
      </c>
      <c r="P81" s="6">
        <f t="shared" si="164"/>
        <v>36692461</v>
      </c>
      <c r="S81" s="3">
        <f>SUM(S39:S44)+S67</f>
        <v>360311.24517000001</v>
      </c>
      <c r="T81" s="3">
        <f t="shared" ref="T81:AD81" si="172">SUM(T39:T44)+T67</f>
        <v>356483.99767000007</v>
      </c>
      <c r="U81" s="3">
        <f t="shared" si="172"/>
        <v>352002.57357000007</v>
      </c>
      <c r="V81" s="3">
        <f t="shared" si="172"/>
        <v>289303.76324000006</v>
      </c>
      <c r="W81" s="3">
        <f t="shared" si="172"/>
        <v>248913.59152999998</v>
      </c>
      <c r="X81" s="3">
        <f t="shared" si="172"/>
        <v>235623.57652999999</v>
      </c>
      <c r="Y81" s="3">
        <f t="shared" si="172"/>
        <v>234543.74265999999</v>
      </c>
      <c r="Z81" s="3">
        <f t="shared" si="172"/>
        <v>226639.10013000001</v>
      </c>
      <c r="AA81" s="3">
        <f t="shared" si="172"/>
        <v>246872.33286999998</v>
      </c>
      <c r="AB81" s="3">
        <f t="shared" si="172"/>
        <v>302157.52494000003</v>
      </c>
      <c r="AC81" s="18">
        <f t="shared" si="172"/>
        <v>301231.30812000006</v>
      </c>
      <c r="AD81" s="18">
        <f t="shared" si="172"/>
        <v>294694.27711999998</v>
      </c>
      <c r="AE81" s="3">
        <f t="shared" si="166"/>
        <v>3448777.0335499998</v>
      </c>
      <c r="AF81" s="3">
        <f>AE81+AE82+AE85</f>
        <v>5346105.6389959399</v>
      </c>
      <c r="AH81" t="s">
        <v>58</v>
      </c>
    </row>
    <row r="82" spans="1:34" x14ac:dyDescent="0.25">
      <c r="A82" t="s">
        <v>46</v>
      </c>
      <c r="D82" s="2">
        <f>D46+D48+D70</f>
        <v>5208724</v>
      </c>
      <c r="E82" s="2">
        <f t="shared" ref="E82:O82" si="173">E46+E48+E70</f>
        <v>4143533</v>
      </c>
      <c r="F82" s="2">
        <f t="shared" si="173"/>
        <v>5246264</v>
      </c>
      <c r="G82" s="2">
        <f t="shared" si="173"/>
        <v>4843656</v>
      </c>
      <c r="H82" s="2">
        <f t="shared" si="173"/>
        <v>3779526</v>
      </c>
      <c r="I82" s="2">
        <f t="shared" si="173"/>
        <v>3631989</v>
      </c>
      <c r="J82" s="2">
        <f t="shared" si="173"/>
        <v>3876930</v>
      </c>
      <c r="K82" s="2">
        <f t="shared" si="173"/>
        <v>4163940</v>
      </c>
      <c r="L82" s="2">
        <f t="shared" si="173"/>
        <v>5083804</v>
      </c>
      <c r="M82" s="2">
        <f t="shared" si="173"/>
        <v>4979724</v>
      </c>
      <c r="N82" s="14">
        <f t="shared" si="173"/>
        <v>5876490</v>
      </c>
      <c r="O82" s="14">
        <f t="shared" si="173"/>
        <v>5879562</v>
      </c>
      <c r="P82" s="6">
        <f t="shared" si="164"/>
        <v>56714142</v>
      </c>
      <c r="S82" s="3">
        <f>SUM(S45:S48)+S70</f>
        <v>127569.46117</v>
      </c>
      <c r="T82" s="3">
        <f t="shared" ref="T82:AD82" si="174">SUM(T45:T48)+T70</f>
        <v>101784.68042999999</v>
      </c>
      <c r="U82" s="3">
        <f t="shared" si="174"/>
        <v>133204.26423999999</v>
      </c>
      <c r="V82" s="3">
        <f t="shared" si="174"/>
        <v>112187.41650000001</v>
      </c>
      <c r="W82" s="3">
        <f t="shared" si="174"/>
        <v>99627.905160000009</v>
      </c>
      <c r="X82" s="3">
        <f t="shared" si="174"/>
        <v>99370.915139999997</v>
      </c>
      <c r="Y82" s="3">
        <f t="shared" si="174"/>
        <v>106279.20671</v>
      </c>
      <c r="Z82" s="3">
        <f t="shared" si="174"/>
        <v>112688.59263</v>
      </c>
      <c r="AA82" s="3">
        <f t="shared" si="174"/>
        <v>130799.83429000001</v>
      </c>
      <c r="AB82" s="3">
        <f t="shared" si="174"/>
        <v>130439.17427</v>
      </c>
      <c r="AC82" s="18">
        <f t="shared" si="174"/>
        <v>144122.75474</v>
      </c>
      <c r="AD82" s="18">
        <f t="shared" si="174"/>
        <v>143858.30361999999</v>
      </c>
      <c r="AE82" s="3">
        <f t="shared" si="166"/>
        <v>1441932.5089</v>
      </c>
    </row>
    <row r="83" spans="1:34" x14ac:dyDescent="0.25">
      <c r="A83" t="s">
        <v>24</v>
      </c>
      <c r="D83" s="8">
        <f>SUM(D77:D82)</f>
        <v>39833719.366730005</v>
      </c>
      <c r="E83" s="8">
        <f t="shared" ref="E83:P83" si="175">SUM(E77:E82)</f>
        <v>33525799.817929998</v>
      </c>
      <c r="F83" s="8">
        <f t="shared" si="175"/>
        <v>30662856.601889994</v>
      </c>
      <c r="G83" s="8">
        <f t="shared" si="175"/>
        <v>22315865.596610002</v>
      </c>
      <c r="H83" s="8">
        <f t="shared" si="175"/>
        <v>15823745.544880001</v>
      </c>
      <c r="I83" s="8">
        <f t="shared" si="175"/>
        <v>11820606.60602</v>
      </c>
      <c r="J83" s="8">
        <f t="shared" si="175"/>
        <v>11157033.410700001</v>
      </c>
      <c r="K83" s="8">
        <f t="shared" si="175"/>
        <v>11400131.57264</v>
      </c>
      <c r="L83" s="8">
        <f t="shared" si="175"/>
        <v>13119945.801259998</v>
      </c>
      <c r="M83" s="8">
        <f t="shared" si="175"/>
        <v>23083882.899590001</v>
      </c>
      <c r="N83" s="17">
        <f t="shared" si="175"/>
        <v>33412299.461279996</v>
      </c>
      <c r="O83" s="17">
        <f t="shared" si="175"/>
        <v>40770083.815820001</v>
      </c>
      <c r="P83" s="8">
        <f t="shared" si="175"/>
        <v>286925970.49535</v>
      </c>
      <c r="S83" s="7">
        <f>SUM(S77:S82)</f>
        <v>24399087.19014737</v>
      </c>
      <c r="T83" s="7">
        <f t="shared" ref="T83:AD83" si="176">SUM(T77:T82)</f>
        <v>20552688.874226868</v>
      </c>
      <c r="U83" s="7">
        <f t="shared" si="176"/>
        <v>18076724.803636085</v>
      </c>
      <c r="V83" s="7">
        <f t="shared" si="176"/>
        <v>12052781.000336045</v>
      </c>
      <c r="W83" s="7">
        <f t="shared" si="176"/>
        <v>8570770.1086024493</v>
      </c>
      <c r="X83" s="7">
        <f t="shared" si="176"/>
        <v>5947430.7294450272</v>
      </c>
      <c r="Y83" s="7">
        <f t="shared" si="176"/>
        <v>5384207.2230174709</v>
      </c>
      <c r="Z83" s="7">
        <f t="shared" si="176"/>
        <v>5429514.8760835221</v>
      </c>
      <c r="AA83" s="7">
        <f t="shared" si="176"/>
        <v>5741095.4059543759</v>
      </c>
      <c r="AB83" s="7">
        <f t="shared" si="176"/>
        <v>12483535.53802979</v>
      </c>
      <c r="AC83" s="19">
        <f t="shared" si="176"/>
        <v>19311005.321463943</v>
      </c>
      <c r="AD83" s="19">
        <f t="shared" si="176"/>
        <v>24979613.730178267</v>
      </c>
      <c r="AE83" s="7">
        <f>SUM(AE77:AE82)</f>
        <v>162928454.80112118</v>
      </c>
      <c r="AF83" s="3">
        <f>SUM(AF77:AF82)</f>
        <v>162928454.80112121</v>
      </c>
    </row>
    <row r="84" spans="1:34" x14ac:dyDescent="0.25">
      <c r="D84" s="27">
        <f>D83/$P$83</f>
        <v>0.13882925723998052</v>
      </c>
      <c r="E84" s="27">
        <f t="shared" ref="E84:O84" si="177">E83/$P$83</f>
        <v>0.11684477274765662</v>
      </c>
      <c r="F84" s="27">
        <f t="shared" si="177"/>
        <v>0.10686678709826626</v>
      </c>
      <c r="G84" s="27">
        <f t="shared" si="177"/>
        <v>7.777569091457219E-2</v>
      </c>
      <c r="H84" s="27">
        <f t="shared" si="177"/>
        <v>5.5149227229455151E-2</v>
      </c>
      <c r="I84" s="27">
        <f t="shared" si="177"/>
        <v>4.1197409163112222E-2</v>
      </c>
      <c r="J84" s="27">
        <f t="shared" si="177"/>
        <v>3.8884710894027681E-2</v>
      </c>
      <c r="K84" s="27">
        <f t="shared" si="177"/>
        <v>3.9731961359087756E-2</v>
      </c>
      <c r="L84" s="27">
        <f t="shared" si="177"/>
        <v>4.5725891520414404E-2</v>
      </c>
      <c r="M84" s="27">
        <f t="shared" si="177"/>
        <v>8.045239982891024E-2</v>
      </c>
      <c r="N84" s="27">
        <f t="shared" si="177"/>
        <v>0.11644919908642945</v>
      </c>
      <c r="O84" s="27">
        <f t="shared" si="177"/>
        <v>0.14209269291808749</v>
      </c>
      <c r="P84" s="27">
        <f>SUM(D84:O84)</f>
        <v>1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/>
      <c r="AD84" s="25"/>
      <c r="AE84" s="24"/>
    </row>
    <row r="85" spans="1:34" x14ac:dyDescent="0.25">
      <c r="A85" t="s">
        <v>63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23"/>
      <c r="P85" s="22"/>
      <c r="S85" s="24">
        <f t="shared" ref="S85:V85" si="178">SUM(S34:S38)</f>
        <v>63268.274015080002</v>
      </c>
      <c r="T85" s="24">
        <f t="shared" si="178"/>
        <v>63635.068182520001</v>
      </c>
      <c r="U85" s="24">
        <f t="shared" si="178"/>
        <v>59993.586896840003</v>
      </c>
      <c r="V85" s="24">
        <f t="shared" si="178"/>
        <v>44909.142532399994</v>
      </c>
      <c r="W85" s="24">
        <f>SUM(W34:W38)</f>
        <v>34569.772706560005</v>
      </c>
      <c r="X85" s="24">
        <f t="shared" ref="X85:AD85" si="179">SUM(X34:X38)</f>
        <v>24904.233179040002</v>
      </c>
      <c r="Y85" s="24">
        <f t="shared" si="179"/>
        <v>18595.095030519999</v>
      </c>
      <c r="Z85" s="24">
        <f t="shared" si="179"/>
        <v>17869.371385400002</v>
      </c>
      <c r="AA85" s="24">
        <f t="shared" si="179"/>
        <v>5876.1669060800004</v>
      </c>
      <c r="AB85" s="24">
        <f t="shared" si="179"/>
        <v>49862.181303279998</v>
      </c>
      <c r="AC85" s="24">
        <f t="shared" si="179"/>
        <v>43710.935080720003</v>
      </c>
      <c r="AD85" s="24">
        <f t="shared" si="179"/>
        <v>28202.269327500002</v>
      </c>
      <c r="AE85" s="3">
        <f t="shared" ref="AE85" si="180">SUM(S85:AD85)</f>
        <v>455396.09654594003</v>
      </c>
    </row>
    <row r="87" spans="1:34" x14ac:dyDescent="0.25">
      <c r="A87" t="s">
        <v>25</v>
      </c>
      <c r="C87" t="s">
        <v>26</v>
      </c>
      <c r="R87" s="29" t="s">
        <v>27</v>
      </c>
    </row>
    <row r="88" spans="1:34" x14ac:dyDescent="0.25">
      <c r="A88" t="s">
        <v>41</v>
      </c>
      <c r="D88" s="2">
        <f>D77/(D3+D6)</f>
        <v>134.10801549049896</v>
      </c>
      <c r="E88" s="2">
        <f t="shared" ref="E88:O88" si="181">E77/(E3+E6)</f>
        <v>110.42308191915126</v>
      </c>
      <c r="F88" s="2">
        <f t="shared" si="181"/>
        <v>92.123579011340837</v>
      </c>
      <c r="G88" s="2">
        <f t="shared" si="181"/>
        <v>57.240413024842738</v>
      </c>
      <c r="H88" s="2">
        <f t="shared" si="181"/>
        <v>37.018286163309092</v>
      </c>
      <c r="I88" s="2">
        <f t="shared" si="181"/>
        <v>19.06626229775134</v>
      </c>
      <c r="J88" s="2">
        <f t="shared" si="181"/>
        <v>16.443989969882981</v>
      </c>
      <c r="K88" s="2">
        <f t="shared" si="181"/>
        <v>16.332356390010439</v>
      </c>
      <c r="L88" s="2">
        <f t="shared" si="181"/>
        <v>17.074046647179852</v>
      </c>
      <c r="M88" s="2">
        <f t="shared" si="181"/>
        <v>59.936239602946046</v>
      </c>
      <c r="N88" s="14">
        <f t="shared" si="181"/>
        <v>102.81417297584703</v>
      </c>
      <c r="O88" s="14">
        <f t="shared" si="181"/>
        <v>135.68674792605273</v>
      </c>
      <c r="P88" s="2">
        <f t="shared" ref="P88" si="182">P77/(P3+P6)</f>
        <v>66.57511724182713</v>
      </c>
      <c r="S88" s="3">
        <f t="shared" ref="S88:AE88" si="183">S77/(D3+D6)</f>
        <v>113.00641619123597</v>
      </c>
      <c r="T88" s="3">
        <f t="shared" ref="T88" si="184">T77/(E3+E6)</f>
        <v>95.214299697517887</v>
      </c>
      <c r="U88" s="3">
        <f t="shared" ref="U88" si="185">U77/(F3+F6)</f>
        <v>81.918039488436136</v>
      </c>
      <c r="V88" s="3">
        <f t="shared" ref="V88" si="186">V77/(G3+G6)</f>
        <v>51.756380751894312</v>
      </c>
      <c r="W88" s="3">
        <f t="shared" ref="W88" si="187">W77/(H3+H6)</f>
        <v>36.272006150040141</v>
      </c>
      <c r="X88" s="3">
        <f t="shared" ref="X88" si="188">X77/(I3+I6)</f>
        <v>23.228339646725082</v>
      </c>
      <c r="Y88" s="3">
        <f t="shared" ref="Y88" si="189">Y77/(J3+J6)</f>
        <v>21.411824223237524</v>
      </c>
      <c r="Z88" s="3">
        <f t="shared" ref="Z88" si="190">Z77/(K3+K6)</f>
        <v>21.410340729975761</v>
      </c>
      <c r="AA88" s="3">
        <f t="shared" ref="AA88" si="191">AA77/(L3+L6)</f>
        <v>21.854616609108415</v>
      </c>
      <c r="AB88" s="3">
        <f t="shared" ref="AB88" si="192">AB77/(M3+M6)</f>
        <v>53.492242027907444</v>
      </c>
      <c r="AC88" s="18">
        <f t="shared" ref="AC88" si="193">AC77/(N3+N6)</f>
        <v>86.689662762355255</v>
      </c>
      <c r="AD88" s="18">
        <f t="shared" ref="AD88" si="194">AD77/(O3+O6)</f>
        <v>113.79232949972706</v>
      </c>
      <c r="AE88" s="3">
        <f t="shared" si="183"/>
        <v>60.040674998678817</v>
      </c>
    </row>
    <row r="89" spans="1:34" x14ac:dyDescent="0.25">
      <c r="A89" t="s">
        <v>42</v>
      </c>
      <c r="D89" s="2">
        <f>D78/(D9+D13)</f>
        <v>2683.3535768516126</v>
      </c>
      <c r="E89" s="2">
        <f t="shared" ref="E89:O89" si="195">E78/(E9+E13)</f>
        <v>2384.3129389730966</v>
      </c>
      <c r="F89" s="2">
        <f t="shared" si="195"/>
        <v>1862.6106754409896</v>
      </c>
      <c r="G89" s="2">
        <f t="shared" si="195"/>
        <v>1538.7450034751773</v>
      </c>
      <c r="H89" s="2">
        <f t="shared" si="195"/>
        <v>985.25132803801557</v>
      </c>
      <c r="I89" s="2">
        <f t="shared" si="195"/>
        <v>853.91683875928902</v>
      </c>
      <c r="J89" s="2">
        <f t="shared" si="195"/>
        <v>621.89461518649512</v>
      </c>
      <c r="K89" s="2">
        <f t="shared" si="195"/>
        <v>645.48369449065115</v>
      </c>
      <c r="L89" s="2">
        <f t="shared" si="195"/>
        <v>836.98142407968385</v>
      </c>
      <c r="M89" s="2">
        <f t="shared" si="195"/>
        <v>1405.0752863723305</v>
      </c>
      <c r="N89" s="14">
        <f t="shared" si="195"/>
        <v>2095.4432434891269</v>
      </c>
      <c r="O89" s="14">
        <f t="shared" si="195"/>
        <v>2634.6415100384129</v>
      </c>
      <c r="P89" s="2">
        <f t="shared" ref="P89" si="196">P78/(P9+P13)</f>
        <v>1546.1310942288665</v>
      </c>
      <c r="S89" s="3">
        <f t="shared" ref="S89:AE89" si="197">S78/(D9+D13)</f>
        <v>1667.3361186685152</v>
      </c>
      <c r="T89" s="3">
        <f t="shared" ref="T89" si="198">T78/(E9+E13)</f>
        <v>1486.7392759563854</v>
      </c>
      <c r="U89" s="3">
        <f t="shared" ref="U89" si="199">U78/(F9+F13)</f>
        <v>1192.0387965331115</v>
      </c>
      <c r="V89" s="3">
        <f t="shared" ref="V89" si="200">V78/(G9+G13)</f>
        <v>995.04944339911015</v>
      </c>
      <c r="W89" s="3">
        <f t="shared" ref="W89" si="201">W78/(H9+H13)</f>
        <v>664.96307245100468</v>
      </c>
      <c r="X89" s="3">
        <f t="shared" ref="X89" si="202">X78/(I9+I13)</f>
        <v>582.50431274329901</v>
      </c>
      <c r="Y89" s="3">
        <f t="shared" ref="Y89" si="203">Y78/(J9+J13)</f>
        <v>449.4820149628942</v>
      </c>
      <c r="Z89" s="3">
        <f t="shared" ref="Z89" si="204">Z78/(K9+K13)</f>
        <v>463.73003490325891</v>
      </c>
      <c r="AA89" s="3">
        <f t="shared" ref="AA89" si="205">AA78/(L9+L13)</f>
        <v>570.80750798798795</v>
      </c>
      <c r="AB89" s="3">
        <f t="shared" ref="AB89" si="206">AB78/(M9+M13)</f>
        <v>899.56211394197305</v>
      </c>
      <c r="AC89" s="18">
        <f t="shared" ref="AC89" si="207">AC78/(N9+N13)</f>
        <v>1317.0996108703475</v>
      </c>
      <c r="AD89" s="18">
        <f t="shared" ref="AD89" si="208">AD78/(O9+O13)</f>
        <v>1642.0216182497702</v>
      </c>
      <c r="AE89" s="3">
        <f t="shared" si="197"/>
        <v>994.58692703850625</v>
      </c>
    </row>
    <row r="90" spans="1:34" x14ac:dyDescent="0.25">
      <c r="A90" t="s">
        <v>43</v>
      </c>
      <c r="D90" s="2">
        <f>D79/(D17+D23)</f>
        <v>47392.248250000004</v>
      </c>
      <c r="E90" s="2">
        <f t="shared" ref="E90:O90" si="209">E79/(E17+E23)</f>
        <v>57962.12</v>
      </c>
      <c r="F90" s="2">
        <f t="shared" si="209"/>
        <v>28716.510666666669</v>
      </c>
      <c r="G90" s="2">
        <f t="shared" si="209"/>
        <v>25312.60566666667</v>
      </c>
      <c r="H90" s="2">
        <f t="shared" si="209"/>
        <v>22408.250333333333</v>
      </c>
      <c r="I90" s="2">
        <f t="shared" si="209"/>
        <v>10912.851456666665</v>
      </c>
      <c r="J90" s="2">
        <f t="shared" si="209"/>
        <v>41340.629000000001</v>
      </c>
      <c r="K90" s="2">
        <f t="shared" si="209"/>
        <v>32742.338</v>
      </c>
      <c r="L90" s="2">
        <f t="shared" si="209"/>
        <v>28923.476800000004</v>
      </c>
      <c r="M90" s="2">
        <f t="shared" si="209"/>
        <v>44500.683599999997</v>
      </c>
      <c r="N90" s="14">
        <f t="shared" si="209"/>
        <v>106080.89583333333</v>
      </c>
      <c r="O90" s="14">
        <f t="shared" si="209"/>
        <v>95951.628625000012</v>
      </c>
      <c r="P90" s="2">
        <f t="shared" ref="P90" si="210">P79/(P17+P23)</f>
        <v>54997.320306792462</v>
      </c>
      <c r="S90" s="3">
        <f t="shared" ref="S90:AE90" si="211">S79/(D17+D23)</f>
        <v>23681.516797544999</v>
      </c>
      <c r="T90" s="3">
        <f t="shared" ref="T90" si="212">T79/(E17+E23)</f>
        <v>29071.585349650002</v>
      </c>
      <c r="U90" s="3">
        <f t="shared" ref="U90" si="213">U79/(F17+F23)</f>
        <v>14353.880656106665</v>
      </c>
      <c r="V90" s="3">
        <f t="shared" ref="V90" si="214">V79/(G17+G23)</f>
        <v>12993.510953521669</v>
      </c>
      <c r="W90" s="3">
        <f t="shared" ref="W90" si="215">W79/(H17+H23)</f>
        <v>11720.573993728331</v>
      </c>
      <c r="X90" s="3">
        <f t="shared" ref="X90" si="216">X79/(I17+I23)</f>
        <v>6400.2634633442858</v>
      </c>
      <c r="Y90" s="3">
        <f t="shared" ref="Y90" si="217">Y79/(J17+J23)</f>
        <v>21586.979412227502</v>
      </c>
      <c r="Z90" s="3">
        <f t="shared" ref="Z90" si="218">Z79/(K17+K23)</f>
        <v>17256.731419267857</v>
      </c>
      <c r="AA90" s="3">
        <f t="shared" ref="AA90" si="219">AA79/(L17+L23)</f>
        <v>15260.209347798</v>
      </c>
      <c r="AB90" s="3">
        <f t="shared" ref="AB90" si="220">AB79/(M17+M23)</f>
        <v>22999.375787135999</v>
      </c>
      <c r="AC90" s="18">
        <f t="shared" ref="AC90" si="221">AC79/(N17+N23)</f>
        <v>51712.606621158331</v>
      </c>
      <c r="AD90" s="18">
        <f t="shared" ref="AD90" si="222">AD79/(O17+O23)</f>
        <v>46174.427991261255</v>
      </c>
      <c r="AE90" s="3">
        <f t="shared" si="211"/>
        <v>27370.173311430444</v>
      </c>
    </row>
    <row r="91" spans="1:34" x14ac:dyDescent="0.25">
      <c r="A91" t="s">
        <v>44</v>
      </c>
      <c r="D91" s="20">
        <f>D80/(D29+D34)</f>
        <v>70611.798999999999</v>
      </c>
      <c r="E91" s="2">
        <f t="shared" ref="E91:O91" si="223">E80/(E29+E34)</f>
        <v>71047.981</v>
      </c>
      <c r="F91" s="2">
        <f t="shared" si="223"/>
        <v>66717.627000000008</v>
      </c>
      <c r="G91" s="2">
        <f t="shared" si="223"/>
        <v>48899.577499999992</v>
      </c>
      <c r="H91" s="2">
        <f t="shared" si="223"/>
        <v>37147.608</v>
      </c>
      <c r="I91" s="2">
        <f t="shared" si="223"/>
        <v>26237.093000000001</v>
      </c>
      <c r="J91" s="2">
        <f t="shared" si="223"/>
        <v>19299.84</v>
      </c>
      <c r="K91" s="2">
        <f t="shared" si="223"/>
        <v>18456.1675</v>
      </c>
      <c r="L91" s="2">
        <f t="shared" si="223"/>
        <v>11737.691999999999</v>
      </c>
      <c r="M91" s="2">
        <f t="shared" si="223"/>
        <v>35668.126666666671</v>
      </c>
      <c r="N91" s="14">
        <f t="shared" si="223"/>
        <v>47586.603499999997</v>
      </c>
      <c r="O91" s="14">
        <f t="shared" si="223"/>
        <v>62449.625</v>
      </c>
      <c r="P91" s="2">
        <f t="shared" ref="P91" si="224">P80/(P29+P34)</f>
        <v>43182.621304347827</v>
      </c>
      <c r="S91" s="3">
        <f>S80/(D29+D34)</f>
        <v>31634.137007540001</v>
      </c>
      <c r="T91" s="3">
        <f t="shared" ref="T91:AD91" si="225">T80/(E29+E34)</f>
        <v>31817.53409126</v>
      </c>
      <c r="U91" s="3">
        <f t="shared" si="225"/>
        <v>29996.793448420001</v>
      </c>
      <c r="V91" s="3">
        <f t="shared" si="225"/>
        <v>22454.571266199997</v>
      </c>
      <c r="W91" s="3">
        <f t="shared" si="225"/>
        <v>17284.886353280002</v>
      </c>
      <c r="X91" s="3">
        <f t="shared" si="225"/>
        <v>12452.116589520001</v>
      </c>
      <c r="Y91" s="3">
        <f t="shared" si="225"/>
        <v>9297.5475152599993</v>
      </c>
      <c r="Z91" s="3">
        <f t="shared" si="225"/>
        <v>8934.6856927000008</v>
      </c>
      <c r="AA91" s="3">
        <f t="shared" si="225"/>
        <v>5876.1669060800004</v>
      </c>
      <c r="AB91" s="3">
        <f t="shared" si="225"/>
        <v>16620.727101093333</v>
      </c>
      <c r="AC91" s="18">
        <f t="shared" si="225"/>
        <v>21855.467540360001</v>
      </c>
      <c r="AD91" s="18">
        <f t="shared" si="225"/>
        <v>28202.269327500002</v>
      </c>
      <c r="AE91" s="3">
        <f>AE80/(P29+P34)</f>
        <v>19799.830284606087</v>
      </c>
    </row>
    <row r="92" spans="1:34" x14ac:dyDescent="0.25">
      <c r="A92" t="s">
        <v>45</v>
      </c>
      <c r="D92" s="2">
        <f>D81/(D39)</f>
        <v>100540.33333333333</v>
      </c>
      <c r="E92" s="2">
        <f t="shared" ref="E92:O92" si="226">E81/(E39)</f>
        <v>100022.38461538461</v>
      </c>
      <c r="F92" s="2">
        <f t="shared" si="226"/>
        <v>98628.717948717953</v>
      </c>
      <c r="G92" s="2">
        <f t="shared" si="226"/>
        <v>79822.897435897437</v>
      </c>
      <c r="H92" s="2">
        <f t="shared" si="226"/>
        <v>66651.820512820515</v>
      </c>
      <c r="I92" s="2">
        <f t="shared" si="226"/>
        <v>62068.948717948719</v>
      </c>
      <c r="J92" s="2">
        <f t="shared" si="226"/>
        <v>62127</v>
      </c>
      <c r="K92" s="2">
        <f t="shared" si="226"/>
        <v>59669.743589743586</v>
      </c>
      <c r="L92" s="2">
        <f t="shared" si="226"/>
        <v>65800.256410256407</v>
      </c>
      <c r="M92" s="2">
        <f t="shared" si="226"/>
        <v>84496.15789473684</v>
      </c>
      <c r="N92" s="14">
        <f t="shared" si="226"/>
        <v>86648.270270270266</v>
      </c>
      <c r="O92" s="14">
        <f t="shared" si="226"/>
        <v>85342.4054054054</v>
      </c>
      <c r="P92" s="2">
        <f t="shared" ref="P92" si="227">P81/(P39)</f>
        <v>79249.375809935198</v>
      </c>
      <c r="S92" s="3">
        <f>S81/(D39)</f>
        <v>9238.7498761538463</v>
      </c>
      <c r="T92" s="3">
        <f t="shared" ref="T92:AD92" si="228">T81/(E39)</f>
        <v>9140.6153248717965</v>
      </c>
      <c r="U92" s="3">
        <f t="shared" si="228"/>
        <v>9025.7070146153856</v>
      </c>
      <c r="V92" s="3">
        <f t="shared" si="228"/>
        <v>7418.0452112820531</v>
      </c>
      <c r="W92" s="3">
        <f t="shared" si="228"/>
        <v>6382.399782820512</v>
      </c>
      <c r="X92" s="3">
        <f t="shared" si="228"/>
        <v>6041.6301674358974</v>
      </c>
      <c r="Y92" s="3">
        <f t="shared" si="228"/>
        <v>6013.9421194871793</v>
      </c>
      <c r="Z92" s="3">
        <f t="shared" si="228"/>
        <v>5811.2589776923078</v>
      </c>
      <c r="AA92" s="3">
        <f t="shared" si="228"/>
        <v>6330.0598171794863</v>
      </c>
      <c r="AB92" s="3">
        <f t="shared" si="228"/>
        <v>7951.513814210527</v>
      </c>
      <c r="AC92" s="18">
        <f t="shared" si="228"/>
        <v>8141.3867059459471</v>
      </c>
      <c r="AD92" s="18">
        <f t="shared" si="228"/>
        <v>7964.7101924324325</v>
      </c>
      <c r="AE92" s="3">
        <f>AE81/(P39)</f>
        <v>7448.7624914686821</v>
      </c>
    </row>
    <row r="93" spans="1:34" x14ac:dyDescent="0.25">
      <c r="A93" t="s">
        <v>39</v>
      </c>
      <c r="D93" s="12">
        <f>D82/(D45+D47)</f>
        <v>651090.5</v>
      </c>
      <c r="E93" s="12">
        <f t="shared" ref="E93:O93" si="229">E82/(E45+E47)</f>
        <v>517941.625</v>
      </c>
      <c r="F93" s="12">
        <f t="shared" si="229"/>
        <v>655783</v>
      </c>
      <c r="G93" s="12">
        <f t="shared" si="229"/>
        <v>605457</v>
      </c>
      <c r="H93" s="12">
        <f t="shared" si="229"/>
        <v>472440.75</v>
      </c>
      <c r="I93" s="12">
        <f t="shared" si="229"/>
        <v>605331.5</v>
      </c>
      <c r="J93" s="12">
        <f t="shared" si="229"/>
        <v>484616.25</v>
      </c>
      <c r="K93" s="12">
        <f t="shared" si="229"/>
        <v>520492.5</v>
      </c>
      <c r="L93" s="12">
        <f t="shared" si="229"/>
        <v>635475.5</v>
      </c>
      <c r="M93" s="12">
        <f t="shared" si="229"/>
        <v>622465.5</v>
      </c>
      <c r="N93" s="21">
        <f t="shared" si="229"/>
        <v>734561.25</v>
      </c>
      <c r="O93" s="21">
        <f t="shared" si="229"/>
        <v>734945.25</v>
      </c>
      <c r="P93" s="12">
        <f t="shared" ref="P93" si="230">P82/(P45+P47)</f>
        <v>603341.93617021281</v>
      </c>
      <c r="S93" s="3">
        <f>S82/(D45+D47)</f>
        <v>15946.182646249999</v>
      </c>
      <c r="T93" s="3">
        <f t="shared" ref="T93:AD93" si="231">T82/(E45+E47)</f>
        <v>12723.085053749999</v>
      </c>
      <c r="U93" s="3">
        <f t="shared" si="231"/>
        <v>16650.533029999999</v>
      </c>
      <c r="V93" s="3">
        <f t="shared" si="231"/>
        <v>14023.427062500001</v>
      </c>
      <c r="W93" s="3">
        <f t="shared" si="231"/>
        <v>12453.488145000001</v>
      </c>
      <c r="X93" s="3">
        <f t="shared" si="231"/>
        <v>16561.819189999998</v>
      </c>
      <c r="Y93" s="3">
        <f t="shared" si="231"/>
        <v>13284.90083875</v>
      </c>
      <c r="Z93" s="3">
        <f t="shared" si="231"/>
        <v>14086.07407875</v>
      </c>
      <c r="AA93" s="3">
        <f t="shared" si="231"/>
        <v>16349.979286250002</v>
      </c>
      <c r="AB93" s="3">
        <f t="shared" si="231"/>
        <v>16304.89678375</v>
      </c>
      <c r="AC93" s="18">
        <f t="shared" si="231"/>
        <v>18015.3443425</v>
      </c>
      <c r="AD93" s="18">
        <f t="shared" si="231"/>
        <v>17982.287952499999</v>
      </c>
      <c r="AE93" s="3">
        <f>AE82/(P45+P47)</f>
        <v>15339.707541489362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48" max="16383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7AC59BC3751B44A2A0F4C1055639CF" ma:contentTypeVersion="52" ma:contentTypeDescription="" ma:contentTypeScope="" ma:versionID="91b2533b8213f9566a7887867a13e1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200499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FF9BC1-34F0-44EB-AA08-CDF5BCB1A61C}"/>
</file>

<file path=customXml/itemProps2.xml><?xml version="1.0" encoding="utf-8"?>
<ds:datastoreItem xmlns:ds="http://schemas.openxmlformats.org/officeDocument/2006/customXml" ds:itemID="{E9C4F120-7ACA-4235-80C1-7DFC91D59C93}"/>
</file>

<file path=customXml/itemProps3.xml><?xml version="1.0" encoding="utf-8"?>
<ds:datastoreItem xmlns:ds="http://schemas.openxmlformats.org/officeDocument/2006/customXml" ds:itemID="{492E0287-CB04-46B0-957D-F101B8D6FD74}"/>
</file>

<file path=customXml/itemProps4.xml><?xml version="1.0" encoding="utf-8"?>
<ds:datastoreItem xmlns:ds="http://schemas.openxmlformats.org/officeDocument/2006/customXml" ds:itemID="{B1E30E33-32B1-4DAB-B005-AED9B48E3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Nat Gas</vt:lpstr>
      <vt:lpstr>'WA Nat Gas'!Print_Titles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0x0101006E56B4D1795A2E4DB2F0B01679ED314A00677AC59BC3751B44A2A0F4C1055639CF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