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9-08-01 WUSF Petition\Kalama Telephone Company\"/>
    </mc:Choice>
  </mc:AlternateContent>
  <xr:revisionPtr revIDLastSave="0" documentId="8_{A5734CE0-B934-43FA-A37D-4E8E68009237}" xr6:coauthVersionLast="43" xr6:coauthVersionMax="43" xr10:uidLastSave="{00000000-0000-0000-0000-000000000000}"/>
  <bookViews>
    <workbookView xWindow="28680" yWindow="-120" windowWidth="29040" windowHeight="17640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7" l="1"/>
  <c r="E21" i="17"/>
  <c r="E20" i="17"/>
  <c r="D18" i="17"/>
  <c r="D26" i="1" l="1"/>
  <c r="C37" i="2" l="1"/>
  <c r="D26" i="13" l="1"/>
  <c r="C37" i="12"/>
  <c r="D17" i="17" l="1"/>
  <c r="E14" i="17"/>
  <c r="D11" i="8" l="1"/>
  <c r="D10" i="8"/>
  <c r="D21" i="1" l="1"/>
  <c r="C11" i="8"/>
  <c r="C10" i="8"/>
  <c r="G19" i="2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<sst xmlns="http://schemas.openxmlformats.org/spreadsheetml/2006/main" count="657" uniqueCount="279">
  <si>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</si>
  <si>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</si>
  <si>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</si>
  <si>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</si>
  <si>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</si>
  <si>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</si>
  <si>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</si>
  <si>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</si>
  <si>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</si>
  <si>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</si>
  <si>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</si>
  <si>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</si>
  <si>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</si>
  <si>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</si>
  <si>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</si>
  <si>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</si>
  <si>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</si>
  <si>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</si>
  <si>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</si>
  <si>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</si>
  <si>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</si>
  <si>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</si>
  <si>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</si>
  <si>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</si>
  <si>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</si>
  <si>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</si>
  <si>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</si>
  <si>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</si>
  <si>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</si>
  <si>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</si>
  <si>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</si>
  <si>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</si>
  <si>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</si>
  <si>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</si>
  <si>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</si>
  <si>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</si>
  <si>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</si>
  <si>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</si>
  <si>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</si>
  <si>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</si>
  <si>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</si>
  <si>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</si>
  <si>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</si>
  <si>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</si>
  <si>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</si>
  <si>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</si>
  <si>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</si>
  <si>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</si>
  <si>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</si>
  <si>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</si>
  <si>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</si>
  <si>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</si>
  <si>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</si>
  <si>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</si>
  <si>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</si>
  <si>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</si>
  <si>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</si>
  <si>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</si>
  <si>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</si>
  <si>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</si>
  <si>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</si>
  <si>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</si>
  <si>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</si>
  <si>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</si>
  <si>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</si>
  <si>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</si>
  <si>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</si>
  <si>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</si>
  <si>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</si>
  <si>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</si>
  <si>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</si>
  <si>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</si>
  <si>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</si>
  <si>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</si>
  <si>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</si>
  <si>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</si>
  <si>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</si>
  <si>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</si>
  <si>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</si>
  <si>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</si>
  <si>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</si>
  <si>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</si>
  <si>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</si>
  <si>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</si>
  <si>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</si>
  <si>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</si>
  <si>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</si>
  <si>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</si>
  <si>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</si>
  <si>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</si>
  <si>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</si>
  <si>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</si>
  <si>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</si>
  <si>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</si>
  <si>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</si>
  <si>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</si>
  <si>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</si>
  <si>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</si>
  <si>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</si>
  <si>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</si>
  <si>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</si>
  <si>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</si>
  <si>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</si>
  <si>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</si>
  <si>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</si>
  <si>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</si>
  <si>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</si>
  <si>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</si>
  <si>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</si>
  <si>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</si>
  <si>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</si>
  <si>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</si>
  <si>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</si>
  <si>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</si>
  <si>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</si>
  <si>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</si>
  <si>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</si>
  <si>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</si>
  <si>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</si>
  <si>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</si>
  <si>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</si>
  <si>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</si>
  <si>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</si>
  <si>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</si>
  <si>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</si>
  <si>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</si>
  <si>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</si>
  <si>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</si>
  <si>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</si>
  <si>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</si>
  <si>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</si>
  <si>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</si>
  <si>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</si>
  <si>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</si>
  <si>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</si>
  <si>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</si>
  <si>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</si>
  <si>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</si>
  <si>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</si>
  <si>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</si>
  <si>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</si>
  <si>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</si>
  <si>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</si>
  <si>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</si>
  <si>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</si>
  <si>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</si>
  <si>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</si>
  <si>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</si>
  <si>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</si>
  <si>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</si>
  <si>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</si>
  <si>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</si>
  <si>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</si>
  <si>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</si>
  <si>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</si>
  <si>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</si>
  <si>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</si>
  <si>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</si>
  <si>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</si>
  <si>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</si>
  <si>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</si>
  <si>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</si>
  <si>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</si>
  <si>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</si>
  <si>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</si>
  <si>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</si>
  <si>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</si>
  <si>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</si>
  <si>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</si>
  <si>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</si>
  <si>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</si>
  <si>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</si>
  <si>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</si>
  <si>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</si>
  <si>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</si>
  <si>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</si>
  <si>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</si>
  <si>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</si>
  <si>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</si>
  <si>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</si>
  <si>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</si>
  <si>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</si>
  <si>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</si>
  <si>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</si>
  <si>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</si>
  <si>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</si>
  <si>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</si>
  <si>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</si>
  <si>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</si>
  <si>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</si>
  <si>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</si>
  <si>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</si>
  <si>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</si>
  <si>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</si>
  <si>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</si>
  <si>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</si>
  <si>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</si>
  <si>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</si>
  <si>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</si>
  <si>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</si>
  <si>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</si>
  <si>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</si>
  <si>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</si>
  <si>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</si>
  <si>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</si>
  <si>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</si>
  <si>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</si>
  <si>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</si>
  <si>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</si>
  <si>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</si>
  <si>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</si>
  <si>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</si>
  <si>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</si>
  <si>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</si>
  <si>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</si>
  <si>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</si>
  <si>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</si>
  <si>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</si>
  <si>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</si>
  <si>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</si>
  <si>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</si>
  <si>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</si>
  <si>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</si>
  <si>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</si>
  <si>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</si>
  <si>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</si>
  <si>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</si>
  <si>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</si>
  <si>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</si>
  <si>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</si>
  <si>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</si>
  <si>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</si>
  <si>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</si>
  <si>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</si>
  <si>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</si>
  <si>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</si>
  <si>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</si>
  <si>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</si>
  <si>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</si>
  <si>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</si>
  <si>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</si>
  <si>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</si>
  <si>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</si>
  <si>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</si>
  <si>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</si>
  <si>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</si>
  <si>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</si>
  <si>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</si>
  <si>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</si>
  <si>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</si>
  <si>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</si>
  <si>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</si>
  <si>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</si>
  <si>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</si>
  <si>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</si>
  <si>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</si>
  <si>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</si>
  <si>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</si>
  <si>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</si>
  <si>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</si>
  <si>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</si>
  <si>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</si>
  <si>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</si>
  <si>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</si>
  <si>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</si>
  <si>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</si>
  <si>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</si>
  <si>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</si>
  <si>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</si>
  <si>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</si>
  <si>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Kalama Telephone Company</t>
  </si>
  <si>
    <t>Adjustment #1: Remove 2017 Budget Control Refund received in 2018</t>
  </si>
  <si>
    <t>PF</t>
  </si>
  <si>
    <t>7200.12 FIT Tax Expense</t>
  </si>
  <si>
    <t>5082.00 CAF-BLS (CCL) Revenue</t>
  </si>
  <si>
    <t>5088.00 High Cost Loop (USF) Revenue</t>
  </si>
  <si>
    <t>4070.00 Federal Income Tax Payable</t>
  </si>
  <si>
    <t>1190.03 Other Accounts Recievable - NECA</t>
  </si>
  <si>
    <t>Adjustment #2: To Adjust 2018 Budget Control Refund (received in 2019) accrual to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</si>
</sst>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quotePrefix="1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tabSelected="1" zoomScaleNormal="100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05" t="s">
        <v>199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200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201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zoomScaleNormal="100" workbookViewId="0">
      <selection activeCell="E16" sqref="E16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Kalama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347467</v>
      </c>
      <c r="E9" s="55">
        <v>338456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43628</v>
      </c>
      <c r="E11" s="52">
        <v>34699</v>
      </c>
    </row>
    <row r="12" spans="1:5" x14ac:dyDescent="0.25">
      <c r="A12" s="10" t="s">
        <v>176</v>
      </c>
      <c r="B12" s="17" t="s">
        <v>198</v>
      </c>
      <c r="C12" s="10"/>
      <c r="D12" s="52">
        <v>401353</v>
      </c>
      <c r="E12" s="52">
        <v>366988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2934</v>
      </c>
      <c r="E14" s="52">
        <v>3169</v>
      </c>
    </row>
    <row r="15" spans="1:5" x14ac:dyDescent="0.25">
      <c r="A15" s="10" t="s">
        <v>178</v>
      </c>
      <c r="B15" s="17" t="s">
        <v>142</v>
      </c>
      <c r="C15" s="10"/>
      <c r="D15" s="52">
        <v>427703</v>
      </c>
      <c r="E15" s="52">
        <v>351655</v>
      </c>
    </row>
    <row r="16" spans="1:5" x14ac:dyDescent="0.25">
      <c r="A16" s="10">
        <v>4</v>
      </c>
      <c r="B16" s="17" t="s">
        <v>261</v>
      </c>
      <c r="C16" s="10" t="s">
        <v>144</v>
      </c>
      <c r="D16" s="52">
        <v>298476</v>
      </c>
      <c r="E16" s="52">
        <v>239847</v>
      </c>
    </row>
    <row r="17" spans="1:5" x14ac:dyDescent="0.25">
      <c r="A17" s="10">
        <v>5</v>
      </c>
      <c r="B17" s="17" t="s">
        <v>260</v>
      </c>
      <c r="C17" s="10" t="s">
        <v>144</v>
      </c>
      <c r="D17" s="52">
        <v>550584</v>
      </c>
      <c r="E17" s="52">
        <v>581730</v>
      </c>
    </row>
    <row r="18" spans="1:5" x14ac:dyDescent="0.25">
      <c r="A18" s="10">
        <v>6</v>
      </c>
      <c r="B18" s="17" t="s">
        <v>188</v>
      </c>
      <c r="C18" s="10" t="s">
        <v>144</v>
      </c>
      <c r="D18" s="52">
        <v>262741</v>
      </c>
      <c r="E18" s="52">
        <v>290909</v>
      </c>
    </row>
    <row r="19" spans="1:5" x14ac:dyDescent="0.25">
      <c r="A19" s="10">
        <v>7</v>
      </c>
      <c r="B19" s="17" t="s">
        <v>163</v>
      </c>
      <c r="C19" s="11"/>
      <c r="D19" s="53">
        <v>594</v>
      </c>
      <c r="E19" s="53">
        <v>-1</v>
      </c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2335480</v>
      </c>
      <c r="E20" s="35">
        <f>E9+E11+E12+E14+E15+E16++E17+E18+E19</f>
        <v>2207452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2335480</v>
      </c>
      <c r="E21" s="37">
        <f>IncomeStmtSummary!D10</f>
        <v>2207452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54"/>
  <sheetViews>
    <sheetView zoomScaleNormal="100" workbookViewId="0">
      <selection activeCell="A16" sqref="A16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160</v>
      </c>
      <c r="B2" s="72"/>
    </row>
    <row r="3" spans="1:5" x14ac:dyDescent="0.25">
      <c r="A3" s="57" t="str">
        <f>PriorYearBalanceSheet!A3</f>
        <v>Kalama Telephone Company</v>
      </c>
      <c r="B3" s="66"/>
    </row>
    <row r="6" spans="1:5" x14ac:dyDescent="0.25">
      <c r="A6" s="9" t="s">
        <v>269</v>
      </c>
      <c r="B6" s="9" t="s">
        <v>210</v>
      </c>
      <c r="C6" s="6"/>
      <c r="D6" s="125" t="s">
        <v>186</v>
      </c>
      <c r="E6" s="126"/>
    </row>
    <row r="7" spans="1:5" x14ac:dyDescent="0.25">
      <c r="A7" s="11" t="s">
        <v>205</v>
      </c>
      <c r="B7" s="11"/>
      <c r="C7" s="11" t="s">
        <v>204</v>
      </c>
      <c r="D7" s="110" t="s">
        <v>190</v>
      </c>
      <c r="E7" s="5" t="s">
        <v>191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271</v>
      </c>
      <c r="B9" s="17"/>
      <c r="C9" s="17"/>
      <c r="D9" s="114"/>
      <c r="E9" s="114"/>
    </row>
    <row r="10" spans="1:5" x14ac:dyDescent="0.25">
      <c r="A10" s="17" t="s">
        <v>274</v>
      </c>
      <c r="B10" s="17">
        <v>2018</v>
      </c>
      <c r="C10" s="17" t="s">
        <v>272</v>
      </c>
      <c r="D10" s="114">
        <v>59644</v>
      </c>
      <c r="E10" s="114"/>
    </row>
    <row r="11" spans="1:5" x14ac:dyDescent="0.25">
      <c r="A11" s="17" t="s">
        <v>275</v>
      </c>
      <c r="B11" s="17">
        <v>2018</v>
      </c>
      <c r="C11" s="17" t="s">
        <v>272</v>
      </c>
      <c r="D11" s="114">
        <v>81276</v>
      </c>
      <c r="E11" s="114"/>
    </row>
    <row r="12" spans="1:5" x14ac:dyDescent="0.25">
      <c r="A12" s="124" t="s">
        <v>276</v>
      </c>
      <c r="B12" s="17">
        <v>2018</v>
      </c>
      <c r="C12" s="17" t="s">
        <v>272</v>
      </c>
      <c r="D12" s="114">
        <v>29593</v>
      </c>
      <c r="E12" s="114"/>
    </row>
    <row r="13" spans="1:5" x14ac:dyDescent="0.25">
      <c r="A13" s="17" t="s">
        <v>277</v>
      </c>
      <c r="B13" s="17">
        <v>2018</v>
      </c>
      <c r="C13" s="17" t="s">
        <v>272</v>
      </c>
      <c r="D13" s="114"/>
      <c r="E13" s="114">
        <v>140920</v>
      </c>
    </row>
    <row r="14" spans="1:5" x14ac:dyDescent="0.25">
      <c r="A14" s="17" t="s">
        <v>273</v>
      </c>
      <c r="B14" s="17">
        <v>2018</v>
      </c>
      <c r="C14" s="17" t="s">
        <v>272</v>
      </c>
      <c r="D14" s="114"/>
      <c r="E14" s="114">
        <f>ROUND((59644+81276)*0.21,0)</f>
        <v>29593</v>
      </c>
    </row>
    <row r="15" spans="1:5" x14ac:dyDescent="0.25">
      <c r="A15" s="19"/>
      <c r="B15" s="19"/>
      <c r="C15" s="19"/>
      <c r="D15" s="115"/>
      <c r="E15" s="115"/>
    </row>
    <row r="16" spans="1:5" x14ac:dyDescent="0.25">
      <c r="A16" s="17" t="s">
        <v>278</v>
      </c>
      <c r="B16" s="17"/>
      <c r="C16" s="17"/>
      <c r="D16" s="114"/>
      <c r="E16" s="114"/>
    </row>
    <row r="17" spans="1:5" x14ac:dyDescent="0.25">
      <c r="A17" s="17" t="s">
        <v>273</v>
      </c>
      <c r="B17" s="17">
        <v>2018</v>
      </c>
      <c r="C17" s="17" t="s">
        <v>272</v>
      </c>
      <c r="D17" s="114">
        <f>ROUND((+E20+E21)*0.21,0)</f>
        <v>2625</v>
      </c>
      <c r="E17" s="114"/>
    </row>
    <row r="18" spans="1:5" x14ac:dyDescent="0.25">
      <c r="A18" s="17" t="s">
        <v>277</v>
      </c>
      <c r="B18" s="17">
        <v>2018</v>
      </c>
      <c r="C18" s="17" t="s">
        <v>272</v>
      </c>
      <c r="D18" s="114">
        <f>58714+35188-81400</f>
        <v>12502</v>
      </c>
      <c r="E18" s="114"/>
    </row>
    <row r="19" spans="1:5" x14ac:dyDescent="0.25">
      <c r="A19" s="124" t="s">
        <v>276</v>
      </c>
      <c r="B19" s="17">
        <v>2018</v>
      </c>
      <c r="C19" s="17" t="s">
        <v>272</v>
      </c>
      <c r="D19" s="114"/>
      <c r="E19" s="114">
        <f>+D17</f>
        <v>2625</v>
      </c>
    </row>
    <row r="20" spans="1:5" x14ac:dyDescent="0.25">
      <c r="A20" s="17" t="s">
        <v>274</v>
      </c>
      <c r="B20" s="17">
        <v>2018</v>
      </c>
      <c r="C20" s="17" t="s">
        <v>272</v>
      </c>
      <c r="D20" s="114"/>
      <c r="E20" s="114">
        <f>58714-50076</f>
        <v>8638</v>
      </c>
    </row>
    <row r="21" spans="1:5" x14ac:dyDescent="0.25">
      <c r="A21" s="17" t="s">
        <v>275</v>
      </c>
      <c r="B21" s="17">
        <v>2018</v>
      </c>
      <c r="C21" s="17" t="s">
        <v>272</v>
      </c>
      <c r="D21" s="114"/>
      <c r="E21" s="114">
        <f>35188-31324</f>
        <v>3864</v>
      </c>
    </row>
    <row r="22" spans="1:5" x14ac:dyDescent="0.25">
      <c r="A22" s="19"/>
      <c r="B22" s="19"/>
      <c r="C22" s="19"/>
      <c r="D22" s="115"/>
      <c r="E22" s="115"/>
    </row>
    <row r="23" spans="1:5" x14ac:dyDescent="0.25">
      <c r="A23" s="17" t="s">
        <v>187</v>
      </c>
      <c r="B23" s="17"/>
      <c r="C23" s="17"/>
      <c r="D23" s="114"/>
      <c r="E23" s="114"/>
    </row>
    <row r="24" spans="1:5" x14ac:dyDescent="0.25">
      <c r="A24" s="17"/>
      <c r="B24" s="17"/>
      <c r="C24" s="17"/>
      <c r="D24" s="114"/>
      <c r="E24" s="114"/>
    </row>
    <row r="25" spans="1:5" x14ac:dyDescent="0.25">
      <c r="A25" s="17"/>
      <c r="B25" s="17"/>
      <c r="C25" s="17"/>
      <c r="D25" s="114"/>
      <c r="E25" s="114"/>
    </row>
    <row r="26" spans="1:5" x14ac:dyDescent="0.25">
      <c r="A26" s="17"/>
      <c r="B26" s="17"/>
      <c r="C26" s="17"/>
      <c r="D26" s="114"/>
      <c r="E26" s="114"/>
    </row>
    <row r="27" spans="1:5" x14ac:dyDescent="0.25">
      <c r="A27" s="19"/>
      <c r="B27" s="19"/>
      <c r="C27" s="19"/>
      <c r="D27" s="115"/>
      <c r="E27" s="115"/>
    </row>
    <row r="28" spans="1:5" x14ac:dyDescent="0.25">
      <c r="A28" s="17" t="s">
        <v>192</v>
      </c>
      <c r="B28" s="17"/>
      <c r="C28" s="17"/>
      <c r="D28" s="114"/>
      <c r="E28" s="114"/>
    </row>
    <row r="29" spans="1:5" x14ac:dyDescent="0.25">
      <c r="A29" s="17"/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9"/>
      <c r="B32" s="19"/>
      <c r="C32" s="19"/>
      <c r="D32" s="115"/>
      <c r="E32" s="115"/>
    </row>
    <row r="33" spans="1:5" x14ac:dyDescent="0.25">
      <c r="A33" s="17" t="s">
        <v>211</v>
      </c>
      <c r="B33" s="17"/>
      <c r="C33" s="17"/>
      <c r="D33" s="114"/>
      <c r="E33" s="114"/>
    </row>
    <row r="34" spans="1:5" x14ac:dyDescent="0.25">
      <c r="A34" s="17"/>
      <c r="B34" s="17"/>
      <c r="C34" s="17"/>
      <c r="D34" s="114"/>
      <c r="E34" s="114"/>
    </row>
    <row r="35" spans="1:5" x14ac:dyDescent="0.25">
      <c r="A35" s="17"/>
      <c r="B35" s="17"/>
      <c r="C35" s="17"/>
      <c r="D35" s="114"/>
      <c r="E35" s="114"/>
    </row>
    <row r="36" spans="1:5" x14ac:dyDescent="0.25">
      <c r="A36" s="17"/>
      <c r="B36" s="17"/>
      <c r="C36" s="17"/>
      <c r="D36" s="114"/>
      <c r="E36" s="114"/>
    </row>
    <row r="37" spans="1:5" x14ac:dyDescent="0.25">
      <c r="A37" s="19"/>
      <c r="B37" s="19"/>
      <c r="C37" s="19"/>
      <c r="D37" s="115"/>
      <c r="E37" s="115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  <row r="51" spans="4:5" x14ac:dyDescent="0.25">
      <c r="D51" s="108"/>
      <c r="E51" s="108"/>
    </row>
    <row r="52" spans="4:5" x14ac:dyDescent="0.25">
      <c r="D52" s="108"/>
      <c r="E52" s="108"/>
    </row>
    <row r="53" spans="4:5" x14ac:dyDescent="0.25">
      <c r="D53" s="108"/>
      <c r="E53" s="108"/>
    </row>
    <row r="54" spans="4:5" x14ac:dyDescent="0.25">
      <c r="D54" s="108"/>
      <c r="E54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zoomScaleNormal="100" workbookViewId="0">
      <selection activeCell="C14" sqref="C14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Kalama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250</v>
      </c>
      <c r="D7" s="121" t="s">
        <v>251</v>
      </c>
    </row>
    <row r="8" spans="1:4" x14ac:dyDescent="0.25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202</v>
      </c>
      <c r="C10" s="81">
        <f>'RateBase '!D15</f>
        <v>2067352</v>
      </c>
      <c r="D10" s="81">
        <f>C10</f>
        <v>2067352</v>
      </c>
    </row>
    <row r="11" spans="1:4" x14ac:dyDescent="0.25">
      <c r="A11" s="74">
        <v>2</v>
      </c>
      <c r="B11" s="78" t="s">
        <v>170</v>
      </c>
      <c r="C11" s="93">
        <f>'RateBase '!E15</f>
        <v>2045653</v>
      </c>
      <c r="D11" s="93">
        <f>C11</f>
        <v>2045653</v>
      </c>
    </row>
    <row r="12" spans="1:4" x14ac:dyDescent="0.25">
      <c r="A12" s="74">
        <v>3</v>
      </c>
      <c r="B12" s="89" t="s">
        <v>171</v>
      </c>
      <c r="C12" s="79">
        <f>(C10+C11)/2</f>
        <v>2056502.5</v>
      </c>
      <c r="D12" s="79">
        <f>(D10+D11)/2</f>
        <v>2056502.5</v>
      </c>
    </row>
    <row r="13" spans="1:4" x14ac:dyDescent="0.25">
      <c r="A13" s="74">
        <v>4</v>
      </c>
      <c r="B13" s="78" t="s">
        <v>172</v>
      </c>
      <c r="C13" s="58">
        <f>IncomeStmtSummary!D29</f>
        <v>129917</v>
      </c>
      <c r="D13" s="58">
        <f>C13</f>
        <v>129917</v>
      </c>
    </row>
    <row r="14" spans="1:4" x14ac:dyDescent="0.25">
      <c r="A14" s="74">
        <v>5</v>
      </c>
      <c r="B14" s="78" t="s">
        <v>252</v>
      </c>
      <c r="C14" s="109"/>
      <c r="D14" s="53"/>
    </row>
    <row r="15" spans="1:4" x14ac:dyDescent="0.25">
      <c r="A15" s="74">
        <v>6</v>
      </c>
      <c r="B15" s="90" t="s">
        <v>174</v>
      </c>
      <c r="C15" s="79">
        <f>C13+C14</f>
        <v>129917</v>
      </c>
      <c r="D15" s="79">
        <f>D13+D14</f>
        <v>129917</v>
      </c>
    </row>
    <row r="16" spans="1:4" x14ac:dyDescent="0.25">
      <c r="A16" s="74">
        <v>7</v>
      </c>
      <c r="B16" s="89" t="s">
        <v>173</v>
      </c>
      <c r="C16" s="80">
        <f>C15/C12</f>
        <v>6.3173762249255708E-2</v>
      </c>
      <c r="D16" s="80">
        <f>D15/D12</f>
        <v>6.3173762249255708E-2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206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212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213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topLeftCell="A22" zoomScaleNormal="100" workbookViewId="0">
      <selection activeCell="C37" sqref="C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270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237</v>
      </c>
      <c r="C8" s="11" t="s">
        <v>238</v>
      </c>
      <c r="D8" s="11" t="s">
        <v>239</v>
      </c>
      <c r="E8" s="11"/>
      <c r="F8" s="8"/>
      <c r="G8" s="11" t="s">
        <v>237</v>
      </c>
      <c r="H8" s="11" t="s">
        <v>238</v>
      </c>
      <c r="I8" s="5" t="s">
        <v>239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870497</v>
      </c>
      <c r="C10" s="54"/>
      <c r="D10" s="58">
        <f>SUM(B10:C10)</f>
        <v>870497</v>
      </c>
      <c r="E10" s="17"/>
      <c r="F10" s="17" t="s">
        <v>77</v>
      </c>
      <c r="G10" s="52">
        <v>43294</v>
      </c>
      <c r="H10" s="54"/>
      <c r="I10" s="58">
        <f>SUM(G10:H10)</f>
        <v>43294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118523</v>
      </c>
      <c r="C17" s="54"/>
      <c r="D17" s="58">
        <f>SUM(B17:C17)</f>
        <v>118523</v>
      </c>
      <c r="E17" s="18"/>
      <c r="F17" s="17" t="s">
        <v>85</v>
      </c>
      <c r="G17" s="52">
        <v>3565</v>
      </c>
      <c r="H17" s="54"/>
      <c r="I17" s="58">
        <f t="shared" si="0"/>
        <v>3565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14192</v>
      </c>
      <c r="H18" s="54"/>
      <c r="I18" s="58">
        <f t="shared" si="0"/>
        <v>14192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f>208187+138593</f>
        <v>346780</v>
      </c>
      <c r="H19" s="111"/>
      <c r="I19" s="59">
        <f t="shared" si="0"/>
        <v>346780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407831</v>
      </c>
      <c r="H20" s="58">
        <f>SUM(H10:H19)</f>
        <v>0</v>
      </c>
      <c r="I20" s="58">
        <f t="shared" ref="I20" si="3">SUM(I10:I19)</f>
        <v>407831</v>
      </c>
    </row>
    <row r="21" spans="1:9" x14ac:dyDescent="0.25">
      <c r="A21" s="17" t="s">
        <v>48</v>
      </c>
      <c r="B21" s="52">
        <v>34672</v>
      </c>
      <c r="C21" s="54"/>
      <c r="D21" s="58">
        <f t="shared" si="2"/>
        <v>34672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32329</v>
      </c>
      <c r="C23" s="54"/>
      <c r="D23" s="58">
        <f t="shared" si="2"/>
        <v>32329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1056021</v>
      </c>
      <c r="C25" s="58">
        <f>C10+C11+C13+C14+C15+C17+C18+C19+C20+C21+C22+C23+C24</f>
        <v>0</v>
      </c>
      <c r="D25" s="58">
        <f t="shared" ref="D25" si="5">D10+D11+D13+D14+D15+D17+D18+D19+D20+D21+D22+D23+D24</f>
        <v>1056021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>
        <v>2800086</v>
      </c>
      <c r="H30" s="54"/>
      <c r="I30" s="58">
        <f t="shared" si="6"/>
        <v>2800086</v>
      </c>
    </row>
    <row r="31" spans="1:9" x14ac:dyDescent="0.25">
      <c r="A31" s="17" t="s">
        <v>55</v>
      </c>
      <c r="B31" s="52">
        <v>0</v>
      </c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2800086</v>
      </c>
      <c r="H32" s="119">
        <f>SUM(H22:H31)</f>
        <v>0</v>
      </c>
      <c r="I32" s="119">
        <f>SUM(I22:I31)</f>
        <v>2800086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/>
      <c r="C35" s="69">
        <f>-1*(C25+C30+C31+C33+C34+C36+C37+C38+C47)</f>
        <v>-219730</v>
      </c>
      <c r="D35" s="58">
        <f t="shared" si="7"/>
        <v>-219730</v>
      </c>
      <c r="E35" s="17"/>
      <c r="F35" s="18" t="s">
        <v>214</v>
      </c>
      <c r="G35" s="52"/>
      <c r="H35" s="52"/>
      <c r="I35" s="58">
        <f>SUM(G35:H35)</f>
        <v>0</v>
      </c>
    </row>
    <row r="36" spans="1:9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232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>
        <v>327092</v>
      </c>
      <c r="C37" s="112">
        <f>-567+7+220839</f>
        <v>220279</v>
      </c>
      <c r="D37" s="58">
        <f t="shared" si="7"/>
        <v>547371</v>
      </c>
      <c r="E37" s="17"/>
      <c r="F37" s="17" t="s">
        <v>253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215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9" x14ac:dyDescent="0.25">
      <c r="A39" s="17" t="s">
        <v>64</v>
      </c>
      <c r="B39" s="58">
        <f>B30+B31+B33+B34+B35+B36+B37+B38</f>
        <v>327092</v>
      </c>
      <c r="C39" s="58">
        <f>C30+C31+C33+C34+C35+C36+C37+C38</f>
        <v>549</v>
      </c>
      <c r="D39" s="58">
        <f>D30+D31+D33+D34+D35+D36+D37+D38</f>
        <v>327641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216</v>
      </c>
      <c r="G40" s="52">
        <v>35000</v>
      </c>
      <c r="H40" s="22"/>
      <c r="I40" s="58">
        <f>SUM(G40:H40)</f>
        <v>35000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217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159</v>
      </c>
      <c r="B42" s="52">
        <v>19212808</v>
      </c>
      <c r="C42" s="52">
        <v>-19912</v>
      </c>
      <c r="D42" s="58">
        <f>SUM(B42:C42)</f>
        <v>19192896</v>
      </c>
      <c r="E42" s="17"/>
      <c r="F42" s="17" t="s">
        <v>218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224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155863</v>
      </c>
      <c r="C44" s="52"/>
      <c r="D44" s="58">
        <f t="shared" si="10"/>
        <v>155863</v>
      </c>
      <c r="E44" s="17"/>
      <c r="F44" s="17" t="s">
        <v>219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220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-17726950</v>
      </c>
      <c r="C46" s="53">
        <v>19363</v>
      </c>
      <c r="D46" s="59">
        <f t="shared" si="10"/>
        <v>-17707587</v>
      </c>
      <c r="E46" s="17"/>
      <c r="F46" s="17" t="s">
        <v>221</v>
      </c>
      <c r="G46" s="53">
        <v>-218083</v>
      </c>
      <c r="H46" s="94">
        <f>-1*(H20+H32+H38)</f>
        <v>0</v>
      </c>
      <c r="I46" s="59">
        <f t="shared" si="9"/>
        <v>-218083</v>
      </c>
    </row>
    <row r="47" spans="1:9" x14ac:dyDescent="0.25">
      <c r="A47" s="17" t="s">
        <v>70</v>
      </c>
      <c r="B47" s="58">
        <f>B42+B43+B44+B45+B46</f>
        <v>1641721</v>
      </c>
      <c r="C47" s="58">
        <f t="shared" ref="C47:D47" si="11">C42+C43+C44+C45+C46</f>
        <v>-549</v>
      </c>
      <c r="D47" s="58">
        <f t="shared" si="11"/>
        <v>1641172</v>
      </c>
      <c r="E47" s="17"/>
      <c r="F47" s="17" t="s">
        <v>222</v>
      </c>
      <c r="G47" s="58">
        <f>SUM(G40:G46)</f>
        <v>-183083</v>
      </c>
      <c r="H47" s="61">
        <f t="shared" ref="H47:I47" si="12">SUM(H40:H46)</f>
        <v>0</v>
      </c>
      <c r="I47" s="58">
        <f t="shared" si="12"/>
        <v>-183083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193</v>
      </c>
      <c r="B49" s="60">
        <f>B25+B39+B47</f>
        <v>3024834</v>
      </c>
      <c r="C49" s="60">
        <f>C25+C39+C47</f>
        <v>0</v>
      </c>
      <c r="D49" s="60">
        <f>D25+D39+D47</f>
        <v>3024834</v>
      </c>
      <c r="E49" s="19"/>
      <c r="F49" s="82" t="s">
        <v>226</v>
      </c>
      <c r="G49" s="60">
        <f>G20+G32+G38+G47</f>
        <v>3024834</v>
      </c>
      <c r="H49" s="60">
        <f>H20+H32+H38+H47</f>
        <v>0</v>
      </c>
      <c r="I49" s="60">
        <f>I20+I32+I38+I47</f>
        <v>3024834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194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233</v>
      </c>
      <c r="G53" s="65"/>
      <c r="H53" s="65"/>
      <c r="I53" s="65"/>
    </row>
    <row r="54" spans="1:9" x14ac:dyDescent="0.25">
      <c r="A54" s="65" t="s">
        <v>234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zoomScaleNormal="100" workbookViewId="0">
      <selection activeCell="C37" sqref="C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Kalama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262</v>
      </c>
      <c r="C8" s="11" t="s">
        <v>263</v>
      </c>
      <c r="D8" s="11" t="s">
        <v>264</v>
      </c>
      <c r="E8" s="11"/>
      <c r="F8" s="8"/>
      <c r="G8" s="11" t="s">
        <v>262</v>
      </c>
      <c r="H8" s="11" t="s">
        <v>263</v>
      </c>
      <c r="I8" s="5" t="s">
        <v>264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1307909</v>
      </c>
      <c r="C10" s="54"/>
      <c r="D10" s="58">
        <f>SUM(B10:C10)</f>
        <v>1307909</v>
      </c>
      <c r="E10" s="17"/>
      <c r="F10" s="17" t="s">
        <v>77</v>
      </c>
      <c r="G10" s="52">
        <v>57075</v>
      </c>
      <c r="H10" s="54"/>
      <c r="I10" s="58">
        <f>SUM(G10:H10)</f>
        <v>57075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24703</v>
      </c>
      <c r="C17" s="54"/>
      <c r="D17" s="58">
        <f>SUM(B17:C17)</f>
        <v>24703</v>
      </c>
      <c r="E17" s="18"/>
      <c r="F17" s="17" t="s">
        <v>85</v>
      </c>
      <c r="G17" s="52">
        <v>26366</v>
      </c>
      <c r="H17" s="54"/>
      <c r="I17" s="58">
        <f t="shared" si="0"/>
        <v>26366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13342</v>
      </c>
      <c r="H18" s="54"/>
      <c r="I18" s="58">
        <f t="shared" si="0"/>
        <v>13342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371117</v>
      </c>
      <c r="H19" s="111"/>
      <c r="I19" s="59">
        <f t="shared" si="0"/>
        <v>371117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467900</v>
      </c>
      <c r="H20" s="58">
        <f>SUM(H10:H19)</f>
        <v>0</v>
      </c>
      <c r="I20" s="58">
        <f t="shared" ref="I20" si="3">SUM(I10:I19)</f>
        <v>467900</v>
      </c>
    </row>
    <row r="21" spans="1:9" x14ac:dyDescent="0.25">
      <c r="A21" s="17" t="s">
        <v>48</v>
      </c>
      <c r="B21" s="52">
        <v>36948</v>
      </c>
      <c r="C21" s="54"/>
      <c r="D21" s="58">
        <f t="shared" si="2"/>
        <v>36948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20919</v>
      </c>
      <c r="C23" s="54"/>
      <c r="D23" s="58">
        <f t="shared" si="2"/>
        <v>20919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1390479</v>
      </c>
      <c r="C25" s="58">
        <f>C10+C11+C13+C14+C15+C17+C18+C19+C20+C21+C22+C23+C24</f>
        <v>0</v>
      </c>
      <c r="D25" s="58">
        <f t="shared" ref="D25" si="5">D10+D11+D13+D14+D15+D17+D18+D19+D20+D21+D22+D23+D24</f>
        <v>1390479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3405598</v>
      </c>
      <c r="H30" s="54"/>
      <c r="I30" s="58">
        <f t="shared" si="6"/>
        <v>3405598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3405598</v>
      </c>
      <c r="H32" s="81">
        <f>SUM(H22:H31)</f>
        <v>0</v>
      </c>
      <c r="I32" s="58">
        <f>SUM(I22:I31)</f>
        <v>3405598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/>
      <c r="C35" s="69">
        <f>-1*(C25+C30+C31+C33+C34+C36+C37+C38+C47)</f>
        <v>-178389</v>
      </c>
      <c r="D35" s="58">
        <f t="shared" si="7"/>
        <v>-178389</v>
      </c>
      <c r="E35" s="17"/>
      <c r="F35" s="18" t="s">
        <v>214</v>
      </c>
      <c r="G35" s="52"/>
      <c r="H35" s="52"/>
      <c r="I35" s="58">
        <f>SUM(G35:H35)</f>
        <v>0</v>
      </c>
    </row>
    <row r="36" spans="1:11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232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>
        <v>281990</v>
      </c>
      <c r="C37" s="54">
        <f>220839-41667-362</f>
        <v>178810</v>
      </c>
      <c r="D37" s="58">
        <f t="shared" si="7"/>
        <v>460800</v>
      </c>
      <c r="E37" s="17"/>
      <c r="F37" s="17" t="s">
        <v>253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215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11" x14ac:dyDescent="0.25">
      <c r="A39" s="17" t="s">
        <v>64</v>
      </c>
      <c r="B39" s="58">
        <f>B30+B31+B33+B34+B35+B36+B37+B38</f>
        <v>281990</v>
      </c>
      <c r="C39" s="58">
        <f>C30+C31+C33+C34+C35+C36+C37+C38</f>
        <v>421</v>
      </c>
      <c r="D39" s="58">
        <f t="shared" ref="D39" si="9">D30+D31+D33+D34+D35+D36+D37+D38</f>
        <v>282411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216</v>
      </c>
      <c r="G40" s="52">
        <v>35000</v>
      </c>
      <c r="H40" s="22"/>
      <c r="I40" s="58">
        <f>SUM(G40:H40)</f>
        <v>35000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217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159</v>
      </c>
      <c r="B42" s="52">
        <v>19699728</v>
      </c>
      <c r="C42" s="52">
        <v>-15658</v>
      </c>
      <c r="D42" s="58">
        <f>SUM(B42:C42)</f>
        <v>19684070</v>
      </c>
      <c r="E42" s="17"/>
      <c r="F42" s="17" t="s">
        <v>218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224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414216</v>
      </c>
      <c r="C44" s="52"/>
      <c r="D44" s="58">
        <f t="shared" si="11"/>
        <v>414216</v>
      </c>
      <c r="E44" s="17"/>
      <c r="F44" s="17" t="s">
        <v>219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220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-18151402</v>
      </c>
      <c r="C46" s="53">
        <v>15237</v>
      </c>
      <c r="D46" s="59">
        <f t="shared" si="11"/>
        <v>-18136165</v>
      </c>
      <c r="E46" s="17"/>
      <c r="F46" s="17" t="s">
        <v>221</v>
      </c>
      <c r="G46" s="53">
        <v>-273487</v>
      </c>
      <c r="H46" s="94">
        <f>-1*(H20+H32+H38)</f>
        <v>0</v>
      </c>
      <c r="I46" s="59">
        <f t="shared" si="10"/>
        <v>-273487</v>
      </c>
    </row>
    <row r="47" spans="1:11" x14ac:dyDescent="0.25">
      <c r="A47" s="17" t="s">
        <v>70</v>
      </c>
      <c r="B47" s="58">
        <f>B42+B43+B44+B45+B46</f>
        <v>1962542</v>
      </c>
      <c r="C47" s="58">
        <f t="shared" ref="C47:D47" si="12">C42+C43+C44+C45+C46</f>
        <v>-421</v>
      </c>
      <c r="D47" s="58">
        <f t="shared" si="12"/>
        <v>1962121</v>
      </c>
      <c r="E47" s="17"/>
      <c r="F47" s="17" t="s">
        <v>222</v>
      </c>
      <c r="G47" s="58">
        <f>SUM(G40:G46)</f>
        <v>-238487</v>
      </c>
      <c r="H47" s="61">
        <f t="shared" ref="H47:I47" si="13">SUM(H40:H46)</f>
        <v>0</v>
      </c>
      <c r="I47" s="58">
        <f t="shared" si="13"/>
        <v>-238487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193</v>
      </c>
      <c r="B49" s="60">
        <f>B25+B39+B47</f>
        <v>3635011</v>
      </c>
      <c r="C49" s="60">
        <f t="shared" ref="C49:D49" si="14">C25+C39+C47</f>
        <v>0</v>
      </c>
      <c r="D49" s="60">
        <f t="shared" si="14"/>
        <v>3635011</v>
      </c>
      <c r="E49" s="19"/>
      <c r="F49" s="82" t="s">
        <v>225</v>
      </c>
      <c r="G49" s="60">
        <f>G20+G32+G38+G47</f>
        <v>3635011</v>
      </c>
      <c r="H49" s="60">
        <f>H20+H32+H38+H47</f>
        <v>0</v>
      </c>
      <c r="I49" s="60">
        <f>I20+I32+I38+I47</f>
        <v>3635011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194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233</v>
      </c>
      <c r="G53" s="65"/>
      <c r="H53" s="65"/>
      <c r="I53" s="65"/>
    </row>
    <row r="54" spans="1:9" x14ac:dyDescent="0.25">
      <c r="A54" s="65" t="s">
        <v>234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zoomScaleNormal="100" workbookViewId="0">
      <selection activeCell="B51" sqref="B51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Kalama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240</v>
      </c>
      <c r="C8" s="11" t="s">
        <v>265</v>
      </c>
      <c r="D8" s="11"/>
      <c r="E8" s="8"/>
      <c r="F8" s="11" t="s">
        <v>240</v>
      </c>
      <c r="G8" s="5" t="s">
        <v>265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870497</v>
      </c>
      <c r="C10" s="32">
        <f>'CurrentYearBalanceSheet '!D10</f>
        <v>1307909</v>
      </c>
      <c r="D10" s="17"/>
      <c r="E10" s="17" t="s">
        <v>77</v>
      </c>
      <c r="F10" s="32">
        <f>PriorYearBalanceSheet!I10</f>
        <v>43294</v>
      </c>
      <c r="G10" s="32">
        <f>'CurrentYearBalanceSheet '!I10</f>
        <v>57075</v>
      </c>
    </row>
    <row r="11" spans="1:7" x14ac:dyDescent="0.25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0</v>
      </c>
      <c r="G14" s="32">
        <f>'CurrentYearBalanceSheet '!I14</f>
        <v>0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118523</v>
      </c>
      <c r="C17" s="32">
        <f>'CurrentYearBalanceSheet '!D17</f>
        <v>24703</v>
      </c>
      <c r="D17" s="17"/>
      <c r="E17" s="17" t="s">
        <v>85</v>
      </c>
      <c r="F17" s="32">
        <f>PriorYearBalanceSheet!I17</f>
        <v>3565</v>
      </c>
      <c r="G17" s="32">
        <f>'CurrentYearBalanceSheet '!I17</f>
        <v>26366</v>
      </c>
    </row>
    <row r="18" spans="1:7" x14ac:dyDescent="0.25">
      <c r="A18" s="17" t="s">
        <v>46</v>
      </c>
      <c r="B18" s="32">
        <f>PriorYearBalanceSheet!D18</f>
        <v>0</v>
      </c>
      <c r="C18" s="32">
        <f>'CurrentYearBalanceSheet '!D18</f>
        <v>0</v>
      </c>
      <c r="D18" s="17"/>
      <c r="E18" s="17" t="s">
        <v>86</v>
      </c>
      <c r="F18" s="32">
        <f>PriorYearBalanceSheet!I18</f>
        <v>14192</v>
      </c>
      <c r="G18" s="32">
        <f>'CurrentYearBalanceSheet '!I18</f>
        <v>13342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346780</v>
      </c>
      <c r="G19" s="32">
        <f>'CurrentYearBalanceSheet '!I19</f>
        <v>371117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407831</v>
      </c>
      <c r="G20" s="35">
        <f>SUM(G10:G19)</f>
        <v>467900</v>
      </c>
    </row>
    <row r="21" spans="1:7" x14ac:dyDescent="0.25">
      <c r="A21" s="17" t="s">
        <v>48</v>
      </c>
      <c r="B21" s="32">
        <f>PriorYearBalanceSheet!D21</f>
        <v>34672</v>
      </c>
      <c r="C21" s="32">
        <f>'CurrentYearBalanceSheet '!D21</f>
        <v>36948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32329</v>
      </c>
      <c r="C23" s="32">
        <f>'CurrentYearBalanceSheet '!D23</f>
        <v>20919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40</v>
      </c>
      <c r="B25" s="32">
        <f>B10+B11+B13+B14+B15+B17+B18+B19+B20+B21+B22+B23+B24</f>
        <v>1056021</v>
      </c>
      <c r="C25" s="32">
        <f>C10+C11+C13+C14+C15+C17+C18+C19+C20+C21+C22+C23+C24</f>
        <v>1390479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2800086</v>
      </c>
      <c r="G30" s="32">
        <f>'CurrentYearBalanceSheet '!I30</f>
        <v>3405598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2800086</v>
      </c>
      <c r="G32" s="32">
        <f>SUM(G22:G31)</f>
        <v>3405598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-219730</v>
      </c>
      <c r="C35" s="32">
        <f>'CurrentYearBalanceSheet '!D35</f>
        <v>-178389</v>
      </c>
      <c r="D35" s="17"/>
      <c r="E35" s="18" t="s">
        <v>214</v>
      </c>
      <c r="F35" s="32">
        <f>PriorYearBalanceSheet!I35</f>
        <v>0</v>
      </c>
      <c r="G35" s="32">
        <f>'CurrentYearBalanceSheet '!I35</f>
        <v>0</v>
      </c>
    </row>
    <row r="36" spans="1:7" x14ac:dyDescent="0.25">
      <c r="A36" s="17" t="s">
        <v>61</v>
      </c>
      <c r="B36" s="32">
        <f>PriorYearBalanceSheet!D36</f>
        <v>0</v>
      </c>
      <c r="C36" s="32">
        <f>'CurrentYearBalanceSheet '!D36</f>
        <v>0</v>
      </c>
      <c r="D36" s="17"/>
      <c r="E36" s="17" t="s">
        <v>227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547371</v>
      </c>
      <c r="C37" s="32">
        <f>'CurrentYearBalanceSheet '!D37</f>
        <v>460800</v>
      </c>
      <c r="D37" s="17"/>
      <c r="E37" s="17" t="s">
        <v>253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215</v>
      </c>
      <c r="F38" s="32">
        <f>SUM(F34:F37)</f>
        <v>0</v>
      </c>
      <c r="G38" s="32">
        <f>SUM(G34:G37)</f>
        <v>0</v>
      </c>
    </row>
    <row r="39" spans="1:7" x14ac:dyDescent="0.25">
      <c r="A39" s="17" t="s">
        <v>64</v>
      </c>
      <c r="B39" s="32">
        <f>B30+B31+B33+B34+B35+B36+B37+B38</f>
        <v>327641</v>
      </c>
      <c r="C39" s="32">
        <f>C30+C31+C33+C34+C35+C36+C37+C38</f>
        <v>282411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216</v>
      </c>
      <c r="F40" s="32">
        <f>PriorYearBalanceSheet!I40</f>
        <v>35000</v>
      </c>
      <c r="G40" s="32">
        <f>'CurrentYearBalanceSheet '!I40</f>
        <v>35000</v>
      </c>
    </row>
    <row r="41" spans="1:7" x14ac:dyDescent="0.25">
      <c r="A41" s="21" t="s">
        <v>65</v>
      </c>
      <c r="B41" s="17"/>
      <c r="C41" s="17"/>
      <c r="D41" s="17"/>
      <c r="E41" s="17" t="s">
        <v>217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66</v>
      </c>
      <c r="B42" s="32">
        <f>PriorYearBalanceSheet!D42</f>
        <v>19192896</v>
      </c>
      <c r="C42" s="32">
        <f>'CurrentYearBalanceSheet '!D42</f>
        <v>19684070</v>
      </c>
      <c r="D42" s="17"/>
      <c r="E42" s="17" t="s">
        <v>218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224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155863</v>
      </c>
      <c r="C44" s="32">
        <f>'CurrentYearBalanceSheet '!D44</f>
        <v>414216</v>
      </c>
      <c r="D44" s="17"/>
      <c r="E44" s="17" t="s">
        <v>219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220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-17707587</v>
      </c>
      <c r="C46" s="33">
        <f>'CurrentYearBalanceSheet '!D46</f>
        <v>-18136165</v>
      </c>
      <c r="D46" s="17"/>
      <c r="E46" s="17" t="s">
        <v>228</v>
      </c>
      <c r="F46" s="33">
        <f>PriorYearBalanceSheet!I46</f>
        <v>-218083</v>
      </c>
      <c r="G46" s="33">
        <f>'CurrentYearBalanceSheet '!I46</f>
        <v>-273487</v>
      </c>
    </row>
    <row r="47" spans="1:7" x14ac:dyDescent="0.25">
      <c r="A47" s="17" t="s">
        <v>70</v>
      </c>
      <c r="B47" s="32">
        <f>SUM(B42:B46)</f>
        <v>1641172</v>
      </c>
      <c r="C47" s="32">
        <f>SUM(C42:C46)</f>
        <v>1962121</v>
      </c>
      <c r="D47" s="17"/>
      <c r="E47" s="17" t="s">
        <v>222</v>
      </c>
      <c r="F47" s="32">
        <f>SUM(F40:F46)</f>
        <v>-183083</v>
      </c>
      <c r="G47" s="32">
        <f>SUM(G40:G46)</f>
        <v>-238487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193</v>
      </c>
      <c r="B49" s="34">
        <f>B25+B39+B47</f>
        <v>3024834</v>
      </c>
      <c r="C49" s="34">
        <f>C25+C39+C47</f>
        <v>3635011</v>
      </c>
      <c r="D49" s="17"/>
      <c r="E49" s="21" t="s">
        <v>223</v>
      </c>
      <c r="F49" s="34">
        <f>F20+F32+F38+F47</f>
        <v>3024834</v>
      </c>
      <c r="G49" s="34">
        <f>G20+G32+G38+G47</f>
        <v>3635011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254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zoomScaleNormal="100" workbookViewId="0">
      <selection activeCell="E14" sqref="E1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255</v>
      </c>
      <c r="C10" s="10">
        <v>18</v>
      </c>
      <c r="D10" s="58">
        <f>'BalanceSheet(Summary)'!B42</f>
        <v>19192896</v>
      </c>
      <c r="E10" s="58">
        <f>'BalanceSheet(Summary)'!C42</f>
        <v>19684070</v>
      </c>
      <c r="F10" s="58">
        <f>(D10+E10)/2</f>
        <v>19438483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-17707587</v>
      </c>
      <c r="E12" s="58">
        <f>'BalanceSheet(Summary)'!C46</f>
        <v>-18136165</v>
      </c>
      <c r="F12" s="58">
        <f t="shared" ref="F12:F15" si="0">(D12+E12)/2</f>
        <v>-17921876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34672</v>
      </c>
      <c r="E13" s="58">
        <f>'BalanceSheet(Summary)'!C21</f>
        <v>36948</v>
      </c>
      <c r="F13" s="58">
        <f t="shared" si="0"/>
        <v>35810</v>
      </c>
    </row>
    <row r="14" spans="1:6" x14ac:dyDescent="0.25">
      <c r="A14" s="10">
        <v>5</v>
      </c>
      <c r="B14" s="17" t="s">
        <v>248</v>
      </c>
      <c r="C14" s="11"/>
      <c r="D14" s="52">
        <v>547371</v>
      </c>
      <c r="E14" s="52">
        <v>460800</v>
      </c>
      <c r="F14" s="58">
        <f t="shared" si="0"/>
        <v>504085.5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2067352</v>
      </c>
      <c r="E15" s="62">
        <f>SUM(E10:E14)</f>
        <v>2045653</v>
      </c>
      <c r="F15" s="63">
        <f t="shared" si="0"/>
        <v>2056502.5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241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247</v>
      </c>
      <c r="B20" t="s">
        <v>242</v>
      </c>
      <c r="C20" s="65"/>
      <c r="D20" s="65"/>
      <c r="E20" s="65"/>
      <c r="F20" s="65"/>
    </row>
    <row r="21" spans="1:6" x14ac:dyDescent="0.25">
      <c r="B21" t="s">
        <v>244</v>
      </c>
      <c r="C21" s="65"/>
      <c r="D21" s="65"/>
      <c r="E21" s="65"/>
      <c r="F21" s="65"/>
    </row>
    <row r="22" spans="1:6" x14ac:dyDescent="0.25">
      <c r="B22" t="s">
        <v>245</v>
      </c>
      <c r="C22" s="65"/>
      <c r="D22" s="65"/>
      <c r="E22" s="65"/>
      <c r="F22" s="65"/>
    </row>
    <row r="23" spans="1:6" x14ac:dyDescent="0.25">
      <c r="B23" t="s">
        <v>243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zoomScaleNormal="100" workbookViewId="0">
      <selection activeCell="D10" sqref="D10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246</v>
      </c>
      <c r="D8" s="11" t="s">
        <v>266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f>1663+6</f>
        <v>1669</v>
      </c>
      <c r="D10" s="52">
        <f>1665+6</f>
        <v>1671</v>
      </c>
      <c r="E10" s="32">
        <f>D10-C10</f>
        <v>2</v>
      </c>
      <c r="F10" s="38">
        <f>E10/C10</f>
        <v>1.1983223487118035E-3</v>
      </c>
    </row>
    <row r="11" spans="1:6" x14ac:dyDescent="0.25">
      <c r="A11" s="10">
        <v>2</v>
      </c>
      <c r="B11" s="19" t="s">
        <v>122</v>
      </c>
      <c r="C11" s="52">
        <f>61+423+41</f>
        <v>525</v>
      </c>
      <c r="D11" s="52">
        <f>71+420+43</f>
        <v>534</v>
      </c>
      <c r="E11" s="32">
        <f>D11-C11</f>
        <v>9</v>
      </c>
      <c r="F11" s="38">
        <f t="shared" ref="F11:F12" si="0">E11/C11</f>
        <v>1.7142857142857144E-2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2194</v>
      </c>
      <c r="D12" s="34">
        <f t="shared" ref="D12:E12" si="1">SUM(D10:D11)</f>
        <v>2205</v>
      </c>
      <c r="E12" s="34">
        <f t="shared" si="1"/>
        <v>11</v>
      </c>
      <c r="F12" s="39">
        <f t="shared" si="0"/>
        <v>5.0136736554238833E-3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267</v>
      </c>
      <c r="C14" s="65"/>
      <c r="D14" s="65"/>
      <c r="E14" s="65"/>
      <c r="F14" s="65"/>
    </row>
    <row r="15" spans="1:6" x14ac:dyDescent="0.25">
      <c r="A15" s="65"/>
      <c r="B15" s="65" t="s">
        <v>203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zoomScaleNormal="100" workbookViewId="0">
      <selection activeCell="C9" sqref="C9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239</v>
      </c>
    </row>
    <row r="9" spans="1:6" x14ac:dyDescent="0.25">
      <c r="A9" s="9">
        <v>1</v>
      </c>
      <c r="B9" s="3" t="s">
        <v>1</v>
      </c>
      <c r="C9" s="55">
        <v>570385</v>
      </c>
      <c r="D9" s="52"/>
      <c r="E9" s="58">
        <f>SUM(C9:D9)</f>
        <v>570385</v>
      </c>
    </row>
    <row r="10" spans="1:6" x14ac:dyDescent="0.25">
      <c r="A10" s="10">
        <v>2</v>
      </c>
      <c r="B10" s="14" t="s">
        <v>2</v>
      </c>
      <c r="C10" s="52">
        <v>2335480</v>
      </c>
      <c r="D10" s="52"/>
      <c r="E10" s="58">
        <f t="shared" ref="E10:E14" si="0">SUM(C10:D10)</f>
        <v>2335480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8515</v>
      </c>
      <c r="D12" s="52"/>
      <c r="E12" s="58">
        <f t="shared" si="0"/>
        <v>8515</v>
      </c>
    </row>
    <row r="13" spans="1:6" x14ac:dyDescent="0.25">
      <c r="A13" s="10">
        <v>5</v>
      </c>
      <c r="B13" s="14" t="s">
        <v>5</v>
      </c>
      <c r="C13" s="52">
        <v>29626</v>
      </c>
      <c r="D13" s="52"/>
      <c r="E13" s="58">
        <f t="shared" si="0"/>
        <v>29626</v>
      </c>
    </row>
    <row r="14" spans="1:6" x14ac:dyDescent="0.25">
      <c r="A14" s="10">
        <v>6</v>
      </c>
      <c r="B14" s="14" t="s">
        <v>133</v>
      </c>
      <c r="C14" s="52">
        <v>-5311</v>
      </c>
      <c r="D14" s="52"/>
      <c r="E14" s="58">
        <f t="shared" si="0"/>
        <v>-5311</v>
      </c>
    </row>
    <row r="15" spans="1:6" x14ac:dyDescent="0.25">
      <c r="A15" s="10">
        <v>7</v>
      </c>
      <c r="B15" s="88" t="s">
        <v>132</v>
      </c>
      <c r="C15" s="96">
        <f>SUM(C9:C14)</f>
        <v>2938695</v>
      </c>
      <c r="D15" s="96">
        <f t="shared" ref="D15:E15" si="1">SUM(D9:D14)</f>
        <v>0</v>
      </c>
      <c r="E15" s="96">
        <f t="shared" si="1"/>
        <v>2938695</v>
      </c>
      <c r="F15" s="1"/>
    </row>
    <row r="16" spans="1:6" x14ac:dyDescent="0.25">
      <c r="A16" s="10">
        <v>8</v>
      </c>
      <c r="B16" s="14" t="s">
        <v>6</v>
      </c>
      <c r="C16" s="52">
        <v>988358</v>
      </c>
      <c r="D16" s="52">
        <v>-3091</v>
      </c>
      <c r="E16" s="41">
        <f>SUM(C16:D16)</f>
        <v>985267</v>
      </c>
    </row>
    <row r="17" spans="1:6" x14ac:dyDescent="0.25">
      <c r="A17" s="10">
        <v>9</v>
      </c>
      <c r="B17" s="14" t="s">
        <v>39</v>
      </c>
      <c r="C17" s="52">
        <v>638886</v>
      </c>
      <c r="D17" s="52"/>
      <c r="E17" s="41">
        <f t="shared" ref="E17:E21" si="2">SUM(C17:D17)</f>
        <v>638886</v>
      </c>
    </row>
    <row r="18" spans="1:6" x14ac:dyDescent="0.25">
      <c r="A18" s="10">
        <v>10</v>
      </c>
      <c r="B18" s="14" t="s">
        <v>7</v>
      </c>
      <c r="C18" s="52">
        <v>551441</v>
      </c>
      <c r="D18" s="52">
        <v>-1228</v>
      </c>
      <c r="E18" s="41">
        <f t="shared" si="2"/>
        <v>550213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228850</v>
      </c>
      <c r="D20" s="52">
        <v>-3872</v>
      </c>
      <c r="E20" s="41">
        <f t="shared" si="2"/>
        <v>224978</v>
      </c>
    </row>
    <row r="21" spans="1:6" x14ac:dyDescent="0.25">
      <c r="A21" s="10">
        <v>13</v>
      </c>
      <c r="B21" s="14" t="s">
        <v>10</v>
      </c>
      <c r="C21" s="52">
        <v>564595</v>
      </c>
      <c r="D21" s="52">
        <f>-313-849-4875</f>
        <v>-6037</v>
      </c>
      <c r="E21" s="41">
        <f t="shared" si="2"/>
        <v>558558</v>
      </c>
    </row>
    <row r="22" spans="1:6" x14ac:dyDescent="0.25">
      <c r="A22" s="10">
        <v>14</v>
      </c>
      <c r="B22" s="83" t="s">
        <v>229</v>
      </c>
      <c r="C22" s="96">
        <f>C16+C17+C18+C19+C20+C21</f>
        <v>2972130</v>
      </c>
      <c r="D22" s="96">
        <f>D16+D17+D18+D19+D20+D21</f>
        <v>-14228</v>
      </c>
      <c r="E22" s="97">
        <f>E16+E17+E18+E19+E20+E21</f>
        <v>2957902</v>
      </c>
      <c r="F22" s="1"/>
    </row>
    <row r="23" spans="1:6" x14ac:dyDescent="0.25">
      <c r="A23" s="10">
        <v>15</v>
      </c>
      <c r="B23" s="14" t="s">
        <v>14</v>
      </c>
      <c r="C23" s="58">
        <f>C15-C22</f>
        <v>-33435</v>
      </c>
      <c r="D23" s="58">
        <f>D15-D22</f>
        <v>14228</v>
      </c>
      <c r="E23" s="58">
        <f>E15-E22</f>
        <v>-19207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82504</v>
      </c>
      <c r="D25" s="112">
        <v>-66</v>
      </c>
      <c r="E25" s="58">
        <f t="shared" ref="E25:E27" si="3">SUM(C25:D25)</f>
        <v>82438</v>
      </c>
    </row>
    <row r="26" spans="1:6" x14ac:dyDescent="0.25">
      <c r="A26" s="10">
        <v>18</v>
      </c>
      <c r="B26" s="14" t="s">
        <v>189</v>
      </c>
      <c r="C26" s="52">
        <v>122053</v>
      </c>
      <c r="D26" s="112">
        <f>7702-31-220839</f>
        <v>-213168</v>
      </c>
      <c r="E26" s="58">
        <f t="shared" si="3"/>
        <v>-91115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204557</v>
      </c>
      <c r="D28" s="79">
        <f t="shared" ref="D28:E28" si="4">SUM(D25:D27)</f>
        <v>-213234</v>
      </c>
      <c r="E28" s="98">
        <f t="shared" si="4"/>
        <v>-8677</v>
      </c>
    </row>
    <row r="29" spans="1:6" x14ac:dyDescent="0.25">
      <c r="A29" s="10">
        <v>21</v>
      </c>
      <c r="B29" s="88" t="s">
        <v>22</v>
      </c>
      <c r="C29" s="79">
        <f>C23+C24-C28</f>
        <v>-237992</v>
      </c>
      <c r="D29" s="79">
        <f>D23+D24-D28</f>
        <v>227462</v>
      </c>
      <c r="E29" s="98">
        <f>E23+E24-E28</f>
        <v>-10530</v>
      </c>
    </row>
    <row r="30" spans="1:6" x14ac:dyDescent="0.25">
      <c r="A30" s="10">
        <v>22</v>
      </c>
      <c r="B30" s="14" t="s">
        <v>15</v>
      </c>
      <c r="C30" s="52"/>
      <c r="D30" s="54"/>
      <c r="E30" s="58">
        <f>SUM(C30:D30)</f>
        <v>0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>
        <v>126143</v>
      </c>
      <c r="D32" s="112">
        <v>-95</v>
      </c>
      <c r="E32" s="58">
        <f t="shared" si="5"/>
        <v>126048</v>
      </c>
    </row>
    <row r="33" spans="1:10" x14ac:dyDescent="0.25">
      <c r="A33" s="10">
        <v>25</v>
      </c>
      <c r="B33" s="14" t="s">
        <v>258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257</v>
      </c>
      <c r="C34" s="79">
        <f>SUM(C30:C33)</f>
        <v>126143</v>
      </c>
      <c r="D34" s="99">
        <f t="shared" ref="D34" si="6">SUM(D30:D33)</f>
        <v>-95</v>
      </c>
      <c r="E34" s="79">
        <f>SUM(E30:E33)</f>
        <v>126048</v>
      </c>
    </row>
    <row r="35" spans="1:10" x14ac:dyDescent="0.25">
      <c r="A35" s="10">
        <v>27</v>
      </c>
      <c r="B35" s="14" t="s">
        <v>18</v>
      </c>
      <c r="C35" s="52">
        <v>-16840</v>
      </c>
      <c r="D35" s="54"/>
      <c r="E35" s="32">
        <f>SUM(C35:D35)</f>
        <v>-16840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28371</v>
      </c>
      <c r="D38" s="69">
        <f>-1*(D29-D34)</f>
        <v>-227557</v>
      </c>
      <c r="E38" s="32">
        <f t="shared" si="7"/>
        <v>-199186</v>
      </c>
    </row>
    <row r="39" spans="1:10" x14ac:dyDescent="0.25">
      <c r="A39" s="10">
        <v>31</v>
      </c>
      <c r="B39" s="88" t="s">
        <v>21</v>
      </c>
      <c r="C39" s="79">
        <f>C29-C34+C35+C36+C37+C38</f>
        <v>-352604</v>
      </c>
      <c r="D39" s="79">
        <f t="shared" ref="D39:E39" si="8">D29-D34+D35+D36+D37+D38</f>
        <v>0</v>
      </c>
      <c r="E39" s="79">
        <f t="shared" si="8"/>
        <v>-352604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134521</v>
      </c>
      <c r="D41" s="54"/>
      <c r="E41" s="58">
        <f t="shared" ref="E41:E46" si="9">SUM(C41:D41)</f>
        <v>134521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197</v>
      </c>
      <c r="C47" s="79">
        <f>(C39+C41+C42)-(C43+C44+C45+C46)</f>
        <v>-218083</v>
      </c>
      <c r="D47" s="99">
        <f t="shared" ref="D47:E47" si="10">(D39+D41+D42)-(D43+D44+D45+D46)</f>
        <v>0</v>
      </c>
      <c r="E47" s="98">
        <f t="shared" si="10"/>
        <v>-218083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/>
      <c r="D52" s="101"/>
      <c r="E52" s="32">
        <f>C52</f>
        <v>0</v>
      </c>
    </row>
    <row r="53" spans="1:7" x14ac:dyDescent="0.25">
      <c r="A53" s="10">
        <v>45</v>
      </c>
      <c r="B53" s="14" t="s">
        <v>35</v>
      </c>
      <c r="C53" s="102">
        <f>((C22+C28-C18-C19)/C15)</f>
        <v>0.89333734872111603</v>
      </c>
      <c r="D53" s="102" t="e">
        <f>((D22+D28-D18-D19)/D15)</f>
        <v>#DIV/0!</v>
      </c>
      <c r="E53" s="102">
        <f>((E22+E28-E18-E19)/E15)</f>
        <v>0.81635283688848281</v>
      </c>
    </row>
    <row r="54" spans="1:7" x14ac:dyDescent="0.25">
      <c r="A54" s="10">
        <v>46</v>
      </c>
      <c r="B54" s="14" t="s">
        <v>36</v>
      </c>
      <c r="C54" s="102">
        <f>((C22+C28+C34)/C15)</f>
        <v>1.1239104432409623</v>
      </c>
      <c r="D54" s="102" t="e">
        <f>((D22+D28+D34)/D15)</f>
        <v>#DIV/0!</v>
      </c>
      <c r="E54" s="102">
        <f>((E22+E28+E34)/E15)</f>
        <v>1.0464757315747295</v>
      </c>
    </row>
    <row r="55" spans="1:7" x14ac:dyDescent="0.25">
      <c r="A55" s="10">
        <v>47</v>
      </c>
      <c r="B55" s="14" t="s">
        <v>37</v>
      </c>
      <c r="C55" s="102">
        <f>((C39+C34)/C34)</f>
        <v>-1.7952720325345044</v>
      </c>
      <c r="D55" s="102">
        <f t="shared" ref="D55:E55" si="13">((D39+D34)/D34)</f>
        <v>1</v>
      </c>
      <c r="E55" s="102">
        <f t="shared" si="13"/>
        <v>-1.7973787763391724</v>
      </c>
    </row>
    <row r="56" spans="1:7" x14ac:dyDescent="0.25">
      <c r="A56" s="10">
        <v>48</v>
      </c>
      <c r="B56" s="14" t="s">
        <v>38</v>
      </c>
      <c r="C56" s="102" t="e">
        <f>(C39+C34+C18+C19)/C52</f>
        <v>#DIV/0!</v>
      </c>
      <c r="D56" s="102" t="e">
        <f>(D39+D34+D18+D19)/D52</f>
        <v>#DIV/0!</v>
      </c>
      <c r="E56" s="102" t="e">
        <f>(E39+E34+E18+E19)/E52</f>
        <v>#DIV/0!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195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256</v>
      </c>
      <c r="C60" s="65"/>
      <c r="D60" s="65"/>
      <c r="E60" s="65"/>
      <c r="F60" s="65"/>
      <c r="G60" s="65"/>
    </row>
    <row r="61" spans="1:7" x14ac:dyDescent="0.25">
      <c r="A61" s="47"/>
      <c r="B61" t="s">
        <v>196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230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208</v>
      </c>
      <c r="C64" s="65"/>
      <c r="D64" s="65"/>
      <c r="E64" s="65"/>
      <c r="F64" s="65"/>
      <c r="G64" s="65"/>
    </row>
    <row r="65" spans="1:7" x14ac:dyDescent="0.25">
      <c r="A65" s="92"/>
      <c r="B65" s="65" t="s">
        <v>209</v>
      </c>
      <c r="C65" s="65"/>
      <c r="D65" s="65"/>
      <c r="E65" s="65"/>
      <c r="F65" s="65"/>
      <c r="G65" s="65"/>
    </row>
    <row r="66" spans="1:7" x14ac:dyDescent="0.25">
      <c r="A66" s="92" t="s">
        <v>235</v>
      </c>
      <c r="B66" s="65" t="s">
        <v>236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zoomScaleNormal="100" workbookViewId="0">
      <selection activeCell="D27" sqref="D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264</v>
      </c>
    </row>
    <row r="9" spans="1:6" x14ac:dyDescent="0.25">
      <c r="A9" s="9">
        <v>1</v>
      </c>
      <c r="B9" s="6" t="s">
        <v>1</v>
      </c>
      <c r="C9" s="55">
        <v>572118</v>
      </c>
      <c r="D9" s="52"/>
      <c r="E9" s="32">
        <f>SUM(C9:D9)</f>
        <v>572118</v>
      </c>
    </row>
    <row r="10" spans="1:6" x14ac:dyDescent="0.25">
      <c r="A10" s="10">
        <v>2</v>
      </c>
      <c r="B10" s="17" t="s">
        <v>2</v>
      </c>
      <c r="C10" s="52">
        <v>2207452</v>
      </c>
      <c r="D10" s="52"/>
      <c r="E10" s="32">
        <f t="shared" ref="E10:E14" si="0">SUM(C10:D10)</f>
        <v>2207452</v>
      </c>
    </row>
    <row r="11" spans="1:6" x14ac:dyDescent="0.25">
      <c r="A11" s="10">
        <v>3</v>
      </c>
      <c r="B11" s="17" t="s">
        <v>3</v>
      </c>
      <c r="C11" s="52">
        <v>0</v>
      </c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8827</v>
      </c>
      <c r="D12" s="52"/>
      <c r="E12" s="32">
        <f t="shared" si="0"/>
        <v>8827</v>
      </c>
    </row>
    <row r="13" spans="1:6" x14ac:dyDescent="0.25">
      <c r="A13" s="10">
        <v>5</v>
      </c>
      <c r="B13" s="17" t="s">
        <v>5</v>
      </c>
      <c r="C13" s="52">
        <v>29856</v>
      </c>
      <c r="D13" s="52"/>
      <c r="E13" s="32">
        <f t="shared" si="0"/>
        <v>29856</v>
      </c>
    </row>
    <row r="14" spans="1:6" x14ac:dyDescent="0.25">
      <c r="A14" s="10">
        <v>6</v>
      </c>
      <c r="B14" s="17" t="s">
        <v>133</v>
      </c>
      <c r="C14" s="52">
        <v>-6487</v>
      </c>
      <c r="D14" s="52"/>
      <c r="E14" s="32">
        <f t="shared" si="0"/>
        <v>-6487</v>
      </c>
    </row>
    <row r="15" spans="1:6" x14ac:dyDescent="0.25">
      <c r="A15" s="10">
        <v>7</v>
      </c>
      <c r="B15" s="83" t="s">
        <v>132</v>
      </c>
      <c r="C15" s="40">
        <f>SUM(C9:C14)</f>
        <v>2811766</v>
      </c>
      <c r="D15" s="40">
        <f t="shared" ref="D15:E15" si="1">SUM(D9:D14)</f>
        <v>0</v>
      </c>
      <c r="E15" s="40">
        <f t="shared" si="1"/>
        <v>2811766</v>
      </c>
      <c r="F15" s="1"/>
    </row>
    <row r="16" spans="1:6" x14ac:dyDescent="0.25">
      <c r="A16" s="10">
        <v>8</v>
      </c>
      <c r="B16" s="17" t="s">
        <v>6</v>
      </c>
      <c r="C16" s="52">
        <v>902945</v>
      </c>
      <c r="D16" s="52">
        <v>-1907</v>
      </c>
      <c r="E16" s="41">
        <f>SUM(C16:D16)</f>
        <v>901038</v>
      </c>
    </row>
    <row r="17" spans="1:6" x14ac:dyDescent="0.25">
      <c r="A17" s="10">
        <v>9</v>
      </c>
      <c r="B17" s="17" t="s">
        <v>39</v>
      </c>
      <c r="C17" s="52">
        <v>575478</v>
      </c>
      <c r="D17" s="52"/>
      <c r="E17" s="41">
        <f t="shared" ref="E17:E21" si="2">SUM(C17:D17)</f>
        <v>575478</v>
      </c>
    </row>
    <row r="18" spans="1:6" x14ac:dyDescent="0.25">
      <c r="A18" s="10">
        <v>10</v>
      </c>
      <c r="B18" s="17" t="s">
        <v>7</v>
      </c>
      <c r="C18" s="52">
        <v>433770</v>
      </c>
      <c r="D18" s="52">
        <v>-473</v>
      </c>
      <c r="E18" s="41">
        <f t="shared" si="2"/>
        <v>433297</v>
      </c>
    </row>
    <row r="19" spans="1:6" x14ac:dyDescent="0.25">
      <c r="A19" s="10">
        <v>11</v>
      </c>
      <c r="B19" s="17" t="s">
        <v>8</v>
      </c>
      <c r="C19" s="52">
        <v>0</v>
      </c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211651</v>
      </c>
      <c r="D20" s="52">
        <v>-3773</v>
      </c>
      <c r="E20" s="41">
        <f t="shared" si="2"/>
        <v>207878</v>
      </c>
    </row>
    <row r="21" spans="1:6" x14ac:dyDescent="0.25">
      <c r="A21" s="10">
        <v>13</v>
      </c>
      <c r="B21" s="17" t="s">
        <v>10</v>
      </c>
      <c r="C21" s="52">
        <v>536273</v>
      </c>
      <c r="D21" s="52">
        <v>-1378</v>
      </c>
      <c r="E21" s="41">
        <f t="shared" si="2"/>
        <v>534895</v>
      </c>
    </row>
    <row r="22" spans="1:6" x14ac:dyDescent="0.25">
      <c r="A22" s="10">
        <v>14</v>
      </c>
      <c r="B22" s="83" t="s">
        <v>229</v>
      </c>
      <c r="C22" s="40">
        <f>C16+C17+C18+C19+C20+C21</f>
        <v>2660117</v>
      </c>
      <c r="D22" s="40">
        <f>D16+D17+D18+D19+D20+D21</f>
        <v>-7531</v>
      </c>
      <c r="E22" s="42">
        <f>E16+E17+E18+E19+E20+E21</f>
        <v>2652586</v>
      </c>
      <c r="F22" s="1"/>
    </row>
    <row r="23" spans="1:6" x14ac:dyDescent="0.25">
      <c r="A23" s="10">
        <v>15</v>
      </c>
      <c r="B23" s="17" t="s">
        <v>14</v>
      </c>
      <c r="C23" s="32">
        <f>C15-C22</f>
        <v>151649</v>
      </c>
      <c r="D23" s="32">
        <f>D15-D22</f>
        <v>7531</v>
      </c>
      <c r="E23" s="32">
        <f>E15-E22</f>
        <v>159180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82614</v>
      </c>
      <c r="D25" s="112">
        <v>-52</v>
      </c>
      <c r="E25" s="32">
        <f t="shared" ref="E25:E27" si="3">SUM(C25:D25)</f>
        <v>82562</v>
      </c>
    </row>
    <row r="26" spans="1:6" x14ac:dyDescent="0.25">
      <c r="A26" s="10">
        <v>18</v>
      </c>
      <c r="B26" s="17" t="s">
        <v>189</v>
      </c>
      <c r="C26" s="52">
        <v>-11070</v>
      </c>
      <c r="D26" s="54">
        <f>3386-45615</f>
        <v>-42229</v>
      </c>
      <c r="E26" s="32">
        <f t="shared" si="3"/>
        <v>-53299</v>
      </c>
    </row>
    <row r="27" spans="1:6" x14ac:dyDescent="0.25">
      <c r="A27" s="10">
        <v>19</v>
      </c>
      <c r="B27" s="17" t="s">
        <v>13</v>
      </c>
      <c r="C27" s="52"/>
      <c r="D27" s="112"/>
      <c r="E27" s="32">
        <f t="shared" si="3"/>
        <v>0</v>
      </c>
    </row>
    <row r="28" spans="1:6" x14ac:dyDescent="0.25">
      <c r="A28" s="10">
        <v>20</v>
      </c>
      <c r="B28" s="83" t="s">
        <v>12</v>
      </c>
      <c r="C28" s="37">
        <f>SUM(C25:C27)</f>
        <v>71544</v>
      </c>
      <c r="D28" s="37">
        <f t="shared" ref="D28:E28" si="4">SUM(D25:D27)</f>
        <v>-42281</v>
      </c>
      <c r="E28" s="43">
        <f t="shared" si="4"/>
        <v>29263</v>
      </c>
    </row>
    <row r="29" spans="1:6" x14ac:dyDescent="0.25">
      <c r="A29" s="10">
        <v>21</v>
      </c>
      <c r="B29" s="83" t="s">
        <v>22</v>
      </c>
      <c r="C29" s="37">
        <f>C23+C24-C28</f>
        <v>80105</v>
      </c>
      <c r="D29" s="37">
        <f>D23+D24-D28</f>
        <v>49812</v>
      </c>
      <c r="E29" s="43">
        <f>E23+E24-E28</f>
        <v>129917</v>
      </c>
    </row>
    <row r="30" spans="1:6" x14ac:dyDescent="0.25">
      <c r="A30" s="10">
        <v>22</v>
      </c>
      <c r="B30" s="17" t="s">
        <v>15</v>
      </c>
      <c r="C30" s="52">
        <v>131646</v>
      </c>
      <c r="D30" s="54"/>
      <c r="E30" s="32">
        <f>SUM(C30:D30)</f>
        <v>131646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258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257</v>
      </c>
      <c r="C34" s="37">
        <f>SUM(C30:C33)</f>
        <v>131646</v>
      </c>
      <c r="D34" s="64">
        <f t="shared" ref="D34" si="6">SUM(D30:D33)</f>
        <v>0</v>
      </c>
      <c r="E34" s="37">
        <f>SUM(E30:E33)</f>
        <v>131646</v>
      </c>
    </row>
    <row r="35" spans="1:5" x14ac:dyDescent="0.25">
      <c r="A35" s="10">
        <v>27</v>
      </c>
      <c r="B35" s="17" t="s">
        <v>18</v>
      </c>
      <c r="C35" s="52">
        <v>8581</v>
      </c>
      <c r="D35" s="54"/>
      <c r="E35" s="32">
        <f>SUM(C35:D35)</f>
        <v>8581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-12444</v>
      </c>
      <c r="D38" s="69">
        <f>-1*(D29-D34)</f>
        <v>-49812</v>
      </c>
      <c r="E38" s="32">
        <f t="shared" si="7"/>
        <v>-62256</v>
      </c>
    </row>
    <row r="39" spans="1:5" x14ac:dyDescent="0.25">
      <c r="A39" s="10">
        <v>31</v>
      </c>
      <c r="B39" s="83" t="s">
        <v>21</v>
      </c>
      <c r="C39" s="37">
        <f>C29-C34+C35+C36+C37+C38</f>
        <v>-55404</v>
      </c>
      <c r="D39" s="37">
        <f t="shared" ref="D39:E39" si="8">D29-D34+D35+D36+D37+D38</f>
        <v>0</v>
      </c>
      <c r="E39" s="37">
        <f t="shared" si="8"/>
        <v>-55404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-218083</v>
      </c>
      <c r="D41" s="54"/>
      <c r="E41" s="32">
        <f t="shared" ref="E41:E46" si="9">SUM(C41:D41)</f>
        <v>-218083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197</v>
      </c>
      <c r="C47" s="37">
        <f>(C39+C41+C42)-(C43+C44+C45+C46)</f>
        <v>-273487</v>
      </c>
      <c r="D47" s="64">
        <f t="shared" ref="D47:E47" si="10">(D39+D41+D42)-(D43+D44+D45+D46)</f>
        <v>0</v>
      </c>
      <c r="E47" s="43">
        <f t="shared" si="10"/>
        <v>-273487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25">
      <c r="A53" s="10">
        <v>45</v>
      </c>
      <c r="B53" s="17" t="s">
        <v>35</v>
      </c>
      <c r="C53" s="46">
        <f>((C22+C28-C18-C19)/C15)</f>
        <v>0.81724119290154307</v>
      </c>
      <c r="D53" s="46" t="e">
        <f>((D22+D28-D18-D19)/D15)</f>
        <v>#DIV/0!</v>
      </c>
      <c r="E53" s="46">
        <f>((E22+E28-E18-E19)/E15)</f>
        <v>0.79969385788148806</v>
      </c>
    </row>
    <row r="54" spans="1:7" x14ac:dyDescent="0.25">
      <c r="A54" s="10">
        <v>46</v>
      </c>
      <c r="B54" s="17" t="s">
        <v>36</v>
      </c>
      <c r="C54" s="46">
        <f>((C22+C28+C34)/C15)</f>
        <v>1.0183304727349289</v>
      </c>
      <c r="D54" s="46" t="e">
        <f>((D22+D28+D34)/D15)</f>
        <v>#DIV/0!</v>
      </c>
      <c r="E54" s="46">
        <f>((E22+E28+E34)/E15)</f>
        <v>1.000614916034976</v>
      </c>
    </row>
    <row r="55" spans="1:7" x14ac:dyDescent="0.25">
      <c r="A55" s="10">
        <v>47</v>
      </c>
      <c r="B55" s="17" t="s">
        <v>37</v>
      </c>
      <c r="C55" s="46">
        <f>((C39+C34)/C34)</f>
        <v>0.57914406818285402</v>
      </c>
      <c r="D55" s="46" t="e">
        <f t="shared" ref="D55:E55" si="13">((D39+D34)/D34)</f>
        <v>#DIV/0!</v>
      </c>
      <c r="E55" s="46">
        <f t="shared" si="13"/>
        <v>0.57914406818285402</v>
      </c>
    </row>
    <row r="56" spans="1:7" x14ac:dyDescent="0.25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195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256</v>
      </c>
      <c r="C60" s="65"/>
      <c r="D60" s="65"/>
      <c r="E60" s="65"/>
      <c r="F60" s="65"/>
      <c r="G60" s="65"/>
    </row>
    <row r="61" spans="1:7" x14ac:dyDescent="0.25">
      <c r="A61" s="47"/>
      <c r="B61" t="s">
        <v>196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231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207</v>
      </c>
      <c r="C64" s="65"/>
      <c r="D64" s="65"/>
      <c r="E64" s="65"/>
      <c r="F64" s="65"/>
      <c r="G64" s="65"/>
    </row>
    <row r="65" spans="1:7" x14ac:dyDescent="0.25">
      <c r="A65" s="65"/>
      <c r="B65" s="65" t="s">
        <v>209</v>
      </c>
      <c r="C65" s="65"/>
      <c r="D65" s="65"/>
      <c r="E65" s="65"/>
      <c r="F65" s="65"/>
      <c r="G65" s="65"/>
    </row>
    <row r="66" spans="1:7" x14ac:dyDescent="0.25">
      <c r="A66" s="92" t="s">
        <v>235</v>
      </c>
      <c r="B66" s="65" t="s">
        <v>236</v>
      </c>
      <c r="C66" s="65"/>
      <c r="D66" s="65"/>
      <c r="E66" s="65"/>
      <c r="F66" s="65"/>
      <c r="G66" s="65"/>
    </row>
    <row r="67" spans="1:7" x14ac:dyDescent="0.25">
      <c r="A67" s="123"/>
      <c r="B67" s="122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zoomScaleNormal="100" workbookViewId="0">
      <selection activeCell="D64" sqref="D64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Kalama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2017</v>
      </c>
      <c r="D8" s="5">
        <v>2018</v>
      </c>
    </row>
    <row r="9" spans="1:5" x14ac:dyDescent="0.25">
      <c r="A9" s="9">
        <v>1</v>
      </c>
      <c r="B9" s="6" t="s">
        <v>1</v>
      </c>
      <c r="C9" s="36">
        <f>PriorYearIncomeStmt!E9</f>
        <v>570385</v>
      </c>
      <c r="D9" s="41">
        <f>'CurrentYearIncomeStmt '!E9</f>
        <v>572118</v>
      </c>
    </row>
    <row r="10" spans="1:5" x14ac:dyDescent="0.25">
      <c r="A10" s="10">
        <v>2</v>
      </c>
      <c r="B10" s="17" t="s">
        <v>2</v>
      </c>
      <c r="C10" s="32">
        <f>PriorYearIncomeStmt!E10</f>
        <v>2335480</v>
      </c>
      <c r="D10" s="41">
        <f>'CurrentYearIncomeStmt '!E10</f>
        <v>2207452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8515</v>
      </c>
      <c r="D12" s="41">
        <f>'CurrentYearIncomeStmt '!E12</f>
        <v>8827</v>
      </c>
    </row>
    <row r="13" spans="1:5" x14ac:dyDescent="0.25">
      <c r="A13" s="10">
        <v>5</v>
      </c>
      <c r="B13" s="17" t="s">
        <v>5</v>
      </c>
      <c r="C13" s="32">
        <f>PriorYearIncomeStmt!E13</f>
        <v>29626</v>
      </c>
      <c r="D13" s="41">
        <f>'CurrentYearIncomeStmt '!E13</f>
        <v>29856</v>
      </c>
    </row>
    <row r="14" spans="1:5" x14ac:dyDescent="0.25">
      <c r="A14" s="10">
        <v>6</v>
      </c>
      <c r="B14" s="17" t="s">
        <v>133</v>
      </c>
      <c r="C14" s="32">
        <f>PriorYearIncomeStmt!E14</f>
        <v>-5311</v>
      </c>
      <c r="D14" s="41">
        <f>'CurrentYearIncomeStmt '!E14</f>
        <v>-6487</v>
      </c>
    </row>
    <row r="15" spans="1:5" x14ac:dyDescent="0.25">
      <c r="A15" s="10">
        <v>7</v>
      </c>
      <c r="B15" s="83" t="s">
        <v>132</v>
      </c>
      <c r="C15" s="40">
        <f>SUM(C9:C14)</f>
        <v>2938695</v>
      </c>
      <c r="D15" s="42">
        <f t="shared" ref="D15" si="0">SUM(D9:D14)</f>
        <v>2811766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985267</v>
      </c>
      <c r="D16" s="41">
        <f>'CurrentYearIncomeStmt '!E16</f>
        <v>901038</v>
      </c>
    </row>
    <row r="17" spans="1:5" x14ac:dyDescent="0.25">
      <c r="A17" s="10">
        <v>9</v>
      </c>
      <c r="B17" s="17" t="s">
        <v>39</v>
      </c>
      <c r="C17" s="32">
        <f>PriorYearIncomeStmt!E17</f>
        <v>638886</v>
      </c>
      <c r="D17" s="41">
        <f>'CurrentYearIncomeStmt '!E17</f>
        <v>575478</v>
      </c>
    </row>
    <row r="18" spans="1:5" x14ac:dyDescent="0.25">
      <c r="A18" s="10">
        <v>10</v>
      </c>
      <c r="B18" s="17" t="s">
        <v>7</v>
      </c>
      <c r="C18" s="32">
        <f>PriorYearIncomeStmt!E18</f>
        <v>550213</v>
      </c>
      <c r="D18" s="41">
        <f>'CurrentYearIncomeStmt '!E18</f>
        <v>433297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224978</v>
      </c>
      <c r="D20" s="41">
        <f>'CurrentYearIncomeStmt '!E20</f>
        <v>207878</v>
      </c>
    </row>
    <row r="21" spans="1:5" x14ac:dyDescent="0.25">
      <c r="A21" s="10">
        <v>13</v>
      </c>
      <c r="B21" s="17" t="s">
        <v>10</v>
      </c>
      <c r="C21" s="32">
        <f>PriorYearIncomeStmt!E21</f>
        <v>558558</v>
      </c>
      <c r="D21" s="41">
        <f>'CurrentYearIncomeStmt '!E21</f>
        <v>534895</v>
      </c>
    </row>
    <row r="22" spans="1:5" x14ac:dyDescent="0.25">
      <c r="A22" s="10">
        <v>14</v>
      </c>
      <c r="B22" s="83" t="s">
        <v>229</v>
      </c>
      <c r="C22" s="40">
        <f>C16+C17+C18+C19+C20+C21</f>
        <v>2957902</v>
      </c>
      <c r="D22" s="42">
        <f>D16+D17+D18+D19+D20+D21</f>
        <v>2652586</v>
      </c>
      <c r="E22" s="1"/>
    </row>
    <row r="23" spans="1:5" x14ac:dyDescent="0.25">
      <c r="A23" s="10">
        <v>15</v>
      </c>
      <c r="B23" s="17" t="s">
        <v>14</v>
      </c>
      <c r="C23" s="32">
        <f>C15-C22</f>
        <v>-19207</v>
      </c>
      <c r="D23" s="41">
        <f>D15-D22</f>
        <v>159180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82438</v>
      </c>
      <c r="D25" s="41">
        <f>'CurrentYearIncomeStmt '!E25</f>
        <v>82562</v>
      </c>
    </row>
    <row r="26" spans="1:5" x14ac:dyDescent="0.25">
      <c r="A26" s="10">
        <v>18</v>
      </c>
      <c r="B26" s="17" t="s">
        <v>181</v>
      </c>
      <c r="C26" s="32">
        <f>PriorYearIncomeStmt!E26</f>
        <v>-91115</v>
      </c>
      <c r="D26" s="41">
        <f>'CurrentYearIncomeStmt '!E26</f>
        <v>-53299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3" t="s">
        <v>12</v>
      </c>
      <c r="C28" s="37">
        <f>SUM(C25:C27)</f>
        <v>-8677</v>
      </c>
      <c r="D28" s="43">
        <f t="shared" ref="D28" si="1">SUM(D25:D27)</f>
        <v>29263</v>
      </c>
    </row>
    <row r="29" spans="1:5" x14ac:dyDescent="0.25">
      <c r="A29" s="10">
        <v>21</v>
      </c>
      <c r="B29" s="83" t="s">
        <v>22</v>
      </c>
      <c r="C29" s="37">
        <f>C23+C24-C28</f>
        <v>-10530</v>
      </c>
      <c r="D29" s="43">
        <f>D23+D24-D28</f>
        <v>129917</v>
      </c>
    </row>
    <row r="30" spans="1:5" x14ac:dyDescent="0.25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131646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126048</v>
      </c>
      <c r="D32" s="41">
        <f>'CurrentYearIncomeStmt '!E32</f>
        <v>0</v>
      </c>
    </row>
    <row r="33" spans="1:4" x14ac:dyDescent="0.25">
      <c r="A33" s="10">
        <v>25</v>
      </c>
      <c r="B33" s="17" t="s">
        <v>259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257</v>
      </c>
      <c r="C34" s="37">
        <f>SUM(C30:C33)</f>
        <v>126048</v>
      </c>
      <c r="D34" s="43">
        <f t="shared" ref="D34" si="2">SUM(D30:D33)</f>
        <v>131646</v>
      </c>
    </row>
    <row r="35" spans="1:4" x14ac:dyDescent="0.25">
      <c r="A35" s="10">
        <v>27</v>
      </c>
      <c r="B35" s="17" t="s">
        <v>18</v>
      </c>
      <c r="C35" s="32">
        <f>PriorYearIncomeStmt!E35</f>
        <v>-16840</v>
      </c>
      <c r="D35" s="41">
        <f>'CurrentYearIncomeStmt '!E35</f>
        <v>8581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-199186</v>
      </c>
      <c r="D38" s="41">
        <f>'CurrentYearIncomeStmt '!E38</f>
        <v>-62256</v>
      </c>
    </row>
    <row r="39" spans="1:4" x14ac:dyDescent="0.25">
      <c r="A39" s="10">
        <v>31</v>
      </c>
      <c r="B39" s="83" t="s">
        <v>21</v>
      </c>
      <c r="C39" s="37">
        <f>C29-C34+C35+C36+C37+C38</f>
        <v>-352604</v>
      </c>
      <c r="D39" s="43">
        <f t="shared" ref="D39" si="3">D29-D34+D35+D36+D37+D38</f>
        <v>-55404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134521</v>
      </c>
      <c r="D41" s="41">
        <f>'CurrentYearIncomeStmt '!E41</f>
        <v>-218083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-218083</v>
      </c>
      <c r="D47" s="43">
        <f t="shared" ref="D47" si="4">(D39+D41+D42)-(D43+D44+D45+D46)</f>
        <v>-273487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0</v>
      </c>
      <c r="D52" s="41">
        <f>'CurrentYearIncomeStmt '!E52</f>
        <v>0</v>
      </c>
    </row>
    <row r="53" spans="1:8" x14ac:dyDescent="0.25">
      <c r="A53" s="10">
        <v>45</v>
      </c>
      <c r="B53" s="17" t="s">
        <v>35</v>
      </c>
      <c r="C53" s="49">
        <f>((C22+C28-C18-C19)/C15)</f>
        <v>0.81635283688848281</v>
      </c>
      <c r="D53" s="49">
        <f>((D22+D28-D18-D19)/D15)</f>
        <v>0.79969385788148806</v>
      </c>
    </row>
    <row r="54" spans="1:8" x14ac:dyDescent="0.25">
      <c r="A54" s="10">
        <v>46</v>
      </c>
      <c r="B54" s="17" t="s">
        <v>36</v>
      </c>
      <c r="C54" s="49">
        <f>((C22+C28+C34)/C15)</f>
        <v>1.0464757315747295</v>
      </c>
      <c r="D54" s="49">
        <f>((D22+D28+D34)/D15)</f>
        <v>1.000614916034976</v>
      </c>
    </row>
    <row r="55" spans="1:8" x14ac:dyDescent="0.25">
      <c r="A55" s="10">
        <v>47</v>
      </c>
      <c r="B55" s="17" t="s">
        <v>37</v>
      </c>
      <c r="C55" s="49">
        <f>((C39+C34)/C34)</f>
        <v>-1.7973787763391724</v>
      </c>
      <c r="D55" s="49">
        <f t="shared" ref="D55" si="6">((D39+D34)/D34)</f>
        <v>0.57914406818285402</v>
      </c>
    </row>
    <row r="56" spans="1:8" x14ac:dyDescent="0.25">
      <c r="A56" s="10">
        <v>48</v>
      </c>
      <c r="B56" s="17" t="s">
        <v>38</v>
      </c>
      <c r="C56" s="45" t="e">
        <f>(C39+C34+C18+C19)/C52</f>
        <v>#DIV/0!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249</v>
      </c>
      <c r="D59" s="48" t="s">
        <v>268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3BD3F9F23C6144AB855A3943262DDC" ma:contentTypeVersion="56" ma:contentTypeDescription="" ma:contentTypeScope="" ma:versionID="87372bfab6153761269da0f9b8c307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2019-07-31T07:00:00+00:00</OpenedDate>
    <SignificantOrder xmlns="dc463f71-b30c-4ab2-9473-d307f9d35888">false</SignificantOrder>
    <Date1 xmlns="dc463f71-b30c-4ab2-9473-d307f9d35888">2019-07-31T07:00:00+00:00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Kalama Telephone Company</CaseCompanyNames>
    <Nickname xmlns="http://schemas.microsoft.com/sharepoint/v3" xsi:nil="true"/>
    <DocketNumber xmlns="dc463f71-b30c-4ab2-9473-d307f9d35888">190643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2CB9C56-E3A4-4EF9-B889-E7A78E81AF2A}"/>
</file>

<file path=customXml/itemProps2.xml><?xml version="1.0" encoding="utf-8"?>
<ds:datastoreItem xmlns:ds="http://schemas.openxmlformats.org/officeDocument/2006/customXml" ds:itemID="{12DABA32-B7C2-432F-B1F3-3810579F803B}"/>
</file>

<file path=customXml/itemProps3.xml><?xml version="1.0" encoding="utf-8"?>
<ds:datastoreItem xmlns:ds="http://schemas.openxmlformats.org/officeDocument/2006/customXml" ds:itemID="{8D310ECC-361F-4157-B7D0-A1882DD48D47}"/>
</file>

<file path=customXml/itemProps4.xml><?xml version="1.0" encoding="utf-8"?>
<ds:datastoreItem xmlns:ds="http://schemas.openxmlformats.org/officeDocument/2006/customXml" ds:itemID="{05C92AB2-9602-47B4-B9EF-F77678BC65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2017-11-21T19:20:02Z</cp:lastPrinted>
  <dcterms:created xsi:type="dcterms:W3CDTF">2014-05-21T17:51:51Z</dcterms:created>
  <dcterms:modified xsi:type="dcterms:W3CDTF">2019-07-24T17:02:31Z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0x0101006E56B4D1795A2E4DB2F0B01679ED314A00393BD3F9F23C6144AB855A3943262DDC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