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aug 2019 st usf\"/>
    </mc:Choice>
  </mc:AlternateContent>
  <xr:revisionPtr revIDLastSave="0" documentId="8_{F21B4260-344C-4E77-B1B1-93D86E5EC8C2}" xr6:coauthVersionLast="43" xr6:coauthVersionMax="43" xr10:uidLastSave="{00000000-0000-0000-0000-000000000000}"/>
  <bookViews>
    <workbookView xWindow="-120" yWindow="-120" windowWidth="29040" windowHeight="15840" firstSheet="7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7" l="1"/>
  <c r="E16" i="17" l="1"/>
  <c r="E34" i="17" s="1"/>
  <c r="D11" i="17"/>
  <c r="F11" i="17" s="1"/>
  <c r="H35" i="12"/>
  <c r="F16" i="17" l="1"/>
  <c r="F34" i="17" s="1"/>
  <c r="D34" i="17"/>
  <c r="E20" i="3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<sst xmlns="http://schemas.openxmlformats.org/spreadsheetml/2006/main" count="652" uniqueCount="283">
  <si>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</si>
  <si>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</si>
  <si>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</si>
  <si>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</si>
  <si>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</si>
  <si>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</si>
  <si>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</si>
  <si>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</si>
  <si>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</si>
  <si>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</si>
  <si>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</si>
  <si>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</si>
  <si>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</si>
  <si>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</si>
  <si>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</si>
  <si>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</si>
  <si>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</si>
  <si>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</si>
  <si>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</si>
  <si>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</si>
  <si>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</si>
  <si>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</si>
  <si>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</si>
  <si>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</si>
  <si>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</si>
  <si>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</si>
  <si>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</si>
  <si>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</si>
  <si>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</si>
  <si>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</si>
  <si>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</si>
  <si>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</si>
  <si>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</si>
  <si>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</si>
  <si>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</si>
  <si>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</si>
  <si>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</si>
  <si>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</si>
  <si>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</si>
  <si>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</si>
  <si>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</si>
  <si>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</si>
  <si>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</si>
  <si>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</si>
  <si>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</si>
  <si>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</si>
  <si>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</si>
  <si>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</si>
  <si>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</si>
  <si>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</si>
  <si>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</si>
  <si>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</si>
  <si>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</si>
  <si>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</si>
  <si>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</si>
  <si>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</si>
  <si>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</si>
  <si>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</si>
  <si>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</si>
  <si>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</si>
  <si>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</si>
  <si>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</si>
  <si>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</si>
  <si>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</si>
  <si>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</si>
  <si>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</si>
  <si>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</si>
  <si>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</si>
  <si>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</si>
  <si>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</si>
  <si>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</si>
  <si>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</si>
  <si>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</si>
  <si>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</si>
  <si>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</si>
  <si>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</si>
  <si>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</si>
  <si>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</si>
  <si>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</si>
  <si>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</si>
  <si>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</si>
  <si>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</si>
  <si>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</si>
  <si>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</si>
  <si>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</si>
  <si>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</si>
  <si>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</si>
  <si>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</si>
  <si>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</si>
  <si>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</si>
  <si>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</si>
  <si>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</si>
  <si>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</si>
  <si>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</si>
  <si>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</si>
  <si>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</si>
  <si>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</si>
  <si>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</si>
  <si>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</si>
  <si>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</si>
  <si>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</si>
  <si>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</si>
  <si>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</si>
  <si>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</si>
  <si>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</si>
  <si>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</si>
  <si>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</si>
  <si>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</si>
  <si>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</si>
  <si>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</si>
  <si>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</si>
  <si>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</si>
  <si>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</si>
  <si>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</si>
  <si>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</si>
  <si>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</si>
  <si>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</si>
  <si>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</si>
  <si>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</si>
  <si>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</si>
  <si>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</si>
  <si>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</si>
  <si>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</si>
  <si>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</si>
  <si>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</si>
  <si>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</si>
  <si>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</si>
  <si>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</si>
  <si>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</si>
  <si>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</si>
  <si>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</si>
  <si>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</si>
  <si>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</si>
  <si>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</si>
  <si>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</si>
  <si>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</si>
  <si>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</si>
  <si>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</si>
  <si>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</si>
  <si>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</si>
  <si>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</si>
  <si>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</si>
  <si>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</si>
  <si>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</si>
  <si>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</si>
  <si>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</si>
  <si>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</si>
  <si>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</si>
  <si>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</si>
  <si>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</si>
  <si>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</si>
  <si>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</si>
  <si>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</si>
  <si>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</si>
  <si>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</si>
  <si>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</si>
  <si>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</si>
  <si>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</si>
  <si>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</si>
  <si>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</si>
  <si>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</si>
  <si>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</si>
  <si>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</si>
  <si>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</si>
  <si>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</si>
  <si>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</si>
  <si>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</si>
  <si>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</si>
  <si>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</si>
  <si>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</si>
  <si>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</si>
  <si>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</si>
  <si>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</si>
  <si>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</si>
  <si>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</si>
  <si>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</si>
  <si>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</si>
  <si>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</si>
  <si>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</si>
  <si>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</si>
  <si>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</si>
  <si>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</si>
  <si>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</si>
  <si>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</si>
  <si>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</si>
  <si>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</si>
  <si>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</si>
  <si>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</si>
  <si>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</si>
  <si>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</si>
  <si>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</si>
  <si>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</si>
  <si>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</si>
  <si>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</si>
  <si>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</si>
  <si>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</si>
  <si>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</si>
  <si>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</si>
  <si>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</si>
  <si>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</si>
  <si>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</si>
  <si>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</si>
  <si>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</si>
  <si>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</si>
  <si>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</si>
  <si>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</si>
  <si>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</si>
  <si>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</si>
  <si>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</si>
  <si>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</si>
  <si>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</si>
  <si>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</si>
  <si>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</si>
  <si>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</si>
  <si>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</si>
  <si>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</si>
  <si>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</si>
  <si>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</si>
  <si>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</si>
  <si>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</si>
  <si>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</si>
  <si>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</si>
  <si>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</si>
  <si>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</si>
  <si>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</si>
  <si>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</si>
  <si>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</si>
  <si>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</si>
  <si>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</si>
  <si>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</si>
  <si>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</si>
  <si>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</si>
  <si>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</si>
  <si>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</si>
  <si>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</si>
  <si>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</si>
  <si>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</si>
  <si>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</si>
  <si>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</si>
  <si>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</si>
  <si>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</si>
  <si>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</si>
  <si>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</si>
  <si>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</si>
  <si>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</si>
  <si>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</si>
  <si>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</si>
  <si>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</si>
  <si>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</si>
  <si>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</si>
  <si>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</si>
  <si>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</si>
  <si>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</si>
  <si>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</si>
  <si>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</si>
  <si>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</si>
  <si>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</si>
  <si>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</si>
  <si>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</si>
  <si>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</si>
  <si>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</si>
  <si>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</si>
  <si>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</si>
  <si>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</si>
  <si>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</si>
  <si>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</si>
  <si>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</si>
  <si>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</si>
  <si>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</si>
  <si>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</si>
  <si>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</si>
  <si>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</si>
  <si>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WESTERN WAHKIAKUM COUNTY TELEPONE COMPANY</t>
  </si>
  <si>
    <t>Line 18 FIT large Part 64 adjustment is due to adding back in the Excess Deferred FIT per NECA instructions to normalize taxes.</t>
  </si>
  <si>
    <t>Ln 18, column C total is Operating FIT</t>
  </si>
  <si>
    <t>Ln 19, column C is Operating Deferred FIT</t>
  </si>
  <si>
    <t>Ln 19, column B includes amortized Excess Deferred FIT expense</t>
  </si>
  <si>
    <t>BCM Refund July-Dec 2018 received in 2019 - Add to Nework Access Revenues</t>
  </si>
  <si>
    <t>PF</t>
  </si>
  <si>
    <t>Net Adj</t>
  </si>
  <si>
    <t>Tax of 21% on BCM Refund</t>
  </si>
  <si>
    <t>BCM Refund July-Dec 2017 received in 2018 - Remove from Nework Access Rev</t>
  </si>
  <si>
    <t xml:space="preserve">  Accrued estimated BCM Refund of $124,795 on 2018 Books , Actual was $126,072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</si>
</sst>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8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>
      <selection activeCell="A21" sqref="A2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topLeftCell="A7" zoomScaleNormal="100" workbookViewId="0">
      <selection activeCell="A21" sqref="A21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WESTERN WAHKIAKUM COUNTY TELEPONE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163345</v>
      </c>
      <c r="E9" s="55">
        <v>162006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49646</v>
      </c>
      <c r="E11" s="52">
        <v>43716</v>
      </c>
    </row>
    <row r="12" spans="1:5" x14ac:dyDescent="0.25">
      <c r="A12" s="10" t="s">
        <v>176</v>
      </c>
      <c r="B12" s="17" t="s">
        <v>200</v>
      </c>
      <c r="C12" s="10"/>
      <c r="D12" s="52">
        <v>295835</v>
      </c>
      <c r="E12" s="52">
        <v>517270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23746</v>
      </c>
      <c r="E14" s="52">
        <v>23798</v>
      </c>
    </row>
    <row r="15" spans="1:5" x14ac:dyDescent="0.25">
      <c r="A15" s="10" t="s">
        <v>178</v>
      </c>
      <c r="B15" s="17" t="s">
        <v>142</v>
      </c>
      <c r="C15" s="10"/>
      <c r="D15" s="52">
        <v>199265</v>
      </c>
      <c r="E15" s="52">
        <v>241301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1085400</v>
      </c>
      <c r="E16" s="52">
        <v>1211602</v>
      </c>
    </row>
    <row r="17" spans="1:5" x14ac:dyDescent="0.25">
      <c r="A17" s="10">
        <v>5</v>
      </c>
      <c r="B17" s="17" t="s">
        <v>262</v>
      </c>
      <c r="C17" s="10" t="s">
        <v>144</v>
      </c>
      <c r="D17" s="52">
        <v>891861</v>
      </c>
      <c r="E17" s="52">
        <v>882996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318933</v>
      </c>
      <c r="E18" s="52">
        <v>333475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3028031</v>
      </c>
      <c r="E20" s="35">
        <f>E9+E11+E12+E14+E15+E16++E17+E18+E19</f>
        <v>3416164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3028031</v>
      </c>
      <c r="E21" s="37">
        <f>IncomeStmtSummary!D10</f>
        <v>3416164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50"/>
  <sheetViews>
    <sheetView zoomScaleNormal="100" workbookViewId="0">
      <selection activeCell="A21" sqref="A21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  <col min="6" max="6" width="9.7109375" bestFit="1" customWidth="1"/>
  </cols>
  <sheetData>
    <row r="2" spans="1:6" x14ac:dyDescent="0.25">
      <c r="A2" s="72" t="s">
        <v>160</v>
      </c>
      <c r="B2" s="72"/>
    </row>
    <row r="3" spans="1:6" x14ac:dyDescent="0.25">
      <c r="A3" s="57" t="str">
        <f>PriorYearBalanceSheet!A3</f>
        <v>WESTERN WAHKIAKUM COUNTY TELEPONE COMPANY</v>
      </c>
      <c r="B3" s="66"/>
    </row>
    <row r="6" spans="1:6" x14ac:dyDescent="0.25">
      <c r="A6" s="9" t="s">
        <v>271</v>
      </c>
      <c r="B6" s="9" t="s">
        <v>212</v>
      </c>
      <c r="C6" s="6"/>
      <c r="D6" s="125" t="s">
        <v>186</v>
      </c>
      <c r="E6" s="126"/>
    </row>
    <row r="7" spans="1:6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6" x14ac:dyDescent="0.25">
      <c r="A8" s="6"/>
      <c r="B8" s="6"/>
      <c r="C8" s="6"/>
      <c r="D8" s="9"/>
      <c r="E8" s="9"/>
    </row>
    <row r="9" spans="1:6" x14ac:dyDescent="0.25">
      <c r="A9" s="17" t="s">
        <v>187</v>
      </c>
      <c r="B9" s="17"/>
      <c r="C9" s="17"/>
      <c r="D9" s="114"/>
      <c r="E9" s="114"/>
    </row>
    <row r="10" spans="1:6" x14ac:dyDescent="0.25">
      <c r="A10" s="17" t="s">
        <v>277</v>
      </c>
      <c r="B10" s="17">
        <v>2018</v>
      </c>
      <c r="C10" s="17" t="s">
        <v>278</v>
      </c>
      <c r="D10" s="114"/>
      <c r="E10" s="114">
        <f>126072-124795</f>
        <v>1277</v>
      </c>
    </row>
    <row r="11" spans="1:6" x14ac:dyDescent="0.25">
      <c r="A11" s="17" t="s">
        <v>280</v>
      </c>
      <c r="B11" s="17">
        <v>2018</v>
      </c>
      <c r="C11" s="17" t="s">
        <v>278</v>
      </c>
      <c r="D11" s="114">
        <f>E10*0.21</f>
        <v>268.17</v>
      </c>
      <c r="E11" s="114"/>
      <c r="F11" s="124">
        <f>E10-D11</f>
        <v>1008.8299999999999</v>
      </c>
    </row>
    <row r="12" spans="1:6" x14ac:dyDescent="0.25">
      <c r="A12" s="17" t="s">
        <v>282</v>
      </c>
      <c r="B12" s="17"/>
      <c r="C12" s="17"/>
      <c r="D12" s="114"/>
      <c r="E12" s="114"/>
      <c r="F12" t="s">
        <v>279</v>
      </c>
    </row>
    <row r="13" spans="1:6" x14ac:dyDescent="0.25">
      <c r="A13" s="19"/>
      <c r="B13" s="19"/>
      <c r="C13" s="19"/>
      <c r="D13" s="115"/>
      <c r="E13" s="115"/>
    </row>
    <row r="14" spans="1:6" x14ac:dyDescent="0.25">
      <c r="A14" s="17" t="s">
        <v>188</v>
      </c>
      <c r="B14" s="17"/>
      <c r="C14" s="17"/>
      <c r="D14" s="114"/>
      <c r="E14" s="114"/>
    </row>
    <row r="15" spans="1:6" x14ac:dyDescent="0.25">
      <c r="A15" s="17" t="s">
        <v>281</v>
      </c>
      <c r="B15" s="17">
        <v>2017</v>
      </c>
      <c r="C15" s="17" t="s">
        <v>278</v>
      </c>
      <c r="D15" s="114">
        <v>109768</v>
      </c>
      <c r="E15" s="114"/>
    </row>
    <row r="16" spans="1:6" x14ac:dyDescent="0.25">
      <c r="A16" s="17" t="s">
        <v>280</v>
      </c>
      <c r="B16" s="17">
        <v>2017</v>
      </c>
      <c r="C16" s="17" t="s">
        <v>278</v>
      </c>
      <c r="D16" s="114"/>
      <c r="E16" s="114">
        <f>D15*0.21</f>
        <v>23051.279999999999</v>
      </c>
      <c r="F16" s="124">
        <f>-D15+E16</f>
        <v>-86716.72</v>
      </c>
    </row>
    <row r="17" spans="1:6" x14ac:dyDescent="0.25">
      <c r="A17" s="17"/>
      <c r="B17" s="17"/>
      <c r="C17" s="17"/>
      <c r="D17" s="114"/>
      <c r="E17" s="114"/>
      <c r="F17" t="s">
        <v>279</v>
      </c>
    </row>
    <row r="18" spans="1:6" x14ac:dyDescent="0.25">
      <c r="A18" s="19"/>
      <c r="B18" s="19"/>
      <c r="C18" s="19"/>
      <c r="D18" s="115"/>
      <c r="E18" s="115"/>
    </row>
    <row r="19" spans="1:6" x14ac:dyDescent="0.25">
      <c r="A19" s="17" t="s">
        <v>189</v>
      </c>
      <c r="B19" s="17"/>
      <c r="C19" s="17"/>
      <c r="D19" s="114"/>
      <c r="E19" s="114"/>
    </row>
    <row r="20" spans="1:6" x14ac:dyDescent="0.25">
      <c r="A20" s="17"/>
      <c r="B20" s="17"/>
      <c r="C20" s="17"/>
      <c r="D20" s="114"/>
      <c r="E20" s="114"/>
    </row>
    <row r="21" spans="1:6" x14ac:dyDescent="0.25">
      <c r="A21" s="17"/>
      <c r="B21" s="17"/>
      <c r="C21" s="17"/>
      <c r="D21" s="114"/>
      <c r="E21" s="114"/>
    </row>
    <row r="22" spans="1:6" x14ac:dyDescent="0.25">
      <c r="A22" s="17"/>
      <c r="B22" s="17"/>
      <c r="C22" s="17"/>
      <c r="D22" s="114"/>
      <c r="E22" s="114"/>
    </row>
    <row r="23" spans="1:6" x14ac:dyDescent="0.25">
      <c r="A23" s="19"/>
      <c r="B23" s="19"/>
      <c r="C23" s="19"/>
      <c r="D23" s="115"/>
      <c r="E23" s="115"/>
    </row>
    <row r="24" spans="1:6" x14ac:dyDescent="0.25">
      <c r="A24" s="17" t="s">
        <v>194</v>
      </c>
      <c r="B24" s="17"/>
      <c r="C24" s="17"/>
      <c r="D24" s="114"/>
      <c r="E24" s="114"/>
    </row>
    <row r="25" spans="1:6" x14ac:dyDescent="0.25">
      <c r="A25" s="17"/>
      <c r="B25" s="17"/>
      <c r="C25" s="17"/>
      <c r="D25" s="114"/>
      <c r="E25" s="114"/>
    </row>
    <row r="26" spans="1:6" x14ac:dyDescent="0.25">
      <c r="A26" s="17"/>
      <c r="B26" s="17"/>
      <c r="C26" s="17"/>
      <c r="D26" s="114"/>
      <c r="E26" s="114"/>
    </row>
    <row r="27" spans="1:6" x14ac:dyDescent="0.25">
      <c r="A27" s="17"/>
      <c r="B27" s="17"/>
      <c r="C27" s="17"/>
      <c r="D27" s="114"/>
      <c r="E27" s="114"/>
    </row>
    <row r="28" spans="1:6" x14ac:dyDescent="0.25">
      <c r="A28" s="19"/>
      <c r="B28" s="19"/>
      <c r="C28" s="19"/>
      <c r="D28" s="115"/>
      <c r="E28" s="115"/>
    </row>
    <row r="29" spans="1:6" x14ac:dyDescent="0.25">
      <c r="A29" s="17" t="s">
        <v>213</v>
      </c>
      <c r="B29" s="17"/>
      <c r="C29" s="17"/>
      <c r="D29" s="114"/>
      <c r="E29" s="114"/>
    </row>
    <row r="30" spans="1:6" x14ac:dyDescent="0.25">
      <c r="A30" s="17"/>
      <c r="B30" s="17"/>
      <c r="C30" s="17"/>
      <c r="D30" s="114"/>
      <c r="E30" s="114"/>
    </row>
    <row r="31" spans="1:6" x14ac:dyDescent="0.25">
      <c r="A31" s="17"/>
      <c r="B31" s="17"/>
      <c r="C31" s="17"/>
      <c r="D31" s="114"/>
      <c r="E31" s="114"/>
    </row>
    <row r="32" spans="1:6" x14ac:dyDescent="0.25">
      <c r="A32" s="17"/>
      <c r="B32" s="17"/>
      <c r="C32" s="17"/>
      <c r="D32" s="114"/>
      <c r="E32" s="114"/>
    </row>
    <row r="33" spans="1:6" x14ac:dyDescent="0.25">
      <c r="A33" s="19"/>
      <c r="B33" s="19"/>
      <c r="C33" s="19"/>
      <c r="D33" s="115"/>
      <c r="E33" s="115"/>
    </row>
    <row r="34" spans="1:6" x14ac:dyDescent="0.25">
      <c r="D34" s="108">
        <f>SUM(D10:D33)</f>
        <v>110036.17</v>
      </c>
      <c r="E34" s="108">
        <f t="shared" ref="E34:F34" si="0">SUM(E10:E33)</f>
        <v>24328.28</v>
      </c>
      <c r="F34" s="108">
        <f t="shared" si="0"/>
        <v>-85707.89</v>
      </c>
    </row>
    <row r="35" spans="1:6" x14ac:dyDescent="0.25">
      <c r="D35" s="108"/>
      <c r="E35" s="108"/>
    </row>
    <row r="36" spans="1:6" x14ac:dyDescent="0.25">
      <c r="D36" s="108"/>
      <c r="E36" s="108"/>
    </row>
    <row r="37" spans="1:6" x14ac:dyDescent="0.25">
      <c r="D37" s="108"/>
      <c r="E37" s="108"/>
    </row>
    <row r="38" spans="1:6" x14ac:dyDescent="0.25">
      <c r="D38" s="108"/>
      <c r="E38" s="108"/>
    </row>
    <row r="39" spans="1:6" x14ac:dyDescent="0.25">
      <c r="D39" s="108"/>
      <c r="E39" s="108"/>
    </row>
    <row r="40" spans="1:6" x14ac:dyDescent="0.25">
      <c r="D40" s="108"/>
      <c r="E40" s="108"/>
    </row>
    <row r="41" spans="1:6" x14ac:dyDescent="0.25">
      <c r="D41" s="108"/>
      <c r="E41" s="108"/>
    </row>
    <row r="42" spans="1:6" x14ac:dyDescent="0.25">
      <c r="D42" s="108"/>
      <c r="E42" s="108"/>
    </row>
    <row r="43" spans="1:6" x14ac:dyDescent="0.25">
      <c r="D43" s="108"/>
      <c r="E43" s="108"/>
    </row>
    <row r="44" spans="1:6" x14ac:dyDescent="0.25">
      <c r="D44" s="108"/>
      <c r="E44" s="108"/>
    </row>
    <row r="45" spans="1:6" x14ac:dyDescent="0.25">
      <c r="D45" s="108"/>
      <c r="E45" s="108"/>
    </row>
    <row r="46" spans="1:6" x14ac:dyDescent="0.25">
      <c r="D46" s="108"/>
      <c r="E46" s="108"/>
    </row>
    <row r="47" spans="1:6" x14ac:dyDescent="0.25">
      <c r="D47" s="108"/>
      <c r="E47" s="108"/>
    </row>
    <row r="48" spans="1:6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A21" sqref="A21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WESTERN WAHKIAKUM COUNTY TELEPONE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6085852</v>
      </c>
      <c r="D10" s="81">
        <f>C10</f>
        <v>6085852</v>
      </c>
    </row>
    <row r="11" spans="1:4" x14ac:dyDescent="0.25">
      <c r="A11" s="74">
        <v>2</v>
      </c>
      <c r="B11" s="78" t="s">
        <v>170</v>
      </c>
      <c r="C11" s="93">
        <f>'RateBase '!E15</f>
        <v>5615828</v>
      </c>
      <c r="D11" s="93">
        <f>C11</f>
        <v>5615828</v>
      </c>
    </row>
    <row r="12" spans="1:4" x14ac:dyDescent="0.25">
      <c r="A12" s="74">
        <v>3</v>
      </c>
      <c r="B12" s="89" t="s">
        <v>171</v>
      </c>
      <c r="C12" s="79">
        <f>(C10+C11)/2</f>
        <v>5850840</v>
      </c>
      <c r="D12" s="79">
        <f>(D10+D11)/2</f>
        <v>5850840</v>
      </c>
    </row>
    <row r="13" spans="1:4" x14ac:dyDescent="0.25">
      <c r="A13" s="74">
        <v>4</v>
      </c>
      <c r="B13" s="78" t="s">
        <v>172</v>
      </c>
      <c r="C13" s="58">
        <f>IncomeStmtSummary!D29</f>
        <v>407466</v>
      </c>
      <c r="D13" s="58">
        <f>C13</f>
        <v>407466</v>
      </c>
    </row>
    <row r="14" spans="1:4" x14ac:dyDescent="0.25">
      <c r="A14" s="74">
        <v>5</v>
      </c>
      <c r="B14" s="78" t="s">
        <v>254</v>
      </c>
      <c r="C14" s="109">
        <v>-85708</v>
      </c>
      <c r="D14" s="53"/>
    </row>
    <row r="15" spans="1:4" x14ac:dyDescent="0.25">
      <c r="A15" s="74">
        <v>6</v>
      </c>
      <c r="B15" s="90" t="s">
        <v>174</v>
      </c>
      <c r="C15" s="79">
        <f>C13+C14</f>
        <v>321758</v>
      </c>
      <c r="D15" s="79">
        <f>D13+D14</f>
        <v>407466</v>
      </c>
    </row>
    <row r="16" spans="1:4" x14ac:dyDescent="0.25">
      <c r="A16" s="74">
        <v>7</v>
      </c>
      <c r="B16" s="89" t="s">
        <v>173</v>
      </c>
      <c r="C16" s="80">
        <f>C15/C12</f>
        <v>5.4993471022964223E-2</v>
      </c>
      <c r="D16" s="80">
        <f>D15/D12</f>
        <v>6.9642307771191833E-2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19" zoomScaleNormal="100" workbookViewId="0">
      <selection activeCell="A21" sqref="A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1364992</v>
      </c>
      <c r="C10" s="54"/>
      <c r="D10" s="58">
        <f>SUM(B10:C10)</f>
        <v>1364992</v>
      </c>
      <c r="E10" s="17"/>
      <c r="F10" s="17" t="s">
        <v>77</v>
      </c>
      <c r="G10" s="52">
        <v>149615</v>
      </c>
      <c r="H10" s="54"/>
      <c r="I10" s="58">
        <f>SUM(G10:H10)</f>
        <v>149615</v>
      </c>
    </row>
    <row r="11" spans="1:9" x14ac:dyDescent="0.25">
      <c r="A11" s="17" t="s">
        <v>129</v>
      </c>
      <c r="B11" s="52">
        <v>285</v>
      </c>
      <c r="C11" s="54"/>
      <c r="D11" s="58">
        <f>SUM(B11:C11)</f>
        <v>285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>
        <v>21023</v>
      </c>
      <c r="H12" s="54"/>
      <c r="I12" s="58">
        <f t="shared" si="0"/>
        <v>21023</v>
      </c>
    </row>
    <row r="13" spans="1:9" x14ac:dyDescent="0.25">
      <c r="A13" s="17" t="s">
        <v>43</v>
      </c>
      <c r="B13" s="52">
        <v>255048</v>
      </c>
      <c r="C13" s="54"/>
      <c r="D13" s="58">
        <f>SUM(B13:C13)</f>
        <v>255048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181200</v>
      </c>
      <c r="H14" s="54"/>
      <c r="I14" s="58">
        <f t="shared" si="0"/>
        <v>181200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>
        <v>26321</v>
      </c>
      <c r="H17" s="54"/>
      <c r="I17" s="58">
        <f t="shared" si="0"/>
        <v>26321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71060</v>
      </c>
      <c r="H18" s="54"/>
      <c r="I18" s="58">
        <f t="shared" si="0"/>
        <v>71060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362223</v>
      </c>
      <c r="H19" s="111"/>
      <c r="I19" s="59">
        <f t="shared" si="0"/>
        <v>362223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811442</v>
      </c>
      <c r="H20" s="58">
        <f>SUM(H10:H19)</f>
        <v>0</v>
      </c>
      <c r="I20" s="58">
        <f t="shared" ref="I20" si="3">SUM(I10:I19)</f>
        <v>811442</v>
      </c>
    </row>
    <row r="21" spans="1:9" x14ac:dyDescent="0.25">
      <c r="A21" s="17" t="s">
        <v>48</v>
      </c>
      <c r="B21" s="52">
        <v>265933</v>
      </c>
      <c r="C21" s="54"/>
      <c r="D21" s="58">
        <f t="shared" si="2"/>
        <v>265933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23766</v>
      </c>
      <c r="C23" s="54"/>
      <c r="D23" s="58">
        <f t="shared" si="2"/>
        <v>23766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2452033</v>
      </c>
      <c r="H24" s="54"/>
      <c r="I24" s="58">
        <f t="shared" si="4"/>
        <v>2452033</v>
      </c>
    </row>
    <row r="25" spans="1:9" x14ac:dyDescent="0.25">
      <c r="A25" s="17" t="s">
        <v>40</v>
      </c>
      <c r="B25" s="58">
        <f>B10+B11+B13+B14+B15+B17+B18+B19+B20+B21+B22+B23+B24</f>
        <v>1910024</v>
      </c>
      <c r="C25" s="58">
        <f>C10+C11+C13+C14+C15+C17+C18+C19+C20+C21+C22+C23+C24</f>
        <v>0</v>
      </c>
      <c r="D25" s="58">
        <f t="shared" ref="D25" si="5">D10+D11+D13+D14+D15+D17+D18+D19+D20+D21+D22+D23+D24</f>
        <v>1910024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>
        <v>1000000</v>
      </c>
      <c r="H31" s="111"/>
      <c r="I31" s="59">
        <f t="shared" si="6"/>
        <v>1000000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3452033</v>
      </c>
      <c r="H32" s="119">
        <f>SUM(H22:H31)</f>
        <v>0</v>
      </c>
      <c r="I32" s="119">
        <f>SUM(I22:I31)</f>
        <v>3452033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260219</v>
      </c>
      <c r="D35" s="58">
        <f t="shared" si="7"/>
        <v>260219</v>
      </c>
      <c r="E35" s="17"/>
      <c r="F35" s="18" t="s">
        <v>216</v>
      </c>
      <c r="G35" s="52">
        <v>1085870</v>
      </c>
      <c r="H35" s="52">
        <v>669191</v>
      </c>
      <c r="I35" s="58">
        <f>SUM(G35:H35)</f>
        <v>1755061</v>
      </c>
    </row>
    <row r="36" spans="1:9" x14ac:dyDescent="0.25">
      <c r="A36" s="17" t="s">
        <v>61</v>
      </c>
      <c r="B36" s="52">
        <v>493650</v>
      </c>
      <c r="C36" s="54"/>
      <c r="D36" s="58">
        <f t="shared" si="7"/>
        <v>493650</v>
      </c>
      <c r="E36" s="17"/>
      <c r="F36" s="17" t="s">
        <v>234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1085870</v>
      </c>
      <c r="H38" s="58">
        <f>SUM(H34:H37)</f>
        <v>669191</v>
      </c>
      <c r="I38" s="58">
        <f>SUM(I34:I37)</f>
        <v>1755061</v>
      </c>
    </row>
    <row r="39" spans="1:9" x14ac:dyDescent="0.25">
      <c r="A39" s="17" t="s">
        <v>64</v>
      </c>
      <c r="B39" s="58">
        <f>B30+B31+B33+B34+B35+B36+B37+B38</f>
        <v>493650</v>
      </c>
      <c r="C39" s="58">
        <f>C30+C31+C33+C34+C35+C36+C37+C38</f>
        <v>260219</v>
      </c>
      <c r="D39" s="58">
        <f>D30+D31+D33+D34+D35+D36+D37+D38</f>
        <v>753869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54171</v>
      </c>
      <c r="H40" s="22"/>
      <c r="I40" s="58">
        <f>SUM(G40:H40)</f>
        <v>54171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279251</v>
      </c>
      <c r="H41" s="22"/>
      <c r="I41" s="58">
        <f t="shared" ref="I41:I46" si="9">SUM(G41:H41)</f>
        <v>279251</v>
      </c>
    </row>
    <row r="42" spans="1:9" x14ac:dyDescent="0.25">
      <c r="A42" s="17" t="s">
        <v>159</v>
      </c>
      <c r="B42" s="52">
        <v>21441959</v>
      </c>
      <c r="C42" s="52">
        <v>-441703</v>
      </c>
      <c r="D42" s="58">
        <f>SUM(B42:C42)</f>
        <v>21000256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61932</v>
      </c>
      <c r="C44" s="52"/>
      <c r="D44" s="58">
        <f t="shared" si="10"/>
        <v>61932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-13606760</v>
      </c>
      <c r="C46" s="53">
        <v>181484</v>
      </c>
      <c r="D46" s="59">
        <f t="shared" si="10"/>
        <v>-13425276</v>
      </c>
      <c r="E46" s="17"/>
      <c r="F46" s="17" t="s">
        <v>223</v>
      </c>
      <c r="G46" s="53">
        <v>4618038</v>
      </c>
      <c r="H46" s="94">
        <f>-1*(H20+H32+H38)</f>
        <v>-669191</v>
      </c>
      <c r="I46" s="59">
        <f t="shared" si="9"/>
        <v>3948847</v>
      </c>
    </row>
    <row r="47" spans="1:9" x14ac:dyDescent="0.25">
      <c r="A47" s="17" t="s">
        <v>70</v>
      </c>
      <c r="B47" s="58">
        <f>B42+B43+B44+B45+B46</f>
        <v>7897131</v>
      </c>
      <c r="C47" s="58">
        <f t="shared" ref="C47:D47" si="11">C42+C43+C44+C45+C46</f>
        <v>-260219</v>
      </c>
      <c r="D47" s="58">
        <f t="shared" si="11"/>
        <v>7636912</v>
      </c>
      <c r="E47" s="17"/>
      <c r="F47" s="17" t="s">
        <v>224</v>
      </c>
      <c r="G47" s="58">
        <f>SUM(G40:G46)</f>
        <v>4951460</v>
      </c>
      <c r="H47" s="61">
        <f t="shared" ref="H47:I47" si="12">SUM(H40:H46)</f>
        <v>-669191</v>
      </c>
      <c r="I47" s="58">
        <f t="shared" si="12"/>
        <v>4282269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10300805</v>
      </c>
      <c r="C49" s="60">
        <f>C25+C39+C47</f>
        <v>0</v>
      </c>
      <c r="D49" s="60">
        <f>D25+D39+D47</f>
        <v>10300805</v>
      </c>
      <c r="E49" s="19"/>
      <c r="F49" s="82" t="s">
        <v>228</v>
      </c>
      <c r="G49" s="60">
        <f>G20+G32+G38+G47</f>
        <v>10300805</v>
      </c>
      <c r="H49" s="60">
        <f>H20+H32+H38+H47</f>
        <v>0</v>
      </c>
      <c r="I49" s="60">
        <f>I20+I32+I38+I47</f>
        <v>10300805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26" zoomScaleNormal="100" workbookViewId="0">
      <selection activeCell="A21" sqref="A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WESTERN WAHKIAKUM COUNTY TELEPONE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886804</v>
      </c>
      <c r="C10" s="54"/>
      <c r="D10" s="58">
        <f>SUM(B10:C10)</f>
        <v>886804</v>
      </c>
      <c r="E10" s="17"/>
      <c r="F10" s="17" t="s">
        <v>77</v>
      </c>
      <c r="G10" s="52">
        <v>34718</v>
      </c>
      <c r="H10" s="54"/>
      <c r="I10" s="58">
        <f>SUM(G10:H10)</f>
        <v>34718</v>
      </c>
    </row>
    <row r="11" spans="1:9" x14ac:dyDescent="0.25">
      <c r="A11" s="17" t="s">
        <v>129</v>
      </c>
      <c r="B11" s="52">
        <v>285</v>
      </c>
      <c r="C11" s="54"/>
      <c r="D11" s="58">
        <f>SUM(B11:C11)</f>
        <v>285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>
        <v>21105</v>
      </c>
      <c r="H12" s="54"/>
      <c r="I12" s="58">
        <f t="shared" si="0"/>
        <v>21105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185100</v>
      </c>
      <c r="H14" s="54"/>
      <c r="I14" s="58">
        <f t="shared" si="0"/>
        <v>185100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520745</v>
      </c>
      <c r="C17" s="54"/>
      <c r="D17" s="58">
        <f>SUM(B17:C17)</f>
        <v>520745</v>
      </c>
      <c r="E17" s="18"/>
      <c r="F17" s="17" t="s">
        <v>85</v>
      </c>
      <c r="G17" s="52">
        <v>88521</v>
      </c>
      <c r="H17" s="54"/>
      <c r="I17" s="58">
        <f t="shared" si="0"/>
        <v>88521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76433</v>
      </c>
      <c r="H18" s="54"/>
      <c r="I18" s="58">
        <f t="shared" si="0"/>
        <v>76433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182064</v>
      </c>
      <c r="H19" s="111"/>
      <c r="I19" s="59">
        <f t="shared" si="0"/>
        <v>182064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587941</v>
      </c>
      <c r="H20" s="58">
        <f>SUM(H10:H19)</f>
        <v>0</v>
      </c>
      <c r="I20" s="58">
        <f t="shared" ref="I20" si="3">SUM(I10:I19)</f>
        <v>587941</v>
      </c>
    </row>
    <row r="21" spans="1:9" x14ac:dyDescent="0.25">
      <c r="A21" s="17" t="s">
        <v>48</v>
      </c>
      <c r="B21" s="52">
        <v>223445</v>
      </c>
      <c r="C21" s="54"/>
      <c r="D21" s="58">
        <f t="shared" si="2"/>
        <v>223445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23873</v>
      </c>
      <c r="C23" s="54"/>
      <c r="D23" s="58">
        <f t="shared" si="2"/>
        <v>23873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2245325</v>
      </c>
      <c r="H24" s="54"/>
      <c r="I24" s="58">
        <f t="shared" si="4"/>
        <v>2245325</v>
      </c>
    </row>
    <row r="25" spans="1:9" x14ac:dyDescent="0.25">
      <c r="A25" s="17" t="s">
        <v>40</v>
      </c>
      <c r="B25" s="58">
        <f>B10+B11+B13+B14+B15+B17+B18+B19+B20+B21+B22+B23+B24</f>
        <v>1655152</v>
      </c>
      <c r="C25" s="58">
        <f>C10+C11+C13+C14+C15+C17+C18+C19+C20+C21+C22+C23+C24</f>
        <v>0</v>
      </c>
      <c r="D25" s="58">
        <f t="shared" ref="D25" si="5">D10+D11+D13+D14+D15+D17+D18+D19+D20+D21+D22+D23+D24</f>
        <v>1655152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>
        <v>375000</v>
      </c>
      <c r="H31" s="111"/>
      <c r="I31" s="59">
        <f t="shared" si="6"/>
        <v>375000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2620325</v>
      </c>
      <c r="H32" s="81">
        <f>SUM(H22:H31)</f>
        <v>0</v>
      </c>
      <c r="I32" s="58">
        <f>SUM(I22:I31)</f>
        <v>2620325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241416</v>
      </c>
      <c r="D35" s="58">
        <f t="shared" si="7"/>
        <v>241416</v>
      </c>
      <c r="E35" s="17"/>
      <c r="F35" s="18" t="s">
        <v>216</v>
      </c>
      <c r="G35" s="52">
        <v>1051939</v>
      </c>
      <c r="H35" s="52">
        <f>-5329+621340</f>
        <v>616011</v>
      </c>
      <c r="I35" s="58">
        <f>SUM(G35:H35)</f>
        <v>1667950</v>
      </c>
    </row>
    <row r="36" spans="1:11" x14ac:dyDescent="0.25">
      <c r="A36" s="17" t="s">
        <v>61</v>
      </c>
      <c r="B36" s="52">
        <v>338762</v>
      </c>
      <c r="C36" s="54"/>
      <c r="D36" s="58">
        <f t="shared" si="7"/>
        <v>338762</v>
      </c>
      <c r="E36" s="17"/>
      <c r="F36" s="17" t="s">
        <v>234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1051939</v>
      </c>
      <c r="H38" s="58">
        <f>SUM(H34:H37)</f>
        <v>616011</v>
      </c>
      <c r="I38" s="58">
        <f>SUM(I34:I37)</f>
        <v>1667950</v>
      </c>
    </row>
    <row r="39" spans="1:11" x14ac:dyDescent="0.25">
      <c r="A39" s="17" t="s">
        <v>64</v>
      </c>
      <c r="B39" s="58">
        <f>B30+B31+B33+B34+B35+B36+B37+B38</f>
        <v>338762</v>
      </c>
      <c r="C39" s="58">
        <f>C30+C31+C33+C34+C35+C36+C37+C38</f>
        <v>241416</v>
      </c>
      <c r="D39" s="58">
        <f t="shared" ref="D39" si="9">D30+D31+D33+D34+D35+D36+D37+D38</f>
        <v>580178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54171</v>
      </c>
      <c r="H40" s="22"/>
      <c r="I40" s="58">
        <f>SUM(G40:H40)</f>
        <v>54171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279251</v>
      </c>
      <c r="H41" s="22"/>
      <c r="I41" s="58">
        <f t="shared" ref="I41:I46" si="10">SUM(G41:H41)</f>
        <v>279251</v>
      </c>
    </row>
    <row r="42" spans="1:11" x14ac:dyDescent="0.25">
      <c r="A42" s="17" t="s">
        <v>159</v>
      </c>
      <c r="B42" s="52">
        <v>21836730</v>
      </c>
      <c r="C42" s="52">
        <v>-452679</v>
      </c>
      <c r="D42" s="58">
        <f>SUM(B42:C42)</f>
        <v>21384051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4356</v>
      </c>
      <c r="C44" s="52"/>
      <c r="D44" s="58">
        <f t="shared" si="11"/>
        <v>4356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-14534981</v>
      </c>
      <c r="C46" s="53">
        <v>211263</v>
      </c>
      <c r="D46" s="59">
        <f t="shared" si="11"/>
        <v>-14323718</v>
      </c>
      <c r="E46" s="17"/>
      <c r="F46" s="17" t="s">
        <v>223</v>
      </c>
      <c r="G46" s="53">
        <v>4706392</v>
      </c>
      <c r="H46" s="94">
        <f>-1*(H20+H32+H38)</f>
        <v>-616011</v>
      </c>
      <c r="I46" s="59">
        <f t="shared" si="10"/>
        <v>4090381</v>
      </c>
    </row>
    <row r="47" spans="1:11" x14ac:dyDescent="0.25">
      <c r="A47" s="17" t="s">
        <v>70</v>
      </c>
      <c r="B47" s="58">
        <f>B42+B43+B44+B45+B46</f>
        <v>7306105</v>
      </c>
      <c r="C47" s="58">
        <f t="shared" ref="C47:D47" si="12">C42+C43+C44+C45+C46</f>
        <v>-241416</v>
      </c>
      <c r="D47" s="58">
        <f t="shared" si="12"/>
        <v>7064689</v>
      </c>
      <c r="E47" s="17"/>
      <c r="F47" s="17" t="s">
        <v>224</v>
      </c>
      <c r="G47" s="58">
        <f>SUM(G40:G46)</f>
        <v>5039814</v>
      </c>
      <c r="H47" s="61">
        <f t="shared" ref="H47:I47" si="13">SUM(H40:H46)</f>
        <v>-616011</v>
      </c>
      <c r="I47" s="58">
        <f t="shared" si="13"/>
        <v>4423803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9300019</v>
      </c>
      <c r="C49" s="60">
        <f t="shared" ref="C49:D49" si="14">C25+C39+C47</f>
        <v>0</v>
      </c>
      <c r="D49" s="60">
        <f t="shared" si="14"/>
        <v>9300019</v>
      </c>
      <c r="E49" s="19"/>
      <c r="F49" s="82" t="s">
        <v>227</v>
      </c>
      <c r="G49" s="60">
        <f>G20+G32+G38+G47</f>
        <v>9300019</v>
      </c>
      <c r="H49" s="60">
        <f>H20+H32+H38+H47</f>
        <v>0</v>
      </c>
      <c r="I49" s="60">
        <f>I20+I32+I38+I47</f>
        <v>9300019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A21" sqref="A2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WESTERN WAHKIAKUM COUNTY TELEPONE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1364992</v>
      </c>
      <c r="C10" s="32">
        <f>'CurrentYearBalanceSheet '!D10</f>
        <v>886804</v>
      </c>
      <c r="D10" s="17"/>
      <c r="E10" s="17" t="s">
        <v>77</v>
      </c>
      <c r="F10" s="32">
        <f>PriorYearBalanceSheet!I10</f>
        <v>149615</v>
      </c>
      <c r="G10" s="32">
        <f>'CurrentYearBalanceSheet '!I10</f>
        <v>34718</v>
      </c>
    </row>
    <row r="11" spans="1:7" x14ac:dyDescent="0.25">
      <c r="A11" s="17" t="s">
        <v>129</v>
      </c>
      <c r="B11" s="32">
        <f>PriorYearBalanceSheet!D11</f>
        <v>285</v>
      </c>
      <c r="C11" s="32">
        <f>'CurrentYearBalanceSheet '!D11</f>
        <v>285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21023</v>
      </c>
      <c r="G12" s="32">
        <f>'CurrentYearBalanceSheet '!I12</f>
        <v>21105</v>
      </c>
    </row>
    <row r="13" spans="1:7" x14ac:dyDescent="0.25">
      <c r="A13" s="17" t="s">
        <v>43</v>
      </c>
      <c r="B13" s="32">
        <f>PriorYearBalanceSheet!D13</f>
        <v>255048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181200</v>
      </c>
      <c r="G14" s="32">
        <f>'CurrentYearBalanceSheet '!I14</f>
        <v>185100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0</v>
      </c>
      <c r="C17" s="32">
        <f>'CurrentYearBalanceSheet '!D17</f>
        <v>520745</v>
      </c>
      <c r="D17" s="17"/>
      <c r="E17" s="17" t="s">
        <v>85</v>
      </c>
      <c r="F17" s="32">
        <f>PriorYearBalanceSheet!I17</f>
        <v>26321</v>
      </c>
      <c r="G17" s="32">
        <f>'CurrentYearBalanceSheet '!I17</f>
        <v>88521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71060</v>
      </c>
      <c r="G18" s="32">
        <f>'CurrentYearBalanceSheet '!I18</f>
        <v>76433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362223</v>
      </c>
      <c r="G19" s="32">
        <f>'CurrentYearBalanceSheet '!I19</f>
        <v>182064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811442</v>
      </c>
      <c r="G20" s="35">
        <f>SUM(G10:G19)</f>
        <v>587941</v>
      </c>
    </row>
    <row r="21" spans="1:7" x14ac:dyDescent="0.25">
      <c r="A21" s="17" t="s">
        <v>48</v>
      </c>
      <c r="B21" s="32">
        <f>PriorYearBalanceSheet!D21</f>
        <v>265933</v>
      </c>
      <c r="C21" s="32">
        <f>'CurrentYearBalanceSheet '!D21</f>
        <v>223445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23766</v>
      </c>
      <c r="C23" s="32">
        <f>'CurrentYearBalanceSheet '!D23</f>
        <v>23873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2452033</v>
      </c>
      <c r="G24" s="32">
        <f>'CurrentYearBalanceSheet '!I24</f>
        <v>2245325</v>
      </c>
    </row>
    <row r="25" spans="1:7" x14ac:dyDescent="0.25">
      <c r="A25" s="17" t="s">
        <v>40</v>
      </c>
      <c r="B25" s="32">
        <f>B10+B11+B13+B14+B15+B17+B18+B19+B20+B21+B22+B23+B24</f>
        <v>1910024</v>
      </c>
      <c r="C25" s="32">
        <f>C10+C11+C13+C14+C15+C17+C18+C19+C20+C21+C22+C23+C24</f>
        <v>1655152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1000000</v>
      </c>
      <c r="G31" s="33">
        <f>'CurrentYearBalanceSheet '!I31</f>
        <v>375000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3452033</v>
      </c>
      <c r="G32" s="32">
        <f>SUM(G22:G31)</f>
        <v>2620325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260219</v>
      </c>
      <c r="C35" s="32">
        <f>'CurrentYearBalanceSheet '!D35</f>
        <v>241416</v>
      </c>
      <c r="D35" s="17"/>
      <c r="E35" s="18" t="s">
        <v>216</v>
      </c>
      <c r="F35" s="32">
        <f>PriorYearBalanceSheet!I35</f>
        <v>1755061</v>
      </c>
      <c r="G35" s="32">
        <f>'CurrentYearBalanceSheet '!I35</f>
        <v>1667950</v>
      </c>
    </row>
    <row r="36" spans="1:7" x14ac:dyDescent="0.25">
      <c r="A36" s="17" t="s">
        <v>61</v>
      </c>
      <c r="B36" s="32">
        <f>PriorYearBalanceSheet!D36</f>
        <v>493650</v>
      </c>
      <c r="C36" s="32">
        <f>'CurrentYearBalanceSheet '!D36</f>
        <v>338762</v>
      </c>
      <c r="D36" s="17"/>
      <c r="E36" s="17" t="s">
        <v>229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1755061</v>
      </c>
      <c r="G38" s="32">
        <f>SUM(G34:G37)</f>
        <v>1667950</v>
      </c>
    </row>
    <row r="39" spans="1:7" x14ac:dyDescent="0.25">
      <c r="A39" s="17" t="s">
        <v>64</v>
      </c>
      <c r="B39" s="32">
        <f>B30+B31+B33+B34+B35+B36+B37+B38</f>
        <v>753869</v>
      </c>
      <c r="C39" s="32">
        <f>C30+C31+C33+C34+C35+C36+C37+C38</f>
        <v>580178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54171</v>
      </c>
      <c r="G40" s="32">
        <f>'CurrentYearBalanceSheet '!I40</f>
        <v>54171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279251</v>
      </c>
      <c r="G41" s="32">
        <f>'CurrentYearBalanceSheet '!I41</f>
        <v>279251</v>
      </c>
    </row>
    <row r="42" spans="1:7" x14ac:dyDescent="0.25">
      <c r="A42" s="17" t="s">
        <v>66</v>
      </c>
      <c r="B42" s="32">
        <f>PriorYearBalanceSheet!D42</f>
        <v>21000256</v>
      </c>
      <c r="C42" s="32">
        <f>'CurrentYearBalanceSheet '!D42</f>
        <v>21384051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61932</v>
      </c>
      <c r="C44" s="32">
        <f>'CurrentYearBalanceSheet '!D44</f>
        <v>4356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-13425276</v>
      </c>
      <c r="C46" s="33">
        <f>'CurrentYearBalanceSheet '!D46</f>
        <v>-14323718</v>
      </c>
      <c r="D46" s="17"/>
      <c r="E46" s="17" t="s">
        <v>230</v>
      </c>
      <c r="F46" s="33">
        <f>PriorYearBalanceSheet!I46</f>
        <v>3948847</v>
      </c>
      <c r="G46" s="33">
        <f>'CurrentYearBalanceSheet '!I46</f>
        <v>4090381</v>
      </c>
    </row>
    <row r="47" spans="1:7" x14ac:dyDescent="0.25">
      <c r="A47" s="17" t="s">
        <v>70</v>
      </c>
      <c r="B47" s="32">
        <f>SUM(B42:B46)</f>
        <v>7636912</v>
      </c>
      <c r="C47" s="32">
        <f>SUM(C42:C46)</f>
        <v>7064689</v>
      </c>
      <c r="D47" s="17"/>
      <c r="E47" s="17" t="s">
        <v>224</v>
      </c>
      <c r="F47" s="32">
        <f>SUM(F40:F46)</f>
        <v>4282269</v>
      </c>
      <c r="G47" s="32">
        <f>SUM(G40:G46)</f>
        <v>4423803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10300805</v>
      </c>
      <c r="C49" s="34">
        <f>C25+C39+C47</f>
        <v>9300019</v>
      </c>
      <c r="D49" s="17"/>
      <c r="E49" s="21" t="s">
        <v>225</v>
      </c>
      <c r="F49" s="34">
        <f>F20+F32+F38+F47</f>
        <v>10300805</v>
      </c>
      <c r="G49" s="34">
        <f>G20+G32+G38+G47</f>
        <v>9300019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A21" sqref="A21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21000256</v>
      </c>
      <c r="E10" s="58">
        <f>'BalanceSheet(Summary)'!C42</f>
        <v>21384051</v>
      </c>
      <c r="F10" s="58">
        <f>(D10+E10)/2</f>
        <v>21192153.5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-13425276</v>
      </c>
      <c r="E12" s="58">
        <f>'BalanceSheet(Summary)'!C46</f>
        <v>-14323718</v>
      </c>
      <c r="F12" s="58">
        <f t="shared" ref="F12:F15" si="0">(D12+E12)/2</f>
        <v>-13874497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265933</v>
      </c>
      <c r="E13" s="58">
        <f>'BalanceSheet(Summary)'!C21</f>
        <v>223445</v>
      </c>
      <c r="F13" s="58">
        <f t="shared" si="0"/>
        <v>244689</v>
      </c>
    </row>
    <row r="14" spans="1:6" x14ac:dyDescent="0.25">
      <c r="A14" s="10">
        <v>5</v>
      </c>
      <c r="B14" s="17" t="s">
        <v>250</v>
      </c>
      <c r="C14" s="11"/>
      <c r="D14" s="52">
        <v>-1755061</v>
      </c>
      <c r="E14" s="52">
        <v>-1667950</v>
      </c>
      <c r="F14" s="58">
        <f t="shared" si="0"/>
        <v>-1711505.5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6085852</v>
      </c>
      <c r="E15" s="62">
        <f>SUM(E10:E14)</f>
        <v>5615828</v>
      </c>
      <c r="F15" s="63">
        <f t="shared" si="0"/>
        <v>5850840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A21" sqref="A2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863</v>
      </c>
      <c r="D10" s="52">
        <v>866</v>
      </c>
      <c r="E10" s="32">
        <f>D10-C10</f>
        <v>3</v>
      </c>
      <c r="F10" s="38">
        <f>E10/C10</f>
        <v>3.4762456546929316E-3</v>
      </c>
    </row>
    <row r="11" spans="1:6" x14ac:dyDescent="0.25">
      <c r="A11" s="10">
        <v>2</v>
      </c>
      <c r="B11" s="19" t="s">
        <v>122</v>
      </c>
      <c r="C11" s="52">
        <v>191</v>
      </c>
      <c r="D11" s="52">
        <v>192</v>
      </c>
      <c r="E11" s="32">
        <f>D11-C11</f>
        <v>1</v>
      </c>
      <c r="F11" s="38">
        <f t="shared" ref="F11:F12" si="0">E11/C11</f>
        <v>5.235602094240838E-3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1054</v>
      </c>
      <c r="D12" s="34">
        <f t="shared" ref="D12:E12" si="1">SUM(D10:D11)</f>
        <v>1058</v>
      </c>
      <c r="E12" s="34">
        <f t="shared" si="1"/>
        <v>4</v>
      </c>
      <c r="F12" s="39">
        <f t="shared" si="0"/>
        <v>3.7950664136622392E-3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topLeftCell="A17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254218</v>
      </c>
      <c r="D9" s="52"/>
      <c r="E9" s="58">
        <f>SUM(C9:D9)</f>
        <v>254218</v>
      </c>
    </row>
    <row r="10" spans="1:6" x14ac:dyDescent="0.25">
      <c r="A10" s="10">
        <v>2</v>
      </c>
      <c r="B10" s="14" t="s">
        <v>2</v>
      </c>
      <c r="C10" s="52">
        <v>3028031</v>
      </c>
      <c r="D10" s="52"/>
      <c r="E10" s="58">
        <f t="shared" ref="E10:E14" si="0">SUM(C10:D10)</f>
        <v>3028031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22655</v>
      </c>
      <c r="D12" s="52"/>
      <c r="E12" s="58">
        <f t="shared" si="0"/>
        <v>22655</v>
      </c>
    </row>
    <row r="13" spans="1:6" x14ac:dyDescent="0.25">
      <c r="A13" s="10">
        <v>5</v>
      </c>
      <c r="B13" s="14" t="s">
        <v>5</v>
      </c>
      <c r="C13" s="52">
        <v>2258</v>
      </c>
      <c r="D13" s="52"/>
      <c r="E13" s="58">
        <f t="shared" si="0"/>
        <v>2258</v>
      </c>
    </row>
    <row r="14" spans="1:6" x14ac:dyDescent="0.25">
      <c r="A14" s="10">
        <v>6</v>
      </c>
      <c r="B14" s="14" t="s">
        <v>133</v>
      </c>
      <c r="C14" s="52">
        <v>-807</v>
      </c>
      <c r="D14" s="52"/>
      <c r="E14" s="58">
        <f t="shared" si="0"/>
        <v>-807</v>
      </c>
    </row>
    <row r="15" spans="1:6" x14ac:dyDescent="0.25">
      <c r="A15" s="10">
        <v>7</v>
      </c>
      <c r="B15" s="88" t="s">
        <v>132</v>
      </c>
      <c r="C15" s="96">
        <f>SUM(C9:C14)</f>
        <v>3306355</v>
      </c>
      <c r="D15" s="96">
        <f t="shared" ref="D15:E15" si="1">SUM(D9:D14)</f>
        <v>0</v>
      </c>
      <c r="E15" s="96">
        <f t="shared" si="1"/>
        <v>3306355</v>
      </c>
      <c r="F15" s="1"/>
    </row>
    <row r="16" spans="1:6" x14ac:dyDescent="0.25">
      <c r="A16" s="10">
        <v>8</v>
      </c>
      <c r="B16" s="14" t="s">
        <v>6</v>
      </c>
      <c r="C16" s="52">
        <v>537486</v>
      </c>
      <c r="D16" s="52">
        <v>-4183</v>
      </c>
      <c r="E16" s="41">
        <f>SUM(C16:D16)</f>
        <v>533303</v>
      </c>
    </row>
    <row r="17" spans="1:6" x14ac:dyDescent="0.25">
      <c r="A17" s="10">
        <v>9</v>
      </c>
      <c r="B17" s="14" t="s">
        <v>39</v>
      </c>
      <c r="C17" s="52">
        <v>483810</v>
      </c>
      <c r="D17" s="52">
        <v>-1646</v>
      </c>
      <c r="E17" s="41">
        <f t="shared" ref="E17:E21" si="2">SUM(C17:D17)</f>
        <v>482164</v>
      </c>
    </row>
    <row r="18" spans="1:6" x14ac:dyDescent="0.25">
      <c r="A18" s="10">
        <v>10</v>
      </c>
      <c r="B18" s="14" t="s">
        <v>7</v>
      </c>
      <c r="C18" s="52">
        <v>857092</v>
      </c>
      <c r="D18" s="52">
        <v>-19867</v>
      </c>
      <c r="E18" s="41">
        <f t="shared" si="2"/>
        <v>837225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166837</v>
      </c>
      <c r="D20" s="52"/>
      <c r="E20" s="41">
        <f t="shared" si="2"/>
        <v>166837</v>
      </c>
    </row>
    <row r="21" spans="1:6" x14ac:dyDescent="0.25">
      <c r="A21" s="10">
        <v>13</v>
      </c>
      <c r="B21" s="14" t="s">
        <v>10</v>
      </c>
      <c r="C21" s="52">
        <v>881060</v>
      </c>
      <c r="D21" s="52">
        <v>-7100</v>
      </c>
      <c r="E21" s="41">
        <f t="shared" si="2"/>
        <v>873960</v>
      </c>
    </row>
    <row r="22" spans="1:6" x14ac:dyDescent="0.25">
      <c r="A22" s="10">
        <v>14</v>
      </c>
      <c r="B22" s="83" t="s">
        <v>231</v>
      </c>
      <c r="C22" s="96">
        <f>C16+C17+C18+C19+C20+C21</f>
        <v>2926285</v>
      </c>
      <c r="D22" s="96">
        <f>D16+D17+D18+D19+D20+D21</f>
        <v>-32796</v>
      </c>
      <c r="E22" s="97">
        <f>E16+E17+E18+E19+E20+E21</f>
        <v>2893489</v>
      </c>
      <c r="F22" s="1"/>
    </row>
    <row r="23" spans="1:6" x14ac:dyDescent="0.25">
      <c r="A23" s="10">
        <v>15</v>
      </c>
      <c r="B23" s="14" t="s">
        <v>14</v>
      </c>
      <c r="C23" s="58">
        <f>C15-C22</f>
        <v>380070</v>
      </c>
      <c r="D23" s="58">
        <f>D15-D22</f>
        <v>32796</v>
      </c>
      <c r="E23" s="58">
        <f>E15-E22</f>
        <v>412866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92933</v>
      </c>
      <c r="D25" s="112"/>
      <c r="E25" s="58">
        <f t="shared" ref="E25:E27" si="3">SUM(C25:D25)</f>
        <v>92933</v>
      </c>
    </row>
    <row r="26" spans="1:6" x14ac:dyDescent="0.25">
      <c r="A26" s="10">
        <v>18</v>
      </c>
      <c r="B26" s="14" t="s">
        <v>191</v>
      </c>
      <c r="C26" s="52">
        <v>-553999</v>
      </c>
      <c r="D26" s="54">
        <v>673118</v>
      </c>
      <c r="E26" s="58">
        <f t="shared" si="3"/>
        <v>119119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-461066</v>
      </c>
      <c r="D28" s="79">
        <f t="shared" ref="D28:E28" si="4">SUM(D25:D27)</f>
        <v>673118</v>
      </c>
      <c r="E28" s="98">
        <f t="shared" si="4"/>
        <v>212052</v>
      </c>
    </row>
    <row r="29" spans="1:6" x14ac:dyDescent="0.25">
      <c r="A29" s="10">
        <v>21</v>
      </c>
      <c r="B29" s="88" t="s">
        <v>22</v>
      </c>
      <c r="C29" s="79">
        <f>C23+C24-C28</f>
        <v>841136</v>
      </c>
      <c r="D29" s="79">
        <f>D23+D24-D28</f>
        <v>-640322</v>
      </c>
      <c r="E29" s="98">
        <f>E23+E24-E28</f>
        <v>200814</v>
      </c>
    </row>
    <row r="30" spans="1:6" x14ac:dyDescent="0.25">
      <c r="A30" s="10">
        <v>22</v>
      </c>
      <c r="B30" s="14" t="s">
        <v>15</v>
      </c>
      <c r="C30" s="52">
        <v>64468</v>
      </c>
      <c r="D30" s="54"/>
      <c r="E30" s="58">
        <f>SUM(C30:D30)</f>
        <v>64468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50436</v>
      </c>
      <c r="D32" s="54"/>
      <c r="E32" s="58">
        <f t="shared" si="5"/>
        <v>50436</v>
      </c>
    </row>
    <row r="33" spans="1:10" x14ac:dyDescent="0.25">
      <c r="A33" s="10">
        <v>25</v>
      </c>
      <c r="B33" s="14" t="s">
        <v>260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259</v>
      </c>
      <c r="C34" s="79">
        <f>SUM(C30:C33)</f>
        <v>114904</v>
      </c>
      <c r="D34" s="99">
        <f t="shared" ref="D34" si="6">SUM(D30:D33)</f>
        <v>0</v>
      </c>
      <c r="E34" s="79">
        <f>SUM(E30:E33)</f>
        <v>114904</v>
      </c>
    </row>
    <row r="35" spans="1:10" x14ac:dyDescent="0.25">
      <c r="A35" s="10">
        <v>27</v>
      </c>
      <c r="B35" s="14" t="s">
        <v>18</v>
      </c>
      <c r="C35" s="52">
        <v>-9574</v>
      </c>
      <c r="D35" s="54"/>
      <c r="E35" s="32">
        <f>SUM(C35:D35)</f>
        <v>-9574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-14092</v>
      </c>
      <c r="D38" s="69">
        <f>-1*(D29-D34)</f>
        <v>640322</v>
      </c>
      <c r="E38" s="32">
        <f t="shared" si="7"/>
        <v>626230</v>
      </c>
    </row>
    <row r="39" spans="1:10" x14ac:dyDescent="0.25">
      <c r="A39" s="10">
        <v>31</v>
      </c>
      <c r="B39" s="88" t="s">
        <v>21</v>
      </c>
      <c r="C39" s="79">
        <f>C29-C34+C35+C36+C37+C38</f>
        <v>702566</v>
      </c>
      <c r="D39" s="79">
        <f t="shared" ref="D39:E39" si="8">D29-D34+D35+D36+D37+D38</f>
        <v>0</v>
      </c>
      <c r="E39" s="79">
        <f t="shared" si="8"/>
        <v>702566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4110472</v>
      </c>
      <c r="D41" s="54"/>
      <c r="E41" s="58">
        <f t="shared" ref="E41:E46" si="9">SUM(C41:D41)</f>
        <v>4110472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>
        <v>195000</v>
      </c>
      <c r="D43" s="54"/>
      <c r="E43" s="58">
        <f t="shared" si="9"/>
        <v>195000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4618038</v>
      </c>
      <c r="D47" s="99">
        <f t="shared" ref="D47:E47" si="10">(D39+D41+D42)-(D43+D44+D45+D46)</f>
        <v>0</v>
      </c>
      <c r="E47" s="98">
        <f t="shared" si="10"/>
        <v>4618038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1303622</v>
      </c>
      <c r="D52" s="101"/>
      <c r="E52" s="32">
        <f>C52</f>
        <v>1303622</v>
      </c>
    </row>
    <row r="53" spans="1:7" x14ac:dyDescent="0.25">
      <c r="A53" s="10">
        <v>45</v>
      </c>
      <c r="B53" s="14" t="s">
        <v>35</v>
      </c>
      <c r="C53" s="102">
        <f>((C22+C28-C18-C19)/C15)</f>
        <v>0.48637457260336536</v>
      </c>
      <c r="D53" s="102" t="e">
        <f>((D22+D28-D18-D19)/D15)</f>
        <v>#DIV/0!</v>
      </c>
      <c r="E53" s="102">
        <f>((E22+E28-E18-E19)/E15)</f>
        <v>0.68604732401693103</v>
      </c>
    </row>
    <row r="54" spans="1:7" x14ac:dyDescent="0.25">
      <c r="A54" s="10">
        <v>46</v>
      </c>
      <c r="B54" s="14" t="s">
        <v>36</v>
      </c>
      <c r="C54" s="102">
        <f>((C22+C28+C34)/C15)</f>
        <v>0.7803526844516091</v>
      </c>
      <c r="D54" s="102" t="e">
        <f>((D22+D28+D34)/D15)</f>
        <v>#DIV/0!</v>
      </c>
      <c r="E54" s="102">
        <f>((E22+E28+E34)/E15)</f>
        <v>0.97401670419540554</v>
      </c>
    </row>
    <row r="55" spans="1:7" x14ac:dyDescent="0.25">
      <c r="A55" s="10">
        <v>47</v>
      </c>
      <c r="B55" s="14" t="s">
        <v>37</v>
      </c>
      <c r="C55" s="102">
        <f>((C39+C34)/C34)</f>
        <v>7.1143737380770036</v>
      </c>
      <c r="D55" s="102" t="e">
        <f t="shared" ref="D55:E55" si="13">((D39+D34)/D34)</f>
        <v>#DIV/0!</v>
      </c>
      <c r="E55" s="102">
        <f t="shared" si="13"/>
        <v>7.1143737380770036</v>
      </c>
    </row>
    <row r="56" spans="1:7" x14ac:dyDescent="0.25">
      <c r="A56" s="10">
        <v>48</v>
      </c>
      <c r="B56" s="14" t="s">
        <v>38</v>
      </c>
      <c r="C56" s="102">
        <f>(C39+C34+C18+C19)/C52</f>
        <v>1.2845456735157892</v>
      </c>
      <c r="D56" s="102" t="e">
        <f>(D39+D34+D18+D19)/D52</f>
        <v>#DIV/0!</v>
      </c>
      <c r="E56" s="102">
        <f>(E39+E34+E18+E19)/E52</f>
        <v>1.2693058263821875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 t="s">
        <v>273</v>
      </c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topLeftCell="A13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254289</v>
      </c>
      <c r="D9" s="52"/>
      <c r="E9" s="32">
        <f>SUM(C9:D9)</f>
        <v>254289</v>
      </c>
    </row>
    <row r="10" spans="1:6" x14ac:dyDescent="0.25">
      <c r="A10" s="10">
        <v>2</v>
      </c>
      <c r="B10" s="17" t="s">
        <v>2</v>
      </c>
      <c r="C10" s="52">
        <v>3416164</v>
      </c>
      <c r="D10" s="52"/>
      <c r="E10" s="32">
        <f t="shared" ref="E10:E14" si="0">SUM(C10:D10)</f>
        <v>3416164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21001</v>
      </c>
      <c r="D12" s="52"/>
      <c r="E12" s="32">
        <f t="shared" si="0"/>
        <v>21001</v>
      </c>
    </row>
    <row r="13" spans="1:6" x14ac:dyDescent="0.25">
      <c r="A13" s="10">
        <v>5</v>
      </c>
      <c r="B13" s="17" t="s">
        <v>5</v>
      </c>
      <c r="C13" s="52">
        <v>2359</v>
      </c>
      <c r="D13" s="52"/>
      <c r="E13" s="32">
        <f t="shared" si="0"/>
        <v>2359</v>
      </c>
    </row>
    <row r="14" spans="1:6" x14ac:dyDescent="0.25">
      <c r="A14" s="10">
        <v>6</v>
      </c>
      <c r="B14" s="17" t="s">
        <v>133</v>
      </c>
      <c r="C14" s="52">
        <v>70</v>
      </c>
      <c r="D14" s="52"/>
      <c r="E14" s="32">
        <f t="shared" si="0"/>
        <v>70</v>
      </c>
    </row>
    <row r="15" spans="1:6" x14ac:dyDescent="0.25">
      <c r="A15" s="10">
        <v>7</v>
      </c>
      <c r="B15" s="83" t="s">
        <v>132</v>
      </c>
      <c r="C15" s="40">
        <f>SUM(C9:C14)</f>
        <v>3693883</v>
      </c>
      <c r="D15" s="40">
        <f t="shared" ref="D15:E15" si="1">SUM(D9:D14)</f>
        <v>0</v>
      </c>
      <c r="E15" s="40">
        <f t="shared" si="1"/>
        <v>3693883</v>
      </c>
      <c r="F15" s="1"/>
    </row>
    <row r="16" spans="1:6" x14ac:dyDescent="0.25">
      <c r="A16" s="10">
        <v>8</v>
      </c>
      <c r="B16" s="17" t="s">
        <v>6</v>
      </c>
      <c r="C16" s="52">
        <v>663016</v>
      </c>
      <c r="D16" s="52">
        <v>-4656</v>
      </c>
      <c r="E16" s="41">
        <f>SUM(C16:D16)</f>
        <v>658360</v>
      </c>
    </row>
    <row r="17" spans="1:6" x14ac:dyDescent="0.25">
      <c r="A17" s="10">
        <v>9</v>
      </c>
      <c r="B17" s="17" t="s">
        <v>39</v>
      </c>
      <c r="C17" s="52">
        <v>512388</v>
      </c>
      <c r="D17" s="52">
        <v>-2715</v>
      </c>
      <c r="E17" s="41">
        <f t="shared" ref="E17:E21" si="2">SUM(C17:D17)</f>
        <v>509673</v>
      </c>
    </row>
    <row r="18" spans="1:6" x14ac:dyDescent="0.25">
      <c r="A18" s="10">
        <v>10</v>
      </c>
      <c r="B18" s="17" t="s">
        <v>7</v>
      </c>
      <c r="C18" s="52">
        <v>957684</v>
      </c>
      <c r="D18" s="52">
        <v>-20367</v>
      </c>
      <c r="E18" s="41">
        <f t="shared" si="2"/>
        <v>937317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187452</v>
      </c>
      <c r="D20" s="52"/>
      <c r="E20" s="41">
        <f t="shared" si="2"/>
        <v>187452</v>
      </c>
    </row>
    <row r="21" spans="1:6" x14ac:dyDescent="0.25">
      <c r="A21" s="10">
        <v>13</v>
      </c>
      <c r="B21" s="17" t="s">
        <v>10</v>
      </c>
      <c r="C21" s="52">
        <v>879315</v>
      </c>
      <c r="D21" s="52">
        <v>-9849</v>
      </c>
      <c r="E21" s="41">
        <f t="shared" si="2"/>
        <v>869466</v>
      </c>
    </row>
    <row r="22" spans="1:6" x14ac:dyDescent="0.25">
      <c r="A22" s="10">
        <v>14</v>
      </c>
      <c r="B22" s="83" t="s">
        <v>231</v>
      </c>
      <c r="C22" s="40">
        <f>C16+C17+C18+C19+C20+C21</f>
        <v>3199855</v>
      </c>
      <c r="D22" s="40">
        <f>D16+D17+D18+D19+D20+D21</f>
        <v>-37587</v>
      </c>
      <c r="E22" s="42">
        <f>E16+E17+E18+E19+E20+E21</f>
        <v>3162268</v>
      </c>
      <c r="F22" s="1"/>
    </row>
    <row r="23" spans="1:6" x14ac:dyDescent="0.25">
      <c r="A23" s="10">
        <v>15</v>
      </c>
      <c r="B23" s="17" t="s">
        <v>14</v>
      </c>
      <c r="C23" s="32">
        <f>C15-C22</f>
        <v>494028</v>
      </c>
      <c r="D23" s="32">
        <f>D15-D22</f>
        <v>37587</v>
      </c>
      <c r="E23" s="32">
        <f>E15-E22</f>
        <v>531615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119273</v>
      </c>
      <c r="D25" s="112">
        <v>426</v>
      </c>
      <c r="E25" s="32">
        <f t="shared" ref="E25:E27" si="3">SUM(C25:D25)</f>
        <v>119699</v>
      </c>
    </row>
    <row r="26" spans="1:6" x14ac:dyDescent="0.25">
      <c r="A26" s="10">
        <v>18</v>
      </c>
      <c r="B26" s="17" t="s">
        <v>191</v>
      </c>
      <c r="C26" s="52">
        <v>56228</v>
      </c>
      <c r="D26" s="54">
        <v>33931</v>
      </c>
      <c r="E26" s="32">
        <f t="shared" si="3"/>
        <v>90159</v>
      </c>
    </row>
    <row r="27" spans="1:6" x14ac:dyDescent="0.25">
      <c r="A27" s="10">
        <v>19</v>
      </c>
      <c r="B27" s="17" t="s">
        <v>13</v>
      </c>
      <c r="C27" s="52"/>
      <c r="D27" s="112">
        <v>-85709</v>
      </c>
      <c r="E27" s="32">
        <f t="shared" si="3"/>
        <v>-85709</v>
      </c>
    </row>
    <row r="28" spans="1:6" x14ac:dyDescent="0.25">
      <c r="A28" s="10">
        <v>20</v>
      </c>
      <c r="B28" s="83" t="s">
        <v>12</v>
      </c>
      <c r="C28" s="37">
        <f>SUM(C25:C27)</f>
        <v>175501</v>
      </c>
      <c r="D28" s="37">
        <f t="shared" ref="D28:E28" si="4">SUM(D25:D27)</f>
        <v>-51352</v>
      </c>
      <c r="E28" s="43">
        <f t="shared" si="4"/>
        <v>124149</v>
      </c>
    </row>
    <row r="29" spans="1:6" x14ac:dyDescent="0.25">
      <c r="A29" s="10">
        <v>21</v>
      </c>
      <c r="B29" s="83" t="s">
        <v>22</v>
      </c>
      <c r="C29" s="37">
        <f>C23+C24-C28</f>
        <v>318527</v>
      </c>
      <c r="D29" s="37">
        <f>D23+D24-D28</f>
        <v>88939</v>
      </c>
      <c r="E29" s="43">
        <f>E23+E24-E28</f>
        <v>407466</v>
      </c>
    </row>
    <row r="30" spans="1:6" x14ac:dyDescent="0.25">
      <c r="A30" s="10">
        <v>22</v>
      </c>
      <c r="B30" s="17" t="s">
        <v>15</v>
      </c>
      <c r="C30" s="52">
        <v>75012</v>
      </c>
      <c r="D30" s="54"/>
      <c r="E30" s="32">
        <f>SUM(C30:D30)</f>
        <v>75012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39000</v>
      </c>
      <c r="D32" s="54"/>
      <c r="E32" s="32">
        <f t="shared" si="5"/>
        <v>39000</v>
      </c>
    </row>
    <row r="33" spans="1:5" x14ac:dyDescent="0.25">
      <c r="A33" s="10">
        <v>25</v>
      </c>
      <c r="B33" s="17" t="s">
        <v>260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259</v>
      </c>
      <c r="C34" s="37">
        <f>SUM(C30:C33)</f>
        <v>114012</v>
      </c>
      <c r="D34" s="64">
        <f t="shared" ref="D34" si="6">SUM(D30:D33)</f>
        <v>0</v>
      </c>
      <c r="E34" s="37">
        <f>SUM(E30:E33)</f>
        <v>114012</v>
      </c>
    </row>
    <row r="35" spans="1:5" x14ac:dyDescent="0.25">
      <c r="A35" s="10">
        <v>27</v>
      </c>
      <c r="B35" s="17" t="s">
        <v>18</v>
      </c>
      <c r="C35" s="52">
        <v>14664</v>
      </c>
      <c r="D35" s="54"/>
      <c r="E35" s="32">
        <f>SUM(C35:D35)</f>
        <v>14664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-20825</v>
      </c>
      <c r="D38" s="69">
        <f>-1*(D29-D34)</f>
        <v>-88939</v>
      </c>
      <c r="E38" s="32">
        <f t="shared" si="7"/>
        <v>-109764</v>
      </c>
    </row>
    <row r="39" spans="1:5" x14ac:dyDescent="0.25">
      <c r="A39" s="10">
        <v>31</v>
      </c>
      <c r="B39" s="83" t="s">
        <v>21</v>
      </c>
      <c r="C39" s="37">
        <f>C29-C34+C35+C36+C37+C38</f>
        <v>198354</v>
      </c>
      <c r="D39" s="37">
        <f t="shared" ref="D39:E39" si="8">D29-D34+D35+D36+D37+D38</f>
        <v>0</v>
      </c>
      <c r="E39" s="37">
        <f t="shared" si="8"/>
        <v>198354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4618038</v>
      </c>
      <c r="D41" s="54"/>
      <c r="E41" s="32">
        <f t="shared" ref="E41:E46" si="9">SUM(C41:D41)</f>
        <v>4618038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>
        <v>110000</v>
      </c>
      <c r="D43" s="54"/>
      <c r="E43" s="32">
        <f t="shared" si="9"/>
        <v>110000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4706392</v>
      </c>
      <c r="D47" s="64">
        <f t="shared" ref="D47:E47" si="10">(D39+D41+D42)-(D43+D44+D45+D46)</f>
        <v>0</v>
      </c>
      <c r="E47" s="43">
        <f t="shared" si="10"/>
        <v>4706392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941820</v>
      </c>
      <c r="D52" s="95"/>
      <c r="E52" s="32">
        <f>C52</f>
        <v>941820</v>
      </c>
    </row>
    <row r="53" spans="1:7" x14ac:dyDescent="0.25">
      <c r="A53" s="10">
        <v>45</v>
      </c>
      <c r="B53" s="17" t="s">
        <v>35</v>
      </c>
      <c r="C53" s="46">
        <f>((C22+C28-C18-C19)/C15)</f>
        <v>0.65450692401464805</v>
      </c>
      <c r="D53" s="46" t="e">
        <f>((D22+D28-D18-D19)/D15)</f>
        <v>#DIV/0!</v>
      </c>
      <c r="E53" s="46">
        <f>((E22+E28-E18-E19)/E15)</f>
        <v>0.63594326079088048</v>
      </c>
    </row>
    <row r="54" spans="1:7" x14ac:dyDescent="0.25">
      <c r="A54" s="10">
        <v>46</v>
      </c>
      <c r="B54" s="17" t="s">
        <v>36</v>
      </c>
      <c r="C54" s="46">
        <f>((C22+C28+C34)/C15)</f>
        <v>0.94463414244576782</v>
      </c>
      <c r="D54" s="46" t="e">
        <f>((D22+D28+D34)/D15)</f>
        <v>#DIV/0!</v>
      </c>
      <c r="E54" s="46">
        <f>((E22+E28+E34)/E15)</f>
        <v>0.92055676912343998</v>
      </c>
    </row>
    <row r="55" spans="1:7" x14ac:dyDescent="0.25">
      <c r="A55" s="10">
        <v>47</v>
      </c>
      <c r="B55" s="17" t="s">
        <v>37</v>
      </c>
      <c r="C55" s="46">
        <f>((C39+C34)/C34)</f>
        <v>2.7397642353436482</v>
      </c>
      <c r="D55" s="46" t="e">
        <f t="shared" ref="D55:E55" si="13">((D39+D34)/D34)</f>
        <v>#DIV/0!</v>
      </c>
      <c r="E55" s="46">
        <f t="shared" si="13"/>
        <v>2.7397642353436482</v>
      </c>
    </row>
    <row r="56" spans="1:7" x14ac:dyDescent="0.25">
      <c r="A56" s="10">
        <v>48</v>
      </c>
      <c r="B56" s="17" t="s">
        <v>38</v>
      </c>
      <c r="C56" s="46">
        <f>(C39+C34+C18+C19)/C52</f>
        <v>1.3485060839650889</v>
      </c>
      <c r="D56" s="46" t="e">
        <f>(D39+D34+D18+D19)/D52</f>
        <v>#DIV/0!</v>
      </c>
      <c r="E56" s="46">
        <f>(E39+E34+E18+E19)/E52</f>
        <v>1.3268809326622921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 t="s">
        <v>274</v>
      </c>
      <c r="C67" s="65"/>
      <c r="D67" s="65"/>
      <c r="E67" s="65"/>
      <c r="F67" s="65"/>
      <c r="G67" s="65"/>
    </row>
    <row r="68" spans="1:7" x14ac:dyDescent="0.25">
      <c r="A68" s="65"/>
      <c r="B68" s="65" t="s">
        <v>276</v>
      </c>
      <c r="C68" s="65"/>
      <c r="D68" s="65"/>
      <c r="E68" s="65"/>
      <c r="F68" s="65"/>
      <c r="G68" s="65"/>
    </row>
    <row r="69" spans="1:7" x14ac:dyDescent="0.25">
      <c r="A69" s="65"/>
      <c r="B69" s="65" t="s">
        <v>275</v>
      </c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WESTERN WAHKIAKUM COUNTY TELEPONE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254218</v>
      </c>
      <c r="D9" s="41">
        <f>'CurrentYearIncomeStmt '!E9</f>
        <v>254289</v>
      </c>
    </row>
    <row r="10" spans="1:5" x14ac:dyDescent="0.25">
      <c r="A10" s="10">
        <v>2</v>
      </c>
      <c r="B10" s="17" t="s">
        <v>2</v>
      </c>
      <c r="C10" s="32">
        <f>PriorYearIncomeStmt!E10</f>
        <v>3028031</v>
      </c>
      <c r="D10" s="41">
        <f>'CurrentYearIncomeStmt '!E10</f>
        <v>3416164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22655</v>
      </c>
      <c r="D12" s="41">
        <f>'CurrentYearIncomeStmt '!E12</f>
        <v>21001</v>
      </c>
    </row>
    <row r="13" spans="1:5" x14ac:dyDescent="0.25">
      <c r="A13" s="10">
        <v>5</v>
      </c>
      <c r="B13" s="17" t="s">
        <v>5</v>
      </c>
      <c r="C13" s="32">
        <f>PriorYearIncomeStmt!E13</f>
        <v>2258</v>
      </c>
      <c r="D13" s="41">
        <f>'CurrentYearIncomeStmt '!E13</f>
        <v>2359</v>
      </c>
    </row>
    <row r="14" spans="1:5" x14ac:dyDescent="0.25">
      <c r="A14" s="10">
        <v>6</v>
      </c>
      <c r="B14" s="17" t="s">
        <v>133</v>
      </c>
      <c r="C14" s="32">
        <f>PriorYearIncomeStmt!E14</f>
        <v>-807</v>
      </c>
      <c r="D14" s="41">
        <f>'CurrentYearIncomeStmt '!E14</f>
        <v>70</v>
      </c>
    </row>
    <row r="15" spans="1:5" x14ac:dyDescent="0.25">
      <c r="A15" s="10">
        <v>7</v>
      </c>
      <c r="B15" s="83" t="s">
        <v>132</v>
      </c>
      <c r="C15" s="40">
        <f>SUM(C9:C14)</f>
        <v>3306355</v>
      </c>
      <c r="D15" s="42">
        <f t="shared" ref="D15" si="0">SUM(D9:D14)</f>
        <v>3693883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533303</v>
      </c>
      <c r="D16" s="41">
        <f>'CurrentYearIncomeStmt '!E16</f>
        <v>658360</v>
      </c>
    </row>
    <row r="17" spans="1:5" x14ac:dyDescent="0.25">
      <c r="A17" s="10">
        <v>9</v>
      </c>
      <c r="B17" s="17" t="s">
        <v>39</v>
      </c>
      <c r="C17" s="32">
        <f>PriorYearIncomeStmt!E17</f>
        <v>482164</v>
      </c>
      <c r="D17" s="41">
        <f>'CurrentYearIncomeStmt '!E17</f>
        <v>509673</v>
      </c>
    </row>
    <row r="18" spans="1:5" x14ac:dyDescent="0.25">
      <c r="A18" s="10">
        <v>10</v>
      </c>
      <c r="B18" s="17" t="s">
        <v>7</v>
      </c>
      <c r="C18" s="32">
        <f>PriorYearIncomeStmt!E18</f>
        <v>837225</v>
      </c>
      <c r="D18" s="41">
        <f>'CurrentYearIncomeStmt '!E18</f>
        <v>937317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166837</v>
      </c>
      <c r="D20" s="41">
        <f>'CurrentYearIncomeStmt '!E20</f>
        <v>187452</v>
      </c>
    </row>
    <row r="21" spans="1:5" x14ac:dyDescent="0.25">
      <c r="A21" s="10">
        <v>13</v>
      </c>
      <c r="B21" s="17" t="s">
        <v>10</v>
      </c>
      <c r="C21" s="32">
        <f>PriorYearIncomeStmt!E21</f>
        <v>873960</v>
      </c>
      <c r="D21" s="41">
        <f>'CurrentYearIncomeStmt '!E21</f>
        <v>869466</v>
      </c>
    </row>
    <row r="22" spans="1:5" x14ac:dyDescent="0.25">
      <c r="A22" s="10">
        <v>14</v>
      </c>
      <c r="B22" s="83" t="s">
        <v>231</v>
      </c>
      <c r="C22" s="40">
        <f>C16+C17+C18+C19+C20+C21</f>
        <v>2893489</v>
      </c>
      <c r="D22" s="42">
        <f>D16+D17+D18+D19+D20+D21</f>
        <v>3162268</v>
      </c>
      <c r="E22" s="1"/>
    </row>
    <row r="23" spans="1:5" x14ac:dyDescent="0.25">
      <c r="A23" s="10">
        <v>15</v>
      </c>
      <c r="B23" s="17" t="s">
        <v>14</v>
      </c>
      <c r="C23" s="32">
        <f>C15-C22</f>
        <v>412866</v>
      </c>
      <c r="D23" s="41">
        <f>D15-D22</f>
        <v>531615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92933</v>
      </c>
      <c r="D25" s="41">
        <f>'CurrentYearIncomeStmt '!E25</f>
        <v>119699</v>
      </c>
    </row>
    <row r="26" spans="1:5" x14ac:dyDescent="0.25">
      <c r="A26" s="10">
        <v>18</v>
      </c>
      <c r="B26" s="17" t="s">
        <v>181</v>
      </c>
      <c r="C26" s="32">
        <f>PriorYearIncomeStmt!E26</f>
        <v>119119</v>
      </c>
      <c r="D26" s="41">
        <f>'CurrentYearIncomeStmt '!E26</f>
        <v>90159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-85709</v>
      </c>
    </row>
    <row r="28" spans="1:5" x14ac:dyDescent="0.25">
      <c r="A28" s="10">
        <v>20</v>
      </c>
      <c r="B28" s="83" t="s">
        <v>12</v>
      </c>
      <c r="C28" s="37">
        <f>SUM(C25:C27)</f>
        <v>212052</v>
      </c>
      <c r="D28" s="43">
        <f t="shared" ref="D28" si="1">SUM(D25:D27)</f>
        <v>124149</v>
      </c>
    </row>
    <row r="29" spans="1:5" x14ac:dyDescent="0.25">
      <c r="A29" s="10">
        <v>21</v>
      </c>
      <c r="B29" s="83" t="s">
        <v>22</v>
      </c>
      <c r="C29" s="37">
        <f>C23+C24-C28</f>
        <v>200814</v>
      </c>
      <c r="D29" s="43">
        <f>D23+D24-D28</f>
        <v>407466</v>
      </c>
    </row>
    <row r="30" spans="1:5" x14ac:dyDescent="0.25">
      <c r="A30" s="10">
        <v>22</v>
      </c>
      <c r="B30" s="17" t="s">
        <v>15</v>
      </c>
      <c r="C30" s="32">
        <f>PriorYearIncomeStmt!E30</f>
        <v>64468</v>
      </c>
      <c r="D30" s="41">
        <f>'CurrentYearIncomeStmt '!E30</f>
        <v>75012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50436</v>
      </c>
      <c r="D32" s="41">
        <f>'CurrentYearIncomeStmt '!E32</f>
        <v>39000</v>
      </c>
    </row>
    <row r="33" spans="1:4" x14ac:dyDescent="0.25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259</v>
      </c>
      <c r="C34" s="37">
        <f>SUM(C30:C33)</f>
        <v>114904</v>
      </c>
      <c r="D34" s="43">
        <f t="shared" ref="D34" si="2">SUM(D30:D33)</f>
        <v>114012</v>
      </c>
    </row>
    <row r="35" spans="1:4" x14ac:dyDescent="0.25">
      <c r="A35" s="10">
        <v>27</v>
      </c>
      <c r="B35" s="17" t="s">
        <v>18</v>
      </c>
      <c r="C35" s="32">
        <f>PriorYearIncomeStmt!E35</f>
        <v>-9574</v>
      </c>
      <c r="D35" s="41">
        <f>'CurrentYearIncomeStmt '!E35</f>
        <v>14664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626230</v>
      </c>
      <c r="D38" s="41">
        <f>'CurrentYearIncomeStmt '!E38</f>
        <v>-109764</v>
      </c>
    </row>
    <row r="39" spans="1:4" x14ac:dyDescent="0.25">
      <c r="A39" s="10">
        <v>31</v>
      </c>
      <c r="B39" s="83" t="s">
        <v>21</v>
      </c>
      <c r="C39" s="37">
        <f>C29-C34+C35+C36+C37+C38</f>
        <v>702566</v>
      </c>
      <c r="D39" s="43">
        <f t="shared" ref="D39" si="3">D29-D34+D35+D36+D37+D38</f>
        <v>198354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4110472</v>
      </c>
      <c r="D41" s="41">
        <f>'CurrentYearIncomeStmt '!E41</f>
        <v>4618038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195000</v>
      </c>
      <c r="D43" s="41">
        <f>'CurrentYearIncomeStmt '!E43</f>
        <v>110000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4618038</v>
      </c>
      <c r="D47" s="43">
        <f t="shared" ref="D47" si="4">(D39+D41+D42)-(D43+D44+D45+D46)</f>
        <v>4706392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1303622</v>
      </c>
      <c r="D52" s="41">
        <f>'CurrentYearIncomeStmt '!E52</f>
        <v>941820</v>
      </c>
    </row>
    <row r="53" spans="1:8" x14ac:dyDescent="0.25">
      <c r="A53" s="10">
        <v>45</v>
      </c>
      <c r="B53" s="17" t="s">
        <v>35</v>
      </c>
      <c r="C53" s="49">
        <f>((C22+C28-C18-C19)/C15)</f>
        <v>0.68604732401693103</v>
      </c>
      <c r="D53" s="49">
        <f>((D22+D28-D18-D19)/D15)</f>
        <v>0.63594326079088048</v>
      </c>
    </row>
    <row r="54" spans="1:8" x14ac:dyDescent="0.25">
      <c r="A54" s="10">
        <v>46</v>
      </c>
      <c r="B54" s="17" t="s">
        <v>36</v>
      </c>
      <c r="C54" s="49">
        <f>((C22+C28+C34)/C15)</f>
        <v>0.97401670419540554</v>
      </c>
      <c r="D54" s="49">
        <f>((D22+D28+D34)/D15)</f>
        <v>0.92055676912343998</v>
      </c>
    </row>
    <row r="55" spans="1:8" x14ac:dyDescent="0.25">
      <c r="A55" s="10">
        <v>47</v>
      </c>
      <c r="B55" s="17" t="s">
        <v>37</v>
      </c>
      <c r="C55" s="49">
        <f>((C39+C34)/C34)</f>
        <v>7.1143737380770036</v>
      </c>
      <c r="D55" s="49">
        <f t="shared" ref="D55" si="6">((D39+D34)/D34)</f>
        <v>2.7397642353436482</v>
      </c>
    </row>
    <row r="56" spans="1:8" x14ac:dyDescent="0.25">
      <c r="A56" s="10">
        <v>48</v>
      </c>
      <c r="B56" s="17" t="s">
        <v>38</v>
      </c>
      <c r="C56" s="45">
        <f>(C39+C34+C18+C19)/C52</f>
        <v>1.2693058263821875</v>
      </c>
      <c r="D56" s="49">
        <f>(D39+D34+D18+D19)/D52</f>
        <v>1.3268809326622921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803518019653C42901AEB11B747F7A7" ma:contentTypeVersion="56" ma:contentTypeDescription="" ma:contentTypeScope="" ma:versionID="40f7396b0b2a2b94744fe4ec78eed9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2019-07-30T07:00:00+00:00</OpenedDate>
    <SignificantOrder xmlns="dc463f71-b30c-4ab2-9473-d307f9d35888">false</SignificantOrder>
    <Date1 xmlns="dc463f71-b30c-4ab2-9473-d307f9d35888">2019-07-26T07:00:00+00:00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Western Wahkiakum County Telephone Company</CaseCompanyNames>
    <Nickname xmlns="http://schemas.microsoft.com/sharepoint/v3" xsi:nil="true"/>
    <DocketNumber xmlns="dc463f71-b30c-4ab2-9473-d307f9d35888">190639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89F021-5E0B-4CB0-BC66-6006A1A3160B}"/>
</file>

<file path=customXml/itemProps2.xml><?xml version="1.0" encoding="utf-8"?>
<ds:datastoreItem xmlns:ds="http://schemas.openxmlformats.org/officeDocument/2006/customXml" ds:itemID="{F07ECAB2-31BF-4688-833A-A9652FF55D18}"/>
</file>

<file path=customXml/itemProps3.xml><?xml version="1.0" encoding="utf-8"?>
<ds:datastoreItem xmlns:ds="http://schemas.openxmlformats.org/officeDocument/2006/customXml" ds:itemID="{60380114-2497-47AE-8C13-7182CC308A87}"/>
</file>

<file path=customXml/itemProps4.xml><?xml version="1.0" encoding="utf-8"?>
<ds:datastoreItem xmlns:ds="http://schemas.openxmlformats.org/officeDocument/2006/customXml" ds:itemID="{99D74267-B311-4B7E-B950-EEF0CB26F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Carol</cp:lastModifiedBy>
  <cp:lastPrinted>2019-07-22T16:08:37Z</cp:lastPrinted>
  <dcterms:created xsi:type="dcterms:W3CDTF">2014-05-21T17:51:51Z</dcterms:created>
  <dcterms:modified xsi:type="dcterms:W3CDTF">2019-07-25T20:46:52Z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0x0101006E56B4D1795A2E4DB2F0B01679ED314A001803518019653C42901AEB11B747F7A7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