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H:\WUTC\WAC 480-123-110 State USF Application due July 31st\2019 USF Application\"/>
    </mc:Choice>
  </mc:AlternateContent>
  <xr:revisionPtr revIDLastSave="0" documentId="8_{CBCBBBC0-C9E8-4D9F-9A15-A541F52E8B03}" xr6:coauthVersionLast="41" xr6:coauthVersionMax="41" xr10:uidLastSave="{00000000-0000-0000-0000-000000000000}"/>
  <bookViews>
    <workbookView xWindow="-120" yWindow="-120" windowWidth="25440" windowHeight="15390" activeTab="3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6" l="1"/>
  <c r="D17" i="17"/>
  <c r="E18" i="3"/>
  <c r="E11" i="3"/>
  <c r="E17" i="3"/>
  <c r="E20" i="3"/>
  <c r="D20" i="3"/>
  <c r="F14" i="18"/>
  <c r="D10" i="2"/>
  <c r="D14" i="2"/>
  <c r="A3" i="5"/>
  <c r="I35" i="12"/>
  <c r="G35" i="5"/>
  <c r="I35" i="2"/>
  <c r="F35" i="5"/>
  <c r="E16" i="13"/>
  <c r="D16" i="10"/>
  <c r="E17" i="13"/>
  <c r="D17" i="10"/>
  <c r="E18" i="13"/>
  <c r="D18" i="10"/>
  <c r="E19" i="13"/>
  <c r="D19" i="10"/>
  <c r="E20" i="13"/>
  <c r="D20" i="10"/>
  <c r="E21" i="13"/>
  <c r="D21" i="10"/>
  <c r="D22" i="10"/>
  <c r="E16" i="1"/>
  <c r="C16" i="10"/>
  <c r="E17" i="1"/>
  <c r="C17" i="10"/>
  <c r="E18" i="1"/>
  <c r="C18" i="10"/>
  <c r="E19" i="1"/>
  <c r="C19" i="10"/>
  <c r="E20" i="1"/>
  <c r="C20" i="10"/>
  <c r="E21" i="1"/>
  <c r="C21" i="10"/>
  <c r="C22" i="10"/>
  <c r="D22" i="13"/>
  <c r="C22" i="13"/>
  <c r="E22" i="1"/>
  <c r="D22" i="1"/>
  <c r="C22" i="1"/>
  <c r="B4" i="16"/>
  <c r="A3" i="17"/>
  <c r="B3" i="3"/>
  <c r="B3" i="10"/>
  <c r="B3" i="13"/>
  <c r="B3" i="1"/>
  <c r="B3" i="8"/>
  <c r="B3" i="18"/>
  <c r="A3" i="12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1" i="3"/>
  <c r="E9" i="13"/>
  <c r="E22" i="13"/>
  <c r="E51" i="13"/>
  <c r="E34" i="13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3" i="12"/>
  <c r="G43" i="5"/>
  <c r="I23" i="12"/>
  <c r="G23" i="5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8" i="12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1" i="3"/>
  <c r="D22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6" i="2"/>
  <c r="I46" i="2"/>
  <c r="F46" i="5"/>
  <c r="F47" i="5"/>
  <c r="F49" i="5"/>
  <c r="C47" i="1"/>
  <c r="C56" i="1"/>
  <c r="C55" i="1"/>
  <c r="H47" i="2"/>
  <c r="H49" i="2"/>
  <c r="D35" i="2"/>
  <c r="D39" i="10"/>
  <c r="D47" i="10"/>
  <c r="G49" i="2"/>
  <c r="B49" i="2"/>
  <c r="B47" i="5"/>
  <c r="G49" i="5"/>
  <c r="B25" i="5"/>
  <c r="C49" i="5"/>
  <c r="D16" i="16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  <c r="D26" i="17"/>
</calcChain>
</file>

<file path=xl/sharedStrings.xml><?xml version="1.0" encoding="utf-8"?>
<sst xmlns="http://schemas.openxmlformats.org/spreadsheetml/2006/main" count="655" uniqueCount="284">
  <si>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</si>
  <si>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</si>
  <si>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</si>
  <si>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</si>
  <si>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</si>
  <si>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</si>
  <si>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</si>
  <si>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</si>
  <si>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</si>
  <si>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</si>
  <si>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</si>
  <si>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</si>
  <si>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</si>
  <si>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</si>
  <si>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</si>
  <si>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</si>
  <si>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</si>
  <si>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</si>
  <si>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</si>
  <si>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</si>
  <si>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</si>
  <si>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</si>
  <si>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</si>
  <si>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</si>
  <si>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</si>
  <si>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</si>
  <si>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</si>
  <si>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</si>
  <si>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</si>
  <si>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</si>
  <si>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</si>
  <si>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</si>
  <si>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</si>
  <si>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</si>
  <si>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</si>
  <si>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</si>
  <si>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</si>
  <si>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</si>
  <si>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</si>
  <si>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</si>
  <si>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</si>
  <si>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</si>
  <si>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</si>
  <si>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</si>
  <si>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</si>
  <si>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</si>
  <si>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</si>
  <si>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</si>
  <si>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</si>
  <si>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</si>
  <si>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</si>
  <si>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</si>
  <si>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</si>
  <si>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</si>
  <si>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</si>
  <si>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</si>
  <si>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</si>
  <si>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</si>
  <si>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</si>
  <si>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</si>
  <si>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</si>
  <si>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</si>
  <si>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</si>
  <si>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</si>
  <si>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</si>
  <si>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</si>
  <si>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</si>
  <si>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</si>
  <si>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</si>
  <si>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</si>
  <si>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</si>
  <si>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</si>
  <si>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</si>
  <si>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</si>
  <si>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</si>
  <si>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</si>
  <si>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</si>
  <si>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</si>
  <si>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</si>
  <si>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</si>
  <si>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</si>
  <si>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</si>
  <si>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</si>
  <si>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</si>
  <si>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</si>
  <si>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</si>
  <si>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</si>
  <si>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</si>
  <si>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</si>
  <si>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</si>
  <si>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</si>
  <si>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</si>
  <si>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</si>
  <si>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</si>
  <si>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</si>
  <si>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</si>
  <si>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</si>
  <si>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</si>
  <si>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</si>
  <si>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</si>
  <si>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</si>
  <si>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</si>
  <si>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</si>
  <si>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</si>
  <si>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</si>
  <si>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</si>
  <si>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</si>
  <si>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</si>
  <si>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</si>
  <si>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</si>
  <si>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</si>
  <si>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</si>
  <si>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</si>
  <si>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</si>
  <si>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</si>
  <si>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</si>
  <si>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</si>
  <si>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</si>
  <si>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</si>
  <si>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</si>
  <si>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</si>
  <si>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</si>
  <si>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</si>
  <si>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</si>
  <si>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</si>
  <si>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</si>
  <si>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</si>
  <si>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</si>
  <si>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</si>
  <si>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</si>
  <si>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</si>
  <si>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</si>
  <si>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</si>
  <si>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</si>
  <si>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</si>
  <si>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</si>
  <si>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</si>
  <si>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</si>
  <si>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</si>
  <si>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</si>
  <si>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</si>
  <si>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</si>
  <si>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</si>
  <si>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</si>
  <si>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</si>
  <si>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</si>
  <si>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</si>
  <si>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</si>
  <si>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</si>
  <si>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</si>
  <si>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</si>
  <si>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</si>
  <si>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</si>
  <si>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</si>
  <si>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</si>
  <si>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</si>
  <si>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</si>
  <si>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</si>
  <si>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</si>
  <si>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</si>
  <si>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</si>
  <si>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</si>
  <si>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</si>
  <si>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</si>
  <si>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</si>
  <si>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</si>
  <si>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</si>
  <si>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</si>
  <si>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</si>
  <si>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</si>
  <si>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</si>
  <si>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</si>
  <si>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</si>
  <si>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</si>
  <si>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</si>
  <si>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</si>
  <si>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</si>
  <si>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</si>
  <si>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</si>
  <si>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</si>
  <si>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</si>
  <si>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</si>
  <si>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</si>
  <si>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</si>
  <si>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</si>
  <si>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</si>
  <si>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</si>
  <si>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</si>
  <si>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</si>
  <si>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</si>
  <si>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</si>
  <si>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</si>
  <si>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</si>
  <si>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</si>
  <si>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</si>
  <si>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</si>
  <si>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</si>
  <si>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</si>
  <si>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</si>
  <si>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</si>
  <si>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</si>
  <si>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</si>
  <si>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</si>
  <si>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</si>
  <si>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</si>
  <si>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</si>
  <si>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</si>
  <si>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</si>
  <si>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</si>
  <si>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</si>
  <si>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</si>
  <si>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</si>
  <si>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</si>
  <si>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</si>
  <si>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</si>
  <si>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</si>
  <si>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</si>
  <si>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</si>
  <si>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</si>
  <si>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</si>
  <si>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</si>
  <si>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</si>
  <si>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</si>
  <si>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</si>
  <si>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</si>
  <si>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</si>
  <si>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</si>
  <si>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</si>
  <si>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</si>
  <si>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</si>
  <si>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</si>
  <si>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</si>
  <si>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</si>
  <si>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</si>
  <si>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</si>
  <si>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</si>
  <si>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</si>
  <si>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</si>
  <si>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</si>
  <si>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</si>
  <si>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</si>
  <si>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</si>
  <si>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</si>
  <si>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</si>
  <si>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</si>
  <si>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</si>
  <si>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</si>
  <si>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</si>
  <si>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</si>
  <si>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</si>
  <si>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</si>
  <si>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</si>
  <si>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</si>
  <si>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</si>
  <si>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</si>
  <si>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</si>
  <si>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</si>
  <si>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</si>
  <si>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</si>
  <si>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</si>
  <si>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</si>
  <si>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</si>
  <si>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</si>
  <si>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</si>
  <si>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</si>
  <si>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</si>
  <si>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</si>
  <si>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</si>
  <si>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</si>
  <si>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</si>
  <si>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</si>
  <si>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</si>
  <si>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MASHELL TELECOM, INC.</t>
  </si>
  <si>
    <t>BCM accrual was $166,314 in 2018, but actual amount received in 2019 was $196,671.</t>
  </si>
  <si>
    <t>PF</t>
  </si>
  <si>
    <t>Reversal of overearnings accrual for 2017 Cost Study estimates</t>
  </si>
  <si>
    <t>Earnings adjustment actual per final Cost Study filed in 07.2018 to date</t>
  </si>
  <si>
    <t>OOP</t>
  </si>
  <si>
    <t>Reversal of 2017 earnings recorded as revenue in 2019</t>
  </si>
  <si>
    <t xml:space="preserve">Reversal of 2017 earnings recorded as revenue in 2018 </t>
  </si>
  <si>
    <t>Reversal of 2016 earnings recorded to revenue in 2017</t>
  </si>
  <si>
    <t>Earnings adjustment actual per final Cost Study filed in 07.2019 to date</t>
  </si>
  <si>
    <t>Reversal of 2018 earnings recorded as revenue in 2019</t>
  </si>
  <si>
    <t>Reversal of 2016 earnings recorded as revenue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</si>
</sst>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37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workbookViewId="0">
      <selection activeCell="A21" sqref="A21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/>
  <headerFoot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workbookViewId="0">
      <selection activeCell="E14" sqref="E14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MASHELL TELECOM,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324797</v>
      </c>
      <c r="E9" s="55">
        <v>205921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100537</v>
      </c>
      <c r="E11" s="52">
        <f>299209-E18</f>
        <v>90379.18</v>
      </c>
    </row>
    <row r="12" spans="1:5" x14ac:dyDescent="0.25">
      <c r="A12" s="10" t="s">
        <v>176</v>
      </c>
      <c r="B12" s="17" t="s">
        <v>200</v>
      </c>
      <c r="C12" s="10"/>
      <c r="D12" s="52">
        <v>829479</v>
      </c>
      <c r="E12" s="52">
        <v>961854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18204</v>
      </c>
      <c r="E14" s="52">
        <v>28078</v>
      </c>
    </row>
    <row r="15" spans="1:5" x14ac:dyDescent="0.25">
      <c r="A15" s="10" t="s">
        <v>178</v>
      </c>
      <c r="B15" s="17" t="s">
        <v>142</v>
      </c>
      <c r="C15" s="10"/>
      <c r="D15" s="52">
        <v>946397</v>
      </c>
      <c r="E15" s="52">
        <v>1430183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122008</v>
      </c>
      <c r="E16" s="52">
        <v>133329</v>
      </c>
    </row>
    <row r="17" spans="1:5" x14ac:dyDescent="0.25">
      <c r="A17" s="10">
        <v>5</v>
      </c>
      <c r="B17" s="17" t="s">
        <v>262</v>
      </c>
      <c r="C17" s="10" t="s">
        <v>144</v>
      </c>
      <c r="D17" s="52">
        <v>1454863</v>
      </c>
      <c r="E17" s="52">
        <f>2080568-E16</f>
        <v>1947239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189941</v>
      </c>
      <c r="E18" s="52">
        <f>69443.92+139385.9</f>
        <v>208829.82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3986226</v>
      </c>
      <c r="E20" s="35">
        <f>E9+E11+E12+E14+E15+E16++E17+E18+E19</f>
        <v>5005813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3986226</v>
      </c>
      <c r="E21" s="37">
        <f>IncomeStmtSummary!D10</f>
        <v>5005813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workbookViewId="0">
      <selection activeCell="G30" sqref="G30"/>
    </sheetView>
  </sheetViews>
  <sheetFormatPr defaultColWidth="8.85546875" defaultRowHeight="15" x14ac:dyDescent="0.25"/>
  <cols>
    <col min="1" max="1" width="74.285156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MASHELL TELECOM, INC.</v>
      </c>
      <c r="B3" s="66"/>
    </row>
    <row r="6" spans="1:5" x14ac:dyDescent="0.25">
      <c r="A6" s="9" t="s">
        <v>271</v>
      </c>
      <c r="B6" s="9" t="s">
        <v>212</v>
      </c>
      <c r="C6" s="6"/>
      <c r="D6" s="125" t="s">
        <v>186</v>
      </c>
      <c r="E6" s="126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 t="s">
        <v>273</v>
      </c>
      <c r="B10" s="17">
        <v>2018</v>
      </c>
      <c r="C10" s="10" t="s">
        <v>274</v>
      </c>
      <c r="D10" s="114"/>
      <c r="E10" s="114">
        <v>30357</v>
      </c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 t="s">
        <v>280</v>
      </c>
      <c r="B15" s="17">
        <v>2017</v>
      </c>
      <c r="C15" s="10" t="s">
        <v>274</v>
      </c>
      <c r="D15" s="114">
        <v>625318</v>
      </c>
      <c r="E15" s="114"/>
    </row>
    <row r="16" spans="1:5" x14ac:dyDescent="0.25">
      <c r="A16" s="17" t="s">
        <v>275</v>
      </c>
      <c r="B16" s="17">
        <v>2017</v>
      </c>
      <c r="C16" s="10" t="s">
        <v>274</v>
      </c>
      <c r="D16" s="114"/>
      <c r="E16" s="114">
        <v>170000</v>
      </c>
    </row>
    <row r="17" spans="1:5" x14ac:dyDescent="0.25">
      <c r="A17" s="17" t="s">
        <v>276</v>
      </c>
      <c r="B17" s="17">
        <v>2017</v>
      </c>
      <c r="C17" s="10" t="s">
        <v>274</v>
      </c>
      <c r="D17" s="114">
        <f>+E20+E25</f>
        <v>79073</v>
      </c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 t="s">
        <v>279</v>
      </c>
      <c r="B20" s="17">
        <v>2018</v>
      </c>
      <c r="C20" s="10" t="s">
        <v>274</v>
      </c>
      <c r="D20" s="114"/>
      <c r="E20" s="114">
        <v>61127</v>
      </c>
    </row>
    <row r="21" spans="1:5" x14ac:dyDescent="0.25">
      <c r="A21" s="17" t="s">
        <v>283</v>
      </c>
      <c r="B21" s="17">
        <v>2018</v>
      </c>
      <c r="C21" s="10" t="s">
        <v>277</v>
      </c>
      <c r="D21" s="114">
        <v>17998</v>
      </c>
      <c r="E21" s="114"/>
    </row>
    <row r="22" spans="1:5" x14ac:dyDescent="0.25">
      <c r="A22" s="17" t="s">
        <v>281</v>
      </c>
      <c r="B22" s="17">
        <v>2018</v>
      </c>
      <c r="C22" s="10" t="s">
        <v>274</v>
      </c>
      <c r="D22" s="114"/>
      <c r="E22" s="114">
        <v>26281</v>
      </c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 t="s">
        <v>278</v>
      </c>
      <c r="B25" s="17">
        <v>2019</v>
      </c>
      <c r="C25" s="10" t="s">
        <v>274</v>
      </c>
      <c r="D25" s="114"/>
      <c r="E25" s="114">
        <v>17946</v>
      </c>
    </row>
    <row r="26" spans="1:5" x14ac:dyDescent="0.25">
      <c r="A26" s="17" t="s">
        <v>282</v>
      </c>
      <c r="B26" s="17">
        <v>2019</v>
      </c>
      <c r="C26" s="10" t="s">
        <v>274</v>
      </c>
      <c r="D26" s="114">
        <f>E22</f>
        <v>26281</v>
      </c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workbookViewId="0">
      <selection activeCell="C14" sqref="C14"/>
    </sheetView>
  </sheetViews>
  <sheetFormatPr defaultColWidth="9.140625" defaultRowHeight="15" x14ac:dyDescent="0.25"/>
  <cols>
    <col min="1" max="1" width="5.85546875" style="72" customWidth="1"/>
    <col min="2" max="2" width="40.42578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MASHELL TELECOM,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7894103</v>
      </c>
      <c r="D10" s="81">
        <f>C10</f>
        <v>7894103</v>
      </c>
    </row>
    <row r="11" spans="1:4" x14ac:dyDescent="0.25">
      <c r="A11" s="74">
        <v>2</v>
      </c>
      <c r="B11" s="78" t="s">
        <v>170</v>
      </c>
      <c r="C11" s="93">
        <f>'RateBase '!E15</f>
        <v>12305216</v>
      </c>
      <c r="D11" s="93">
        <f>C11</f>
        <v>12305216</v>
      </c>
    </row>
    <row r="12" spans="1:4" x14ac:dyDescent="0.25">
      <c r="A12" s="74">
        <v>3</v>
      </c>
      <c r="B12" s="89" t="s">
        <v>171</v>
      </c>
      <c r="C12" s="79">
        <f>(C10+C11)/2</f>
        <v>10099659.5</v>
      </c>
      <c r="D12" s="79">
        <f>(D10+D11)/2</f>
        <v>10099659.5</v>
      </c>
    </row>
    <row r="13" spans="1:4" x14ac:dyDescent="0.25">
      <c r="A13" s="74">
        <v>4</v>
      </c>
      <c r="B13" s="78" t="s">
        <v>172</v>
      </c>
      <c r="C13" s="58">
        <f>IncomeStmtSummary!D29</f>
        <v>464373</v>
      </c>
      <c r="D13" s="58">
        <f>C13</f>
        <v>464373</v>
      </c>
    </row>
    <row r="14" spans="1:4" x14ac:dyDescent="0.25">
      <c r="A14" s="74">
        <v>5</v>
      </c>
      <c r="B14" s="78" t="s">
        <v>254</v>
      </c>
      <c r="C14" s="109">
        <f>(30357+61127+26281-17998)+(-99767*0.34)</f>
        <v>65846.22</v>
      </c>
      <c r="D14" s="53"/>
    </row>
    <row r="15" spans="1:4" x14ac:dyDescent="0.25">
      <c r="A15" s="74">
        <v>6</v>
      </c>
      <c r="B15" s="90" t="s">
        <v>174</v>
      </c>
      <c r="C15" s="79">
        <f>C13+C14</f>
        <v>530219.22</v>
      </c>
      <c r="D15" s="79">
        <f>D13+D14</f>
        <v>464373</v>
      </c>
    </row>
    <row r="16" spans="1:4" x14ac:dyDescent="0.25">
      <c r="A16" s="74">
        <v>7</v>
      </c>
      <c r="B16" s="89" t="s">
        <v>173</v>
      </c>
      <c r="C16" s="80">
        <f>C15/C12</f>
        <v>5.249872235791711E-2</v>
      </c>
      <c r="D16" s="80">
        <f>D15/D12</f>
        <v>4.5979074839107202E-2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workbookViewId="0">
      <selection activeCell="A4" sqref="A4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1091624</v>
      </c>
      <c r="C10" s="54"/>
      <c r="D10" s="58">
        <f>SUM(B10:C10)</f>
        <v>1091624</v>
      </c>
      <c r="E10" s="17"/>
      <c r="F10" s="17" t="s">
        <v>77</v>
      </c>
      <c r="G10" s="52">
        <v>625703</v>
      </c>
      <c r="H10" s="54"/>
      <c r="I10" s="58">
        <f>SUM(G10:H10)</f>
        <v>625703</v>
      </c>
    </row>
    <row r="11" spans="1:9" x14ac:dyDescent="0.25">
      <c r="A11" s="17" t="s">
        <v>129</v>
      </c>
      <c r="B11" s="52">
        <v>531335</v>
      </c>
      <c r="C11" s="54"/>
      <c r="D11" s="58">
        <f>SUM(B11:C11)</f>
        <v>531335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1132423</v>
      </c>
      <c r="H14" s="54"/>
      <c r="I14" s="58">
        <f t="shared" si="0"/>
        <v>1132423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149366</v>
      </c>
      <c r="C17" s="54"/>
      <c r="D17" s="58">
        <f>SUM(B17:C17)</f>
        <v>149366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8708</v>
      </c>
      <c r="C18" s="54"/>
      <c r="D18" s="58">
        <f t="shared" ref="D18:D24" si="2">SUM(B18:C18)</f>
        <v>8708</v>
      </c>
      <c r="E18" s="17"/>
      <c r="F18" s="17" t="s">
        <v>86</v>
      </c>
      <c r="G18" s="52">
        <v>60364</v>
      </c>
      <c r="H18" s="54"/>
      <c r="I18" s="58">
        <f t="shared" si="0"/>
        <v>60364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376231</v>
      </c>
      <c r="H19" s="111"/>
      <c r="I19" s="59">
        <f t="shared" si="0"/>
        <v>376231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2195421</v>
      </c>
      <c r="H20" s="58">
        <f>SUM(H10:H19)</f>
        <v>0</v>
      </c>
      <c r="I20" s="58">
        <f t="shared" ref="I20" si="3">SUM(I10:I19)</f>
        <v>2195421</v>
      </c>
    </row>
    <row r="21" spans="1:9" x14ac:dyDescent="0.25">
      <c r="A21" s="17" t="s">
        <v>48</v>
      </c>
      <c r="B21" s="52">
        <v>207122</v>
      </c>
      <c r="C21" s="54"/>
      <c r="D21" s="58">
        <f t="shared" si="2"/>
        <v>207122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67708</v>
      </c>
      <c r="C24" s="111"/>
      <c r="D24" s="59">
        <f t="shared" si="2"/>
        <v>67708</v>
      </c>
      <c r="E24" s="17"/>
      <c r="F24" s="17" t="s">
        <v>92</v>
      </c>
      <c r="G24" s="52">
        <v>11515594</v>
      </c>
      <c r="H24" s="54"/>
      <c r="I24" s="58">
        <f t="shared" si="4"/>
        <v>11515594</v>
      </c>
    </row>
    <row r="25" spans="1:9" x14ac:dyDescent="0.25">
      <c r="A25" s="17" t="s">
        <v>40</v>
      </c>
      <c r="B25" s="58">
        <f>B10+B11+B13+B14+B15+B17+B18+B19+B20+B21+B22+B23+B24</f>
        <v>2055863</v>
      </c>
      <c r="C25" s="58">
        <f>C10+C11+C13+C14+C15+C17+C18+C19+C20+C21+C22+C23+C24</f>
        <v>0</v>
      </c>
      <c r="D25" s="58">
        <f t="shared" ref="D25" si="5">D10+D11+D13+D14+D15+D17+D18+D19+D20+D21+D22+D23+D24</f>
        <v>2055863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1196307</v>
      </c>
      <c r="H30" s="54"/>
      <c r="I30" s="58">
        <f t="shared" si="6"/>
        <v>1196307</v>
      </c>
    </row>
    <row r="31" spans="1:9" x14ac:dyDescent="0.25">
      <c r="A31" s="17" t="s">
        <v>55</v>
      </c>
      <c r="B31" s="52">
        <v>182713</v>
      </c>
      <c r="C31" s="54"/>
      <c r="D31" s="58">
        <f>SUM(B31:C31)</f>
        <v>182713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12711901</v>
      </c>
      <c r="H32" s="119">
        <f>SUM(H22:H31)</f>
        <v>0</v>
      </c>
      <c r="I32" s="119">
        <f>SUM(I22:I31)</f>
        <v>12711901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111850</v>
      </c>
      <c r="C34" s="54"/>
      <c r="D34" s="58">
        <f t="shared" ref="D34:D38" si="7">SUM(B34:C34)</f>
        <v>111850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4927932</v>
      </c>
      <c r="C35" s="69">
        <f>-1*(C25+C30+C31+C33+C34+C36+C37+C38+C47)</f>
        <v>-260725</v>
      </c>
      <c r="D35" s="58">
        <f t="shared" si="7"/>
        <v>4667207</v>
      </c>
      <c r="E35" s="17"/>
      <c r="F35" s="18" t="s">
        <v>216</v>
      </c>
      <c r="G35" s="52"/>
      <c r="H35" s="52">
        <v>-151386</v>
      </c>
      <c r="I35" s="58">
        <f>SUM(G35:H35)</f>
        <v>-151386</v>
      </c>
    </row>
    <row r="36" spans="1:9" x14ac:dyDescent="0.25">
      <c r="A36" s="17" t="s">
        <v>61</v>
      </c>
      <c r="B36" s="52">
        <v>220280</v>
      </c>
      <c r="C36" s="54"/>
      <c r="D36" s="58">
        <f t="shared" si="7"/>
        <v>220280</v>
      </c>
      <c r="E36" s="17"/>
      <c r="F36" s="17" t="s">
        <v>234</v>
      </c>
      <c r="G36" s="52">
        <v>99730</v>
      </c>
      <c r="H36" s="112"/>
      <c r="I36" s="58">
        <f t="shared" ref="I36:I37" si="8">SUM(G36:H36)</f>
        <v>99730</v>
      </c>
    </row>
    <row r="37" spans="1:9" x14ac:dyDescent="0.25">
      <c r="A37" s="17" t="s">
        <v>62</v>
      </c>
      <c r="B37" s="52">
        <v>470307</v>
      </c>
      <c r="C37" s="54"/>
      <c r="D37" s="58">
        <f t="shared" si="7"/>
        <v>470307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99730</v>
      </c>
      <c r="H38" s="58">
        <f>SUM(H34:H37)</f>
        <v>-151386</v>
      </c>
      <c r="I38" s="58">
        <f>SUM(I34:I37)</f>
        <v>-51656</v>
      </c>
    </row>
    <row r="39" spans="1:9" x14ac:dyDescent="0.25">
      <c r="A39" s="17" t="s">
        <v>64</v>
      </c>
      <c r="B39" s="58">
        <f>B30+B31+B33+B34+B35+B36+B37+B38</f>
        <v>5913082</v>
      </c>
      <c r="C39" s="58">
        <f>C30+C31+C33+C34+C35+C36+C37+C38</f>
        <v>-260725</v>
      </c>
      <c r="D39" s="58">
        <f>D30+D31+D33+D34+D35+D36+D37+D38</f>
        <v>5652357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9">SUM(G41:H41)</f>
        <v>8093354</v>
      </c>
    </row>
    <row r="42" spans="1:9" x14ac:dyDescent="0.25">
      <c r="A42" s="17" t="s">
        <v>159</v>
      </c>
      <c r="B42" s="52">
        <v>22525811</v>
      </c>
      <c r="C42" s="52">
        <v>1045463</v>
      </c>
      <c r="D42" s="58">
        <f>SUM(B42:C42)</f>
        <v>23571274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332278</v>
      </c>
      <c r="C44" s="52"/>
      <c r="D44" s="58">
        <f t="shared" si="10"/>
        <v>332278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-15250941</v>
      </c>
      <c r="C46" s="53">
        <v>-784738</v>
      </c>
      <c r="D46" s="59">
        <f t="shared" si="10"/>
        <v>-16035679</v>
      </c>
      <c r="E46" s="17"/>
      <c r="F46" s="17" t="s">
        <v>223</v>
      </c>
      <c r="G46" s="53">
        <v>-7581363</v>
      </c>
      <c r="H46" s="94">
        <f>-1*(H20+H32+H38)</f>
        <v>151386</v>
      </c>
      <c r="I46" s="59">
        <f t="shared" si="9"/>
        <v>-7429977</v>
      </c>
    </row>
    <row r="47" spans="1:9" x14ac:dyDescent="0.25">
      <c r="A47" s="17" t="s">
        <v>70</v>
      </c>
      <c r="B47" s="58">
        <f>B42+B43+B44+B45+B46</f>
        <v>7607148</v>
      </c>
      <c r="C47" s="58">
        <f t="shared" ref="C47:D47" si="11">C42+C43+C44+C45+C46</f>
        <v>260725</v>
      </c>
      <c r="D47" s="58">
        <f t="shared" si="11"/>
        <v>7867873</v>
      </c>
      <c r="E47" s="17"/>
      <c r="F47" s="17" t="s">
        <v>224</v>
      </c>
      <c r="G47" s="58">
        <f>SUM(G40:G46)</f>
        <v>569041</v>
      </c>
      <c r="H47" s="61">
        <f t="shared" ref="H47:I47" si="12">SUM(H40:H46)</f>
        <v>151386</v>
      </c>
      <c r="I47" s="58">
        <f t="shared" si="12"/>
        <v>720427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15576093</v>
      </c>
      <c r="C49" s="60">
        <f>C25+C39+C47</f>
        <v>0</v>
      </c>
      <c r="D49" s="60">
        <f>D25+D39+D47</f>
        <v>15576093</v>
      </c>
      <c r="E49" s="19"/>
      <c r="F49" s="82" t="s">
        <v>228</v>
      </c>
      <c r="G49" s="60">
        <f>G20+G32+G38+G47</f>
        <v>15576093</v>
      </c>
      <c r="H49" s="60">
        <f>H20+H32+H38+H47</f>
        <v>0</v>
      </c>
      <c r="I49" s="60">
        <f>I20+I32+I38+I47</f>
        <v>15576093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workbookViewId="0">
      <selection activeCell="H35" sqref="H35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MASHELL TELECOM,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428232</v>
      </c>
      <c r="C10" s="54"/>
      <c r="D10" s="58">
        <f>SUM(B10:C10)</f>
        <v>428232</v>
      </c>
      <c r="E10" s="17"/>
      <c r="F10" s="17" t="s">
        <v>77</v>
      </c>
      <c r="G10" s="52">
        <v>622738</v>
      </c>
      <c r="H10" s="54"/>
      <c r="I10" s="58">
        <f>SUM(G10:H10)</f>
        <v>622738</v>
      </c>
    </row>
    <row r="11" spans="1:9" x14ac:dyDescent="0.25">
      <c r="A11" s="17" t="s">
        <v>129</v>
      </c>
      <c r="B11" s="52">
        <v>733378</v>
      </c>
      <c r="C11" s="54"/>
      <c r="D11" s="58">
        <f>SUM(B11:C11)</f>
        <v>733378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1510373</v>
      </c>
      <c r="H14" s="54"/>
      <c r="I14" s="58">
        <f t="shared" si="0"/>
        <v>1510373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512599</v>
      </c>
      <c r="C17" s="54"/>
      <c r="D17" s="58">
        <f>SUM(B17:C17)</f>
        <v>512599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12077</v>
      </c>
      <c r="C18" s="54"/>
      <c r="D18" s="58">
        <f t="shared" ref="D18:D24" si="2">SUM(B18:C18)</f>
        <v>12077</v>
      </c>
      <c r="E18" s="17"/>
      <c r="F18" s="17" t="s">
        <v>86</v>
      </c>
      <c r="G18" s="52">
        <v>68454</v>
      </c>
      <c r="H18" s="54"/>
      <c r="I18" s="58">
        <f t="shared" si="0"/>
        <v>68454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355249</v>
      </c>
      <c r="H19" s="111"/>
      <c r="I19" s="59">
        <f t="shared" si="0"/>
        <v>355249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2557514</v>
      </c>
      <c r="H20" s="58">
        <f>SUM(H10:H19)</f>
        <v>0</v>
      </c>
      <c r="I20" s="58">
        <f t="shared" ref="I20" si="3">SUM(I10:I19)</f>
        <v>2557514</v>
      </c>
    </row>
    <row r="21" spans="1:9" x14ac:dyDescent="0.25">
      <c r="A21" s="17" t="s">
        <v>48</v>
      </c>
      <c r="B21" s="52">
        <v>204661</v>
      </c>
      <c r="C21" s="54"/>
      <c r="D21" s="58">
        <f t="shared" si="2"/>
        <v>204661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79247</v>
      </c>
      <c r="C24" s="111"/>
      <c r="D24" s="59">
        <f t="shared" si="2"/>
        <v>79247</v>
      </c>
      <c r="E24" s="17"/>
      <c r="F24" s="17" t="s">
        <v>92</v>
      </c>
      <c r="G24" s="52">
        <v>15674466</v>
      </c>
      <c r="H24" s="54"/>
      <c r="I24" s="58">
        <f t="shared" si="4"/>
        <v>15674466</v>
      </c>
    </row>
    <row r="25" spans="1:9" x14ac:dyDescent="0.25">
      <c r="A25" s="17" t="s">
        <v>40</v>
      </c>
      <c r="B25" s="58">
        <f>B10+B11+B13+B14+B15+B17+B18+B19+B20+B21+B22+B23+B24</f>
        <v>1970194</v>
      </c>
      <c r="C25" s="58">
        <f>C10+C11+C13+C14+C15+C17+C18+C19+C20+C21+C22+C23+C24</f>
        <v>0</v>
      </c>
      <c r="D25" s="58">
        <f t="shared" ref="D25" si="5">D10+D11+D13+D14+D15+D17+D18+D19+D20+D21+D22+D23+D24</f>
        <v>1970194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997611</v>
      </c>
      <c r="H30" s="54"/>
      <c r="I30" s="58">
        <f t="shared" si="6"/>
        <v>997611</v>
      </c>
    </row>
    <row r="31" spans="1:9" x14ac:dyDescent="0.25">
      <c r="A31" s="17" t="s">
        <v>55</v>
      </c>
      <c r="B31" s="52">
        <v>189875</v>
      </c>
      <c r="C31" s="54"/>
      <c r="D31" s="58">
        <f>SUM(B31:C31)</f>
        <v>189875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16672077</v>
      </c>
      <c r="H32" s="81">
        <f>SUM(H22:H31)</f>
        <v>0</v>
      </c>
      <c r="I32" s="58">
        <f>SUM(I22:I31)</f>
        <v>16672077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123507</v>
      </c>
      <c r="C34" s="54"/>
      <c r="D34" s="58">
        <f t="shared" ref="D34:D38" si="7">SUM(B34:C34)</f>
        <v>123507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4338774</v>
      </c>
      <c r="C35" s="69">
        <f>-1*(C25+C30+C31+C33+C34+C36+C37+C38+C47)</f>
        <v>-236245</v>
      </c>
      <c r="D35" s="58">
        <f t="shared" si="7"/>
        <v>4102529</v>
      </c>
      <c r="E35" s="17"/>
      <c r="F35" s="18" t="s">
        <v>216</v>
      </c>
      <c r="G35" s="52"/>
      <c r="H35" s="52">
        <v>33347</v>
      </c>
      <c r="I35" s="58">
        <f>SUM(G35:H35)</f>
        <v>33347</v>
      </c>
    </row>
    <row r="36" spans="1:11" x14ac:dyDescent="0.25">
      <c r="A36" s="17" t="s">
        <v>61</v>
      </c>
      <c r="B36" s="52">
        <v>250755</v>
      </c>
      <c r="C36" s="54"/>
      <c r="D36" s="58">
        <f t="shared" si="7"/>
        <v>250755</v>
      </c>
      <c r="E36" s="17"/>
      <c r="F36" s="17" t="s">
        <v>234</v>
      </c>
      <c r="G36" s="52">
        <v>108772</v>
      </c>
      <c r="H36" s="117"/>
      <c r="I36" s="58">
        <f t="shared" ref="I36:I37" si="8">SUM(G36:H36)</f>
        <v>108772</v>
      </c>
    </row>
    <row r="37" spans="1:11" x14ac:dyDescent="0.25">
      <c r="A37" s="17" t="s">
        <v>62</v>
      </c>
      <c r="B37" s="52">
        <v>403121</v>
      </c>
      <c r="C37" s="54"/>
      <c r="D37" s="58">
        <f t="shared" si="7"/>
        <v>403121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108772</v>
      </c>
      <c r="H38" s="58">
        <f>SUM(H34:H37)</f>
        <v>33347</v>
      </c>
      <c r="I38" s="58">
        <f>SUM(I34:I37)</f>
        <v>142119</v>
      </c>
    </row>
    <row r="39" spans="1:11" x14ac:dyDescent="0.25">
      <c r="A39" s="17" t="s">
        <v>64</v>
      </c>
      <c r="B39" s="58">
        <f>B30+B31+B33+B34+B35+B36+B37+B38</f>
        <v>5306032</v>
      </c>
      <c r="C39" s="58">
        <f>C30+C31+C33+C34+C35+C36+C37+C38</f>
        <v>-236245</v>
      </c>
      <c r="D39" s="58">
        <f t="shared" ref="D39" si="9">D30+D31+D33+D34+D35+D36+D37+D38</f>
        <v>5069787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10">SUM(G41:H41)</f>
        <v>8093354</v>
      </c>
    </row>
    <row r="42" spans="1:11" x14ac:dyDescent="0.25">
      <c r="A42" s="17" t="s">
        <v>159</v>
      </c>
      <c r="B42" s="52">
        <v>28255541</v>
      </c>
      <c r="C42" s="52">
        <v>1117836</v>
      </c>
      <c r="D42" s="58">
        <f>SUM(B42:C42)</f>
        <v>29373377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613584</v>
      </c>
      <c r="C44" s="52"/>
      <c r="D44" s="58">
        <f t="shared" si="11"/>
        <v>613584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-16357884</v>
      </c>
      <c r="C46" s="53">
        <v>-881591</v>
      </c>
      <c r="D46" s="59">
        <f t="shared" si="11"/>
        <v>-17239475</v>
      </c>
      <c r="E46" s="17"/>
      <c r="F46" s="17" t="s">
        <v>223</v>
      </c>
      <c r="G46" s="53">
        <v>-7701000</v>
      </c>
      <c r="H46" s="94">
        <f>-1*(H20+H32+H38)</f>
        <v>-33347</v>
      </c>
      <c r="I46" s="59">
        <f t="shared" si="10"/>
        <v>-7734347</v>
      </c>
    </row>
    <row r="47" spans="1:11" x14ac:dyDescent="0.25">
      <c r="A47" s="17" t="s">
        <v>70</v>
      </c>
      <c r="B47" s="58">
        <f>B42+B43+B44+B45+B46</f>
        <v>12511241</v>
      </c>
      <c r="C47" s="58">
        <f t="shared" ref="C47:D47" si="12">C42+C43+C44+C45+C46</f>
        <v>236245</v>
      </c>
      <c r="D47" s="58">
        <f t="shared" si="12"/>
        <v>12747486</v>
      </c>
      <c r="E47" s="17"/>
      <c r="F47" s="17" t="s">
        <v>224</v>
      </c>
      <c r="G47" s="58">
        <f>SUM(G40:G46)</f>
        <v>449404</v>
      </c>
      <c r="H47" s="61">
        <f t="shared" ref="H47:I47" si="13">SUM(H40:H46)</f>
        <v>-33347</v>
      </c>
      <c r="I47" s="58">
        <f t="shared" si="13"/>
        <v>416057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19787467</v>
      </c>
      <c r="C49" s="60">
        <f t="shared" ref="C49:D49" si="14">C25+C39+C47</f>
        <v>0</v>
      </c>
      <c r="D49" s="60">
        <f t="shared" si="14"/>
        <v>19787467</v>
      </c>
      <c r="E49" s="19"/>
      <c r="F49" s="82" t="s">
        <v>227</v>
      </c>
      <c r="G49" s="60">
        <f>G20+G32+G38+G47</f>
        <v>19787767</v>
      </c>
      <c r="H49" s="60">
        <f>H20+H32+H38+H47</f>
        <v>0</v>
      </c>
      <c r="I49" s="60">
        <f>I20+I32+I38+I47</f>
        <v>19787767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tabSelected="1" workbookViewId="0">
      <selection activeCell="F57" sqref="F57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MASHELL TELECOM,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1091624</v>
      </c>
      <c r="C10" s="32">
        <f>'CurrentYearBalanceSheet '!D10</f>
        <v>428232</v>
      </c>
      <c r="D10" s="17"/>
      <c r="E10" s="17" t="s">
        <v>77</v>
      </c>
      <c r="F10" s="32">
        <f>PriorYearBalanceSheet!I10</f>
        <v>625703</v>
      </c>
      <c r="G10" s="32">
        <f>'CurrentYearBalanceSheet '!I10</f>
        <v>622738</v>
      </c>
    </row>
    <row r="11" spans="1:7" x14ac:dyDescent="0.25">
      <c r="A11" s="17" t="s">
        <v>129</v>
      </c>
      <c r="B11" s="32">
        <f>PriorYearBalanceSheet!D11</f>
        <v>531335</v>
      </c>
      <c r="C11" s="32">
        <f>'CurrentYearBalanceSheet '!D11</f>
        <v>733378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700</v>
      </c>
      <c r="G13" s="32">
        <f>'CurrentYearBalanceSheet '!I13</f>
        <v>700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1132423</v>
      </c>
      <c r="G14" s="32">
        <f>'CurrentYearBalanceSheet '!I14</f>
        <v>1510373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149366</v>
      </c>
      <c r="C17" s="32">
        <f>'CurrentYearBalanceSheet '!D17</f>
        <v>512599</v>
      </c>
      <c r="D17" s="17"/>
      <c r="E17" s="17" t="s">
        <v>85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8708</v>
      </c>
      <c r="C18" s="32">
        <f>'CurrentYearBalanceSheet '!D18</f>
        <v>12077</v>
      </c>
      <c r="D18" s="17"/>
      <c r="E18" s="17" t="s">
        <v>86</v>
      </c>
      <c r="F18" s="32">
        <f>PriorYearBalanceSheet!I18</f>
        <v>60364</v>
      </c>
      <c r="G18" s="32">
        <f>'CurrentYearBalanceSheet '!I18</f>
        <v>68454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376231</v>
      </c>
      <c r="G19" s="32">
        <f>'CurrentYearBalanceSheet '!I19</f>
        <v>355249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2195421</v>
      </c>
      <c r="G20" s="35">
        <f>SUM(G10:G19)</f>
        <v>2557514</v>
      </c>
    </row>
    <row r="21" spans="1:7" x14ac:dyDescent="0.25">
      <c r="A21" s="17" t="s">
        <v>48</v>
      </c>
      <c r="B21" s="32">
        <f>PriorYearBalanceSheet!D21</f>
        <v>207122</v>
      </c>
      <c r="C21" s="32">
        <f>'CurrentYearBalanceSheet '!D21</f>
        <v>204661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0</v>
      </c>
      <c r="C23" s="32">
        <f>'CurrentYearBalanceSheet '!D23</f>
        <v>0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67708</v>
      </c>
      <c r="C24" s="33">
        <f>'CurrentYearBalanceSheet '!D24</f>
        <v>79247</v>
      </c>
      <c r="D24" s="17"/>
      <c r="E24" s="17" t="s">
        <v>92</v>
      </c>
      <c r="F24" s="32">
        <f>PriorYearBalanceSheet!I24</f>
        <v>11515594</v>
      </c>
      <c r="G24" s="32">
        <f>'CurrentYearBalanceSheet '!I24</f>
        <v>15674466</v>
      </c>
    </row>
    <row r="25" spans="1:7" x14ac:dyDescent="0.25">
      <c r="A25" s="17" t="s">
        <v>40</v>
      </c>
      <c r="B25" s="32">
        <f>B10+B11+B13+B14+B15+B17+B18+B19+B20+B21+B22+B23+B24</f>
        <v>2055863</v>
      </c>
      <c r="C25" s="32">
        <f>C10+C11+C13+C14+C15+C17+C18+C19+C20+C21+C22+C23+C24</f>
        <v>1970194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1196307</v>
      </c>
      <c r="G30" s="32">
        <f>'CurrentYearBalanceSheet '!I30</f>
        <v>997611</v>
      </c>
    </row>
    <row r="31" spans="1:7" x14ac:dyDescent="0.25">
      <c r="A31" s="17" t="s">
        <v>55</v>
      </c>
      <c r="B31" s="32">
        <f>PriorYearBalanceSheet!D31</f>
        <v>182713</v>
      </c>
      <c r="C31" s="32">
        <f>'CurrentYearBalanceSheet '!D31</f>
        <v>189875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12711901</v>
      </c>
      <c r="G32" s="32">
        <f>SUM(G22:G31)</f>
        <v>16672077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111850</v>
      </c>
      <c r="C34" s="32">
        <f>'CurrentYearBalanceSheet '!D34</f>
        <v>123507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4667207</v>
      </c>
      <c r="C35" s="32">
        <f>'CurrentYearBalanceSheet '!D35</f>
        <v>4102529</v>
      </c>
      <c r="D35" s="17"/>
      <c r="E35" s="18" t="s">
        <v>216</v>
      </c>
      <c r="F35" s="32">
        <f>PriorYearBalanceSheet!I35</f>
        <v>-151386</v>
      </c>
      <c r="G35" s="32">
        <f>'CurrentYearBalanceSheet '!I35</f>
        <v>33347</v>
      </c>
    </row>
    <row r="36" spans="1:7" x14ac:dyDescent="0.25">
      <c r="A36" s="17" t="s">
        <v>61</v>
      </c>
      <c r="B36" s="32">
        <f>PriorYearBalanceSheet!D36</f>
        <v>220280</v>
      </c>
      <c r="C36" s="32">
        <f>'CurrentYearBalanceSheet '!D36</f>
        <v>250755</v>
      </c>
      <c r="D36" s="17"/>
      <c r="E36" s="17" t="s">
        <v>229</v>
      </c>
      <c r="F36" s="32">
        <f>PriorYearBalanceSheet!I36</f>
        <v>99730</v>
      </c>
      <c r="G36" s="32">
        <f>'CurrentYearBalanceSheet '!I36</f>
        <v>108772</v>
      </c>
    </row>
    <row r="37" spans="1:7" x14ac:dyDescent="0.25">
      <c r="A37" s="17" t="s">
        <v>62</v>
      </c>
      <c r="B37" s="32">
        <f>PriorYearBalanceSheet!D37</f>
        <v>470307</v>
      </c>
      <c r="C37" s="32">
        <f>'CurrentYearBalanceSheet '!D37</f>
        <v>403121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-51656</v>
      </c>
      <c r="G38" s="32">
        <f>SUM(G34:G37)</f>
        <v>142119</v>
      </c>
    </row>
    <row r="39" spans="1:7" x14ac:dyDescent="0.25">
      <c r="A39" s="17" t="s">
        <v>64</v>
      </c>
      <c r="B39" s="32">
        <f>B30+B31+B33+B34+B35+B36+B37+B38</f>
        <v>5652357</v>
      </c>
      <c r="C39" s="32">
        <f>C30+C31+C33+C34+C35+C36+C37+C38</f>
        <v>5069787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57050</v>
      </c>
      <c r="G40" s="32">
        <f>'CurrentYearBalanceSheet '!I40</f>
        <v>57050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8093354</v>
      </c>
      <c r="G41" s="32">
        <f>'CurrentYearBalanceSheet '!I41</f>
        <v>8093354</v>
      </c>
    </row>
    <row r="42" spans="1:7" x14ac:dyDescent="0.25">
      <c r="A42" s="17" t="s">
        <v>66</v>
      </c>
      <c r="B42" s="32">
        <f>PriorYearBalanceSheet!D42</f>
        <v>23571274</v>
      </c>
      <c r="C42" s="32">
        <f>'CurrentYearBalanceSheet '!D42</f>
        <v>29373377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332278</v>
      </c>
      <c r="C44" s="32">
        <f>'CurrentYearBalanceSheet '!D44</f>
        <v>613584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-16035679</v>
      </c>
      <c r="C46" s="33">
        <f>'CurrentYearBalanceSheet '!D46</f>
        <v>-17239475</v>
      </c>
      <c r="D46" s="17"/>
      <c r="E46" s="17" t="s">
        <v>230</v>
      </c>
      <c r="F46" s="33">
        <f>PriorYearBalanceSheet!I46</f>
        <v>-7429977</v>
      </c>
      <c r="G46" s="33">
        <f>'CurrentYearBalanceSheet '!I46</f>
        <v>-7734347</v>
      </c>
    </row>
    <row r="47" spans="1:7" x14ac:dyDescent="0.25">
      <c r="A47" s="17" t="s">
        <v>70</v>
      </c>
      <c r="B47" s="32">
        <f>SUM(B42:B46)</f>
        <v>7867873</v>
      </c>
      <c r="C47" s="32">
        <f>SUM(C42:C46)</f>
        <v>12747486</v>
      </c>
      <c r="D47" s="17"/>
      <c r="E47" s="17" t="s">
        <v>224</v>
      </c>
      <c r="F47" s="32">
        <f>SUM(F40:F46)</f>
        <v>720427</v>
      </c>
      <c r="G47" s="32">
        <f>SUM(G40:G46)</f>
        <v>416057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15576093</v>
      </c>
      <c r="C49" s="34">
        <f>C25+C39+C47</f>
        <v>19787467</v>
      </c>
      <c r="D49" s="17"/>
      <c r="E49" s="21" t="s">
        <v>225</v>
      </c>
      <c r="F49" s="34">
        <f>F20+F32+F38+F47</f>
        <v>15576093</v>
      </c>
      <c r="G49" s="34">
        <f>G20+G32+G38+G47</f>
        <v>19787767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workbookViewId="0">
      <selection activeCell="E16" sqref="E16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23571274</v>
      </c>
      <c r="E10" s="58">
        <f>'BalanceSheet(Summary)'!C42</f>
        <v>29373377</v>
      </c>
      <c r="F10" s="58">
        <f>(D10+E10)/2</f>
        <v>26472325.5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-16035679</v>
      </c>
      <c r="E12" s="58">
        <f>'BalanceSheet(Summary)'!C46</f>
        <v>-17239475</v>
      </c>
      <c r="F12" s="58">
        <f t="shared" ref="F12:F15" si="0">(D12+E12)/2</f>
        <v>-16637577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207122</v>
      </c>
      <c r="E13" s="58">
        <f>'BalanceSheet(Summary)'!C21</f>
        <v>204661</v>
      </c>
      <c r="F13" s="58">
        <f t="shared" si="0"/>
        <v>205891.5</v>
      </c>
    </row>
    <row r="14" spans="1:6" x14ac:dyDescent="0.25">
      <c r="A14" s="10">
        <v>5</v>
      </c>
      <c r="B14" s="17" t="s">
        <v>250</v>
      </c>
      <c r="C14" s="11"/>
      <c r="D14" s="52">
        <v>151386</v>
      </c>
      <c r="E14" s="52">
        <v>-33347</v>
      </c>
      <c r="F14" s="58">
        <f t="shared" si="0"/>
        <v>59019.5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7894103</v>
      </c>
      <c r="E15" s="62">
        <f>SUM(E10:E14)</f>
        <v>12305216</v>
      </c>
      <c r="F15" s="63">
        <f t="shared" si="0"/>
        <v>10099659.5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workbookViewId="0">
      <selection activeCell="D13" sqref="D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620</v>
      </c>
      <c r="D10" s="52">
        <v>432</v>
      </c>
      <c r="E10" s="32">
        <f>D10-C10</f>
        <v>-188</v>
      </c>
      <c r="F10" s="38">
        <f>E10/C10</f>
        <v>-0.3032258064516129</v>
      </c>
    </row>
    <row r="11" spans="1:6" x14ac:dyDescent="0.25">
      <c r="A11" s="10">
        <v>2</v>
      </c>
      <c r="B11" s="19" t="s">
        <v>122</v>
      </c>
      <c r="C11" s="52">
        <v>535</v>
      </c>
      <c r="D11" s="52">
        <v>648</v>
      </c>
      <c r="E11" s="32">
        <f>D11-C11</f>
        <v>113</v>
      </c>
      <c r="F11" s="38">
        <f t="shared" ref="F11:F12" si="0">E11/C11</f>
        <v>0.21121495327102804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1155</v>
      </c>
      <c r="D12" s="34">
        <f t="shared" ref="D12:E12" si="1">SUM(D10:D11)</f>
        <v>1080</v>
      </c>
      <c r="E12" s="34">
        <f t="shared" si="1"/>
        <v>-75</v>
      </c>
      <c r="F12" s="39">
        <f t="shared" si="0"/>
        <v>-6.4935064935064929E-2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workbookViewId="0">
      <selection activeCell="C58" sqref="C58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580586</v>
      </c>
      <c r="D9" s="52">
        <v>-80460</v>
      </c>
      <c r="E9" s="58">
        <f>SUM(C9:D9)</f>
        <v>500126</v>
      </c>
    </row>
    <row r="10" spans="1:6" x14ac:dyDescent="0.25">
      <c r="A10" s="10">
        <v>2</v>
      </c>
      <c r="B10" s="14" t="s">
        <v>2</v>
      </c>
      <c r="C10" s="52">
        <v>3986226</v>
      </c>
      <c r="D10" s="52"/>
      <c r="E10" s="58">
        <f t="shared" ref="E10:E14" si="0">SUM(C10:D10)</f>
        <v>3986226</v>
      </c>
    </row>
    <row r="11" spans="1:6" x14ac:dyDescent="0.25">
      <c r="A11" s="10">
        <v>3</v>
      </c>
      <c r="B11" s="14" t="s">
        <v>3</v>
      </c>
      <c r="C11" s="52">
        <v>152921</v>
      </c>
      <c r="D11" s="52">
        <v>-152921</v>
      </c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20646</v>
      </c>
      <c r="D13" s="52"/>
      <c r="E13" s="58">
        <f t="shared" si="0"/>
        <v>20646</v>
      </c>
    </row>
    <row r="14" spans="1:6" x14ac:dyDescent="0.25">
      <c r="A14" s="10">
        <v>6</v>
      </c>
      <c r="B14" s="14" t="s">
        <v>133</v>
      </c>
      <c r="C14" s="52">
        <v>-2364</v>
      </c>
      <c r="D14" s="52"/>
      <c r="E14" s="58">
        <f t="shared" si="0"/>
        <v>-2364</v>
      </c>
    </row>
    <row r="15" spans="1:6" x14ac:dyDescent="0.25">
      <c r="A15" s="10">
        <v>7</v>
      </c>
      <c r="B15" s="88" t="s">
        <v>132</v>
      </c>
      <c r="C15" s="96">
        <f>SUM(C9:C14)</f>
        <v>4738015</v>
      </c>
      <c r="D15" s="96">
        <f t="shared" ref="D15:E15" si="1">SUM(D9:D14)</f>
        <v>-233381</v>
      </c>
      <c r="E15" s="96">
        <f t="shared" si="1"/>
        <v>4504634</v>
      </c>
      <c r="F15" s="1"/>
    </row>
    <row r="16" spans="1:6" x14ac:dyDescent="0.25">
      <c r="A16" s="10">
        <v>8</v>
      </c>
      <c r="B16" s="14" t="s">
        <v>6</v>
      </c>
      <c r="C16" s="52">
        <v>1432288</v>
      </c>
      <c r="D16" s="52">
        <v>-161320</v>
      </c>
      <c r="E16" s="41">
        <f>SUM(C16:D16)</f>
        <v>1270968</v>
      </c>
    </row>
    <row r="17" spans="1:6" x14ac:dyDescent="0.25">
      <c r="A17" s="10">
        <v>9</v>
      </c>
      <c r="B17" s="14" t="s">
        <v>39</v>
      </c>
      <c r="C17" s="52">
        <v>575647</v>
      </c>
      <c r="D17" s="52">
        <v>3538</v>
      </c>
      <c r="E17" s="41">
        <f t="shared" ref="E17:E21" si="2">SUM(C17:D17)</f>
        <v>579185</v>
      </c>
    </row>
    <row r="18" spans="1:6" x14ac:dyDescent="0.25">
      <c r="A18" s="10">
        <v>10</v>
      </c>
      <c r="B18" s="14" t="s">
        <v>7</v>
      </c>
      <c r="C18" s="52">
        <v>866776</v>
      </c>
      <c r="D18" s="52">
        <v>65977</v>
      </c>
      <c r="E18" s="41">
        <f t="shared" si="2"/>
        <v>932753</v>
      </c>
    </row>
    <row r="19" spans="1:6" x14ac:dyDescent="0.25">
      <c r="A19" s="10">
        <v>11</v>
      </c>
      <c r="B19" s="14" t="s">
        <v>8</v>
      </c>
      <c r="C19" s="52">
        <v>14330</v>
      </c>
      <c r="D19" s="52">
        <v>8925</v>
      </c>
      <c r="E19" s="41">
        <f t="shared" si="2"/>
        <v>23255</v>
      </c>
    </row>
    <row r="20" spans="1:6" x14ac:dyDescent="0.25">
      <c r="A20" s="10">
        <v>12</v>
      </c>
      <c r="B20" s="14" t="s">
        <v>9</v>
      </c>
      <c r="C20" s="52">
        <v>1104628</v>
      </c>
      <c r="D20" s="52">
        <v>-309373</v>
      </c>
      <c r="E20" s="41">
        <f t="shared" si="2"/>
        <v>795255</v>
      </c>
    </row>
    <row r="21" spans="1:6" x14ac:dyDescent="0.25">
      <c r="A21" s="10">
        <v>13</v>
      </c>
      <c r="B21" s="14" t="s">
        <v>10</v>
      </c>
      <c r="C21" s="52">
        <v>1016929</v>
      </c>
      <c r="D21" s="52">
        <v>-943</v>
      </c>
      <c r="E21" s="41">
        <f t="shared" si="2"/>
        <v>1015986</v>
      </c>
    </row>
    <row r="22" spans="1:6" x14ac:dyDescent="0.25">
      <c r="A22" s="10">
        <v>14</v>
      </c>
      <c r="B22" s="83" t="s">
        <v>231</v>
      </c>
      <c r="C22" s="96">
        <f>C16+C17+C18+C19+C20+C21</f>
        <v>5010598</v>
      </c>
      <c r="D22" s="96">
        <f>D16+D17+D18+D19+D20+D21</f>
        <v>-393196</v>
      </c>
      <c r="E22" s="97">
        <f>E16+E17+E18+E19+E20+E21</f>
        <v>4617402</v>
      </c>
      <c r="F22" s="1"/>
    </row>
    <row r="23" spans="1:6" x14ac:dyDescent="0.25">
      <c r="A23" s="10">
        <v>15</v>
      </c>
      <c r="B23" s="14" t="s">
        <v>14</v>
      </c>
      <c r="C23" s="58">
        <f>C15-C22</f>
        <v>-272583</v>
      </c>
      <c r="D23" s="58">
        <f>D15-D22</f>
        <v>159815</v>
      </c>
      <c r="E23" s="58">
        <f>E15-E22</f>
        <v>-112768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147829</v>
      </c>
      <c r="D25" s="52">
        <v>-3985</v>
      </c>
      <c r="E25" s="58">
        <f t="shared" ref="E25:E27" si="3">SUM(C25:D25)</f>
        <v>143844</v>
      </c>
    </row>
    <row r="26" spans="1:6" x14ac:dyDescent="0.25">
      <c r="A26" s="10">
        <v>18</v>
      </c>
      <c r="B26" s="14" t="s">
        <v>191</v>
      </c>
      <c r="C26" s="52">
        <v>-76870</v>
      </c>
      <c r="D26" s="124">
        <v>42849</v>
      </c>
      <c r="E26" s="58">
        <f t="shared" si="3"/>
        <v>-34021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70959</v>
      </c>
      <c r="D28" s="79">
        <f t="shared" ref="D28:E28" si="4">SUM(D25:D27)</f>
        <v>38864</v>
      </c>
      <c r="E28" s="98">
        <f t="shared" si="4"/>
        <v>109823</v>
      </c>
    </row>
    <row r="29" spans="1:6" x14ac:dyDescent="0.25">
      <c r="A29" s="10">
        <v>21</v>
      </c>
      <c r="B29" s="88" t="s">
        <v>22</v>
      </c>
      <c r="C29" s="79">
        <f>C23+C24-C28</f>
        <v>-343542</v>
      </c>
      <c r="D29" s="79">
        <f>D23+D24-D28</f>
        <v>120951</v>
      </c>
      <c r="E29" s="98">
        <f>E23+E24-E28</f>
        <v>-222591</v>
      </c>
    </row>
    <row r="30" spans="1:6" x14ac:dyDescent="0.25">
      <c r="A30" s="10">
        <v>22</v>
      </c>
      <c r="B30" s="14" t="s">
        <v>15</v>
      </c>
      <c r="C30" s="52">
        <v>254128</v>
      </c>
      <c r="D30" s="54"/>
      <c r="E30" s="58">
        <f>SUM(C30:D30)</f>
        <v>254128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67187</v>
      </c>
      <c r="D32" s="54"/>
      <c r="E32" s="58">
        <f t="shared" si="5"/>
        <v>67187</v>
      </c>
    </row>
    <row r="33" spans="1:10" x14ac:dyDescent="0.25">
      <c r="A33" s="10">
        <v>25</v>
      </c>
      <c r="B33" s="14" t="s">
        <v>260</v>
      </c>
      <c r="C33" s="52">
        <v>-63943</v>
      </c>
      <c r="D33" s="54"/>
      <c r="E33" s="59">
        <f t="shared" si="5"/>
        <v>-63943</v>
      </c>
    </row>
    <row r="34" spans="1:10" x14ac:dyDescent="0.25">
      <c r="A34" s="10">
        <v>26</v>
      </c>
      <c r="B34" s="88" t="s">
        <v>259</v>
      </c>
      <c r="C34" s="79">
        <f>SUM(C30:C33)</f>
        <v>257372</v>
      </c>
      <c r="D34" s="99">
        <f t="shared" ref="D34" si="6">SUM(D30:D33)</f>
        <v>0</v>
      </c>
      <c r="E34" s="79">
        <f>SUM(E30:E33)</f>
        <v>257372</v>
      </c>
    </row>
    <row r="35" spans="1:10" x14ac:dyDescent="0.25">
      <c r="A35" s="10">
        <v>27</v>
      </c>
      <c r="B35" s="14" t="s">
        <v>18</v>
      </c>
      <c r="C35" s="52">
        <v>4628</v>
      </c>
      <c r="D35" s="54"/>
      <c r="E35" s="32">
        <f>SUM(C35:D35)</f>
        <v>4628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701746</v>
      </c>
      <c r="D38" s="69">
        <f>-1*(D29-D34)</f>
        <v>-120951</v>
      </c>
      <c r="E38" s="32">
        <f t="shared" si="7"/>
        <v>580795</v>
      </c>
    </row>
    <row r="39" spans="1:10" x14ac:dyDescent="0.25">
      <c r="A39" s="10">
        <v>31</v>
      </c>
      <c r="B39" s="88" t="s">
        <v>21</v>
      </c>
      <c r="C39" s="79">
        <f>C29-C34+C35+C36+C37+C38</f>
        <v>105460</v>
      </c>
      <c r="D39" s="79">
        <f t="shared" ref="D39:E39" si="8">D29-D34+D35+D36+D37+D38</f>
        <v>0</v>
      </c>
      <c r="E39" s="79">
        <f t="shared" si="8"/>
        <v>105460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-7686823</v>
      </c>
      <c r="D41" s="54"/>
      <c r="E41" s="58">
        <f t="shared" ref="E41:E46" si="9">SUM(C41:D41)</f>
        <v>-7686823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-7581363</v>
      </c>
      <c r="D47" s="99">
        <f t="shared" ref="D47:E47" si="10">(D39+D41+D42)-(D43+D44+D45+D46)</f>
        <v>0</v>
      </c>
      <c r="E47" s="98">
        <f t="shared" si="10"/>
        <v>-7581363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823947</v>
      </c>
      <c r="D52" s="101"/>
      <c r="E52" s="32">
        <f>C52</f>
        <v>823947</v>
      </c>
    </row>
    <row r="53" spans="1:7" x14ac:dyDescent="0.25">
      <c r="A53" s="10">
        <v>45</v>
      </c>
      <c r="B53" s="14" t="s">
        <v>35</v>
      </c>
      <c r="C53" s="102">
        <f>((C22+C28-C18-C19)/C15)</f>
        <v>0.88654236003896147</v>
      </c>
      <c r="D53" s="102">
        <f>((D22+D28-D18-D19)/D15)</f>
        <v>1.8391985637219825</v>
      </c>
      <c r="E53" s="102">
        <f>((E22+E28-E18-E19)/E15)</f>
        <v>0.83718610657380821</v>
      </c>
    </row>
    <row r="54" spans="1:7" x14ac:dyDescent="0.25">
      <c r="A54" s="10">
        <v>46</v>
      </c>
      <c r="B54" s="14" t="s">
        <v>36</v>
      </c>
      <c r="C54" s="102">
        <f>((C22+C28+C34)/C15)</f>
        <v>1.1268282181462068</v>
      </c>
      <c r="D54" s="102">
        <f>((D22+D28+D34)/D15)</f>
        <v>1.518255556364914</v>
      </c>
      <c r="E54" s="102">
        <f>((E22+E28+E34)/E15)</f>
        <v>1.106548722937313</v>
      </c>
    </row>
    <row r="55" spans="1:7" x14ac:dyDescent="0.25">
      <c r="A55" s="10">
        <v>47</v>
      </c>
      <c r="B55" s="14" t="s">
        <v>37</v>
      </c>
      <c r="C55" s="102">
        <f>((C39+C34)/C34)</f>
        <v>1.4097570831325863</v>
      </c>
      <c r="D55" s="102" t="e">
        <f t="shared" ref="D55:E55" si="13">((D39+D34)/D34)</f>
        <v>#DIV/0!</v>
      </c>
      <c r="E55" s="102">
        <f t="shared" si="13"/>
        <v>1.4097570831325863</v>
      </c>
    </row>
    <row r="56" spans="1:7" x14ac:dyDescent="0.25">
      <c r="A56" s="10">
        <v>48</v>
      </c>
      <c r="B56" s="14" t="s">
        <v>38</v>
      </c>
      <c r="C56" s="102">
        <f>(C39+C34+C18+C19)/C52</f>
        <v>1.5097306016042293</v>
      </c>
      <c r="D56" s="102" t="e">
        <f>(D39+D34+D18+D19)/D52</f>
        <v>#DIV/0!</v>
      </c>
      <c r="E56" s="102">
        <f>(E39+E34+E18+E19)/E52</f>
        <v>1.6006369341717368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topLeftCell="A5" workbookViewId="0">
      <selection activeCell="D35" sqref="D35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525032</v>
      </c>
      <c r="D9" s="52">
        <v>-207533</v>
      </c>
      <c r="E9" s="32">
        <f>SUM(C9:D9)</f>
        <v>317499</v>
      </c>
    </row>
    <row r="10" spans="1:6" x14ac:dyDescent="0.25">
      <c r="A10" s="10">
        <v>2</v>
      </c>
      <c r="B10" s="17" t="s">
        <v>2</v>
      </c>
      <c r="C10" s="52">
        <v>5005813</v>
      </c>
      <c r="D10" s="52"/>
      <c r="E10" s="32">
        <f t="shared" ref="E10:E14" si="0">SUM(C10:D10)</f>
        <v>5005813</v>
      </c>
    </row>
    <row r="11" spans="1:6" x14ac:dyDescent="0.25">
      <c r="A11" s="10">
        <v>3</v>
      </c>
      <c r="B11" s="17" t="s">
        <v>3</v>
      </c>
      <c r="C11" s="52">
        <v>136056</v>
      </c>
      <c r="D11" s="52">
        <v>-136056</v>
      </c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0</v>
      </c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9965</v>
      </c>
      <c r="D13" s="52"/>
      <c r="E13" s="32">
        <f t="shared" si="0"/>
        <v>9965</v>
      </c>
    </row>
    <row r="14" spans="1:6" x14ac:dyDescent="0.25">
      <c r="A14" s="10">
        <v>6</v>
      </c>
      <c r="B14" s="17" t="s">
        <v>133</v>
      </c>
      <c r="C14" s="52">
        <v>-4274</v>
      </c>
      <c r="D14" s="52"/>
      <c r="E14" s="32">
        <f t="shared" si="0"/>
        <v>-4274</v>
      </c>
    </row>
    <row r="15" spans="1:6" x14ac:dyDescent="0.25">
      <c r="A15" s="10">
        <v>7</v>
      </c>
      <c r="B15" s="83" t="s">
        <v>132</v>
      </c>
      <c r="C15" s="40">
        <f>SUM(C9:C14)</f>
        <v>5672592</v>
      </c>
      <c r="D15" s="40">
        <f t="shared" ref="D15:E15" si="1">SUM(D9:D14)</f>
        <v>-343589</v>
      </c>
      <c r="E15" s="40">
        <f t="shared" si="1"/>
        <v>5329003</v>
      </c>
      <c r="F15" s="1"/>
    </row>
    <row r="16" spans="1:6" x14ac:dyDescent="0.25">
      <c r="A16" s="10">
        <v>8</v>
      </c>
      <c r="B16" s="17" t="s">
        <v>6</v>
      </c>
      <c r="C16" s="52">
        <v>1651918</v>
      </c>
      <c r="D16" s="52">
        <v>-186969</v>
      </c>
      <c r="E16" s="41">
        <f>SUM(C16:D16)</f>
        <v>1464949</v>
      </c>
    </row>
    <row r="17" spans="1:6" x14ac:dyDescent="0.25">
      <c r="A17" s="10">
        <v>9</v>
      </c>
      <c r="B17" s="17" t="s">
        <v>39</v>
      </c>
      <c r="C17" s="52">
        <v>619107</v>
      </c>
      <c r="D17" s="52">
        <v>-18889</v>
      </c>
      <c r="E17" s="41">
        <f t="shared" ref="E17:E21" si="2">SUM(C17:D17)</f>
        <v>600218</v>
      </c>
    </row>
    <row r="18" spans="1:6" x14ac:dyDescent="0.25">
      <c r="A18" s="10">
        <v>10</v>
      </c>
      <c r="B18" s="17" t="s">
        <v>7</v>
      </c>
      <c r="C18" s="52">
        <v>2172023</v>
      </c>
      <c r="D18" s="52">
        <v>-1033442</v>
      </c>
      <c r="E18" s="41">
        <f t="shared" si="2"/>
        <v>1138581</v>
      </c>
    </row>
    <row r="19" spans="1:6" x14ac:dyDescent="0.25">
      <c r="A19" s="10">
        <v>11</v>
      </c>
      <c r="B19" s="17" t="s">
        <v>8</v>
      </c>
      <c r="C19" s="52">
        <v>72296</v>
      </c>
      <c r="D19" s="52">
        <v>-7469</v>
      </c>
      <c r="E19" s="41">
        <f t="shared" si="2"/>
        <v>64827</v>
      </c>
    </row>
    <row r="20" spans="1:6" x14ac:dyDescent="0.25">
      <c r="A20" s="10">
        <v>12</v>
      </c>
      <c r="B20" s="17" t="s">
        <v>9</v>
      </c>
      <c r="C20" s="52">
        <v>1100928</v>
      </c>
      <c r="D20" s="52">
        <v>-658961</v>
      </c>
      <c r="E20" s="41">
        <f t="shared" si="2"/>
        <v>441967</v>
      </c>
    </row>
    <row r="21" spans="1:6" x14ac:dyDescent="0.25">
      <c r="A21" s="10">
        <v>13</v>
      </c>
      <c r="B21" s="17" t="s">
        <v>10</v>
      </c>
      <c r="C21" s="52">
        <v>948408</v>
      </c>
      <c r="D21" s="52">
        <v>-17628</v>
      </c>
      <c r="E21" s="41">
        <f t="shared" si="2"/>
        <v>930780</v>
      </c>
    </row>
    <row r="22" spans="1:6" x14ac:dyDescent="0.25">
      <c r="A22" s="10">
        <v>14</v>
      </c>
      <c r="B22" s="83" t="s">
        <v>231</v>
      </c>
      <c r="C22" s="40">
        <f>C16+C17+C18+C19+C20+C21</f>
        <v>6564680</v>
      </c>
      <c r="D22" s="40">
        <f>D16+D17+D18+D19+D20+D21</f>
        <v>-1923358</v>
      </c>
      <c r="E22" s="42">
        <f>E16+E17+E18+E19+E20+E21</f>
        <v>4641322</v>
      </c>
      <c r="F22" s="1"/>
    </row>
    <row r="23" spans="1:6" x14ac:dyDescent="0.25">
      <c r="A23" s="10">
        <v>15</v>
      </c>
      <c r="B23" s="17" t="s">
        <v>14</v>
      </c>
      <c r="C23" s="32">
        <f>C15-C22</f>
        <v>-892088</v>
      </c>
      <c r="D23" s="32">
        <f>D15-D22</f>
        <v>1579769</v>
      </c>
      <c r="E23" s="32">
        <f>E15-E22</f>
        <v>687681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160779</v>
      </c>
      <c r="D25" s="112">
        <v>-2232</v>
      </c>
      <c r="E25" s="32">
        <f t="shared" ref="E25:E27" si="3">SUM(C25:D25)</f>
        <v>158547</v>
      </c>
    </row>
    <row r="26" spans="1:6" x14ac:dyDescent="0.25">
      <c r="A26" s="10">
        <v>18</v>
      </c>
      <c r="B26" s="17" t="s">
        <v>191</v>
      </c>
      <c r="C26" s="52">
        <v>-27916</v>
      </c>
      <c r="D26" s="54">
        <v>92677</v>
      </c>
      <c r="E26" s="32">
        <f t="shared" si="3"/>
        <v>64761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132863</v>
      </c>
      <c r="D28" s="37">
        <f t="shared" ref="D28:E28" si="4">SUM(D25:D27)</f>
        <v>90445</v>
      </c>
      <c r="E28" s="43">
        <f t="shared" si="4"/>
        <v>223308</v>
      </c>
    </row>
    <row r="29" spans="1:6" x14ac:dyDescent="0.25">
      <c r="A29" s="10">
        <v>21</v>
      </c>
      <c r="B29" s="83" t="s">
        <v>22</v>
      </c>
      <c r="C29" s="37">
        <f>C23+C24-C28</f>
        <v>-1024951</v>
      </c>
      <c r="D29" s="37">
        <f>D23+D24-D28</f>
        <v>1489324</v>
      </c>
      <c r="E29" s="43">
        <f>E23+E24-E28</f>
        <v>464373</v>
      </c>
    </row>
    <row r="30" spans="1:6" x14ac:dyDescent="0.25">
      <c r="A30" s="10">
        <v>22</v>
      </c>
      <c r="B30" s="17" t="s">
        <v>15</v>
      </c>
      <c r="C30" s="52">
        <v>346356</v>
      </c>
      <c r="D30" s="54">
        <v>-68430</v>
      </c>
      <c r="E30" s="32">
        <f>SUM(C30:D30)</f>
        <v>277926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67187</v>
      </c>
      <c r="D32" s="54">
        <v>-67187</v>
      </c>
      <c r="E32" s="32">
        <f t="shared" si="5"/>
        <v>0</v>
      </c>
    </row>
    <row r="33" spans="1:5" x14ac:dyDescent="0.25">
      <c r="A33" s="10">
        <v>25</v>
      </c>
      <c r="B33" s="17" t="s">
        <v>260</v>
      </c>
      <c r="C33" s="52">
        <v>-69158</v>
      </c>
      <c r="D33" s="54"/>
      <c r="E33" s="33">
        <f t="shared" si="5"/>
        <v>-69158</v>
      </c>
    </row>
    <row r="34" spans="1:5" x14ac:dyDescent="0.25">
      <c r="A34" s="10">
        <v>26</v>
      </c>
      <c r="B34" s="83" t="s">
        <v>259</v>
      </c>
      <c r="C34" s="37">
        <f>SUM(C30:C33)</f>
        <v>344385</v>
      </c>
      <c r="D34" s="64">
        <f t="shared" ref="D34" si="6">SUM(D30:D33)</f>
        <v>-135617</v>
      </c>
      <c r="E34" s="37">
        <f>SUM(E30:E33)</f>
        <v>208768</v>
      </c>
    </row>
    <row r="35" spans="1:5" x14ac:dyDescent="0.25">
      <c r="A35" s="10">
        <v>27</v>
      </c>
      <c r="B35" s="17" t="s">
        <v>18</v>
      </c>
      <c r="C35" s="52">
        <v>27215</v>
      </c>
      <c r="D35" s="54"/>
      <c r="E35" s="32">
        <f>SUM(C35:D35)</f>
        <v>27215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1222484</v>
      </c>
      <c r="D38" s="69">
        <f>-1*(D29-D34)</f>
        <v>-1624941</v>
      </c>
      <c r="E38" s="32">
        <f t="shared" si="7"/>
        <v>-402457</v>
      </c>
    </row>
    <row r="39" spans="1:5" x14ac:dyDescent="0.25">
      <c r="A39" s="10">
        <v>31</v>
      </c>
      <c r="B39" s="83" t="s">
        <v>21</v>
      </c>
      <c r="C39" s="37">
        <f>C29-C34+C35+C36+C37+C38</f>
        <v>-119637</v>
      </c>
      <c r="D39" s="37">
        <f t="shared" ref="D39:E39" si="8">D29-D34+D35+D36+D37+D38</f>
        <v>0</v>
      </c>
      <c r="E39" s="37">
        <f t="shared" si="8"/>
        <v>-119637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-7581363</v>
      </c>
      <c r="D41" s="54"/>
      <c r="E41" s="32">
        <f t="shared" ref="E41:E46" si="9">SUM(C41:D41)</f>
        <v>-7581363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-7701000</v>
      </c>
      <c r="D47" s="64">
        <f t="shared" ref="D47:E47" si="10">(D39+D41+D42)-(D43+D44+D45+D46)</f>
        <v>0</v>
      </c>
      <c r="E47" s="43">
        <f t="shared" si="10"/>
        <v>-7701000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0.78504218177510388</v>
      </c>
      <c r="D53" s="46">
        <f>((D22+D28-D18-D19)/D15)</f>
        <v>2.3050854363789295</v>
      </c>
      <c r="E53" s="46">
        <f>((E22+E28-E18-E19)/E15)</f>
        <v>0.68703695606851789</v>
      </c>
    </row>
    <row r="54" spans="1:7" x14ac:dyDescent="0.25">
      <c r="A54" s="10">
        <v>46</v>
      </c>
      <c r="B54" s="17" t="s">
        <v>36</v>
      </c>
      <c r="C54" s="46">
        <f>((C22+C28+C34)/C15)</f>
        <v>1.2413951153194165</v>
      </c>
      <c r="D54" s="46">
        <f>((D22+D28+D34)/D15)</f>
        <v>5.7293161306095364</v>
      </c>
      <c r="E54" s="46">
        <f>((E22+E28+E34)/E15)</f>
        <v>0.95203511801363216</v>
      </c>
    </row>
    <row r="55" spans="1:7" x14ac:dyDescent="0.25">
      <c r="A55" s="10">
        <v>47</v>
      </c>
      <c r="B55" s="17" t="s">
        <v>37</v>
      </c>
      <c r="C55" s="46">
        <f>((C39+C34)/C34)</f>
        <v>0.65260682085456678</v>
      </c>
      <c r="D55" s="46">
        <f t="shared" ref="D55:E55" si="13">((D39+D34)/D34)</f>
        <v>1</v>
      </c>
      <c r="E55" s="46">
        <f t="shared" si="13"/>
        <v>0.42693803648068668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workbookViewId="0">
      <selection activeCell="D64" sqref="D64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MASHELL TELECOM,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500126</v>
      </c>
      <c r="D9" s="41">
        <f>'CurrentYearIncomeStmt '!E9</f>
        <v>317499</v>
      </c>
    </row>
    <row r="10" spans="1:5" x14ac:dyDescent="0.25">
      <c r="A10" s="10">
        <v>2</v>
      </c>
      <c r="B10" s="17" t="s">
        <v>2</v>
      </c>
      <c r="C10" s="32">
        <f>PriorYearIncomeStmt!E10</f>
        <v>3986226</v>
      </c>
      <c r="D10" s="41">
        <f>'CurrentYearIncomeStmt '!E10</f>
        <v>5005813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20646</v>
      </c>
      <c r="D13" s="41">
        <f>'CurrentYearIncomeStmt '!E13</f>
        <v>9965</v>
      </c>
    </row>
    <row r="14" spans="1:5" x14ac:dyDescent="0.25">
      <c r="A14" s="10">
        <v>6</v>
      </c>
      <c r="B14" s="17" t="s">
        <v>133</v>
      </c>
      <c r="C14" s="32">
        <f>PriorYearIncomeStmt!E14</f>
        <v>-2364</v>
      </c>
      <c r="D14" s="41">
        <f>'CurrentYearIncomeStmt '!E14</f>
        <v>-4274</v>
      </c>
    </row>
    <row r="15" spans="1:5" x14ac:dyDescent="0.25">
      <c r="A15" s="10">
        <v>7</v>
      </c>
      <c r="B15" s="83" t="s">
        <v>132</v>
      </c>
      <c r="C15" s="40">
        <f>SUM(C9:C14)</f>
        <v>4504634</v>
      </c>
      <c r="D15" s="42">
        <f t="shared" ref="D15" si="0">SUM(D9:D14)</f>
        <v>5329003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1270968</v>
      </c>
      <c r="D16" s="41">
        <f>'CurrentYearIncomeStmt '!E16</f>
        <v>1464949</v>
      </c>
    </row>
    <row r="17" spans="1:5" x14ac:dyDescent="0.25">
      <c r="A17" s="10">
        <v>9</v>
      </c>
      <c r="B17" s="17" t="s">
        <v>39</v>
      </c>
      <c r="C17" s="32">
        <f>PriorYearIncomeStmt!E17</f>
        <v>579185</v>
      </c>
      <c r="D17" s="41">
        <f>'CurrentYearIncomeStmt '!E17</f>
        <v>600218</v>
      </c>
    </row>
    <row r="18" spans="1:5" x14ac:dyDescent="0.25">
      <c r="A18" s="10">
        <v>10</v>
      </c>
      <c r="B18" s="17" t="s">
        <v>7</v>
      </c>
      <c r="C18" s="32">
        <f>PriorYearIncomeStmt!E18</f>
        <v>932753</v>
      </c>
      <c r="D18" s="41">
        <f>'CurrentYearIncomeStmt '!E18</f>
        <v>1138581</v>
      </c>
    </row>
    <row r="19" spans="1:5" x14ac:dyDescent="0.25">
      <c r="A19" s="10">
        <v>11</v>
      </c>
      <c r="B19" s="17" t="s">
        <v>8</v>
      </c>
      <c r="C19" s="32">
        <f>PriorYearIncomeStmt!E19</f>
        <v>23255</v>
      </c>
      <c r="D19" s="41">
        <f>'CurrentYearIncomeStmt '!E19</f>
        <v>64827</v>
      </c>
    </row>
    <row r="20" spans="1:5" x14ac:dyDescent="0.25">
      <c r="A20" s="10">
        <v>12</v>
      </c>
      <c r="B20" s="17" t="s">
        <v>9</v>
      </c>
      <c r="C20" s="32">
        <f>PriorYearIncomeStmt!E20</f>
        <v>795255</v>
      </c>
      <c r="D20" s="41">
        <f>'CurrentYearIncomeStmt '!E20</f>
        <v>441967</v>
      </c>
    </row>
    <row r="21" spans="1:5" x14ac:dyDescent="0.25">
      <c r="A21" s="10">
        <v>13</v>
      </c>
      <c r="B21" s="17" t="s">
        <v>10</v>
      </c>
      <c r="C21" s="32">
        <f>PriorYearIncomeStmt!E21</f>
        <v>1015986</v>
      </c>
      <c r="D21" s="41">
        <f>'CurrentYearIncomeStmt '!E21</f>
        <v>930780</v>
      </c>
    </row>
    <row r="22" spans="1:5" x14ac:dyDescent="0.25">
      <c r="A22" s="10">
        <v>14</v>
      </c>
      <c r="B22" s="83" t="s">
        <v>231</v>
      </c>
      <c r="C22" s="40">
        <f>C16+C17+C18+C19+C20+C21</f>
        <v>4617402</v>
      </c>
      <c r="D22" s="42">
        <f>D16+D17+D18+D19+D20+D21</f>
        <v>4641322</v>
      </c>
      <c r="E22" s="1"/>
    </row>
    <row r="23" spans="1:5" x14ac:dyDescent="0.25">
      <c r="A23" s="10">
        <v>15</v>
      </c>
      <c r="B23" s="17" t="s">
        <v>14</v>
      </c>
      <c r="C23" s="32">
        <f>C15-C22</f>
        <v>-112768</v>
      </c>
      <c r="D23" s="41">
        <f>D15-D22</f>
        <v>687681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143844</v>
      </c>
      <c r="D25" s="41">
        <f>'CurrentYearIncomeStmt '!E25</f>
        <v>158547</v>
      </c>
    </row>
    <row r="26" spans="1:5" x14ac:dyDescent="0.25">
      <c r="A26" s="10">
        <v>18</v>
      </c>
      <c r="B26" s="17" t="s">
        <v>181</v>
      </c>
      <c r="C26" s="32">
        <f>PriorYearIncomeStmt!E26</f>
        <v>-34021</v>
      </c>
      <c r="D26" s="41">
        <f>'CurrentYearIncomeStmt '!E26</f>
        <v>64761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109823</v>
      </c>
      <c r="D28" s="43">
        <f t="shared" ref="D28" si="1">SUM(D25:D27)</f>
        <v>223308</v>
      </c>
    </row>
    <row r="29" spans="1:5" x14ac:dyDescent="0.25">
      <c r="A29" s="10">
        <v>21</v>
      </c>
      <c r="B29" s="83" t="s">
        <v>22</v>
      </c>
      <c r="C29" s="37">
        <f>C23+C24-C28</f>
        <v>-222591</v>
      </c>
      <c r="D29" s="43">
        <f>D23+D24-D28</f>
        <v>464373</v>
      </c>
    </row>
    <row r="30" spans="1:5" x14ac:dyDescent="0.25">
      <c r="A30" s="10">
        <v>22</v>
      </c>
      <c r="B30" s="17" t="s">
        <v>15</v>
      </c>
      <c r="C30" s="32">
        <f>PriorYearIncomeStmt!E30</f>
        <v>254128</v>
      </c>
      <c r="D30" s="41">
        <f>'CurrentYearIncomeStmt '!E30</f>
        <v>277926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67187</v>
      </c>
      <c r="D32" s="41">
        <f>'CurrentYearIncomeStmt '!E32</f>
        <v>0</v>
      </c>
    </row>
    <row r="33" spans="1:4" x14ac:dyDescent="0.25">
      <c r="A33" s="10">
        <v>25</v>
      </c>
      <c r="B33" s="17" t="s">
        <v>261</v>
      </c>
      <c r="C33" s="32">
        <f>PriorYearIncomeStmt!E33</f>
        <v>-63943</v>
      </c>
      <c r="D33" s="41">
        <f>'CurrentYearIncomeStmt '!E33</f>
        <v>-69158</v>
      </c>
    </row>
    <row r="34" spans="1:4" x14ac:dyDescent="0.25">
      <c r="A34" s="10">
        <v>26</v>
      </c>
      <c r="B34" s="83" t="s">
        <v>259</v>
      </c>
      <c r="C34" s="37">
        <f>SUM(C30:C33)</f>
        <v>257372</v>
      </c>
      <c r="D34" s="43">
        <f t="shared" ref="D34" si="2">SUM(D30:D33)</f>
        <v>208768</v>
      </c>
    </row>
    <row r="35" spans="1:4" x14ac:dyDescent="0.25">
      <c r="A35" s="10">
        <v>27</v>
      </c>
      <c r="B35" s="17" t="s">
        <v>18</v>
      </c>
      <c r="C35" s="32">
        <f>PriorYearIncomeStmt!E35</f>
        <v>4628</v>
      </c>
      <c r="D35" s="41">
        <f>'CurrentYearIncomeStmt '!E35</f>
        <v>27215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580795</v>
      </c>
      <c r="D38" s="41">
        <f>'CurrentYearIncomeStmt '!E38</f>
        <v>-402457</v>
      </c>
    </row>
    <row r="39" spans="1:4" x14ac:dyDescent="0.25">
      <c r="A39" s="10">
        <v>31</v>
      </c>
      <c r="B39" s="83" t="s">
        <v>21</v>
      </c>
      <c r="C39" s="37">
        <f>C29-C34+C35+C36+C37+C38</f>
        <v>105460</v>
      </c>
      <c r="D39" s="43">
        <f t="shared" ref="D39" si="3">D29-D34+D35+D36+D37+D38</f>
        <v>-119637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-7686823</v>
      </c>
      <c r="D41" s="41">
        <f>'CurrentYearIncomeStmt '!E41</f>
        <v>-7581363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-7581363</v>
      </c>
      <c r="D47" s="43">
        <f t="shared" ref="D47" si="4">(D39+D41+D42)-(D43+D44+D45+D46)</f>
        <v>-7701000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823947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0.83718610657380821</v>
      </c>
      <c r="D53" s="49">
        <f>((D22+D28-D18-D19)/D15)</f>
        <v>0.68703695606851789</v>
      </c>
    </row>
    <row r="54" spans="1:8" x14ac:dyDescent="0.25">
      <c r="A54" s="10">
        <v>46</v>
      </c>
      <c r="B54" s="17" t="s">
        <v>36</v>
      </c>
      <c r="C54" s="49">
        <f>((C22+C28+C34)/C15)</f>
        <v>1.106548722937313</v>
      </c>
      <c r="D54" s="49">
        <f>((D22+D28+D34)/D15)</f>
        <v>0.95203511801363216</v>
      </c>
    </row>
    <row r="55" spans="1:8" x14ac:dyDescent="0.25">
      <c r="A55" s="10">
        <v>47</v>
      </c>
      <c r="B55" s="17" t="s">
        <v>37</v>
      </c>
      <c r="C55" s="49">
        <f>((C39+C34)/C34)</f>
        <v>1.4097570831325863</v>
      </c>
      <c r="D55" s="49">
        <f t="shared" ref="D55" si="6">((D39+D34)/D34)</f>
        <v>0.42693803648068668</v>
      </c>
    </row>
    <row r="56" spans="1:8" x14ac:dyDescent="0.25">
      <c r="A56" s="10">
        <v>48</v>
      </c>
      <c r="B56" s="17" t="s">
        <v>38</v>
      </c>
      <c r="C56" s="45">
        <f>(C39+C34+C18+C19)/C52</f>
        <v>1.6006369341717368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7C59013B76724791B3AABBEB3A6553" ma:contentTypeVersion="56" ma:contentTypeDescription="" ma:contentTypeScope="" ma:versionID="e7c890d7ed57219cbd85f523da3081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2019-07-29T07:00:00+00:00</OpenedDate>
    <SignificantOrder xmlns="dc463f71-b30c-4ab2-9473-d307f9d35888">false</SignificantOrder>
    <Date1 xmlns="dc463f71-b30c-4ab2-9473-d307f9d35888">2019-07-29T07:00:00+00:00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Mashell Telecom, Inc.</CaseCompanyNames>
    <Nickname xmlns="http://schemas.microsoft.com/sharepoint/v3" xsi:nil="true"/>
    <DocketNumber xmlns="dc463f71-b30c-4ab2-9473-d307f9d35888">190634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EEC6AF-059D-435F-B0F9-BC3DBD193CCA}"/>
</file>

<file path=customXml/itemProps2.xml><?xml version="1.0" encoding="utf-8"?>
<ds:datastoreItem xmlns:ds="http://schemas.openxmlformats.org/officeDocument/2006/customXml" ds:itemID="{E7BD43B3-BB05-4CA2-965D-E1DF4E532BA4}"/>
</file>

<file path=customXml/itemProps3.xml><?xml version="1.0" encoding="utf-8"?>
<ds:datastoreItem xmlns:ds="http://schemas.openxmlformats.org/officeDocument/2006/customXml" ds:itemID="{98A490F0-5E05-4ADB-B0AF-706604EE83E5}"/>
</file>

<file path=customXml/itemProps4.xml><?xml version="1.0" encoding="utf-8"?>
<ds:datastoreItem xmlns:ds="http://schemas.openxmlformats.org/officeDocument/2006/customXml" ds:itemID="{B5764D82-5ACA-48AD-A100-718CD1AFA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Danielle Clausen</cp:lastModifiedBy>
  <cp:lastPrinted>2019-07-26T21:59:53Z</cp:lastPrinted>
  <dcterms:created xsi:type="dcterms:W3CDTF">2014-05-21T17:51:51Z</dcterms:created>
  <dcterms:modified xsi:type="dcterms:W3CDTF">2019-07-26T22:43:12Z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0x0101006E56B4D1795A2E4DB2F0B01679ED314A00B67C59013B76724791B3AABBEB3A6553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