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28830" windowHeight="6105"/>
  </bookViews>
  <sheets>
    <sheet name="Attach C - Table A for SBC 2019" sheetId="9" r:id="rId1"/>
    <sheet name="Attach C - Bill Comparison" sheetId="11" r:id="rId2"/>
    <sheet name="Attach B - SBC Balancing Acct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2" hidden="1">[1]Inputs!#REF!</definedName>
    <definedName name="__123Graph_A" localSheetId="1" hidden="1">[2]Inputs!#REF!</definedName>
    <definedName name="__123Graph_A" localSheetId="0" hidden="1">[3]Inputs!#REF!</definedName>
    <definedName name="__123Graph_A" hidden="1">[4]Inputs!#REF!</definedName>
    <definedName name="__123Graph_B" localSheetId="2" hidden="1">[1]Inputs!#REF!</definedName>
    <definedName name="__123Graph_B" localSheetId="1" hidden="1">[2]Inputs!#REF!</definedName>
    <definedName name="__123Graph_B" localSheetId="0" hidden="1">[3]Inputs!#REF!</definedName>
    <definedName name="__123Graph_B" hidden="1">[4]Inputs!#REF!</definedName>
    <definedName name="__123Graph_D" localSheetId="2" hidden="1">[1]Inputs!#REF!</definedName>
    <definedName name="__123Graph_D" localSheetId="1" hidden="1">[2]Inputs!#REF!</definedName>
    <definedName name="__123Graph_D" localSheetId="0" hidden="1">[3]Inputs!#REF!</definedName>
    <definedName name="__123Graph_D" hidden="1">[4]Inputs!#REF!</definedName>
    <definedName name="__123Graph_E" hidden="1">[5]Input!$E$22:$E$37</definedName>
    <definedName name="__123Graph_ECURRENT" hidden="1">[6]ConsolidatingPL!#REF!</definedName>
    <definedName name="__123Graph_F" hidden="1">[5]Input!$D$22:$D$37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2" hidden="1">255</definedName>
    <definedName name="_Order1" hidden="1">0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_www1" hidden="1">{#N/A,#N/A,FALSE,"schA"}</definedName>
    <definedName name="a" localSheetId="2" hidden="1">#REF!</definedName>
    <definedName name="a" localSheetId="1" hidden="1">#REF!</definedName>
    <definedName name="a" localSheetId="0" hidden="1">#REF!</definedName>
    <definedName name="a" hidden="1">'[4]DSM Output'!$J$21:$J$23</definedName>
    <definedName name="aaa" hidden="1">{#N/A,#N/A,FALSE,"Loans";#N/A,#N/A,FALSE,"Program Costs";#N/A,#N/A,FALSE,"Measures";#N/A,#N/A,FALSE,"Net Lost Rev";#N/A,#N/A,FALSE,"Incentive"}</definedName>
    <definedName name="AAAAAAAAAA" hidden="1">{#N/A,#N/A,FALSE,"Loans";#N/A,#N/A,FALSE,"Program Costs";#N/A,#N/A,FALSE,"Measures";#N/A,#N/A,FALSE,"Net Lost Rev";#N/A,#N/A,FALSE,"Incentive"}</definedName>
    <definedName name="ABC" hidden="1">{#N/A,#N/A,FALSE,"Loans";#N/A,#N/A,FALSE,"Program Costs";#N/A,#N/A,FALSE,"Measures";#N/A,#N/A,FALSE,"Net Lost Rev";#N/A,#N/A,FALSE,"Incentive"}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BBBBBBBBBBBB" hidden="1">{#N/A,#N/A,FALSE,"Loans";#N/A,#N/A,FALSE,"Program Costs";#N/A,#N/A,FALSE,"Measures";#N/A,#N/A,FALSE,"Net Lost Rev";#N/A,#N/A,FALSE,"Incentive"}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py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sd" hidden="1">[4]Inputs!#REF!</definedName>
    <definedName name="DUDE" localSheetId="2" hidden="1">#REF!</definedName>
    <definedName name="DUDE" localSheetId="1" hidden="1">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{#N/A,#N/A,FALSE,"Summ";#N/A,#N/A,FALSE,"General"}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[7]Inputs!#REF!</definedName>
    <definedName name="PricingInfo" hidden="1">[7]Inputs!#REF!</definedName>
    <definedName name="_xlnm.Print_Area" localSheetId="1">'Attach C - Bill Comparison'!$A$1:$J$39</definedName>
    <definedName name="_xlnm.Print_Area" localSheetId="0">'Attach C - Table A for SBC 2019'!$A$1:$AP$48</definedName>
    <definedName name="q" hidden="1">{#N/A,#N/A,FALSE,"Coversheet";#N/A,#N/A,FALSE,"QA"}</definedName>
    <definedName name="qqq" hidden="1">{#N/A,#N/A,FALSE,"schA"}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localSheetId="0" hidden="1">[1]Inputs!#REF!</definedName>
    <definedName name="w" hidden="1">[1]Inputs!#REF!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2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hidden="1">{"Open issues Only",#N/A,FALSE,"TIMELINE"}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localSheetId="2" hidden="1">{#N/A,#N/A,FALSE,"Loans";#N/A,#N/A,FALSE,"Program Costs";#N/A,#N/A,FALSE,"Measures";#N/A,#N/A,FALSE,"Net Lost Rev";#N/A,#N/A,FALSE,"Incentive"}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2" hidden="1">#REF!</definedName>
    <definedName name="y" localSheetId="1" hidden="1">#REF!</definedName>
    <definedName name="y" localSheetId="0" hidden="1">#REF!</definedName>
    <definedName name="y" hidden="1">'[4]DSM Output'!$B$21:$B$23</definedName>
    <definedName name="yuf" hidden="1">{#N/A,#N/A,FALSE,"Summ";#N/A,#N/A,FALSE,"General"}</definedName>
    <definedName name="yyy" hidden="1">{#N/A,#N/A,FALSE,"Loans";#N/A,#N/A,FALSE,"Program Costs";#N/A,#N/A,FALSE,"Measures";#N/A,#N/A,FALSE,"Net Lost Rev";#N/A,#N/A,FALSE,"Incentive"}</definedName>
    <definedName name="z" localSheetId="2" hidden="1">#REF!</definedName>
    <definedName name="z" localSheetId="1" hidden="1">#REF!</definedName>
    <definedName name="z" localSheetId="0" hidden="1">#REF!</definedName>
    <definedName name="z" hidden="1">'[4]DSM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  <definedName name="zz" hidden="1">{#N/A,#N/A,FALSE,"Loans";#N/A,#N/A,FALSE,"Program Costs";#N/A,#N/A,FALSE,"Measures";#N/A,#N/A,FALSE,"Net Lost Rev";#N/A,#N/A,FALSE,"Incentive"}</definedName>
  </definedNames>
  <calcPr calcId="152511"/>
</workbook>
</file>

<file path=xl/calcChain.xml><?xml version="1.0" encoding="utf-8"?>
<calcChain xmlns="http://schemas.openxmlformats.org/spreadsheetml/2006/main">
  <c r="W49" i="9" l="1"/>
  <c r="I120" i="13" l="1"/>
  <c r="C107" i="13"/>
  <c r="C106" i="13"/>
  <c r="C110" i="13" l="1"/>
  <c r="I125" i="13" s="1"/>
  <c r="I122" i="13"/>
  <c r="C115" i="13"/>
  <c r="I130" i="13" s="1"/>
  <c r="I121" i="13"/>
  <c r="J132" i="13"/>
  <c r="C111" i="13"/>
  <c r="I126" i="13" s="1"/>
  <c r="C116" i="13"/>
  <c r="I131" i="13" s="1"/>
  <c r="C113" i="13"/>
  <c r="I128" i="13" s="1"/>
  <c r="C108" i="13"/>
  <c r="I123" i="13" s="1"/>
  <c r="C112" i="13"/>
  <c r="I127" i="13" s="1"/>
  <c r="C109" i="13"/>
  <c r="I124" i="13" s="1"/>
  <c r="C114" i="13"/>
  <c r="I129" i="13" s="1"/>
  <c r="I132" i="13" l="1"/>
  <c r="K132" i="13" s="1"/>
  <c r="C128" i="13" s="1"/>
  <c r="C127" i="13"/>
  <c r="C122" i="13"/>
  <c r="C123" i="13" l="1"/>
  <c r="C126" i="13"/>
  <c r="C129" i="13"/>
  <c r="C121" i="13"/>
  <c r="C120" i="13"/>
  <c r="C124" i="13"/>
  <c r="C125" i="13"/>
  <c r="C130" i="13"/>
  <c r="C131" i="13"/>
  <c r="E132" i="13" l="1"/>
  <c r="B132" i="13"/>
  <c r="E117" i="13" l="1"/>
  <c r="B117" i="13"/>
  <c r="B140" i="13" s="1"/>
  <c r="E103" i="13"/>
  <c r="C103" i="13"/>
  <c r="B103" i="13"/>
  <c r="E89" i="13"/>
  <c r="C89" i="13"/>
  <c r="B89" i="13"/>
  <c r="E75" i="13"/>
  <c r="C75" i="13"/>
  <c r="B75" i="13"/>
  <c r="E61" i="13"/>
  <c r="C61" i="13"/>
  <c r="B61" i="13"/>
  <c r="E47" i="13"/>
  <c r="C47" i="13"/>
  <c r="B47" i="13"/>
  <c r="E33" i="13"/>
  <c r="C33" i="13"/>
  <c r="B33" i="13"/>
  <c r="E19" i="13"/>
  <c r="C19" i="13"/>
  <c r="B19" i="13"/>
  <c r="D7" i="13"/>
  <c r="D8" i="13" s="1"/>
  <c r="D9" i="13" s="1"/>
  <c r="F5" i="13"/>
  <c r="I31" i="9"/>
  <c r="O19" i="9"/>
  <c r="L19" i="9"/>
  <c r="O41" i="9"/>
  <c r="O31" i="9"/>
  <c r="L41" i="9"/>
  <c r="L31" i="9"/>
  <c r="I19" i="9"/>
  <c r="I41" i="9"/>
  <c r="B139" i="13" l="1"/>
  <c r="F8" i="13"/>
  <c r="D10" i="13"/>
  <c r="F9" i="13"/>
  <c r="F7" i="13"/>
  <c r="O43" i="9"/>
  <c r="O47" i="9" s="1"/>
  <c r="L43" i="9"/>
  <c r="L47" i="9" s="1"/>
  <c r="I43" i="9"/>
  <c r="D11" i="13" l="1"/>
  <c r="F10" i="13"/>
  <c r="D12" i="13" l="1"/>
  <c r="F11" i="13"/>
  <c r="D26" i="11"/>
  <c r="D13" i="13" l="1"/>
  <c r="F12" i="13"/>
  <c r="P11" i="11"/>
  <c r="D14" i="13" l="1"/>
  <c r="F13" i="13"/>
  <c r="P17" i="11"/>
  <c r="D15" i="13" l="1"/>
  <c r="F14" i="13"/>
  <c r="D33" i="11"/>
  <c r="D32" i="11"/>
  <c r="D31" i="11"/>
  <c r="D29" i="11"/>
  <c r="D28" i="11"/>
  <c r="D27" i="11"/>
  <c r="D25" i="11"/>
  <c r="D23" i="11"/>
  <c r="D22" i="11"/>
  <c r="D21" i="11"/>
  <c r="D20" i="11"/>
  <c r="D19" i="11"/>
  <c r="D17" i="11"/>
  <c r="D16" i="11"/>
  <c r="D15" i="11"/>
  <c r="D14" i="11"/>
  <c r="D12" i="11"/>
  <c r="D11" i="11"/>
  <c r="D10" i="11"/>
  <c r="D16" i="13" l="1"/>
  <c r="F15" i="13"/>
  <c r="I47" i="9"/>
  <c r="D17" i="13" l="1"/>
  <c r="F16" i="13"/>
  <c r="Q36" i="9"/>
  <c r="S36" i="9" s="1"/>
  <c r="Q27" i="9"/>
  <c r="S27" i="9" s="1"/>
  <c r="Y45" i="9"/>
  <c r="U45" i="9"/>
  <c r="S45" i="9"/>
  <c r="AA45" i="9" s="1"/>
  <c r="N41" i="9"/>
  <c r="K41" i="9"/>
  <c r="H41" i="9"/>
  <c r="U38" i="9"/>
  <c r="Q38" i="9"/>
  <c r="S38" i="9" s="1"/>
  <c r="U37" i="9"/>
  <c r="Q37" i="9"/>
  <c r="S37" i="9" s="1"/>
  <c r="U36" i="9"/>
  <c r="U35" i="9"/>
  <c r="Q35" i="9"/>
  <c r="S35" i="9" s="1"/>
  <c r="U34" i="9"/>
  <c r="Q34" i="9"/>
  <c r="S34" i="9" s="1"/>
  <c r="N31" i="9"/>
  <c r="K31" i="9"/>
  <c r="H31" i="9"/>
  <c r="U28" i="9"/>
  <c r="Q28" i="9"/>
  <c r="S28" i="9" s="1"/>
  <c r="U27" i="9"/>
  <c r="U26" i="9"/>
  <c r="Q26" i="9"/>
  <c r="S26" i="9" s="1"/>
  <c r="U25" i="9"/>
  <c r="Q25" i="9"/>
  <c r="S25" i="9" s="1"/>
  <c r="U24" i="9"/>
  <c r="Q24" i="9"/>
  <c r="S24" i="9" s="1"/>
  <c r="AI23" i="9"/>
  <c r="AF23" i="9"/>
  <c r="U23" i="9"/>
  <c r="Q23" i="9"/>
  <c r="S23" i="9" s="1"/>
  <c r="U22" i="9"/>
  <c r="Q22" i="9"/>
  <c r="N19" i="9"/>
  <c r="K19" i="9"/>
  <c r="H19" i="9"/>
  <c r="B19" i="9"/>
  <c r="B22" i="9" s="1"/>
  <c r="U16" i="9"/>
  <c r="U19" i="9" s="1"/>
  <c r="Q16" i="9"/>
  <c r="Q19" i="9" s="1"/>
  <c r="D18" i="13" l="1"/>
  <c r="F17" i="13"/>
  <c r="U41" i="9"/>
  <c r="U31" i="9"/>
  <c r="S41" i="9"/>
  <c r="S16" i="9"/>
  <c r="S19" i="9" s="1"/>
  <c r="B23" i="9"/>
  <c r="B24" i="9" s="1"/>
  <c r="H43" i="9"/>
  <c r="H47" i="9" s="1"/>
  <c r="N43" i="9"/>
  <c r="N47" i="9" s="1"/>
  <c r="Q31" i="9"/>
  <c r="S22" i="9"/>
  <c r="S31" i="9" s="1"/>
  <c r="Q41" i="9"/>
  <c r="K43" i="9"/>
  <c r="K47" i="9" s="1"/>
  <c r="D19" i="13" l="1"/>
  <c r="D21" i="13"/>
  <c r="F18" i="13"/>
  <c r="F19" i="13" s="1"/>
  <c r="U43" i="9"/>
  <c r="U47" i="9" s="1"/>
  <c r="S43" i="9"/>
  <c r="S47" i="9" s="1"/>
  <c r="AK43" i="9"/>
  <c r="AK37" i="9"/>
  <c r="AF37" i="9" s="1"/>
  <c r="AG37" i="9" s="1"/>
  <c r="AK27" i="9"/>
  <c r="AF27" i="9" s="1"/>
  <c r="AG27" i="9" s="1"/>
  <c r="AK34" i="9"/>
  <c r="AF34" i="9" s="1"/>
  <c r="AK24" i="9"/>
  <c r="AF24" i="9" s="1"/>
  <c r="AG24" i="9" s="1"/>
  <c r="AK22" i="9"/>
  <c r="AF22" i="9" s="1"/>
  <c r="AK38" i="9"/>
  <c r="AF38" i="9" s="1"/>
  <c r="AG38" i="9" s="1"/>
  <c r="AK36" i="9"/>
  <c r="AF36" i="9" s="1"/>
  <c r="AG36" i="9" s="1"/>
  <c r="AK28" i="9"/>
  <c r="AF28" i="9" s="1"/>
  <c r="AG28" i="9" s="1"/>
  <c r="AK26" i="9"/>
  <c r="AF26" i="9" s="1"/>
  <c r="AG26" i="9" s="1"/>
  <c r="AK35" i="9"/>
  <c r="AF35" i="9" s="1"/>
  <c r="AG35" i="9" s="1"/>
  <c r="AK25" i="9"/>
  <c r="AF25" i="9" s="1"/>
  <c r="AG25" i="9" s="1"/>
  <c r="AK16" i="9"/>
  <c r="AF16" i="9" s="1"/>
  <c r="B25" i="9"/>
  <c r="Q43" i="9"/>
  <c r="Q47" i="9" s="1"/>
  <c r="W51" i="9" s="1"/>
  <c r="AP34" i="9" s="1"/>
  <c r="W34" i="9" s="1"/>
  <c r="F21" i="13" l="1"/>
  <c r="D22" i="13"/>
  <c r="B26" i="9"/>
  <c r="AF41" i="9"/>
  <c r="AG34" i="9"/>
  <c r="AG16" i="9"/>
  <c r="AF19" i="9"/>
  <c r="AG19" i="9" s="1"/>
  <c r="AF31" i="9"/>
  <c r="AG31" i="9" s="1"/>
  <c r="AG22" i="9"/>
  <c r="D23" i="13" l="1"/>
  <c r="F22" i="13"/>
  <c r="AF43" i="9"/>
  <c r="AG41" i="9"/>
  <c r="B27" i="9"/>
  <c r="F23" i="13" l="1"/>
  <c r="D24" i="13"/>
  <c r="B28" i="9"/>
  <c r="AF47" i="9"/>
  <c r="AG47" i="9" s="1"/>
  <c r="AG43" i="9"/>
  <c r="F24" i="13" l="1"/>
  <c r="D25" i="13"/>
  <c r="B31" i="9"/>
  <c r="B34" i="9" s="1"/>
  <c r="B35" i="9" s="1"/>
  <c r="B36" i="9" s="1"/>
  <c r="B37" i="9" s="1"/>
  <c r="B38" i="9" s="1"/>
  <c r="B41" i="9" s="1"/>
  <c r="B43" i="9" s="1"/>
  <c r="F25" i="13" l="1"/>
  <c r="D26" i="13"/>
  <c r="AP35" i="9"/>
  <c r="D27" i="13" l="1"/>
  <c r="F26" i="13"/>
  <c r="AR35" i="9"/>
  <c r="W35" i="9"/>
  <c r="AP38" i="9"/>
  <c r="W38" i="9" s="1"/>
  <c r="AP36" i="9"/>
  <c r="W36" i="9" s="1"/>
  <c r="AR34" i="9"/>
  <c r="AP37" i="9"/>
  <c r="W37" i="9" s="1"/>
  <c r="F27" i="13" l="1"/>
  <c r="D28" i="13"/>
  <c r="Y35" i="9"/>
  <c r="AC35" i="9"/>
  <c r="AA35" i="9"/>
  <c r="Y34" i="9"/>
  <c r="AA34" i="9"/>
  <c r="AC34" i="9"/>
  <c r="AR36" i="9"/>
  <c r="AR37" i="9"/>
  <c r="AR38" i="9"/>
  <c r="F28" i="13" l="1"/>
  <c r="D29" i="13"/>
  <c r="AE34" i="9"/>
  <c r="AH34" i="9"/>
  <c r="AI34" i="9" s="1"/>
  <c r="AA37" i="9"/>
  <c r="AC37" i="9"/>
  <c r="Y37" i="9"/>
  <c r="W41" i="9"/>
  <c r="W50" i="9" s="1"/>
  <c r="AH35" i="9"/>
  <c r="AI35" i="9" s="1"/>
  <c r="AE35" i="9"/>
  <c r="AA38" i="9"/>
  <c r="Y38" i="9"/>
  <c r="AC38" i="9"/>
  <c r="AC36" i="9"/>
  <c r="AA36" i="9"/>
  <c r="Y36" i="9"/>
  <c r="F29" i="13" l="1"/>
  <c r="D30" i="13"/>
  <c r="W26" i="9"/>
  <c r="W27" i="9"/>
  <c r="Y41" i="9"/>
  <c r="AC41" i="9"/>
  <c r="AE41" i="9" s="1"/>
  <c r="W16" i="9"/>
  <c r="W28" i="9"/>
  <c r="W25" i="9"/>
  <c r="W24" i="9"/>
  <c r="W22" i="9"/>
  <c r="AA41" i="9"/>
  <c r="AE36" i="9"/>
  <c r="AH36" i="9"/>
  <c r="AI36" i="9" s="1"/>
  <c r="AE37" i="9"/>
  <c r="AH37" i="9"/>
  <c r="AI37" i="9" s="1"/>
  <c r="AE38" i="9"/>
  <c r="AH38" i="9"/>
  <c r="AI38" i="9" s="1"/>
  <c r="D31" i="13" l="1"/>
  <c r="F30" i="13"/>
  <c r="AP27" i="9"/>
  <c r="AH41" i="9"/>
  <c r="AI41" i="9" s="1"/>
  <c r="AC27" i="9"/>
  <c r="AA27" i="9"/>
  <c r="Y27" i="9"/>
  <c r="AP28" i="9"/>
  <c r="AR28" i="9" s="1"/>
  <c r="Y28" i="9"/>
  <c r="AC28" i="9"/>
  <c r="AA28" i="9"/>
  <c r="W19" i="9"/>
  <c r="Y16" i="9"/>
  <c r="Y19" i="9" s="1"/>
  <c r="AA16" i="9"/>
  <c r="AA19" i="9" s="1"/>
  <c r="AC16" i="9"/>
  <c r="AP16" i="9"/>
  <c r="Y26" i="9"/>
  <c r="AC26" i="9"/>
  <c r="AA26" i="9"/>
  <c r="AA24" i="9"/>
  <c r="AC24" i="9"/>
  <c r="Y24" i="9"/>
  <c r="AP24" i="9"/>
  <c r="Y22" i="9"/>
  <c r="AA22" i="9"/>
  <c r="AC22" i="9"/>
  <c r="AP22" i="9"/>
  <c r="AR22" i="9" s="1"/>
  <c r="AP25" i="9"/>
  <c r="AR25" i="9" s="1"/>
  <c r="AA25" i="9"/>
  <c r="Y25" i="9"/>
  <c r="AC25" i="9"/>
  <c r="F31" i="13" l="1"/>
  <c r="D32" i="13"/>
  <c r="AE25" i="9"/>
  <c r="AH25" i="9"/>
  <c r="AI25" i="9" s="1"/>
  <c r="AR16" i="9"/>
  <c r="P12" i="11"/>
  <c r="AE22" i="9"/>
  <c r="AH22" i="9"/>
  <c r="AI22" i="9" s="1"/>
  <c r="AP23" i="9"/>
  <c r="W23" i="9" s="1"/>
  <c r="W31" i="9" s="1"/>
  <c r="AR24" i="9"/>
  <c r="AP26" i="9"/>
  <c r="AR26" i="9" s="1"/>
  <c r="AR27" i="9"/>
  <c r="AC19" i="9"/>
  <c r="AH16" i="9"/>
  <c r="AI16" i="9" s="1"/>
  <c r="AE16" i="9"/>
  <c r="N22" i="11" s="1"/>
  <c r="AE28" i="9"/>
  <c r="AH28" i="9"/>
  <c r="AI28" i="9" s="1"/>
  <c r="AH24" i="9"/>
  <c r="AI24" i="9" s="1"/>
  <c r="AE24" i="9"/>
  <c r="AE26" i="9"/>
  <c r="AH26" i="9"/>
  <c r="AI26" i="9" s="1"/>
  <c r="AE27" i="9"/>
  <c r="AH27" i="9"/>
  <c r="AI27" i="9" s="1"/>
  <c r="D35" i="13" l="1"/>
  <c r="F32" i="13"/>
  <c r="F33" i="13" s="1"/>
  <c r="D33" i="13"/>
  <c r="P9" i="11"/>
  <c r="P10" i="11"/>
  <c r="R10" i="11" s="1"/>
  <c r="AR23" i="9"/>
  <c r="AR47" i="9" s="1"/>
  <c r="AH19" i="9"/>
  <c r="AI19" i="9" s="1"/>
  <c r="AE19" i="9"/>
  <c r="D36" i="13" l="1"/>
  <c r="F35" i="13"/>
  <c r="F22" i="11"/>
  <c r="F17" i="11"/>
  <c r="F12" i="11"/>
  <c r="F26" i="11"/>
  <c r="F21" i="11"/>
  <c r="F16" i="11"/>
  <c r="F11" i="11"/>
  <c r="F20" i="11"/>
  <c r="F15" i="11"/>
  <c r="F10" i="11"/>
  <c r="F19" i="11"/>
  <c r="H19" i="11" s="1"/>
  <c r="F14" i="11"/>
  <c r="F23" i="11"/>
  <c r="F27" i="11"/>
  <c r="F32" i="11"/>
  <c r="F25" i="11"/>
  <c r="F29" i="11"/>
  <c r="F31" i="11"/>
  <c r="R9" i="11"/>
  <c r="F33" i="11"/>
  <c r="F28" i="11"/>
  <c r="AA23" i="9"/>
  <c r="AA31" i="9" s="1"/>
  <c r="AA43" i="9" s="1"/>
  <c r="AA47" i="9" s="1"/>
  <c r="AC23" i="9"/>
  <c r="Y23" i="9"/>
  <c r="Y31" i="9" s="1"/>
  <c r="Y43" i="9" s="1"/>
  <c r="Y47" i="9" s="1"/>
  <c r="W43" i="9"/>
  <c r="W47" i="9" s="1"/>
  <c r="D37" i="13" l="1"/>
  <c r="F36" i="13"/>
  <c r="J19" i="11"/>
  <c r="J33" i="11"/>
  <c r="H33" i="11"/>
  <c r="H31" i="11"/>
  <c r="J31" i="11"/>
  <c r="J17" i="11"/>
  <c r="H17" i="11"/>
  <c r="J26" i="11"/>
  <c r="H26" i="11"/>
  <c r="AH23" i="9"/>
  <c r="AC31" i="9"/>
  <c r="J28" i="11"/>
  <c r="H28" i="11"/>
  <c r="H14" i="11"/>
  <c r="J14" i="11"/>
  <c r="J29" i="11"/>
  <c r="H29" i="11"/>
  <c r="J16" i="11"/>
  <c r="H16" i="11"/>
  <c r="H27" i="11"/>
  <c r="J27" i="11"/>
  <c r="J10" i="11"/>
  <c r="H10" i="11"/>
  <c r="J25" i="11"/>
  <c r="H25" i="11"/>
  <c r="H11" i="11"/>
  <c r="J11" i="11"/>
  <c r="J22" i="11"/>
  <c r="H22" i="11"/>
  <c r="J21" i="11"/>
  <c r="H21" i="11"/>
  <c r="J20" i="11"/>
  <c r="H20" i="11"/>
  <c r="J15" i="11"/>
  <c r="H15" i="11"/>
  <c r="J32" i="11"/>
  <c r="H32" i="11"/>
  <c r="H12" i="11"/>
  <c r="J12" i="11"/>
  <c r="J23" i="11"/>
  <c r="H23" i="11"/>
  <c r="C139" i="13" l="1"/>
  <c r="C132" i="13"/>
  <c r="C117" i="13"/>
  <c r="D38" i="13"/>
  <c r="F37" i="13"/>
  <c r="AH31" i="9"/>
  <c r="AE31" i="9"/>
  <c r="AC43" i="9"/>
  <c r="C140" i="13" l="1"/>
  <c r="D39" i="13"/>
  <c r="F38" i="13"/>
  <c r="AE43" i="9"/>
  <c r="AC47" i="9"/>
  <c r="AE47" i="9" s="1"/>
  <c r="AH43" i="9"/>
  <c r="AI43" i="9" s="1"/>
  <c r="D40" i="13" l="1"/>
  <c r="F39" i="13"/>
  <c r="D41" i="13" l="1"/>
  <c r="F40" i="13"/>
  <c r="D42" i="13" l="1"/>
  <c r="F41" i="13"/>
  <c r="D43" i="13" l="1"/>
  <c r="F42" i="13"/>
  <c r="D44" i="13" l="1"/>
  <c r="F43" i="13"/>
  <c r="D45" i="13" l="1"/>
  <c r="F44" i="13"/>
  <c r="D46" i="13" l="1"/>
  <c r="F45" i="13"/>
  <c r="F46" i="13" l="1"/>
  <c r="F47" i="13" s="1"/>
  <c r="D47" i="13"/>
  <c r="D49" i="13"/>
  <c r="F49" i="13" l="1"/>
  <c r="D50" i="13"/>
  <c r="F50" i="13" l="1"/>
  <c r="D51" i="13"/>
  <c r="D52" i="13" l="1"/>
  <c r="F51" i="13"/>
  <c r="F52" i="13" l="1"/>
  <c r="D53" i="13"/>
  <c r="F53" i="13" l="1"/>
  <c r="D54" i="13"/>
  <c r="F54" i="13" l="1"/>
  <c r="D55" i="13"/>
  <c r="D56" i="13" l="1"/>
  <c r="F55" i="13"/>
  <c r="F56" i="13" l="1"/>
  <c r="D57" i="13"/>
  <c r="F57" i="13" l="1"/>
  <c r="D58" i="13"/>
  <c r="F58" i="13" l="1"/>
  <c r="D59" i="13"/>
  <c r="F59" i="13" l="1"/>
  <c r="D60" i="13"/>
  <c r="F60" i="13" l="1"/>
  <c r="F61" i="13" s="1"/>
  <c r="D63" i="13"/>
  <c r="D61" i="13"/>
  <c r="D64" i="13" l="1"/>
  <c r="F63" i="13"/>
  <c r="D65" i="13" l="1"/>
  <c r="F64" i="13"/>
  <c r="D66" i="13" l="1"/>
  <c r="F65" i="13"/>
  <c r="D67" i="13" l="1"/>
  <c r="F66" i="13"/>
  <c r="D68" i="13" l="1"/>
  <c r="F67" i="13"/>
  <c r="D69" i="13" l="1"/>
  <c r="F68" i="13"/>
  <c r="D70" i="13" l="1"/>
  <c r="F69" i="13"/>
  <c r="D71" i="13" l="1"/>
  <c r="F70" i="13"/>
  <c r="D72" i="13" l="1"/>
  <c r="F71" i="13"/>
  <c r="D73" i="13" l="1"/>
  <c r="F72" i="13"/>
  <c r="D74" i="13" l="1"/>
  <c r="F73" i="13"/>
  <c r="D75" i="13" l="1"/>
  <c r="D77" i="13"/>
  <c r="F74" i="13"/>
  <c r="F75" i="13" s="1"/>
  <c r="F77" i="13" l="1"/>
  <c r="D78" i="13"/>
  <c r="D79" i="13" l="1"/>
  <c r="F78" i="13"/>
  <c r="F79" i="13" l="1"/>
  <c r="D80" i="13"/>
  <c r="F80" i="13" l="1"/>
  <c r="D81" i="13"/>
  <c r="F81" i="13" l="1"/>
  <c r="D82" i="13"/>
  <c r="D83" i="13" l="1"/>
  <c r="F82" i="13"/>
  <c r="F83" i="13" l="1"/>
  <c r="D84" i="13"/>
  <c r="F84" i="13" l="1"/>
  <c r="D85" i="13"/>
  <c r="F85" i="13" l="1"/>
  <c r="D86" i="13"/>
  <c r="D87" i="13" l="1"/>
  <c r="F86" i="13"/>
  <c r="F87" i="13" l="1"/>
  <c r="D88" i="13"/>
  <c r="F88" i="13" l="1"/>
  <c r="F89" i="13" s="1"/>
  <c r="D91" i="13"/>
  <c r="F91" i="13" l="1"/>
  <c r="D92" i="13"/>
  <c r="F92" i="13" l="1"/>
  <c r="D93" i="13"/>
  <c r="F93" i="13" l="1"/>
  <c r="D94" i="13"/>
  <c r="D95" i="13" l="1"/>
  <c r="F94" i="13"/>
  <c r="F95" i="13" l="1"/>
  <c r="D96" i="13"/>
  <c r="F96" i="13" l="1"/>
  <c r="D97" i="13"/>
  <c r="F97" i="13" l="1"/>
  <c r="D98" i="13"/>
  <c r="D99" i="13" l="1"/>
  <c r="F98" i="13"/>
  <c r="F99" i="13" l="1"/>
  <c r="D100" i="13"/>
  <c r="D101" i="13" l="1"/>
  <c r="F100" i="13"/>
  <c r="D102" i="13" l="1"/>
  <c r="F101" i="13"/>
  <c r="F102" i="13" l="1"/>
  <c r="F138" i="13" s="1"/>
  <c r="F139" i="13" s="1"/>
  <c r="F140" i="13" s="1"/>
  <c r="D105" i="13"/>
  <c r="F105" i="13" l="1"/>
  <c r="D106" i="13"/>
  <c r="F106" i="13" l="1"/>
  <c r="D107" i="13"/>
  <c r="F107" i="13" l="1"/>
  <c r="D108" i="13"/>
  <c r="F108" i="13" l="1"/>
  <c r="D109" i="13"/>
  <c r="F109" i="13" l="1"/>
  <c r="D110" i="13"/>
  <c r="F110" i="13" l="1"/>
  <c r="D111" i="13"/>
  <c r="F111" i="13" l="1"/>
  <c r="D112" i="13"/>
  <c r="F112" i="13" l="1"/>
  <c r="D113" i="13"/>
  <c r="F113" i="13" l="1"/>
  <c r="D114" i="13"/>
  <c r="D115" i="13" l="1"/>
  <c r="F114" i="13"/>
  <c r="F115" i="13" l="1"/>
  <c r="D116" i="13"/>
  <c r="F116" i="13" l="1"/>
  <c r="D120" i="13"/>
  <c r="F120" i="13" l="1"/>
  <c r="D121" i="13"/>
  <c r="D122" i="13" l="1"/>
  <c r="F121" i="13"/>
  <c r="F122" i="13" l="1"/>
  <c r="D123" i="13"/>
  <c r="F123" i="13" l="1"/>
  <c r="D124" i="13"/>
  <c r="F124" i="13" l="1"/>
  <c r="D125" i="13"/>
  <c r="F125" i="13" l="1"/>
  <c r="D126" i="13"/>
  <c r="F126" i="13" l="1"/>
  <c r="D127" i="13"/>
  <c r="F127" i="13" l="1"/>
  <c r="D128" i="13"/>
  <c r="F128" i="13" l="1"/>
  <c r="D129" i="13"/>
  <c r="F129" i="13" l="1"/>
  <c r="D130" i="13"/>
  <c r="F130" i="13" l="1"/>
  <c r="D131" i="13"/>
  <c r="F131" i="13" s="1"/>
</calcChain>
</file>

<file path=xl/sharedStrings.xml><?xml version="1.0" encoding="utf-8"?>
<sst xmlns="http://schemas.openxmlformats.org/spreadsheetml/2006/main" count="309" uniqueCount="129">
  <si>
    <t xml:space="preserve"> </t>
  </si>
  <si>
    <t>TABLE A. PRESENT AND PROPOSED RATES</t>
  </si>
  <si>
    <t>PACIFIC POWER &amp; LIGHT COMPANY</t>
  </si>
  <si>
    <t>ON REVENUES FROM ELECTRIC SALES TO ULTIMATE CONSUMERS</t>
  </si>
  <si>
    <t>IN WASHINGTON</t>
  </si>
  <si>
    <t>Hydro Deferral</t>
  </si>
  <si>
    <t>Actual</t>
  </si>
  <si>
    <t>Present</t>
  </si>
  <si>
    <t>Proposed</t>
  </si>
  <si>
    <t>Surcharge</t>
  </si>
  <si>
    <t>Curr.</t>
  </si>
  <si>
    <t>Avg.</t>
  </si>
  <si>
    <t>Base</t>
  </si>
  <si>
    <t>SBC</t>
  </si>
  <si>
    <t>Net</t>
  </si>
  <si>
    <t>Net Change</t>
  </si>
  <si>
    <t>Line</t>
  </si>
  <si>
    <t>Sch.</t>
  </si>
  <si>
    <t>Cust.</t>
  </si>
  <si>
    <t>MWH</t>
  </si>
  <si>
    <t>Revenues</t>
  </si>
  <si>
    <t xml:space="preserve">Current </t>
  </si>
  <si>
    <t>No.</t>
  </si>
  <si>
    <t>Description</t>
  </si>
  <si>
    <t>($000)</t>
  </si>
  <si>
    <t>%</t>
  </si>
  <si>
    <t>(cents/kWh)</t>
  </si>
  <si>
    <t>Rate</t>
  </si>
  <si>
    <t>(1)</t>
  </si>
  <si>
    <t>(2)</t>
  </si>
  <si>
    <t>(3)</t>
  </si>
  <si>
    <t>(4)</t>
  </si>
  <si>
    <t>(6)</t>
  </si>
  <si>
    <t>(7)</t>
  </si>
  <si>
    <t>(8)</t>
  </si>
  <si>
    <t>(9)</t>
  </si>
  <si>
    <t>(10)</t>
  </si>
  <si>
    <t>(11)</t>
  </si>
  <si>
    <t>(12)</t>
  </si>
  <si>
    <t>(7)/(5)</t>
  </si>
  <si>
    <t>Residential</t>
  </si>
  <si>
    <t>Residential Service</t>
  </si>
  <si>
    <t>16/18</t>
  </si>
  <si>
    <t>Unbilled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</si>
  <si>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</si>
  <si>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</si>
  <si>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</si>
  <si>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</si>
  <si>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</si>
  <si>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</si>
  <si>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</si>
  <si>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</si>
  <si>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</si>
  <si>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</si>
  <si>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</si>
  <si>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</si>
  <si>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</si>
  <si>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</si>
  <si>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</si>
  <si>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</si>
  <si>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</si>
  <si>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</si>
  <si>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</si>
  <si>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</si>
  <si>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</si>
  <si>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Pacific Power &amp; Light Company</t>
  </si>
  <si>
    <t>Monthly Billing Comparison</t>
  </si>
  <si>
    <t>Schedule 16 - Residential Service</t>
  </si>
  <si>
    <t>Energy</t>
  </si>
  <si>
    <t>Present Price</t>
  </si>
  <si>
    <t>Proposed Price</t>
  </si>
  <si>
    <t>kWh</t>
  </si>
  <si>
    <t>Basic</t>
  </si>
  <si>
    <t>Energy - 1st 600</t>
  </si>
  <si>
    <t>BPA Credit</t>
  </si>
  <si>
    <t>Low Income-Current</t>
  </si>
  <si>
    <t>Low Income-Proposed</t>
  </si>
  <si>
    <t>*</t>
  </si>
  <si>
    <t>Notes:</t>
  </si>
  <si>
    <t>* Average Washington Customer</t>
  </si>
  <si>
    <t>(13)</t>
  </si>
  <si>
    <t>(10)-(7)</t>
  </si>
  <si>
    <t>(12)/(8)</t>
  </si>
  <si>
    <t>Change</t>
  </si>
  <si>
    <t>$</t>
  </si>
  <si>
    <t>(14)</t>
  </si>
  <si>
    <t>(15)</t>
  </si>
  <si>
    <t>ESTIMATED EFFECT OF PROPOSED BASE RATE INCREASE</t>
  </si>
  <si>
    <t>Residential Overall: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</si>
  <si>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Deferral Surcharge and BPA Credit.</t>
    </r>
  </si>
  <si>
    <r>
      <t xml:space="preserve">Monthly Charge </t>
    </r>
    <r>
      <rPr>
        <vertAlign val="superscript"/>
        <sz val="11"/>
        <rFont val="Times New Roman"/>
        <family val="1"/>
      </rPr>
      <t>1</t>
    </r>
  </si>
  <si>
    <t>(10)/(4)*100</t>
  </si>
  <si>
    <t>12 MONTHS ENDED DECEMBER 2017</t>
  </si>
  <si>
    <t>Washington System Benefit Charge Deferred Account Analysis</t>
  </si>
  <si>
    <t>Monthly Conservation Costs</t>
  </si>
  <si>
    <t>SBC Recovery</t>
  </si>
  <si>
    <t xml:space="preserve">Cash Basis Accumulative  Balance  </t>
  </si>
  <si>
    <t>Accrued Costs</t>
  </si>
  <si>
    <t xml:space="preserve">Accrual Basis Accumulative  Balance  </t>
  </si>
  <si>
    <t>2011 Totals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</si>
  <si>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</si>
  <si>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</si>
  <si>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</si>
  <si>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</si>
  <si>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</si>
  <si>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</si>
  <si>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</si>
  <si>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</si>
  <si>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</si>
  <si>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</si>
  <si>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</si>
  <si>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</si>
  <si>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2012 Totals</t>
  </si>
  <si>
    <t>2013 Totals</t>
  </si>
  <si>
    <t>2014 Totals</t>
  </si>
  <si>
    <t>2015 Totals</t>
  </si>
  <si>
    <t>2016 Totals</t>
  </si>
  <si>
    <t>2017 Totals</t>
  </si>
  <si>
    <t>Forecast</t>
  </si>
  <si>
    <t>2018 Totals</t>
  </si>
  <si>
    <t>2019 Totals</t>
  </si>
  <si>
    <t>Updated with actuals for November, December &amp; January.</t>
  </si>
  <si>
    <t>2018 Balance</t>
  </si>
  <si>
    <t>2020 Totals</t>
  </si>
  <si>
    <t>2019 Ending</t>
  </si>
  <si>
    <t>2020 Ending</t>
  </si>
  <si>
    <t>Based on an effective date of April 1</t>
  </si>
  <si>
    <t>*Rates effective 8/1/18 were projected to collect this amount</t>
  </si>
  <si>
    <t>*Rates effective 8/1/17 were projected to collect this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</si>
</sst>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0.000"/>
    <numFmt numFmtId="167" formatCode="_(* #,##0_);_(* \(#,##0\);_(* &quot;-&quot;??_);_(@_)"/>
    <numFmt numFmtId="168" formatCode="_(&quot;$&quot;* #,##0_);_(&quot;$&quot;* \(#,##0\);_(&quot;$&quot;* &quot;-&quot;??_);_(@_)"/>
    <numFmt numFmtId="169" formatCode="0.00000000000000%"/>
    <numFmt numFmtId="170" formatCode="########\-###\-###"/>
    <numFmt numFmtId="171" formatCode="General_)"/>
    <numFmt numFmtId="172" formatCode="0.00_)"/>
    <numFmt numFmtId="173" formatCode="_-* #,##0\ &quot;F&quot;_-;\-* #,##0\ &quot;F&quot;_-;_-* &quot;-&quot;\ &quot;F&quot;_-;_-@_-"/>
    <numFmt numFmtId="174" formatCode="_(* #,##0.00_);[Red]_(* \(#,##0.00\);_(* &quot;-&quot;??_);_(@_)"/>
    <numFmt numFmtId="175" formatCode="&quot;$&quot;###0;[Red]\(&quot;$&quot;###0\)"/>
    <numFmt numFmtId="176" formatCode="&quot;$&quot;#,##0\ ;\(&quot;$&quot;#,##0\)"/>
    <numFmt numFmtId="177" formatCode="mmmm\ d\,\ yyyy"/>
    <numFmt numFmtId="178" formatCode="0.000%"/>
    <numFmt numFmtId="179" formatCode="0.0"/>
    <numFmt numFmtId="180" formatCode="#,##0.000;[Red]\-#,##0.000"/>
    <numFmt numFmtId="181" formatCode="_(* #,##0_);[Red]_(* \(#,##0\);_(* &quot;-&quot;_);_(@_)"/>
    <numFmt numFmtId="182" formatCode="#,##0.0_);\(#,##0.0\);\-\ ;"/>
    <numFmt numFmtId="183" formatCode="#,##0.0000"/>
    <numFmt numFmtId="184" formatCode="mmm\ dd\,\ yyyy"/>
    <numFmt numFmtId="185" formatCode="&quot;$&quot;#,##0.000_);\(&quot;$&quot;#,##0.000\)"/>
    <numFmt numFmtId="186" formatCode="0_);\(0\)"/>
  </numFmts>
  <fonts count="79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7"/>
      <name val="Arial"/>
      <family val="2"/>
    </font>
    <font>
      <sz val="10"/>
      <name val="LinePrinter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SWISS"/>
    </font>
    <font>
      <b/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Geneva"/>
    </font>
    <font>
      <sz val="10"/>
      <color theme="1"/>
      <name val="Arial"/>
      <family val="2"/>
    </font>
    <font>
      <sz val="10"/>
      <color indexed="24"/>
      <name val="Courier New"/>
      <family val="3"/>
    </font>
    <font>
      <sz val="10"/>
      <name val="Helv"/>
    </font>
    <font>
      <sz val="8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52"/>
      <name val="Calibri"/>
      <family val="2"/>
    </font>
    <font>
      <sz val="8"/>
      <name val="Times New Roman"/>
      <family val="1"/>
    </font>
    <font>
      <b/>
      <sz val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11"/>
      <name val="Genev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8"/>
      <color indexed="56"/>
      <name val="Cambria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2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11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" fillId="0" borderId="0"/>
    <xf numFmtId="0" fontId="1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0" fillId="0" borderId="0" applyFont="0" applyFill="0" applyBorder="0" applyAlignment="0" applyProtection="0">
      <alignment horizontal="left"/>
    </xf>
    <xf numFmtId="170" fontId="12" fillId="0" borderId="0"/>
    <xf numFmtId="167" fontId="19" fillId="0" borderId="0" applyFont="0" applyAlignment="0" applyProtection="0"/>
    <xf numFmtId="0" fontId="12" fillId="0" borderId="0">
      <alignment wrapText="1"/>
    </xf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71" fontId="21" fillId="0" borderId="0">
      <alignment horizontal="left"/>
    </xf>
    <xf numFmtId="0" fontId="15" fillId="0" borderId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12" fillId="0" borderId="0"/>
    <xf numFmtId="0" fontId="12" fillId="0" borderId="0">
      <alignment wrapText="1"/>
    </xf>
    <xf numFmtId="0" fontId="7" fillId="0" borderId="0"/>
    <xf numFmtId="0" fontId="12" fillId="0" borderId="0">
      <alignment wrapText="1"/>
    </xf>
    <xf numFmtId="0" fontId="6" fillId="0" borderId="0"/>
    <xf numFmtId="9" fontId="6" fillId="0" borderId="0" applyFont="0" applyFill="0" applyBorder="0" applyAlignment="0" applyProtection="0"/>
    <xf numFmtId="0" fontId="12" fillId="0" borderId="0">
      <alignment wrapText="1"/>
    </xf>
    <xf numFmtId="0" fontId="12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20" borderId="13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0" fillId="21" borderId="0" applyNumberFormat="0" applyBorder="0" applyAlignment="0" applyProtection="0"/>
    <xf numFmtId="0" fontId="36" fillId="22" borderId="14" applyNumberFormat="0" applyAlignment="0" applyProtection="0"/>
    <xf numFmtId="0" fontId="36" fillId="22" borderId="14" applyNumberFormat="0" applyAlignment="0" applyProtection="0"/>
    <xf numFmtId="0" fontId="36" fillId="22" borderId="14" applyNumberFormat="0" applyAlignment="0" applyProtection="0"/>
    <xf numFmtId="0" fontId="36" fillId="22" borderId="14" applyNumberFormat="0" applyAlignment="0" applyProtection="0"/>
    <xf numFmtId="0" fontId="36" fillId="22" borderId="14" applyNumberFormat="0" applyAlignment="0" applyProtection="0"/>
    <xf numFmtId="0" fontId="37" fillId="23" borderId="15" applyNumberFormat="0" applyAlignment="0" applyProtection="0"/>
    <xf numFmtId="0" fontId="37" fillId="23" borderId="15" applyNumberFormat="0" applyAlignment="0" applyProtection="0"/>
    <xf numFmtId="0" fontId="37" fillId="23" borderId="15" applyNumberFormat="0" applyAlignment="0" applyProtection="0"/>
    <xf numFmtId="0" fontId="37" fillId="23" borderId="15" applyNumberFormat="0" applyAlignment="0" applyProtection="0"/>
    <xf numFmtId="0" fontId="37" fillId="23" borderId="15" applyNumberFormat="0" applyAlignment="0" applyProtection="0"/>
    <xf numFmtId="0" fontId="38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" fontId="39" fillId="0" borderId="0"/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37" fontId="12" fillId="0" borderId="0" applyFill="0" applyBorder="0" applyAlignment="0" applyProtection="0"/>
    <xf numFmtId="0" fontId="43" fillId="0" borderId="0"/>
    <xf numFmtId="0" fontId="43" fillId="0" borderId="0"/>
    <xf numFmtId="0" fontId="43" fillId="0" borderId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" fillId="0" borderId="0" applyFont="0" applyFill="0" applyBorder="0" applyAlignment="0" applyProtection="0"/>
    <xf numFmtId="175" fontId="44" fillId="0" borderId="0" applyFont="0" applyFill="0" applyBorder="0" applyProtection="0">
      <alignment horizontal="right"/>
    </xf>
    <xf numFmtId="5" fontId="43" fillId="0" borderId="0"/>
    <xf numFmtId="176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/>
    <xf numFmtId="0" fontId="43" fillId="0" borderId="0"/>
    <xf numFmtId="177" fontId="12" fillId="0" borderId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" fontId="42" fillId="0" borderId="0" applyFont="0" applyFill="0" applyBorder="0" applyAlignment="0" applyProtection="0"/>
    <xf numFmtId="0" fontId="43" fillId="0" borderId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38" fontId="47" fillId="24" borderId="0" applyNumberFormat="0" applyBorder="0" applyAlignment="0" applyProtection="0"/>
    <xf numFmtId="38" fontId="47" fillId="24" borderId="0" applyNumberFormat="0" applyBorder="0" applyAlignment="0" applyProtection="0"/>
    <xf numFmtId="38" fontId="47" fillId="24" borderId="0" applyNumberFormat="0" applyBorder="0" applyAlignment="0" applyProtection="0"/>
    <xf numFmtId="0" fontId="48" fillId="0" borderId="0"/>
    <xf numFmtId="0" fontId="49" fillId="0" borderId="16" applyNumberFormat="0" applyAlignment="0" applyProtection="0">
      <alignment horizontal="left" vertical="center"/>
    </xf>
    <xf numFmtId="0" fontId="49" fillId="0" borderId="17">
      <alignment horizontal="left" vertical="center"/>
    </xf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8" fontId="12" fillId="0" borderId="0">
      <protection locked="0"/>
    </xf>
    <xf numFmtId="178" fontId="12" fillId="0" borderId="0"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0" fontId="47" fillId="25" borderId="13" applyNumberFormat="0" applyBorder="0" applyAlignment="0" applyProtection="0"/>
    <xf numFmtId="10" fontId="47" fillId="25" borderId="13" applyNumberFormat="0" applyBorder="0" applyAlignment="0" applyProtection="0"/>
    <xf numFmtId="10" fontId="47" fillId="25" borderId="13" applyNumberFormat="0" applyBorder="0" applyAlignment="0" applyProtection="0"/>
    <xf numFmtId="38" fontId="52" fillId="0" borderId="0">
      <alignment horizontal="left" wrapText="1"/>
    </xf>
    <xf numFmtId="38" fontId="53" fillId="0" borderId="0">
      <alignment horizontal="left" wrapText="1"/>
    </xf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55" fillId="26" borderId="0"/>
    <xf numFmtId="0" fontId="55" fillId="27" borderId="0"/>
    <xf numFmtId="0" fontId="30" fillId="28" borderId="11" applyBorder="0"/>
    <xf numFmtId="0" fontId="12" fillId="29" borderId="20" applyNumberFormat="0" applyFont="0" applyBorder="0" applyAlignment="0" applyProtection="0"/>
    <xf numFmtId="179" fontId="56" fillId="0" borderId="0" applyNumberFormat="0" applyFill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47" fillId="0" borderId="21" applyNumberFormat="0" applyBorder="0" applyAlignment="0"/>
    <xf numFmtId="0" fontId="47" fillId="0" borderId="21" applyNumberFormat="0" applyBorder="0" applyAlignment="0"/>
    <xf numFmtId="0" fontId="47" fillId="0" borderId="21" applyNumberFormat="0" applyBorder="0" applyAlignment="0"/>
    <xf numFmtId="180" fontId="12" fillId="0" borderId="0"/>
    <xf numFmtId="180" fontId="12" fillId="0" borderId="0"/>
    <xf numFmtId="18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wrapText="1"/>
    </xf>
    <xf numFmtId="0" fontId="15" fillId="0" borderId="0"/>
    <xf numFmtId="0" fontId="12" fillId="0" borderId="0">
      <alignment wrapText="1"/>
    </xf>
    <xf numFmtId="0" fontId="12" fillId="0" borderId="0">
      <alignment wrapText="1"/>
    </xf>
    <xf numFmtId="0" fontId="4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1" fontId="27" fillId="0" borderId="0"/>
    <xf numFmtId="41" fontId="27" fillId="0" borderId="0"/>
    <xf numFmtId="41" fontId="27" fillId="0" borderId="0"/>
    <xf numFmtId="41" fontId="27" fillId="0" borderId="0"/>
    <xf numFmtId="41" fontId="27" fillId="0" borderId="0"/>
    <xf numFmtId="41" fontId="27" fillId="0" borderId="0"/>
    <xf numFmtId="0" fontId="12" fillId="0" borderId="0"/>
    <xf numFmtId="41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181" fontId="12" fillId="0" borderId="0"/>
    <xf numFmtId="0" fontId="5" fillId="0" borderId="0"/>
    <xf numFmtId="41" fontId="12" fillId="0" borderId="0"/>
    <xf numFmtId="0" fontId="12" fillId="0" borderId="0"/>
    <xf numFmtId="37" fontId="43" fillId="0" borderId="0"/>
    <xf numFmtId="0" fontId="12" fillId="31" borderId="22" applyNumberFormat="0" applyFont="0" applyAlignment="0" applyProtection="0"/>
    <xf numFmtId="0" fontId="12" fillId="31" borderId="22" applyNumberFormat="0" applyFont="0" applyAlignment="0" applyProtection="0"/>
    <xf numFmtId="0" fontId="12" fillId="31" borderId="22" applyNumberFormat="0" applyFont="0" applyAlignment="0" applyProtection="0"/>
    <xf numFmtId="0" fontId="12" fillId="31" borderId="22" applyNumberFormat="0" applyFont="0" applyAlignment="0" applyProtection="0"/>
    <xf numFmtId="0" fontId="12" fillId="31" borderId="22" applyNumberFormat="0" applyFont="0" applyAlignment="0" applyProtection="0"/>
    <xf numFmtId="182" fontId="7" fillId="0" borderId="0" applyFont="0" applyFill="0" applyBorder="0" applyProtection="0"/>
    <xf numFmtId="182" fontId="7" fillId="0" borderId="0" applyFont="0" applyFill="0" applyBorder="0" applyProtection="0"/>
    <xf numFmtId="182" fontId="7" fillId="0" borderId="0" applyFont="0" applyFill="0" applyBorder="0" applyProtection="0"/>
    <xf numFmtId="182" fontId="7" fillId="0" borderId="0" applyFont="0" applyFill="0" applyBorder="0" applyProtection="0"/>
    <xf numFmtId="182" fontId="7" fillId="0" borderId="0" applyFont="0" applyFill="0" applyBorder="0" applyProtection="0"/>
    <xf numFmtId="182" fontId="7" fillId="0" borderId="0" applyFont="0" applyFill="0" applyBorder="0" applyProtection="0"/>
    <xf numFmtId="182" fontId="7" fillId="0" borderId="0" applyFont="0" applyFill="0" applyBorder="0" applyProtection="0"/>
    <xf numFmtId="182" fontId="7" fillId="0" borderId="0" applyFont="0" applyFill="0" applyBorder="0" applyProtection="0"/>
    <xf numFmtId="182" fontId="7" fillId="0" borderId="0" applyFont="0" applyFill="0" applyBorder="0" applyProtection="0"/>
    <xf numFmtId="182" fontId="7" fillId="0" borderId="0" applyFont="0" applyFill="0" applyBorder="0" applyProtection="0"/>
    <xf numFmtId="182" fontId="7" fillId="0" borderId="0" applyFont="0" applyFill="0" applyBorder="0" applyProtection="0"/>
    <xf numFmtId="182" fontId="7" fillId="0" borderId="0" applyFont="0" applyFill="0" applyBorder="0" applyProtection="0"/>
    <xf numFmtId="182" fontId="7" fillId="0" borderId="0" applyFont="0" applyFill="0" applyBorder="0" applyProtection="0"/>
    <xf numFmtId="182" fontId="7" fillId="0" borderId="0" applyFont="0" applyFill="0" applyBorder="0" applyProtection="0"/>
    <xf numFmtId="0" fontId="58" fillId="22" borderId="23" applyNumberFormat="0" applyAlignment="0" applyProtection="0"/>
    <xf numFmtId="0" fontId="58" fillId="22" borderId="23" applyNumberFormat="0" applyAlignment="0" applyProtection="0"/>
    <xf numFmtId="0" fontId="58" fillId="22" borderId="23" applyNumberFormat="0" applyAlignment="0" applyProtection="0"/>
    <xf numFmtId="0" fontId="58" fillId="22" borderId="23" applyNumberFormat="0" applyAlignment="0" applyProtection="0"/>
    <xf numFmtId="0" fontId="58" fillId="22" borderId="23" applyNumberFormat="0" applyAlignment="0" applyProtection="0"/>
    <xf numFmtId="12" fontId="49" fillId="32" borderId="24">
      <alignment horizontal="left"/>
    </xf>
    <xf numFmtId="0" fontId="43" fillId="0" borderId="0"/>
    <xf numFmtId="0" fontId="43" fillId="0" borderId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9" fillId="0" borderId="0"/>
    <xf numFmtId="4" fontId="60" fillId="30" borderId="25" applyNumberFormat="0" applyProtection="0">
      <alignment vertical="center"/>
    </xf>
    <xf numFmtId="4" fontId="61" fillId="33" borderId="25" applyNumberFormat="0" applyProtection="0">
      <alignment vertical="center"/>
    </xf>
    <xf numFmtId="4" fontId="60" fillId="33" borderId="25" applyNumberFormat="0" applyProtection="0">
      <alignment horizontal="left" vertical="center" indent="1"/>
    </xf>
    <xf numFmtId="0" fontId="60" fillId="33" borderId="25" applyNumberFormat="0" applyProtection="0">
      <alignment horizontal="left" vertical="top" indent="1"/>
    </xf>
    <xf numFmtId="4" fontId="60" fillId="34" borderId="25" applyNumberFormat="0" applyProtection="0"/>
    <xf numFmtId="4" fontId="62" fillId="3" borderId="25" applyNumberFormat="0" applyProtection="0">
      <alignment horizontal="right" vertical="center"/>
    </xf>
    <xf numFmtId="4" fontId="62" fillId="9" borderId="25" applyNumberFormat="0" applyProtection="0">
      <alignment horizontal="right" vertical="center"/>
    </xf>
    <xf numFmtId="4" fontId="62" fillId="17" borderId="25" applyNumberFormat="0" applyProtection="0">
      <alignment horizontal="right" vertical="center"/>
    </xf>
    <xf numFmtId="4" fontId="62" fillId="11" borderId="25" applyNumberFormat="0" applyProtection="0">
      <alignment horizontal="right" vertical="center"/>
    </xf>
    <xf numFmtId="4" fontId="62" fillId="15" borderId="25" applyNumberFormat="0" applyProtection="0">
      <alignment horizontal="right" vertical="center"/>
    </xf>
    <xf numFmtId="4" fontId="62" fillId="19" borderId="25" applyNumberFormat="0" applyProtection="0">
      <alignment horizontal="right" vertical="center"/>
    </xf>
    <xf numFmtId="4" fontId="62" fillId="18" borderId="25" applyNumberFormat="0" applyProtection="0">
      <alignment horizontal="right" vertical="center"/>
    </xf>
    <xf numFmtId="4" fontId="62" fillId="35" borderId="25" applyNumberFormat="0" applyProtection="0">
      <alignment horizontal="right" vertical="center"/>
    </xf>
    <xf numFmtId="4" fontId="62" fillId="10" borderId="25" applyNumberFormat="0" applyProtection="0">
      <alignment horizontal="right" vertical="center"/>
    </xf>
    <xf numFmtId="4" fontId="60" fillId="36" borderId="26" applyNumberFormat="0" applyProtection="0">
      <alignment horizontal="left" vertical="center" indent="1"/>
    </xf>
    <xf numFmtId="4" fontId="62" fillId="37" borderId="0" applyNumberFormat="0" applyProtection="0">
      <alignment horizontal="left" indent="1"/>
    </xf>
    <xf numFmtId="4" fontId="63" fillId="38" borderId="0" applyNumberFormat="0" applyProtection="0">
      <alignment horizontal="left" vertical="center" indent="1"/>
    </xf>
    <xf numFmtId="4" fontId="63" fillId="38" borderId="0" applyNumberFormat="0" applyProtection="0">
      <alignment horizontal="left" vertical="center" indent="1"/>
    </xf>
    <xf numFmtId="4" fontId="63" fillId="38" borderId="0" applyNumberFormat="0" applyProtection="0">
      <alignment horizontal="left" vertical="center" indent="1"/>
    </xf>
    <xf numFmtId="4" fontId="62" fillId="39" borderId="25" applyNumberFormat="0" applyProtection="0">
      <alignment horizontal="right" vertical="center"/>
    </xf>
    <xf numFmtId="4" fontId="64" fillId="40" borderId="0" applyNumberFormat="0" applyProtection="0">
      <alignment horizontal="left" indent="1"/>
    </xf>
    <xf numFmtId="4" fontId="64" fillId="40" borderId="0" applyNumberFormat="0" applyProtection="0">
      <alignment horizontal="left" indent="1"/>
    </xf>
    <xf numFmtId="4" fontId="64" fillId="40" borderId="0" applyNumberFormat="0" applyProtection="0">
      <alignment horizontal="left" indent="1"/>
    </xf>
    <xf numFmtId="4" fontId="64" fillId="40" borderId="0" applyNumberFormat="0" applyProtection="0">
      <alignment horizontal="left" indent="1"/>
    </xf>
    <xf numFmtId="4" fontId="65" fillId="41" borderId="0" applyNumberFormat="0" applyProtection="0"/>
    <xf numFmtId="4" fontId="65" fillId="41" borderId="0" applyNumberFormat="0" applyProtection="0"/>
    <xf numFmtId="4" fontId="65" fillId="41" borderId="0" applyNumberFormat="0" applyProtection="0"/>
    <xf numFmtId="4" fontId="65" fillId="41" borderId="0" applyNumberFormat="0" applyProtection="0"/>
    <xf numFmtId="0" fontId="12" fillId="38" borderId="25" applyNumberFormat="0" applyProtection="0">
      <alignment horizontal="left" vertical="center" indent="1"/>
    </xf>
    <xf numFmtId="0" fontId="12" fillId="38" borderId="25" applyNumberFormat="0" applyProtection="0">
      <alignment horizontal="left" vertical="center" indent="1"/>
    </xf>
    <xf numFmtId="0" fontId="12" fillId="38" borderId="25" applyNumberFormat="0" applyProtection="0">
      <alignment horizontal="left" vertical="center" indent="1"/>
    </xf>
    <xf numFmtId="0" fontId="12" fillId="38" borderId="25" applyNumberFormat="0" applyProtection="0">
      <alignment horizontal="left" vertical="center" indent="1"/>
    </xf>
    <xf numFmtId="0" fontId="12" fillId="38" borderId="25" applyNumberFormat="0" applyProtection="0">
      <alignment horizontal="left" vertical="center" indent="1"/>
    </xf>
    <xf numFmtId="0" fontId="12" fillId="38" borderId="25" applyNumberFormat="0" applyProtection="0">
      <alignment horizontal="left" vertical="center" indent="1"/>
    </xf>
    <xf numFmtId="0" fontId="12" fillId="38" borderId="25" applyNumberFormat="0" applyProtection="0">
      <alignment horizontal="left" vertical="top" indent="1"/>
    </xf>
    <xf numFmtId="0" fontId="12" fillId="38" borderId="25" applyNumberFormat="0" applyProtection="0">
      <alignment horizontal="left" vertical="top" indent="1"/>
    </xf>
    <xf numFmtId="0" fontId="12" fillId="38" borderId="25" applyNumberFormat="0" applyProtection="0">
      <alignment horizontal="left" vertical="top" indent="1"/>
    </xf>
    <xf numFmtId="0" fontId="12" fillId="38" borderId="25" applyNumberFormat="0" applyProtection="0">
      <alignment horizontal="left" vertical="top" indent="1"/>
    </xf>
    <xf numFmtId="0" fontId="12" fillId="38" borderId="25" applyNumberFormat="0" applyProtection="0">
      <alignment horizontal="left" vertical="top" indent="1"/>
    </xf>
    <xf numFmtId="0" fontId="12" fillId="38" borderId="25" applyNumberFormat="0" applyProtection="0">
      <alignment horizontal="left" vertical="top" indent="1"/>
    </xf>
    <xf numFmtId="0" fontId="12" fillId="34" borderId="25" applyNumberFormat="0" applyProtection="0">
      <alignment horizontal="left" vertical="center" indent="1"/>
    </xf>
    <xf numFmtId="0" fontId="12" fillId="34" borderId="25" applyNumberFormat="0" applyProtection="0">
      <alignment horizontal="left" vertical="center" indent="1"/>
    </xf>
    <xf numFmtId="0" fontId="12" fillId="34" borderId="25" applyNumberFormat="0" applyProtection="0">
      <alignment horizontal="left" vertical="center" indent="1"/>
    </xf>
    <xf numFmtId="0" fontId="12" fillId="34" borderId="25" applyNumberFormat="0" applyProtection="0">
      <alignment horizontal="left" vertical="center" indent="1"/>
    </xf>
    <xf numFmtId="0" fontId="12" fillId="34" borderId="25" applyNumberFormat="0" applyProtection="0">
      <alignment horizontal="left" vertical="center" indent="1"/>
    </xf>
    <xf numFmtId="0" fontId="12" fillId="34" borderId="25" applyNumberFormat="0" applyProtection="0">
      <alignment horizontal="left" vertical="center" indent="1"/>
    </xf>
    <xf numFmtId="0" fontId="12" fillId="34" borderId="25" applyNumberFormat="0" applyProtection="0">
      <alignment horizontal="left" vertical="top" indent="1"/>
    </xf>
    <xf numFmtId="0" fontId="12" fillId="34" borderId="25" applyNumberFormat="0" applyProtection="0">
      <alignment horizontal="left" vertical="top" indent="1"/>
    </xf>
    <xf numFmtId="0" fontId="12" fillId="34" borderId="25" applyNumberFormat="0" applyProtection="0">
      <alignment horizontal="left" vertical="top" indent="1"/>
    </xf>
    <xf numFmtId="0" fontId="12" fillId="34" borderId="25" applyNumberFormat="0" applyProtection="0">
      <alignment horizontal="left" vertical="top" indent="1"/>
    </xf>
    <xf numFmtId="0" fontId="12" fillId="34" borderId="25" applyNumberFormat="0" applyProtection="0">
      <alignment horizontal="left" vertical="top" indent="1"/>
    </xf>
    <xf numFmtId="0" fontId="12" fillId="34" borderId="25" applyNumberFormat="0" applyProtection="0">
      <alignment horizontal="left" vertical="top" indent="1"/>
    </xf>
    <xf numFmtId="0" fontId="12" fillId="42" borderId="25" applyNumberFormat="0" applyProtection="0">
      <alignment horizontal="left" vertical="center" indent="1"/>
    </xf>
    <xf numFmtId="0" fontId="12" fillId="42" borderId="25" applyNumberFormat="0" applyProtection="0">
      <alignment horizontal="left" vertical="center" indent="1"/>
    </xf>
    <xf numFmtId="0" fontId="12" fillId="42" borderId="25" applyNumberFormat="0" applyProtection="0">
      <alignment horizontal="left" vertical="center" indent="1"/>
    </xf>
    <xf numFmtId="0" fontId="12" fillId="42" borderId="25" applyNumberFormat="0" applyProtection="0">
      <alignment horizontal="left" vertical="center" indent="1"/>
    </xf>
    <xf numFmtId="0" fontId="12" fillId="42" borderId="25" applyNumberFormat="0" applyProtection="0">
      <alignment horizontal="left" vertical="center" indent="1"/>
    </xf>
    <xf numFmtId="0" fontId="12" fillId="42" borderId="25" applyNumberFormat="0" applyProtection="0">
      <alignment horizontal="left" vertical="center" indent="1"/>
    </xf>
    <xf numFmtId="0" fontId="12" fillId="42" borderId="25" applyNumberFormat="0" applyProtection="0">
      <alignment horizontal="left" vertical="top" indent="1"/>
    </xf>
    <xf numFmtId="0" fontId="12" fillId="42" borderId="25" applyNumberFormat="0" applyProtection="0">
      <alignment horizontal="left" vertical="top" indent="1"/>
    </xf>
    <xf numFmtId="0" fontId="12" fillId="42" borderId="25" applyNumberFormat="0" applyProtection="0">
      <alignment horizontal="left" vertical="top" indent="1"/>
    </xf>
    <xf numFmtId="0" fontId="12" fillId="42" borderId="25" applyNumberFormat="0" applyProtection="0">
      <alignment horizontal="left" vertical="top" indent="1"/>
    </xf>
    <xf numFmtId="0" fontId="12" fillId="42" borderId="25" applyNumberFormat="0" applyProtection="0">
      <alignment horizontal="left" vertical="top" indent="1"/>
    </xf>
    <xf numFmtId="0" fontId="12" fillId="42" borderId="25" applyNumberFormat="0" applyProtection="0">
      <alignment horizontal="left" vertical="top" indent="1"/>
    </xf>
    <xf numFmtId="0" fontId="12" fillId="43" borderId="25" applyNumberFormat="0" applyProtection="0">
      <alignment horizontal="left" vertical="center" indent="1"/>
    </xf>
    <xf numFmtId="0" fontId="12" fillId="43" borderId="25" applyNumberFormat="0" applyProtection="0">
      <alignment horizontal="left" vertical="center" indent="1"/>
    </xf>
    <xf numFmtId="0" fontId="12" fillId="43" borderId="25" applyNumberFormat="0" applyProtection="0">
      <alignment horizontal="left" vertical="center" indent="1"/>
    </xf>
    <xf numFmtId="0" fontId="12" fillId="43" borderId="25" applyNumberFormat="0" applyProtection="0">
      <alignment horizontal="left" vertical="center" indent="1"/>
    </xf>
    <xf numFmtId="0" fontId="12" fillId="43" borderId="25" applyNumberFormat="0" applyProtection="0">
      <alignment horizontal="left" vertical="center" indent="1"/>
    </xf>
    <xf numFmtId="0" fontId="12" fillId="43" borderId="25" applyNumberFormat="0" applyProtection="0">
      <alignment horizontal="left" vertical="center" indent="1"/>
    </xf>
    <xf numFmtId="0" fontId="12" fillId="43" borderId="25" applyNumberFormat="0" applyProtection="0">
      <alignment horizontal="left" vertical="top" indent="1"/>
    </xf>
    <xf numFmtId="0" fontId="12" fillId="43" borderId="25" applyNumberFormat="0" applyProtection="0">
      <alignment horizontal="left" vertical="top" indent="1"/>
    </xf>
    <xf numFmtId="0" fontId="12" fillId="43" borderId="25" applyNumberFormat="0" applyProtection="0">
      <alignment horizontal="left" vertical="top" indent="1"/>
    </xf>
    <xf numFmtId="0" fontId="12" fillId="43" borderId="25" applyNumberFormat="0" applyProtection="0">
      <alignment horizontal="left" vertical="top" indent="1"/>
    </xf>
    <xf numFmtId="0" fontId="12" fillId="43" borderId="25" applyNumberFormat="0" applyProtection="0">
      <alignment horizontal="left" vertical="top" indent="1"/>
    </xf>
    <xf numFmtId="0" fontId="12" fillId="43" borderId="25" applyNumberFormat="0" applyProtection="0">
      <alignment horizontal="left" vertical="top" indent="1"/>
    </xf>
    <xf numFmtId="4" fontId="62" fillId="25" borderId="25" applyNumberFormat="0" applyProtection="0">
      <alignment vertical="center"/>
    </xf>
    <xf numFmtId="4" fontId="66" fillId="25" borderId="25" applyNumberFormat="0" applyProtection="0">
      <alignment vertical="center"/>
    </xf>
    <xf numFmtId="4" fontId="62" fillId="25" borderId="25" applyNumberFormat="0" applyProtection="0">
      <alignment horizontal="left" vertical="center" indent="1"/>
    </xf>
    <xf numFmtId="0" fontId="62" fillId="25" borderId="25" applyNumberFormat="0" applyProtection="0">
      <alignment horizontal="left" vertical="top" indent="1"/>
    </xf>
    <xf numFmtId="4" fontId="62" fillId="0" borderId="25" applyNumberFormat="0" applyProtection="0">
      <alignment horizontal="right" vertical="center"/>
    </xf>
    <xf numFmtId="4" fontId="66" fillId="37" borderId="25" applyNumberFormat="0" applyProtection="0">
      <alignment horizontal="right" vertical="center"/>
    </xf>
    <xf numFmtId="4" fontId="62" fillId="0" borderId="25" applyNumberFormat="0" applyProtection="0">
      <alignment horizontal="left" vertical="center" indent="1"/>
    </xf>
    <xf numFmtId="0" fontId="62" fillId="34" borderId="25" applyNumberFormat="0" applyProtection="0">
      <alignment horizontal="left" vertical="top"/>
    </xf>
    <xf numFmtId="4" fontId="67" fillId="44" borderId="0" applyNumberFormat="0" applyProtection="0">
      <alignment horizontal="left"/>
    </xf>
    <xf numFmtId="4" fontId="67" fillId="44" borderId="0" applyNumberFormat="0" applyProtection="0">
      <alignment horizontal="left"/>
    </xf>
    <xf numFmtId="4" fontId="67" fillId="44" borderId="0" applyNumberFormat="0" applyProtection="0">
      <alignment horizontal="left"/>
    </xf>
    <xf numFmtId="4" fontId="67" fillId="44" borderId="0" applyNumberFormat="0" applyProtection="0">
      <alignment horizontal="left"/>
    </xf>
    <xf numFmtId="4" fontId="68" fillId="37" borderId="25" applyNumberFormat="0" applyProtection="0">
      <alignment horizontal="right" vertical="center"/>
    </xf>
    <xf numFmtId="37" fontId="69" fillId="45" borderId="0" applyNumberFormat="0" applyFont="0" applyBorder="0" applyAlignment="0" applyProtection="0"/>
    <xf numFmtId="183" fontId="12" fillId="0" borderId="10">
      <alignment horizontal="justify" vertical="top" wrapText="1"/>
    </xf>
    <xf numFmtId="183" fontId="12" fillId="0" borderId="10">
      <alignment horizontal="justify" vertical="top" wrapText="1"/>
    </xf>
    <xf numFmtId="183" fontId="12" fillId="0" borderId="10">
      <alignment horizontal="justify" vertical="top" wrapText="1"/>
    </xf>
    <xf numFmtId="0" fontId="12" fillId="0" borderId="0">
      <alignment horizontal="left" wrapText="1"/>
    </xf>
    <xf numFmtId="184" fontId="12" fillId="0" borderId="0" applyFill="0" applyBorder="0" applyAlignment="0" applyProtection="0">
      <alignment wrapText="1"/>
    </xf>
    <xf numFmtId="0" fontId="30" fillId="0" borderId="0" applyNumberFormat="0" applyFill="0" applyBorder="0">
      <alignment horizontal="center" wrapText="1"/>
    </xf>
    <xf numFmtId="0" fontId="30" fillId="0" borderId="0" applyNumberFormat="0" applyFill="0" applyBorder="0">
      <alignment horizontal="center" wrapText="1"/>
    </xf>
    <xf numFmtId="38" fontId="12" fillId="0" borderId="0">
      <alignment horizontal="left" wrapText="1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30" fillId="0" borderId="13">
      <alignment horizontal="center" vertical="center" wrapText="1"/>
    </xf>
    <xf numFmtId="0" fontId="43" fillId="0" borderId="27"/>
    <xf numFmtId="0" fontId="43" fillId="0" borderId="2"/>
    <xf numFmtId="38" fontId="62" fillId="0" borderId="12" applyFill="0" applyBorder="0" applyAlignment="0" applyProtection="0">
      <protection locked="0"/>
    </xf>
    <xf numFmtId="37" fontId="47" fillId="33" borderId="0" applyNumberFormat="0" applyBorder="0" applyAlignment="0" applyProtection="0"/>
    <xf numFmtId="37" fontId="47" fillId="33" borderId="0" applyNumberFormat="0" applyBorder="0" applyAlignment="0" applyProtection="0"/>
    <xf numFmtId="37" fontId="47" fillId="33" borderId="0" applyNumberFormat="0" applyBorder="0" applyAlignment="0" applyProtection="0"/>
    <xf numFmtId="37" fontId="47" fillId="0" borderId="0"/>
    <xf numFmtId="37" fontId="47" fillId="0" borderId="0"/>
    <xf numFmtId="37" fontId="47" fillId="0" borderId="0"/>
    <xf numFmtId="37" fontId="47" fillId="0" borderId="0"/>
    <xf numFmtId="37" fontId="47" fillId="33" borderId="0" applyNumberFormat="0" applyBorder="0" applyAlignment="0" applyProtection="0"/>
    <xf numFmtId="3" fontId="71" fillId="46" borderId="28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2" fillId="0" borderId="0"/>
    <xf numFmtId="0" fontId="12" fillId="0" borderId="0">
      <alignment wrapText="1"/>
    </xf>
    <xf numFmtId="0" fontId="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4" fillId="0" borderId="0"/>
    <xf numFmtId="0" fontId="3" fillId="0" borderId="0"/>
    <xf numFmtId="44" fontId="3" fillId="0" borderId="0" applyFont="0" applyFill="0" applyBorder="0" applyAlignment="0" applyProtection="0"/>
  </cellStyleXfs>
  <cellXfs count="198">
    <xf numFmtId="0" fontId="0" fillId="0" borderId="0" xfId="0"/>
    <xf numFmtId="0" fontId="7" fillId="0" borderId="0" xfId="4" applyFill="1"/>
    <xf numFmtId="0" fontId="8" fillId="0" borderId="0" xfId="4" applyFont="1" applyFill="1"/>
    <xf numFmtId="0" fontId="7" fillId="0" borderId="0" xfId="4" applyFont="1" applyFill="1"/>
    <xf numFmtId="0" fontId="7" fillId="0" borderId="0" xfId="4" applyFill="1" applyBorder="1"/>
    <xf numFmtId="0" fontId="9" fillId="0" borderId="0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0" xfId="4" applyFont="1" applyFill="1" applyAlignment="1">
      <alignment horizontal="center"/>
    </xf>
    <xf numFmtId="0" fontId="7" fillId="0" borderId="0" xfId="4" applyFont="1" applyFill="1" applyBorder="1" applyAlignment="1"/>
    <xf numFmtId="0" fontId="7" fillId="0" borderId="0" xfId="4" applyFont="1" applyFill="1" applyBorder="1" applyAlignment="1">
      <alignment horizontal="left"/>
    </xf>
    <xf numFmtId="0" fontId="8" fillId="0" borderId="0" xfId="4" applyFont="1" applyFill="1" applyAlignment="1">
      <alignment horizontal="center"/>
    </xf>
    <xf numFmtId="0" fontId="7" fillId="0" borderId="0" xfId="4" quotePrefix="1" applyFont="1" applyFill="1" applyBorder="1" applyAlignment="1">
      <alignment horizontal="center"/>
    </xf>
    <xf numFmtId="0" fontId="7" fillId="0" borderId="0" xfId="4" applyFill="1" applyAlignment="1">
      <alignment horizontal="center"/>
    </xf>
    <xf numFmtId="0" fontId="7" fillId="0" borderId="0" xfId="4" applyFill="1" applyBorder="1" applyAlignment="1">
      <alignment horizontal="center"/>
    </xf>
    <xf numFmtId="0" fontId="7" fillId="0" borderId="2" xfId="4" applyFill="1" applyBorder="1" applyAlignment="1">
      <alignment horizontal="center"/>
    </xf>
    <xf numFmtId="0" fontId="8" fillId="0" borderId="2" xfId="4" applyFont="1" applyFill="1" applyBorder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7" fillId="0" borderId="2" xfId="4" applyFont="1" applyFill="1" applyBorder="1" applyAlignment="1">
      <alignment horizontal="center"/>
    </xf>
    <xf numFmtId="6" fontId="7" fillId="0" borderId="2" xfId="4" quotePrefix="1" applyNumberFormat="1" applyFont="1" applyFill="1" applyBorder="1" applyAlignment="1">
      <alignment horizontal="center"/>
    </xf>
    <xf numFmtId="6" fontId="7" fillId="0" borderId="0" xfId="4" quotePrefix="1" applyNumberFormat="1" applyFont="1" applyFill="1" applyBorder="1" applyAlignment="1">
      <alignment horizontal="center"/>
    </xf>
    <xf numFmtId="0" fontId="7" fillId="0" borderId="1" xfId="4" quotePrefix="1" applyFont="1" applyFill="1" applyBorder="1" applyAlignment="1">
      <alignment horizontal="center"/>
    </xf>
    <xf numFmtId="6" fontId="7" fillId="0" borderId="1" xfId="4" quotePrefix="1" applyNumberFormat="1" applyFont="1" applyFill="1" applyBorder="1" applyAlignment="1">
      <alignment horizontal="center"/>
    </xf>
    <xf numFmtId="0" fontId="7" fillId="0" borderId="0" xfId="4" quotePrefix="1" applyFont="1" applyFill="1"/>
    <xf numFmtId="0" fontId="7" fillId="0" borderId="0" xfId="4" quotePrefix="1" applyFont="1" applyFill="1" applyAlignment="1">
      <alignment horizontal="center"/>
    </xf>
    <xf numFmtId="0" fontId="7" fillId="0" borderId="0" xfId="4" quotePrefix="1" applyFill="1"/>
    <xf numFmtId="0" fontId="11" fillId="0" borderId="0" xfId="4" applyFont="1" applyFill="1"/>
    <xf numFmtId="0" fontId="8" fillId="0" borderId="0" xfId="4" quotePrefix="1" applyFont="1" applyFill="1" applyAlignment="1">
      <alignment horizontal="center"/>
    </xf>
    <xf numFmtId="37" fontId="7" fillId="0" borderId="0" xfId="4" applyNumberFormat="1" applyFont="1" applyFill="1" applyProtection="1"/>
    <xf numFmtId="5" fontId="8" fillId="0" borderId="0" xfId="4" applyNumberFormat="1" applyFont="1" applyFill="1" applyProtection="1">
      <protection locked="0"/>
    </xf>
    <xf numFmtId="10" fontId="8" fillId="0" borderId="0" xfId="3" applyNumberFormat="1" applyFont="1" applyFill="1" applyProtection="1">
      <protection locked="0"/>
    </xf>
    <xf numFmtId="5" fontId="8" fillId="0" borderId="0" xfId="3" applyNumberFormat="1" applyFont="1" applyFill="1" applyProtection="1">
      <protection locked="0"/>
    </xf>
    <xf numFmtId="5" fontId="13" fillId="0" borderId="0" xfId="4" applyNumberFormat="1" applyFont="1" applyProtection="1">
      <protection locked="0"/>
    </xf>
    <xf numFmtId="164" fontId="8" fillId="0" borderId="0" xfId="3" applyNumberFormat="1" applyFont="1" applyFill="1" applyProtection="1">
      <protection locked="0"/>
    </xf>
    <xf numFmtId="165" fontId="8" fillId="0" borderId="0" xfId="1" applyNumberFormat="1" applyFont="1" applyFill="1" applyProtection="1">
      <protection locked="0"/>
    </xf>
    <xf numFmtId="0" fontId="7" fillId="0" borderId="0" xfId="4" applyFont="1" applyFill="1" applyBorder="1"/>
    <xf numFmtId="10" fontId="8" fillId="0" borderId="0" xfId="3" applyNumberFormat="1" applyFont="1" applyFill="1" applyBorder="1" applyProtection="1">
      <protection locked="0"/>
    </xf>
    <xf numFmtId="2" fontId="7" fillId="0" borderId="0" xfId="4" applyNumberFormat="1" applyFont="1" applyFill="1"/>
    <xf numFmtId="166" fontId="14" fillId="0" borderId="0" xfId="4" applyNumberFormat="1" applyFont="1"/>
    <xf numFmtId="0" fontId="7" fillId="0" borderId="2" xfId="4" applyFill="1" applyBorder="1"/>
    <xf numFmtId="5" fontId="8" fillId="0" borderId="1" xfId="4" applyNumberFormat="1" applyFont="1" applyFill="1" applyBorder="1" applyProtection="1">
      <protection locked="0"/>
    </xf>
    <xf numFmtId="0" fontId="7" fillId="0" borderId="1" xfId="4" applyFill="1" applyBorder="1"/>
    <xf numFmtId="164" fontId="7" fillId="0" borderId="1" xfId="3" applyNumberFormat="1" applyFont="1" applyFill="1" applyBorder="1"/>
    <xf numFmtId="164" fontId="7" fillId="0" borderId="1" xfId="4" applyNumberFormat="1" applyFill="1" applyBorder="1"/>
    <xf numFmtId="165" fontId="7" fillId="0" borderId="1" xfId="4" applyNumberFormat="1" applyFill="1" applyBorder="1"/>
    <xf numFmtId="0" fontId="0" fillId="0" borderId="0" xfId="0" applyFill="1" applyBorder="1"/>
    <xf numFmtId="0" fontId="14" fillId="0" borderId="0" xfId="4" applyFont="1"/>
    <xf numFmtId="164" fontId="7" fillId="0" borderId="0" xfId="4" applyNumberFormat="1" applyFill="1"/>
    <xf numFmtId="165" fontId="7" fillId="0" borderId="0" xfId="4" applyNumberFormat="1" applyFill="1"/>
    <xf numFmtId="0" fontId="15" fillId="0" borderId="0" xfId="5" applyFont="1" applyFill="1" applyAlignment="1">
      <alignment horizontal="center"/>
    </xf>
    <xf numFmtId="37" fontId="7" fillId="0" borderId="0" xfId="4" applyNumberFormat="1" applyFill="1" applyProtection="1"/>
    <xf numFmtId="5" fontId="7" fillId="0" borderId="0" xfId="4" applyNumberFormat="1" applyFill="1" applyProtection="1"/>
    <xf numFmtId="165" fontId="8" fillId="0" borderId="0" xfId="3" applyNumberFormat="1" applyFont="1" applyFill="1" applyProtection="1">
      <protection locked="0"/>
    </xf>
    <xf numFmtId="37" fontId="7" fillId="0" borderId="0" xfId="4" applyNumberFormat="1" applyFill="1"/>
    <xf numFmtId="164" fontId="7" fillId="0" borderId="0" xfId="3" applyNumberFormat="1" applyFont="1" applyFill="1"/>
    <xf numFmtId="0" fontId="15" fillId="0" borderId="0" xfId="5" applyFont="1" applyFill="1"/>
    <xf numFmtId="166" fontId="7" fillId="0" borderId="0" xfId="4" applyNumberFormat="1" applyFont="1" applyFill="1" applyBorder="1"/>
    <xf numFmtId="166" fontId="0" fillId="0" borderId="0" xfId="4" applyNumberFormat="1" applyFont="1"/>
    <xf numFmtId="37" fontId="7" fillId="0" borderId="2" xfId="4" applyNumberFormat="1" applyFill="1" applyBorder="1" applyProtection="1"/>
    <xf numFmtId="5" fontId="7" fillId="0" borderId="2" xfId="4" applyNumberFormat="1" applyFill="1" applyBorder="1" applyProtection="1"/>
    <xf numFmtId="5" fontId="7" fillId="0" borderId="0" xfId="4" applyNumberFormat="1" applyFill="1" applyBorder="1" applyProtection="1"/>
    <xf numFmtId="164" fontId="8" fillId="0" borderId="1" xfId="3" applyNumberFormat="1" applyFont="1" applyFill="1" applyBorder="1" applyProtection="1">
      <protection locked="0"/>
    </xf>
    <xf numFmtId="37" fontId="7" fillId="0" borderId="0" xfId="4" applyNumberFormat="1" applyFill="1" applyBorder="1" applyProtection="1"/>
    <xf numFmtId="164" fontId="7" fillId="0" borderId="0" xfId="4" applyNumberFormat="1" applyFill="1" applyBorder="1" applyProtection="1"/>
    <xf numFmtId="10" fontId="7" fillId="0" borderId="0" xfId="4" applyNumberFormat="1" applyFill="1" applyBorder="1" applyProtection="1"/>
    <xf numFmtId="165" fontId="7" fillId="0" borderId="0" xfId="4" applyNumberFormat="1" applyFill="1" applyBorder="1" applyProtection="1"/>
    <xf numFmtId="0" fontId="16" fillId="0" borderId="0" xfId="4" applyFont="1" applyFill="1"/>
    <xf numFmtId="37" fontId="7" fillId="0" borderId="3" xfId="4" applyNumberFormat="1" applyFill="1" applyBorder="1"/>
    <xf numFmtId="5" fontId="7" fillId="0" borderId="3" xfId="4" applyNumberFormat="1" applyFill="1" applyBorder="1"/>
    <xf numFmtId="5" fontId="7" fillId="0" borderId="0" xfId="4" applyNumberFormat="1" applyFill="1" applyBorder="1"/>
    <xf numFmtId="164" fontId="8" fillId="0" borderId="3" xfId="3" applyNumberFormat="1" applyFont="1" applyFill="1" applyBorder="1" applyProtection="1">
      <protection locked="0"/>
    </xf>
    <xf numFmtId="165" fontId="8" fillId="0" borderId="3" xfId="1" applyNumberFormat="1" applyFont="1" applyFill="1" applyBorder="1" applyProtection="1">
      <protection locked="0"/>
    </xf>
    <xf numFmtId="37" fontId="7" fillId="0" borderId="0" xfId="4" applyNumberFormat="1" applyFill="1" applyBorder="1"/>
    <xf numFmtId="10" fontId="8" fillId="0" borderId="0" xfId="3" quotePrefix="1" applyNumberFormat="1" applyFont="1" applyFill="1" applyBorder="1" applyProtection="1">
      <protection locked="0"/>
    </xf>
    <xf numFmtId="5" fontId="8" fillId="0" borderId="0" xfId="3" quotePrefix="1" applyNumberFormat="1" applyFont="1" applyFill="1" applyBorder="1" applyProtection="1">
      <protection locked="0"/>
    </xf>
    <xf numFmtId="5" fontId="7" fillId="0" borderId="0" xfId="4" applyNumberFormat="1" applyFill="1"/>
    <xf numFmtId="0" fontId="17" fillId="0" borderId="0" xfId="5" applyFont="1" applyFill="1"/>
    <xf numFmtId="37" fontId="7" fillId="0" borderId="3" xfId="4" applyNumberFormat="1" applyFont="1" applyFill="1" applyBorder="1" applyProtection="1"/>
    <xf numFmtId="5" fontId="8" fillId="0" borderId="3" xfId="3" applyNumberFormat="1" applyFont="1" applyFill="1" applyBorder="1" applyProtection="1">
      <protection locked="0"/>
    </xf>
    <xf numFmtId="5" fontId="8" fillId="0" borderId="0" xfId="3" applyNumberFormat="1" applyFont="1" applyFill="1" applyBorder="1" applyProtection="1">
      <protection locked="0"/>
    </xf>
    <xf numFmtId="5" fontId="7" fillId="0" borderId="0" xfId="4" applyNumberFormat="1" applyFont="1" applyFill="1"/>
    <xf numFmtId="167" fontId="7" fillId="0" borderId="0" xfId="1" applyNumberFormat="1" applyFont="1" applyFill="1"/>
    <xf numFmtId="0" fontId="7" fillId="0" borderId="0" xfId="4" applyFont="1" applyFill="1" applyAlignment="1">
      <alignment horizontal="right"/>
    </xf>
    <xf numFmtId="43" fontId="7" fillId="0" borderId="0" xfId="1" applyFont="1" applyFill="1"/>
    <xf numFmtId="10" fontId="7" fillId="0" borderId="0" xfId="3" applyNumberFormat="1" applyFont="1" applyFill="1"/>
    <xf numFmtId="168" fontId="18" fillId="0" borderId="0" xfId="2" applyNumberFormat="1" applyFont="1" applyFill="1"/>
    <xf numFmtId="164" fontId="18" fillId="0" borderId="0" xfId="3" applyNumberFormat="1" applyFont="1" applyFill="1" applyBorder="1" applyProtection="1">
      <protection locked="0"/>
    </xf>
    <xf numFmtId="1" fontId="7" fillId="0" borderId="0" xfId="4" applyNumberFormat="1" applyFill="1"/>
    <xf numFmtId="164" fontId="7" fillId="0" borderId="0" xfId="3" applyNumberFormat="1" applyFont="1" applyFill="1" applyBorder="1"/>
    <xf numFmtId="1" fontId="18" fillId="0" borderId="0" xfId="4" applyNumberFormat="1" applyFont="1" applyFill="1"/>
    <xf numFmtId="164" fontId="18" fillId="0" borderId="0" xfId="3" applyNumberFormat="1" applyFont="1" applyFill="1"/>
    <xf numFmtId="169" fontId="7" fillId="0" borderId="0" xfId="4" applyNumberFormat="1" applyFill="1"/>
    <xf numFmtId="164" fontId="19" fillId="0" borderId="0" xfId="3" applyNumberFormat="1" applyFont="1" applyFill="1"/>
    <xf numFmtId="0" fontId="15" fillId="0" borderId="0" xfId="18" applyFont="1" applyFill="1"/>
    <xf numFmtId="0" fontId="22" fillId="0" borderId="0" xfId="18" applyFont="1" applyFill="1" applyAlignment="1">
      <alignment horizontal="centerContinuous"/>
    </xf>
    <xf numFmtId="0" fontId="15" fillId="0" borderId="0" xfId="18" applyFont="1" applyFill="1" applyAlignment="1">
      <alignment horizontal="centerContinuous"/>
    </xf>
    <xf numFmtId="0" fontId="15" fillId="0" borderId="0" xfId="18" applyFill="1"/>
    <xf numFmtId="0" fontId="15" fillId="0" borderId="0" xfId="18" applyFont="1" applyFill="1" applyBorder="1" applyAlignment="1">
      <alignment horizontal="center"/>
    </xf>
    <xf numFmtId="0" fontId="15" fillId="0" borderId="0" xfId="18" applyFont="1" applyFill="1" applyBorder="1" applyAlignment="1">
      <alignment horizontal="centerContinuous"/>
    </xf>
    <xf numFmtId="0" fontId="24" fillId="0" borderId="4" xfId="18" applyFont="1" applyFill="1" applyBorder="1"/>
    <xf numFmtId="0" fontId="24" fillId="0" borderId="5" xfId="18" applyFont="1" applyFill="1" applyBorder="1"/>
    <xf numFmtId="0" fontId="15" fillId="0" borderId="2" xfId="18" applyFont="1" applyFill="1" applyBorder="1" applyAlignment="1">
      <alignment horizontal="centerContinuous"/>
    </xf>
    <xf numFmtId="0" fontId="23" fillId="0" borderId="0" xfId="18" applyFont="1" applyFill="1"/>
    <xf numFmtId="0" fontId="24" fillId="0" borderId="6" xfId="18" applyFont="1" applyFill="1" applyBorder="1"/>
    <xf numFmtId="7" fontId="25" fillId="0" borderId="7" xfId="18" applyNumberFormat="1" applyFont="1" applyFill="1" applyBorder="1"/>
    <xf numFmtId="0" fontId="26" fillId="0" borderId="0" xfId="18" applyFont="1" applyFill="1"/>
    <xf numFmtId="166" fontId="25" fillId="0" borderId="7" xfId="18" applyNumberFormat="1" applyFont="1" applyFill="1" applyBorder="1"/>
    <xf numFmtId="165" fontId="25" fillId="0" borderId="7" xfId="1" applyNumberFormat="1" applyFont="1" applyFill="1" applyBorder="1" applyAlignment="1">
      <alignment horizontal="right"/>
    </xf>
    <xf numFmtId="43" fontId="15" fillId="0" borderId="0" xfId="18" applyNumberFormat="1" applyFont="1" applyFill="1"/>
    <xf numFmtId="37" fontId="15" fillId="0" borderId="0" xfId="18" applyNumberFormat="1" applyFont="1" applyFill="1" applyProtection="1"/>
    <xf numFmtId="7" fontId="15" fillId="0" borderId="0" xfId="18" applyNumberFormat="1" applyFill="1"/>
    <xf numFmtId="7" fontId="15" fillId="0" borderId="0" xfId="18" applyNumberFormat="1" applyFont="1" applyFill="1"/>
    <xf numFmtId="10" fontId="15" fillId="0" borderId="0" xfId="18" applyNumberFormat="1" applyFont="1" applyFill="1" applyProtection="1"/>
    <xf numFmtId="0" fontId="24" fillId="0" borderId="8" xfId="18" applyFont="1" applyFill="1" applyBorder="1"/>
    <xf numFmtId="166" fontId="25" fillId="0" borderId="9" xfId="18" applyNumberFormat="1" applyFont="1" applyFill="1" applyBorder="1"/>
    <xf numFmtId="0" fontId="24" fillId="0" borderId="0" xfId="18" applyFont="1" applyFill="1"/>
    <xf numFmtId="166" fontId="24" fillId="0" borderId="0" xfId="18" applyNumberFormat="1" applyFont="1" applyFill="1"/>
    <xf numFmtId="0" fontId="15" fillId="0" borderId="0" xfId="18" applyFont="1" applyFill="1" applyBorder="1"/>
    <xf numFmtId="7" fontId="15" fillId="0" borderId="0" xfId="18" applyNumberFormat="1" applyFont="1" applyFill="1" applyProtection="1"/>
    <xf numFmtId="164" fontId="24" fillId="0" borderId="0" xfId="18" applyNumberFormat="1" applyFont="1" applyFill="1"/>
    <xf numFmtId="0" fontId="15" fillId="0" borderId="0" xfId="18" applyFont="1" applyFill="1" applyAlignment="1">
      <alignment horizontal="right"/>
    </xf>
    <xf numFmtId="172" fontId="15" fillId="0" borderId="0" xfId="18" applyNumberFormat="1" applyFont="1" applyFill="1" applyProtection="1"/>
    <xf numFmtId="37" fontId="15" fillId="0" borderId="1" xfId="18" applyNumberFormat="1" applyFont="1" applyFill="1" applyBorder="1" applyProtection="1"/>
    <xf numFmtId="0" fontId="15" fillId="0" borderId="1" xfId="18" applyFont="1" applyFill="1" applyBorder="1"/>
    <xf numFmtId="7" fontId="15" fillId="0" borderId="1" xfId="18" applyNumberFormat="1" applyFont="1" applyFill="1" applyBorder="1" applyProtection="1"/>
    <xf numFmtId="172" fontId="15" fillId="0" borderId="1" xfId="18" applyNumberFormat="1" applyFont="1" applyFill="1" applyBorder="1" applyProtection="1"/>
    <xf numFmtId="0" fontId="27" fillId="0" borderId="0" xfId="18" applyFont="1" applyFill="1"/>
    <xf numFmtId="0" fontId="27" fillId="0" borderId="0" xfId="18" quotePrefix="1" applyFont="1" applyFill="1" applyBorder="1" applyAlignment="1">
      <alignment horizontal="left"/>
    </xf>
    <xf numFmtId="5" fontId="15" fillId="0" borderId="0" xfId="18" applyNumberFormat="1" applyFont="1" applyFill="1"/>
    <xf numFmtId="164" fontId="15" fillId="0" borderId="0" xfId="3" applyNumberFormat="1" applyFont="1" applyFill="1"/>
    <xf numFmtId="0" fontId="0" fillId="0" borderId="0" xfId="0" applyFill="1" applyBorder="1" applyProtection="1"/>
    <xf numFmtId="0" fontId="7" fillId="0" borderId="0" xfId="4" quotePrefix="1" applyFill="1" applyAlignment="1">
      <alignment horizontal="center"/>
    </xf>
    <xf numFmtId="0" fontId="7" fillId="0" borderId="1" xfId="4" applyFill="1" applyBorder="1" applyAlignment="1">
      <alignment horizontal="center"/>
    </xf>
    <xf numFmtId="0" fontId="0" fillId="0" borderId="1" xfId="0" applyFill="1" applyBorder="1"/>
    <xf numFmtId="0" fontId="14" fillId="0" borderId="1" xfId="4" applyFont="1" applyBorder="1"/>
    <xf numFmtId="0" fontId="7" fillId="0" borderId="1" xfId="4" applyFont="1" applyFill="1" applyBorder="1"/>
    <xf numFmtId="0" fontId="7" fillId="0" borderId="3" xfId="4" applyFont="1" applyFill="1" applyBorder="1"/>
    <xf numFmtId="0" fontId="7" fillId="0" borderId="3" xfId="4" applyFill="1" applyBorder="1"/>
    <xf numFmtId="0" fontId="7" fillId="0" borderId="1" xfId="4" applyFont="1" applyFill="1" applyBorder="1" applyAlignment="1">
      <alignment horizontal="center"/>
    </xf>
    <xf numFmtId="0" fontId="15" fillId="0" borderId="1" xfId="18" applyFont="1" applyFill="1" applyBorder="1" applyAlignment="1">
      <alignment horizontal="center"/>
    </xf>
    <xf numFmtId="0" fontId="15" fillId="0" borderId="2" xfId="18" applyFont="1" applyFill="1" applyBorder="1" applyAlignment="1">
      <alignment horizontal="center"/>
    </xf>
    <xf numFmtId="166" fontId="15" fillId="0" borderId="0" xfId="18" applyNumberFormat="1" applyFont="1" applyFill="1"/>
    <xf numFmtId="10" fontId="15" fillId="0" borderId="0" xfId="3" applyNumberFormat="1" applyFont="1" applyFill="1" applyAlignment="1">
      <alignment horizontal="right"/>
    </xf>
    <xf numFmtId="0" fontId="22" fillId="0" borderId="0" xfId="18" applyFont="1" applyFill="1" applyAlignment="1"/>
    <xf numFmtId="185" fontId="8" fillId="0" borderId="0" xfId="3" applyNumberFormat="1" applyFont="1" applyFill="1" applyProtection="1">
      <protection locked="0"/>
    </xf>
    <xf numFmtId="5" fontId="7" fillId="0" borderId="0" xfId="4" applyNumberFormat="1" applyFont="1" applyFill="1" applyProtection="1"/>
    <xf numFmtId="5" fontId="7" fillId="0" borderId="1" xfId="4" applyNumberFormat="1" applyFont="1" applyFill="1" applyBorder="1" applyProtection="1"/>
    <xf numFmtId="5" fontId="8" fillId="0" borderId="3" xfId="16" applyNumberFormat="1" applyFont="1" applyFill="1" applyBorder="1" applyProtection="1">
      <protection locked="0"/>
    </xf>
    <xf numFmtId="0" fontId="3" fillId="0" borderId="0" xfId="509"/>
    <xf numFmtId="4" fontId="65" fillId="0" borderId="0" xfId="508" applyNumberFormat="1" applyFont="1" applyFill="1" applyAlignment="1">
      <alignment horizontal="center"/>
    </xf>
    <xf numFmtId="0" fontId="65" fillId="0" borderId="0" xfId="508" applyFont="1" applyFill="1" applyBorder="1" applyAlignment="1">
      <alignment horizontal="center"/>
    </xf>
    <xf numFmtId="4" fontId="76" fillId="0" borderId="0" xfId="508" applyNumberFormat="1" applyFont="1" applyFill="1" applyBorder="1" applyAlignment="1">
      <alignment horizontal="center" wrapText="1"/>
    </xf>
    <xf numFmtId="186" fontId="76" fillId="0" borderId="0" xfId="508" applyNumberFormat="1" applyFont="1" applyFill="1" applyBorder="1" applyAlignment="1">
      <alignment horizontal="center" wrapText="1"/>
    </xf>
    <xf numFmtId="4" fontId="76" fillId="0" borderId="0" xfId="508" quotePrefix="1" applyNumberFormat="1" applyFont="1" applyFill="1" applyBorder="1" applyAlignment="1">
      <alignment horizontal="center" wrapText="1"/>
    </xf>
    <xf numFmtId="167" fontId="0" fillId="0" borderId="0" xfId="507" applyNumberFormat="1" applyFont="1" applyAlignment="1">
      <alignment horizontal="right"/>
    </xf>
    <xf numFmtId="167" fontId="0" fillId="0" borderId="0" xfId="507" applyNumberFormat="1" applyFont="1"/>
    <xf numFmtId="167" fontId="0" fillId="0" borderId="29" xfId="507" applyNumberFormat="1" applyFont="1" applyBorder="1"/>
    <xf numFmtId="167" fontId="3" fillId="0" borderId="0" xfId="507" applyNumberFormat="1" applyFont="1" applyFill="1"/>
    <xf numFmtId="167" fontId="0" fillId="0" borderId="0" xfId="507" applyNumberFormat="1" applyFont="1" applyFill="1"/>
    <xf numFmtId="167" fontId="0" fillId="0" borderId="29" xfId="507" applyNumberFormat="1" applyFont="1" applyFill="1" applyBorder="1"/>
    <xf numFmtId="167" fontId="3" fillId="0" borderId="0" xfId="507" applyNumberFormat="1" applyFont="1" applyFill="1" applyBorder="1"/>
    <xf numFmtId="0" fontId="3" fillId="0" borderId="0" xfId="509" applyBorder="1"/>
    <xf numFmtId="0" fontId="77" fillId="0" borderId="0" xfId="509" applyFont="1" applyBorder="1"/>
    <xf numFmtId="0" fontId="77" fillId="0" borderId="0" xfId="509" applyFont="1"/>
    <xf numFmtId="0" fontId="3" fillId="0" borderId="0" xfId="509" applyFill="1"/>
    <xf numFmtId="167" fontId="0" fillId="0" borderId="0" xfId="507" applyNumberFormat="1" applyFont="1" applyFill="1" applyBorder="1"/>
    <xf numFmtId="167" fontId="0" fillId="0" borderId="0" xfId="507" applyNumberFormat="1" applyFont="1" applyBorder="1"/>
    <xf numFmtId="0" fontId="73" fillId="0" borderId="0" xfId="509" applyFont="1"/>
    <xf numFmtId="168" fontId="73" fillId="0" borderId="0" xfId="510" applyNumberFormat="1" applyFont="1"/>
    <xf numFmtId="168" fontId="0" fillId="0" borderId="0" xfId="510" applyNumberFormat="1" applyFont="1"/>
    <xf numFmtId="0" fontId="73" fillId="0" borderId="0" xfId="509" applyFont="1" applyAlignment="1">
      <alignment wrapText="1"/>
    </xf>
    <xf numFmtId="168" fontId="73" fillId="0" borderId="0" xfId="510" applyNumberFormat="1" applyFont="1" applyAlignment="1">
      <alignment wrapText="1"/>
    </xf>
    <xf numFmtId="0" fontId="3" fillId="0" borderId="0" xfId="509" applyAlignment="1">
      <alignment wrapText="1"/>
    </xf>
    <xf numFmtId="0" fontId="73" fillId="0" borderId="0" xfId="509" applyFont="1" applyAlignment="1"/>
    <xf numFmtId="168" fontId="0" fillId="0" borderId="0" xfId="510" applyNumberFormat="1" applyFont="1" applyAlignment="1">
      <alignment wrapText="1"/>
    </xf>
    <xf numFmtId="168" fontId="3" fillId="0" borderId="0" xfId="509" applyNumberFormat="1"/>
    <xf numFmtId="168" fontId="73" fillId="0" borderId="0" xfId="509" applyNumberFormat="1" applyFont="1"/>
    <xf numFmtId="168" fontId="0" fillId="0" borderId="0" xfId="510" applyNumberFormat="1" applyFont="1" applyFill="1"/>
    <xf numFmtId="167" fontId="0" fillId="0" borderId="24" xfId="507" applyNumberFormat="1" applyFont="1" applyFill="1" applyBorder="1"/>
    <xf numFmtId="0" fontId="77" fillId="0" borderId="24" xfId="509" applyFont="1" applyBorder="1"/>
    <xf numFmtId="167" fontId="0" fillId="47" borderId="0" xfId="507" applyNumberFormat="1" applyFont="1" applyFill="1"/>
    <xf numFmtId="0" fontId="3" fillId="0" borderId="0" xfId="509" applyAlignment="1">
      <alignment horizontal="right"/>
    </xf>
    <xf numFmtId="167" fontId="3" fillId="0" borderId="0" xfId="509" applyNumberFormat="1"/>
    <xf numFmtId="167" fontId="7" fillId="0" borderId="0" xfId="507" applyNumberFormat="1" applyFont="1" applyAlignment="1">
      <alignment horizontal="right"/>
    </xf>
    <xf numFmtId="0" fontId="2" fillId="0" borderId="0" xfId="509" applyFont="1"/>
    <xf numFmtId="0" fontId="2" fillId="0" borderId="0" xfId="509" quotePrefix="1" applyFont="1" applyFill="1"/>
    <xf numFmtId="0" fontId="8" fillId="0" borderId="0" xfId="4" quotePrefix="1" applyFont="1" applyFill="1"/>
    <xf numFmtId="0" fontId="1" fillId="0" borderId="0" xfId="509" applyFont="1" applyFill="1"/>
    <xf numFmtId="167" fontId="78" fillId="0" borderId="0" xfId="507" applyNumberFormat="1" applyFont="1"/>
    <xf numFmtId="0" fontId="7" fillId="0" borderId="1" xfId="4" applyFont="1" applyFill="1" applyBorder="1" applyAlignment="1">
      <alignment horizontal="center"/>
    </xf>
    <xf numFmtId="0" fontId="7" fillId="0" borderId="0" xfId="4" applyFont="1" applyFill="1" applyAlignment="1">
      <alignment horizontal="left"/>
    </xf>
    <xf numFmtId="0" fontId="7" fillId="0" borderId="0" xfId="4" quotePrefix="1" applyFont="1" applyFill="1" applyAlignment="1">
      <alignment horizontal="left"/>
    </xf>
    <xf numFmtId="0" fontId="9" fillId="0" borderId="0" xfId="4" quotePrefix="1" applyFont="1" applyFill="1" applyAlignment="1">
      <alignment horizontal="center"/>
    </xf>
    <xf numFmtId="0" fontId="9" fillId="0" borderId="0" xfId="4" applyFont="1" applyFill="1" applyAlignment="1">
      <alignment horizontal="center"/>
    </xf>
    <xf numFmtId="0" fontId="15" fillId="0" borderId="1" xfId="18" applyFont="1" applyFill="1" applyBorder="1" applyAlignment="1">
      <alignment horizontal="center"/>
    </xf>
    <xf numFmtId="0" fontId="22" fillId="0" borderId="0" xfId="18" applyFont="1" applyFill="1" applyAlignment="1">
      <alignment horizontal="center"/>
    </xf>
    <xf numFmtId="0" fontId="65" fillId="0" borderId="0" xfId="508" applyFont="1" applyFill="1" applyAlignment="1">
      <alignment horizontal="center"/>
    </xf>
    <xf numFmtId="167" fontId="75" fillId="0" borderId="0" xfId="507" applyNumberFormat="1" applyFont="1" applyAlignment="1">
      <alignment horizontal="center"/>
    </xf>
  </cellXfs>
  <cellStyles count="511">
    <cellStyle name="20% - Accent1 2" xfId="31"/>
    <cellStyle name="20% - Accent1 3" xfId="32"/>
    <cellStyle name="20% - Accent1 4" xfId="33"/>
    <cellStyle name="20% - Accent1 5" xfId="34"/>
    <cellStyle name="20% - Accent1 6" xfId="35"/>
    <cellStyle name="20% - Accent2 2" xfId="36"/>
    <cellStyle name="20% - Accent2 3" xfId="37"/>
    <cellStyle name="20% - Accent2 4" xfId="38"/>
    <cellStyle name="20% - Accent2 5" xfId="39"/>
    <cellStyle name="20% - Accent2 6" xfId="40"/>
    <cellStyle name="20% - Accent3 2" xfId="41"/>
    <cellStyle name="20% - Accent3 3" xfId="42"/>
    <cellStyle name="20% - Accent3 4" xfId="43"/>
    <cellStyle name="20% - Accent3 5" xfId="44"/>
    <cellStyle name="20% - Accent3 6" xfId="45"/>
    <cellStyle name="20% - Accent4 2" xfId="46"/>
    <cellStyle name="20% - Accent4 3" xfId="47"/>
    <cellStyle name="20% - Accent4 4" xfId="48"/>
    <cellStyle name="20% - Accent4 5" xfId="49"/>
    <cellStyle name="20% - Accent4 6" xfId="50"/>
    <cellStyle name="20% - Accent5 2" xfId="51"/>
    <cellStyle name="20% - Accent5 3" xfId="52"/>
    <cellStyle name="20% - Accent5 4" xfId="53"/>
    <cellStyle name="20% - Accent5 5" xfId="54"/>
    <cellStyle name="20% - Accent5 6" xfId="55"/>
    <cellStyle name="20% - Accent6 2" xfId="56"/>
    <cellStyle name="20% - Accent6 3" xfId="57"/>
    <cellStyle name="20% - Accent6 4" xfId="58"/>
    <cellStyle name="20% - Accent6 5" xfId="59"/>
    <cellStyle name="20% - Accent6 6" xfId="60"/>
    <cellStyle name="40% - Accent1 2" xfId="61"/>
    <cellStyle name="40% - Accent1 3" xfId="62"/>
    <cellStyle name="40% - Accent1 4" xfId="63"/>
    <cellStyle name="40% - Accent1 5" xfId="64"/>
    <cellStyle name="40% - Accent1 6" xfId="65"/>
    <cellStyle name="40% - Accent2 2" xfId="66"/>
    <cellStyle name="40% - Accent2 3" xfId="67"/>
    <cellStyle name="40% - Accent2 4" xfId="68"/>
    <cellStyle name="40% - Accent2 5" xfId="69"/>
    <cellStyle name="40% - Accent2 6" xfId="70"/>
    <cellStyle name="40% - Accent3 2" xfId="71"/>
    <cellStyle name="40% - Accent3 3" xfId="72"/>
    <cellStyle name="40% - Accent3 4" xfId="73"/>
    <cellStyle name="40% - Accent3 5" xfId="74"/>
    <cellStyle name="40% - Accent3 6" xfId="75"/>
    <cellStyle name="40% - Accent4 2" xfId="76"/>
    <cellStyle name="40% - Accent4 3" xfId="77"/>
    <cellStyle name="40% - Accent4 4" xfId="78"/>
    <cellStyle name="40% - Accent4 5" xfId="79"/>
    <cellStyle name="40% - Accent4 6" xfId="80"/>
    <cellStyle name="40% - Accent5 2" xfId="81"/>
    <cellStyle name="40% - Accent5 3" xfId="82"/>
    <cellStyle name="40% - Accent5 4" xfId="83"/>
    <cellStyle name="40% - Accent5 5" xfId="84"/>
    <cellStyle name="40% - Accent5 6" xfId="85"/>
    <cellStyle name="40% - Accent6 2" xfId="86"/>
    <cellStyle name="40% - Accent6 3" xfId="87"/>
    <cellStyle name="40% - Accent6 4" xfId="88"/>
    <cellStyle name="40% - Accent6 5" xfId="89"/>
    <cellStyle name="40% - Accent6 6" xfId="90"/>
    <cellStyle name="60% - Accent1 2" xfId="91"/>
    <cellStyle name="60% - Accent1 3" xfId="92"/>
    <cellStyle name="60% - Accent1 4" xfId="93"/>
    <cellStyle name="60% - Accent1 5" xfId="94"/>
    <cellStyle name="60% - Accent1 6" xfId="95"/>
    <cellStyle name="60% - Accent2 2" xfId="96"/>
    <cellStyle name="60% - Accent2 3" xfId="97"/>
    <cellStyle name="60% - Accent2 4" xfId="98"/>
    <cellStyle name="60% - Accent2 5" xfId="99"/>
    <cellStyle name="60% - Accent2 6" xfId="100"/>
    <cellStyle name="60% - Accent3 2" xfId="101"/>
    <cellStyle name="60% - Accent3 3" xfId="102"/>
    <cellStyle name="60% - Accent3 4" xfId="103"/>
    <cellStyle name="60% - Accent3 5" xfId="104"/>
    <cellStyle name="60% - Accent3 6" xfId="105"/>
    <cellStyle name="60% - Accent4 2" xfId="106"/>
    <cellStyle name="60% - Accent4 3" xfId="107"/>
    <cellStyle name="60% - Accent4 4" xfId="108"/>
    <cellStyle name="60% - Accent4 5" xfId="109"/>
    <cellStyle name="60% - Accent4 6" xfId="110"/>
    <cellStyle name="60% - Accent5 2" xfId="111"/>
    <cellStyle name="60% - Accent5 3" xfId="112"/>
    <cellStyle name="60% - Accent5 4" xfId="113"/>
    <cellStyle name="60% - Accent5 5" xfId="114"/>
    <cellStyle name="60% - Accent5 6" xfId="115"/>
    <cellStyle name="60% - Accent6 2" xfId="116"/>
    <cellStyle name="60% - Accent6 3" xfId="117"/>
    <cellStyle name="60% - Accent6 4" xfId="118"/>
    <cellStyle name="60% - Accent6 5" xfId="119"/>
    <cellStyle name="60% - Accent6 6" xfId="120"/>
    <cellStyle name="Accent1 2" xfId="121"/>
    <cellStyle name="Accent1 3" xfId="122"/>
    <cellStyle name="Accent1 4" xfId="123"/>
    <cellStyle name="Accent1 5" xfId="124"/>
    <cellStyle name="Accent1 6" xfId="125"/>
    <cellStyle name="Accent2 2" xfId="126"/>
    <cellStyle name="Accent2 3" xfId="127"/>
    <cellStyle name="Accent2 4" xfId="128"/>
    <cellStyle name="Accent2 5" xfId="129"/>
    <cellStyle name="Accent2 6" xfId="130"/>
    <cellStyle name="Accent3 2" xfId="131"/>
    <cellStyle name="Accent3 3" xfId="132"/>
    <cellStyle name="Accent3 4" xfId="133"/>
    <cellStyle name="Accent3 5" xfId="134"/>
    <cellStyle name="Accent3 6" xfId="135"/>
    <cellStyle name="Accent4 2" xfId="136"/>
    <cellStyle name="Accent4 3" xfId="137"/>
    <cellStyle name="Accent4 4" xfId="138"/>
    <cellStyle name="Accent4 5" xfId="139"/>
    <cellStyle name="Accent4 6" xfId="140"/>
    <cellStyle name="Accent5 2" xfId="141"/>
    <cellStyle name="Accent5 3" xfId="142"/>
    <cellStyle name="Accent5 4" xfId="143"/>
    <cellStyle name="Accent5 5" xfId="144"/>
    <cellStyle name="Accent5 6" xfId="145"/>
    <cellStyle name="Accent6 2" xfId="146"/>
    <cellStyle name="Accent6 3" xfId="147"/>
    <cellStyle name="Accent6 4" xfId="148"/>
    <cellStyle name="Accent6 5" xfId="149"/>
    <cellStyle name="Accent6 6" xfId="150"/>
    <cellStyle name="ArrayHeading" xfId="151"/>
    <cellStyle name="Bad 2" xfId="152"/>
    <cellStyle name="Bad 3" xfId="153"/>
    <cellStyle name="Bad 4" xfId="154"/>
    <cellStyle name="Bad 5" xfId="155"/>
    <cellStyle name="Bad 6" xfId="156"/>
    <cellStyle name="BetweenMacros" xfId="157"/>
    <cellStyle name="Calculation 2" xfId="158"/>
    <cellStyle name="Calculation 3" xfId="159"/>
    <cellStyle name="Calculation 4" xfId="160"/>
    <cellStyle name="Calculation 5" xfId="161"/>
    <cellStyle name="Calculation 6" xfId="162"/>
    <cellStyle name="Check Cell 2" xfId="163"/>
    <cellStyle name="Check Cell 3" xfId="164"/>
    <cellStyle name="Check Cell 4" xfId="165"/>
    <cellStyle name="Check Cell 5" xfId="166"/>
    <cellStyle name="Check Cell 6" xfId="167"/>
    <cellStyle name="Column total in dollars" xfId="168"/>
    <cellStyle name="Comma" xfId="1" builtinId="3"/>
    <cellStyle name="Comma  - Style1" xfId="169"/>
    <cellStyle name="Comma  - Style1 2" xfId="170"/>
    <cellStyle name="Comma  - Style1 3" xfId="171"/>
    <cellStyle name="Comma  - Style2" xfId="172"/>
    <cellStyle name="Comma  - Style2 2" xfId="173"/>
    <cellStyle name="Comma  - Style2 3" xfId="174"/>
    <cellStyle name="Comma  - Style3" xfId="175"/>
    <cellStyle name="Comma  - Style3 2" xfId="176"/>
    <cellStyle name="Comma  - Style3 3" xfId="177"/>
    <cellStyle name="Comma  - Style4" xfId="178"/>
    <cellStyle name="Comma  - Style4 2" xfId="179"/>
    <cellStyle name="Comma  - Style4 3" xfId="180"/>
    <cellStyle name="Comma  - Style5" xfId="181"/>
    <cellStyle name="Comma  - Style5 2" xfId="182"/>
    <cellStyle name="Comma  - Style5 3" xfId="183"/>
    <cellStyle name="Comma  - Style6" xfId="184"/>
    <cellStyle name="Comma  - Style6 2" xfId="185"/>
    <cellStyle name="Comma  - Style6 3" xfId="186"/>
    <cellStyle name="Comma  - Style7" xfId="187"/>
    <cellStyle name="Comma  - Style7 2" xfId="188"/>
    <cellStyle name="Comma  - Style7 3" xfId="189"/>
    <cellStyle name="Comma  - Style8" xfId="190"/>
    <cellStyle name="Comma  - Style8 2" xfId="191"/>
    <cellStyle name="Comma  - Style8 3" xfId="192"/>
    <cellStyle name="Comma (0)" xfId="193"/>
    <cellStyle name="Comma [0] 2" xfId="194"/>
    <cellStyle name="Comma 10" xfId="195"/>
    <cellStyle name="Comma 11" xfId="507"/>
    <cellStyle name="Comma 2" xfId="6"/>
    <cellStyle name="Comma 2 2" xfId="7"/>
    <cellStyle name="Comma 2 2 2" xfId="196"/>
    <cellStyle name="Comma 2 3" xfId="197"/>
    <cellStyle name="Comma 2 4" xfId="198"/>
    <cellStyle name="Comma 2 5" xfId="199"/>
    <cellStyle name="Comma 2 6" xfId="200"/>
    <cellStyle name="Comma 3" xfId="19"/>
    <cellStyle name="Comma 3 2" xfId="201"/>
    <cellStyle name="Comma 4" xfId="20"/>
    <cellStyle name="Comma 4 2" xfId="202"/>
    <cellStyle name="Comma 5" xfId="203"/>
    <cellStyle name="Comma 6" xfId="204"/>
    <cellStyle name="Comma 6 2" xfId="205"/>
    <cellStyle name="Comma 7" xfId="206"/>
    <cellStyle name="Comma 8" xfId="207"/>
    <cellStyle name="Comma 9" xfId="208"/>
    <cellStyle name="Comma0" xfId="209"/>
    <cellStyle name="Comma0 - Style1" xfId="210"/>
    <cellStyle name="Comma0 - Style2" xfId="211"/>
    <cellStyle name="Comma0 - Style3" xfId="212"/>
    <cellStyle name="Comma0 - Style4" xfId="213"/>
    <cellStyle name="Comma0_1st Qtr 2009 Global Insight Factors" xfId="214"/>
    <cellStyle name="Comma1 - Style1" xfId="215"/>
    <cellStyle name="Curren - Style2" xfId="216"/>
    <cellStyle name="Curren - Style3" xfId="217"/>
    <cellStyle name="Currency" xfId="2" builtinId="4"/>
    <cellStyle name="Currency 2" xfId="21"/>
    <cellStyle name="Currency 2 2" xfId="218"/>
    <cellStyle name="Currency 2 2 2" xfId="219"/>
    <cellStyle name="Currency 3" xfId="220"/>
    <cellStyle name="Currency 3 2" xfId="221"/>
    <cellStyle name="Currency 4" xfId="222"/>
    <cellStyle name="Currency 5" xfId="223"/>
    <cellStyle name="Currency 6" xfId="224"/>
    <cellStyle name="Currency 7" xfId="225"/>
    <cellStyle name="Currency 8" xfId="226"/>
    <cellStyle name="Currency 9" xfId="510"/>
    <cellStyle name="Currency No Comma" xfId="227"/>
    <cellStyle name="Currency(0)" xfId="228"/>
    <cellStyle name="Currency0" xfId="229"/>
    <cellStyle name="Date" xfId="230"/>
    <cellStyle name="Date - Style1" xfId="231"/>
    <cellStyle name="Date - Style3" xfId="232"/>
    <cellStyle name="Date_1st Qtr 2009 Global Insight Factors" xfId="233"/>
    <cellStyle name="Explanatory Text 2" xfId="234"/>
    <cellStyle name="Explanatory Text 3" xfId="235"/>
    <cellStyle name="Explanatory Text 4" xfId="236"/>
    <cellStyle name="Explanatory Text 5" xfId="237"/>
    <cellStyle name="Explanatory Text 6" xfId="238"/>
    <cellStyle name="Fixed" xfId="239"/>
    <cellStyle name="Fixed2 - Style2" xfId="240"/>
    <cellStyle name="General" xfId="8"/>
    <cellStyle name="Good 2" xfId="241"/>
    <cellStyle name="Good 3" xfId="242"/>
    <cellStyle name="Good 4" xfId="243"/>
    <cellStyle name="Good 5" xfId="244"/>
    <cellStyle name="Good 6" xfId="245"/>
    <cellStyle name="Grey" xfId="246"/>
    <cellStyle name="Grey 2" xfId="247"/>
    <cellStyle name="Grey 3" xfId="248"/>
    <cellStyle name="header" xfId="249"/>
    <cellStyle name="Header1" xfId="250"/>
    <cellStyle name="Header2" xfId="251"/>
    <cellStyle name="Heading 3 2" xfId="252"/>
    <cellStyle name="Heading 3 3" xfId="253"/>
    <cellStyle name="Heading 3 4" xfId="254"/>
    <cellStyle name="Heading 3 5" xfId="255"/>
    <cellStyle name="Heading 3 6" xfId="256"/>
    <cellStyle name="Heading 4 2" xfId="257"/>
    <cellStyle name="Heading 4 3" xfId="258"/>
    <cellStyle name="Heading 4 4" xfId="259"/>
    <cellStyle name="Heading 4 5" xfId="260"/>
    <cellStyle name="Heading 4 6" xfId="261"/>
    <cellStyle name="Heading1" xfId="262"/>
    <cellStyle name="Heading2" xfId="263"/>
    <cellStyle name="Hyperlink 2" xfId="264"/>
    <cellStyle name="Hyperlink 2 2" xfId="265"/>
    <cellStyle name="Hyperlink 2 3" xfId="266"/>
    <cellStyle name="Hyperlink 3" xfId="267"/>
    <cellStyle name="Hyperlink 4" xfId="268"/>
    <cellStyle name="Input [yellow]" xfId="269"/>
    <cellStyle name="Input [yellow] 2" xfId="270"/>
    <cellStyle name="Input [yellow] 3" xfId="271"/>
    <cellStyle name="Inst. Sections" xfId="272"/>
    <cellStyle name="Inst. Subheading" xfId="273"/>
    <cellStyle name="Linked Cell 2" xfId="274"/>
    <cellStyle name="Linked Cell 3" xfId="275"/>
    <cellStyle name="Linked Cell 4" xfId="276"/>
    <cellStyle name="Linked Cell 5" xfId="277"/>
    <cellStyle name="Linked Cell 6" xfId="278"/>
    <cellStyle name="Macro" xfId="279"/>
    <cellStyle name="macro descr" xfId="280"/>
    <cellStyle name="Macro_Comments" xfId="281"/>
    <cellStyle name="MacroText" xfId="282"/>
    <cellStyle name="Marathon" xfId="9"/>
    <cellStyle name="MCP" xfId="283"/>
    <cellStyle name="Neutral 2" xfId="284"/>
    <cellStyle name="Neutral 3" xfId="285"/>
    <cellStyle name="Neutral 4" xfId="286"/>
    <cellStyle name="Neutral 5" xfId="287"/>
    <cellStyle name="Neutral 6" xfId="288"/>
    <cellStyle name="nONE" xfId="10"/>
    <cellStyle name="noninput" xfId="289"/>
    <cellStyle name="noninput 2" xfId="290"/>
    <cellStyle name="noninput 3" xfId="291"/>
    <cellStyle name="Normal" xfId="0" builtinId="0"/>
    <cellStyle name="Normal - Style1" xfId="292"/>
    <cellStyle name="Normal - Style1 2" xfId="293"/>
    <cellStyle name="Normal - Style1 3" xfId="294"/>
    <cellStyle name="Normal 10" xfId="295"/>
    <cellStyle name="Normal 11" xfId="296"/>
    <cellStyle name="Normal 117" xfId="297"/>
    <cellStyle name="Normal 12" xfId="298"/>
    <cellStyle name="Normal 122" xfId="299"/>
    <cellStyle name="Normal 13" xfId="300"/>
    <cellStyle name="Normal 14" xfId="301"/>
    <cellStyle name="Normal 15" xfId="302"/>
    <cellStyle name="Normal 16" xfId="303"/>
    <cellStyle name="Normal 17" xfId="505"/>
    <cellStyle name="Normal 18" xfId="509"/>
    <cellStyle name="Normal 2" xfId="11"/>
    <cellStyle name="Normal 2 2" xfId="22"/>
    <cellStyle name="Normal 2 2 2" xfId="30"/>
    <cellStyle name="Normal 2 2 2 10" xfId="503"/>
    <cellStyle name="Normal 2 3" xfId="304"/>
    <cellStyle name="Normal 2 3 2" xfId="305"/>
    <cellStyle name="Normal 2 3 2 2" xfId="306"/>
    <cellStyle name="Normal 2 3 3" xfId="307"/>
    <cellStyle name="Normal 2 3 4" xfId="308"/>
    <cellStyle name="Normal 2 3 5" xfId="309"/>
    <cellStyle name="Normal 2 3 6" xfId="310"/>
    <cellStyle name="Normal 2 4" xfId="311"/>
    <cellStyle name="Normal 2 5" xfId="312"/>
    <cellStyle name="Normal 2 5 2" xfId="313"/>
    <cellStyle name="Normal 2 6" xfId="314"/>
    <cellStyle name="Normal 2 7" xfId="315"/>
    <cellStyle name="Normal 2 8" xfId="316"/>
    <cellStyle name="Normal 3" xfId="12"/>
    <cellStyle name="Normal 3 2" xfId="23"/>
    <cellStyle name="Normal 3 2 2" xfId="317"/>
    <cellStyle name="Normal 3 2 2 2" xfId="318"/>
    <cellStyle name="Normal 3 2 3" xfId="319"/>
    <cellStyle name="Normal 3 2 4" xfId="320"/>
    <cellStyle name="Normal 3 2 5" xfId="321"/>
    <cellStyle name="Normal 3 2 6" xfId="322"/>
    <cellStyle name="Normal 3 3" xfId="323"/>
    <cellStyle name="Normal 3 4" xfId="324"/>
    <cellStyle name="Normal 3 5" xfId="325"/>
    <cellStyle name="Normal 3 5 2" xfId="326"/>
    <cellStyle name="Normal 3 6" xfId="327"/>
    <cellStyle name="Normal 3 7" xfId="328"/>
    <cellStyle name="Normal 3 8" xfId="329"/>
    <cellStyle name="Normal 4" xfId="13"/>
    <cellStyle name="Normal 4 2" xfId="24"/>
    <cellStyle name="Normal 4 3" xfId="330"/>
    <cellStyle name="Normal 4 4" xfId="331"/>
    <cellStyle name="Normal 4 5" xfId="332"/>
    <cellStyle name="Normal 4 6" xfId="333"/>
    <cellStyle name="Normal 4 7" xfId="334"/>
    <cellStyle name="Normal 4 9" xfId="508"/>
    <cellStyle name="Normal 5" xfId="14"/>
    <cellStyle name="Normal 5 2" xfId="335"/>
    <cellStyle name="Normal 6" xfId="15"/>
    <cellStyle name="Normal 6 2" xfId="336"/>
    <cellStyle name="Normal 6 3" xfId="337"/>
    <cellStyle name="Normal 7" xfId="25"/>
    <cellStyle name="Normal 7 2" xfId="29"/>
    <cellStyle name="Normal 7 2 2" xfId="504"/>
    <cellStyle name="Normal 8" xfId="26"/>
    <cellStyle name="Normal 8 2" xfId="338"/>
    <cellStyle name="Normal 8 3" xfId="339"/>
    <cellStyle name="Normal 9" xfId="27"/>
    <cellStyle name="Normal(0)" xfId="340"/>
    <cellStyle name="Normal_OR Blocking 04" xfId="5"/>
    <cellStyle name="Normal_OR Blocking 98 No Forecast" xfId="18"/>
    <cellStyle name="Normal_WA98" xfId="4"/>
    <cellStyle name="Note 2" xfId="341"/>
    <cellStyle name="Note 3" xfId="342"/>
    <cellStyle name="Note 4" xfId="343"/>
    <cellStyle name="Note 5" xfId="344"/>
    <cellStyle name="Note 6" xfId="345"/>
    <cellStyle name="Number" xfId="346"/>
    <cellStyle name="Number 10" xfId="347"/>
    <cellStyle name="Number 11" xfId="348"/>
    <cellStyle name="Number 12" xfId="349"/>
    <cellStyle name="Number 13" xfId="350"/>
    <cellStyle name="Number 14" xfId="351"/>
    <cellStyle name="Number 2" xfId="352"/>
    <cellStyle name="Number 3" xfId="353"/>
    <cellStyle name="Number 4" xfId="354"/>
    <cellStyle name="Number 5" xfId="355"/>
    <cellStyle name="Number 6" xfId="356"/>
    <cellStyle name="Number 7" xfId="357"/>
    <cellStyle name="Number 8" xfId="358"/>
    <cellStyle name="Number 9" xfId="359"/>
    <cellStyle name="Output 2" xfId="360"/>
    <cellStyle name="Output 3" xfId="361"/>
    <cellStyle name="Output 4" xfId="362"/>
    <cellStyle name="Output 5" xfId="363"/>
    <cellStyle name="Output 6" xfId="364"/>
    <cellStyle name="Password" xfId="365"/>
    <cellStyle name="Percen - Style1" xfId="366"/>
    <cellStyle name="Percen - Style2" xfId="367"/>
    <cellStyle name="Percent" xfId="3" builtinId="5"/>
    <cellStyle name="Percent [2]" xfId="368"/>
    <cellStyle name="Percent [2] 2" xfId="369"/>
    <cellStyle name="Percent [2] 3" xfId="370"/>
    <cellStyle name="Percent 2" xfId="16"/>
    <cellStyle name="Percent 2 2" xfId="371"/>
    <cellStyle name="Percent 2 2 2" xfId="372"/>
    <cellStyle name="Percent 2 3" xfId="373"/>
    <cellStyle name="Percent 3" xfId="28"/>
    <cellStyle name="Percent 3 2" xfId="374"/>
    <cellStyle name="Percent 4" xfId="375"/>
    <cellStyle name="Percent 4 2" xfId="376"/>
    <cellStyle name="Percent 5" xfId="377"/>
    <cellStyle name="Percent 6" xfId="378"/>
    <cellStyle name="Percent 7" xfId="379"/>
    <cellStyle name="Percent 8" xfId="380"/>
    <cellStyle name="Percent 9" xfId="506"/>
    <cellStyle name="Percent(0)" xfId="381"/>
    <cellStyle name="SAPBEXaggData" xfId="382"/>
    <cellStyle name="SAPBEXaggDataEmph" xfId="383"/>
    <cellStyle name="SAPBEXaggItem" xfId="384"/>
    <cellStyle name="SAPBEXaggItemX" xfId="385"/>
    <cellStyle name="SAPBEXchaText" xfId="386"/>
    <cellStyle name="SAPBEXexcBad7" xfId="387"/>
    <cellStyle name="SAPBEXexcBad8" xfId="388"/>
    <cellStyle name="SAPBEXexcBad9" xfId="389"/>
    <cellStyle name="SAPBEXexcCritical4" xfId="390"/>
    <cellStyle name="SAPBEXexcCritical5" xfId="391"/>
    <cellStyle name="SAPBEXexcCritical6" xfId="392"/>
    <cellStyle name="SAPBEXexcGood1" xfId="393"/>
    <cellStyle name="SAPBEXexcGood2" xfId="394"/>
    <cellStyle name="SAPBEXexcGood3" xfId="395"/>
    <cellStyle name="SAPBEXfilterDrill" xfId="396"/>
    <cellStyle name="SAPBEXfilterItem" xfId="397"/>
    <cellStyle name="SAPBEXfilterText" xfId="398"/>
    <cellStyle name="SAPBEXfilterText 2" xfId="399"/>
    <cellStyle name="SAPBEXfilterText 3" xfId="400"/>
    <cellStyle name="SAPBEXformats" xfId="401"/>
    <cellStyle name="SAPBEXheaderItem" xfId="402"/>
    <cellStyle name="SAPBEXheaderItem 2" xfId="403"/>
    <cellStyle name="SAPBEXheaderItem 3" xfId="404"/>
    <cellStyle name="SAPBEXheaderItem 4" xfId="405"/>
    <cellStyle name="SAPBEXheaderText" xfId="406"/>
    <cellStyle name="SAPBEXheaderText 2" xfId="407"/>
    <cellStyle name="SAPBEXheaderText 3" xfId="408"/>
    <cellStyle name="SAPBEXheaderText 4" xfId="409"/>
    <cellStyle name="SAPBEXHLevel0" xfId="410"/>
    <cellStyle name="SAPBEXHLevel0 2" xfId="411"/>
    <cellStyle name="SAPBEXHLevel0 3" xfId="412"/>
    <cellStyle name="SAPBEXHLevel0 4" xfId="413"/>
    <cellStyle name="SAPBEXHLevel0 5" xfId="414"/>
    <cellStyle name="SAPBEXHLevel0 6" xfId="415"/>
    <cellStyle name="SAPBEXHLevel0X" xfId="416"/>
    <cellStyle name="SAPBEXHLevel0X 2" xfId="417"/>
    <cellStyle name="SAPBEXHLevel0X 3" xfId="418"/>
    <cellStyle name="SAPBEXHLevel0X 4" xfId="419"/>
    <cellStyle name="SAPBEXHLevel0X 5" xfId="420"/>
    <cellStyle name="SAPBEXHLevel0X 6" xfId="421"/>
    <cellStyle name="SAPBEXHLevel1" xfId="422"/>
    <cellStyle name="SAPBEXHLevel1 2" xfId="423"/>
    <cellStyle name="SAPBEXHLevel1 3" xfId="424"/>
    <cellStyle name="SAPBEXHLevel1 4" xfId="425"/>
    <cellStyle name="SAPBEXHLevel1 5" xfId="426"/>
    <cellStyle name="SAPBEXHLevel1 6" xfId="427"/>
    <cellStyle name="SAPBEXHLevel1X" xfId="428"/>
    <cellStyle name="SAPBEXHLevel1X 2" xfId="429"/>
    <cellStyle name="SAPBEXHLevel1X 3" xfId="430"/>
    <cellStyle name="SAPBEXHLevel1X 4" xfId="431"/>
    <cellStyle name="SAPBEXHLevel1X 5" xfId="432"/>
    <cellStyle name="SAPBEXHLevel1X 6" xfId="433"/>
    <cellStyle name="SAPBEXHLevel2" xfId="434"/>
    <cellStyle name="SAPBEXHLevel2 2" xfId="435"/>
    <cellStyle name="SAPBEXHLevel2 3" xfId="436"/>
    <cellStyle name="SAPBEXHLevel2 4" xfId="437"/>
    <cellStyle name="SAPBEXHLevel2 5" xfId="438"/>
    <cellStyle name="SAPBEXHLevel2 6" xfId="439"/>
    <cellStyle name="SAPBEXHLevel2X" xfId="440"/>
    <cellStyle name="SAPBEXHLevel2X 2" xfId="441"/>
    <cellStyle name="SAPBEXHLevel2X 3" xfId="442"/>
    <cellStyle name="SAPBEXHLevel2X 4" xfId="443"/>
    <cellStyle name="SAPBEXHLevel2X 5" xfId="444"/>
    <cellStyle name="SAPBEXHLevel2X 6" xfId="445"/>
    <cellStyle name="SAPBEXHLevel3" xfId="446"/>
    <cellStyle name="SAPBEXHLevel3 2" xfId="447"/>
    <cellStyle name="SAPBEXHLevel3 3" xfId="448"/>
    <cellStyle name="SAPBEXHLevel3 4" xfId="449"/>
    <cellStyle name="SAPBEXHLevel3 5" xfId="450"/>
    <cellStyle name="SAPBEXHLevel3 6" xfId="451"/>
    <cellStyle name="SAPBEXHLevel3X" xfId="452"/>
    <cellStyle name="SAPBEXHLevel3X 2" xfId="453"/>
    <cellStyle name="SAPBEXHLevel3X 3" xfId="454"/>
    <cellStyle name="SAPBEXHLevel3X 4" xfId="455"/>
    <cellStyle name="SAPBEXHLevel3X 5" xfId="456"/>
    <cellStyle name="SAPBEXHLevel3X 6" xfId="457"/>
    <cellStyle name="SAPBEXresData" xfId="458"/>
    <cellStyle name="SAPBEXresDataEmph" xfId="459"/>
    <cellStyle name="SAPBEXresItem" xfId="460"/>
    <cellStyle name="SAPBEXresItemX" xfId="461"/>
    <cellStyle name="SAPBEXstdData" xfId="462"/>
    <cellStyle name="SAPBEXstdDataEmph" xfId="463"/>
    <cellStyle name="SAPBEXstdItem" xfId="464"/>
    <cellStyle name="SAPBEXstdItemX" xfId="465"/>
    <cellStyle name="SAPBEXtitle" xfId="466"/>
    <cellStyle name="SAPBEXtitle 2" xfId="467"/>
    <cellStyle name="SAPBEXtitle 3" xfId="468"/>
    <cellStyle name="SAPBEXtitle 4" xfId="469"/>
    <cellStyle name="SAPBEXundefined" xfId="470"/>
    <cellStyle name="Shade" xfId="471"/>
    <cellStyle name="Special" xfId="472"/>
    <cellStyle name="Special 2" xfId="473"/>
    <cellStyle name="Special 3" xfId="474"/>
    <cellStyle name="Style 1" xfId="475"/>
    <cellStyle name="Style 27" xfId="476"/>
    <cellStyle name="Style 35" xfId="477"/>
    <cellStyle name="Style 36" xfId="478"/>
    <cellStyle name="Text" xfId="479"/>
    <cellStyle name="Title 2" xfId="480"/>
    <cellStyle name="Title 3" xfId="481"/>
    <cellStyle name="Title 4" xfId="482"/>
    <cellStyle name="Title 5" xfId="483"/>
    <cellStyle name="Title 6" xfId="484"/>
    <cellStyle name="Titles" xfId="485"/>
    <cellStyle name="Total2 - Style2" xfId="486"/>
    <cellStyle name="TRANSMISSION RELIABILITY PORTION OF PROJECT" xfId="17"/>
    <cellStyle name="Underl - Style4" xfId="487"/>
    <cellStyle name="UNLocked" xfId="488"/>
    <cellStyle name="Unprot" xfId="489"/>
    <cellStyle name="Unprot 2" xfId="490"/>
    <cellStyle name="Unprot 3" xfId="491"/>
    <cellStyle name="Unprot$" xfId="492"/>
    <cellStyle name="Unprot$ 2" xfId="493"/>
    <cellStyle name="Unprot$ 3" xfId="494"/>
    <cellStyle name="Unprot$ 4" xfId="495"/>
    <cellStyle name="Unprot_CA PTAM New Wind Sept-09 - Estimated Preview" xfId="496"/>
    <cellStyle name="Unprotect" xfId="497"/>
    <cellStyle name="Warning Text 2" xfId="498"/>
    <cellStyle name="Warning Text 3" xfId="499"/>
    <cellStyle name="Warning Text 4" xfId="500"/>
    <cellStyle name="Warning Text 5" xfId="501"/>
    <cellStyle name="Warning Text 6" xfId="5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R58"/>
  <sheetViews>
    <sheetView tabSelected="1" view="pageBreakPreview" topLeftCell="B1" zoomScale="80" zoomScaleNormal="55" zoomScaleSheetLayoutView="80" workbookViewId="0">
      <selection activeCell="L50" sqref="L50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75" style="1" bestFit="1" customWidth="1"/>
    <col min="10" max="10" width="2" style="1" customWidth="1"/>
    <col min="11" max="11" width="11" style="1" hidden="1" customWidth="1"/>
    <col min="12" max="12" width="12" style="1" bestFit="1" customWidth="1"/>
    <col min="13" max="13" width="2.125" style="1" customWidth="1"/>
    <col min="14" max="14" width="10.25" style="1" hidden="1" customWidth="1"/>
    <col min="15" max="15" width="11.375" style="1" bestFit="1" customWidth="1"/>
    <col min="16" max="16" width="2.75" style="1" customWidth="1"/>
    <col min="17" max="17" width="11.5" style="1" bestFit="1" customWidth="1"/>
    <col min="18" max="18" width="2.75" style="1" customWidth="1"/>
    <col min="19" max="19" width="11.125" style="1" bestFit="1" customWidth="1"/>
    <col min="20" max="20" width="2.375" style="1" customWidth="1"/>
    <col min="21" max="21" width="11.375" style="1" customWidth="1"/>
    <col min="22" max="22" width="2.75" style="1" customWidth="1"/>
    <col min="23" max="23" width="11.875" style="1" bestFit="1" customWidth="1"/>
    <col min="24" max="24" width="2" style="1" hidden="1" customWidth="1"/>
    <col min="25" max="25" width="20.25" style="1" hidden="1" customWidth="1"/>
    <col min="26" max="26" width="3" style="1" customWidth="1"/>
    <col min="27" max="27" width="11.125" style="1" bestFit="1" customWidth="1"/>
    <col min="28" max="28" width="3.625" style="1" customWidth="1"/>
    <col min="29" max="29" width="8.625" style="1" bestFit="1" customWidth="1"/>
    <col min="30" max="30" width="2" style="1" customWidth="1"/>
    <col min="31" max="31" width="8.5" style="1" bestFit="1" customWidth="1"/>
    <col min="32" max="32" width="14.125" style="1" hidden="1" customWidth="1"/>
    <col min="33" max="33" width="12.25" style="1" hidden="1" customWidth="1"/>
    <col min="34" max="34" width="14.5" style="1" hidden="1" customWidth="1"/>
    <col min="35" max="35" width="15.25" style="1" hidden="1" customWidth="1"/>
    <col min="36" max="36" width="6.75" style="1" hidden="1" customWidth="1"/>
    <col min="37" max="37" width="20.75" style="1" hidden="1" customWidth="1"/>
    <col min="38" max="38" width="3.125" style="1" customWidth="1"/>
    <col min="39" max="39" width="8.25" style="1" customWidth="1"/>
    <col min="40" max="40" width="0.125" style="1" customWidth="1"/>
    <col min="41" max="41" width="2.375" style="1" customWidth="1"/>
    <col min="42" max="42" width="10.875" style="1" bestFit="1" customWidth="1"/>
    <col min="43" max="16384" width="10.25" style="1"/>
  </cols>
  <sheetData>
    <row r="1" spans="2:44">
      <c r="W1" s="3" t="s">
        <v>0</v>
      </c>
    </row>
    <row r="2" spans="2:44">
      <c r="B2" s="192" t="s">
        <v>1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</row>
    <row r="3" spans="2:44">
      <c r="B3" s="193" t="s">
        <v>2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</row>
    <row r="4" spans="2:44">
      <c r="B4" s="193" t="s">
        <v>87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</row>
    <row r="5" spans="2:44">
      <c r="B5" s="193" t="s">
        <v>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</row>
    <row r="6" spans="2:44">
      <c r="B6" s="193" t="s">
        <v>4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</row>
    <row r="7" spans="2:44">
      <c r="B7" s="192" t="s">
        <v>92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</row>
    <row r="8" spans="2:44">
      <c r="M8" s="4"/>
      <c r="N8" s="5"/>
      <c r="O8" s="5"/>
      <c r="P8" s="6"/>
      <c r="Q8" s="6"/>
      <c r="R8" s="6"/>
      <c r="S8" s="6"/>
      <c r="T8" s="6"/>
      <c r="U8" s="6"/>
      <c r="V8" s="6"/>
      <c r="W8" s="6"/>
      <c r="X8" s="5"/>
      <c r="Y8" s="5"/>
      <c r="Z8" s="5"/>
      <c r="AA8" s="5"/>
      <c r="AB8" s="5"/>
      <c r="AC8" s="6"/>
      <c r="AD8" s="6"/>
      <c r="AE8" s="6"/>
      <c r="AF8" s="6"/>
      <c r="AG8" s="6"/>
      <c r="AH8" s="6"/>
      <c r="AI8" s="6"/>
      <c r="AJ8" s="6"/>
      <c r="AK8" s="7" t="s">
        <v>5</v>
      </c>
      <c r="AL8" s="6"/>
      <c r="AM8" s="6"/>
      <c r="AN8" s="6"/>
      <c r="AO8" s="4"/>
      <c r="AP8" s="4"/>
      <c r="AQ8" s="4"/>
    </row>
    <row r="9" spans="2:44">
      <c r="N9" s="8" t="s">
        <v>6</v>
      </c>
      <c r="O9" s="189" t="s">
        <v>7</v>
      </c>
      <c r="P9" s="189"/>
      <c r="Q9" s="189"/>
      <c r="R9" s="189"/>
      <c r="S9" s="189"/>
      <c r="T9" s="8"/>
      <c r="U9" s="189" t="s">
        <v>8</v>
      </c>
      <c r="V9" s="189"/>
      <c r="W9" s="189"/>
      <c r="X9" s="189"/>
      <c r="Y9" s="189"/>
      <c r="Z9" s="189"/>
      <c r="AA9" s="189"/>
      <c r="AB9" s="9"/>
      <c r="AC9" s="4"/>
      <c r="AD9" s="4"/>
      <c r="AE9" s="4"/>
      <c r="AJ9" s="10"/>
      <c r="AK9" s="138" t="s">
        <v>9</v>
      </c>
      <c r="AL9" s="10"/>
      <c r="AM9" s="10"/>
      <c r="AN9" s="10"/>
    </row>
    <row r="10" spans="2:44">
      <c r="F10" s="11" t="s">
        <v>10</v>
      </c>
      <c r="G10" s="11"/>
      <c r="H10" s="8" t="s">
        <v>11</v>
      </c>
      <c r="N10" s="7" t="s">
        <v>12</v>
      </c>
      <c r="O10" s="7" t="s">
        <v>12</v>
      </c>
      <c r="P10" s="12"/>
      <c r="Q10" s="7" t="s">
        <v>13</v>
      </c>
      <c r="R10" s="12"/>
      <c r="S10" s="7" t="s">
        <v>14</v>
      </c>
      <c r="T10" s="7"/>
      <c r="U10" s="7" t="s">
        <v>12</v>
      </c>
      <c r="V10" s="12"/>
      <c r="W10" s="7" t="s">
        <v>13</v>
      </c>
      <c r="X10" s="7"/>
      <c r="Y10" s="7" t="s">
        <v>14</v>
      </c>
      <c r="Z10" s="7"/>
      <c r="AA10" s="7" t="s">
        <v>14</v>
      </c>
      <c r="AB10" s="7"/>
      <c r="AC10" s="189" t="s">
        <v>15</v>
      </c>
      <c r="AD10" s="189"/>
      <c r="AE10" s="189"/>
      <c r="AF10" s="189"/>
      <c r="AG10" s="189"/>
      <c r="AH10" s="189"/>
      <c r="AI10" s="189"/>
      <c r="AJ10" s="9"/>
      <c r="AK10" s="9"/>
      <c r="AL10" s="13"/>
      <c r="AM10" s="9"/>
      <c r="AN10" s="13"/>
    </row>
    <row r="11" spans="2:44">
      <c r="B11" s="13" t="s">
        <v>16</v>
      </c>
      <c r="F11" s="11" t="s">
        <v>17</v>
      </c>
      <c r="G11" s="11"/>
      <c r="H11" s="8" t="s">
        <v>18</v>
      </c>
      <c r="I11" s="8" t="s">
        <v>11</v>
      </c>
      <c r="K11" s="8" t="s">
        <v>19</v>
      </c>
      <c r="N11" s="8" t="s">
        <v>20</v>
      </c>
      <c r="O11" s="8" t="s">
        <v>20</v>
      </c>
      <c r="P11" s="13"/>
      <c r="Q11" s="13" t="s">
        <v>20</v>
      </c>
      <c r="R11" s="13"/>
      <c r="S11" s="8" t="s">
        <v>20</v>
      </c>
      <c r="T11" s="8"/>
      <c r="U11" s="8" t="s">
        <v>20</v>
      </c>
      <c r="V11" s="13"/>
      <c r="W11" s="8" t="s">
        <v>20</v>
      </c>
      <c r="X11" s="8"/>
      <c r="Y11" s="8" t="s">
        <v>20</v>
      </c>
      <c r="Z11" s="8"/>
      <c r="AA11" s="8" t="s">
        <v>20</v>
      </c>
      <c r="AB11" s="8"/>
      <c r="AJ11" s="13"/>
      <c r="AK11" s="13"/>
      <c r="AL11" s="13"/>
      <c r="AM11" s="7" t="s">
        <v>21</v>
      </c>
      <c r="AN11" s="14"/>
      <c r="AO11" s="4"/>
      <c r="AP11" s="13" t="s">
        <v>8</v>
      </c>
    </row>
    <row r="12" spans="2:44">
      <c r="B12" s="15" t="s">
        <v>22</v>
      </c>
      <c r="D12" s="16" t="s">
        <v>23</v>
      </c>
      <c r="F12" s="16" t="s">
        <v>22</v>
      </c>
      <c r="G12" s="17"/>
      <c r="H12" s="18" t="s">
        <v>6</v>
      </c>
      <c r="I12" s="138" t="s">
        <v>18</v>
      </c>
      <c r="K12" s="18" t="s">
        <v>6</v>
      </c>
      <c r="L12" s="138" t="s">
        <v>19</v>
      </c>
      <c r="N12" s="19" t="s">
        <v>24</v>
      </c>
      <c r="O12" s="19" t="s">
        <v>24</v>
      </c>
      <c r="P12" s="7"/>
      <c r="Q12" s="19" t="s">
        <v>24</v>
      </c>
      <c r="R12" s="7"/>
      <c r="S12" s="19" t="s">
        <v>24</v>
      </c>
      <c r="T12" s="20"/>
      <c r="U12" s="19" t="s">
        <v>24</v>
      </c>
      <c r="V12" s="7"/>
      <c r="W12" s="19" t="s">
        <v>24</v>
      </c>
      <c r="X12" s="20"/>
      <c r="Y12" s="19" t="s">
        <v>24</v>
      </c>
      <c r="Z12" s="20"/>
      <c r="AA12" s="19" t="s">
        <v>24</v>
      </c>
      <c r="AB12" s="20"/>
      <c r="AC12" s="21" t="s">
        <v>24</v>
      </c>
      <c r="AD12" s="21"/>
      <c r="AE12" s="138" t="s">
        <v>25</v>
      </c>
      <c r="AF12" s="21" t="s">
        <v>24</v>
      </c>
      <c r="AG12" s="138" t="s">
        <v>25</v>
      </c>
      <c r="AH12" s="21" t="s">
        <v>24</v>
      </c>
      <c r="AI12" s="138" t="s">
        <v>25</v>
      </c>
      <c r="AJ12" s="14"/>
      <c r="AK12" s="22" t="s">
        <v>26</v>
      </c>
      <c r="AL12" s="14"/>
      <c r="AM12" s="138" t="s">
        <v>27</v>
      </c>
      <c r="AN12" s="132"/>
      <c r="AO12" s="41"/>
      <c r="AP12" s="132" t="s">
        <v>27</v>
      </c>
    </row>
    <row r="13" spans="2:44">
      <c r="B13" s="23"/>
      <c r="D13" s="24" t="s">
        <v>28</v>
      </c>
      <c r="F13" s="24" t="s">
        <v>29</v>
      </c>
      <c r="G13" s="11"/>
      <c r="H13" s="24"/>
      <c r="I13" s="24" t="s">
        <v>30</v>
      </c>
      <c r="K13" s="24"/>
      <c r="L13" s="24" t="s">
        <v>31</v>
      </c>
      <c r="N13" s="24"/>
      <c r="O13" s="24" t="s">
        <v>32</v>
      </c>
      <c r="P13" s="24"/>
      <c r="Q13" s="24" t="s">
        <v>33</v>
      </c>
      <c r="R13" s="24"/>
      <c r="S13" s="24" t="s">
        <v>34</v>
      </c>
      <c r="T13" s="24"/>
      <c r="U13" s="24" t="s">
        <v>35</v>
      </c>
      <c r="V13" s="24"/>
      <c r="W13" s="24" t="s">
        <v>36</v>
      </c>
      <c r="X13" s="24"/>
      <c r="Y13" s="24"/>
      <c r="Z13" s="24"/>
      <c r="AA13" s="24" t="s">
        <v>37</v>
      </c>
      <c r="AB13" s="24"/>
      <c r="AC13" s="24" t="s">
        <v>38</v>
      </c>
      <c r="AD13" s="24"/>
      <c r="AE13" s="24" t="s">
        <v>80</v>
      </c>
      <c r="AF13" s="24" t="s">
        <v>34</v>
      </c>
      <c r="AG13" s="24" t="s">
        <v>34</v>
      </c>
      <c r="AH13" s="24"/>
      <c r="AI13" s="24"/>
      <c r="AJ13" s="24"/>
      <c r="AK13" s="24"/>
      <c r="AL13" s="24"/>
      <c r="AM13" s="12" t="s">
        <v>85</v>
      </c>
      <c r="AN13" s="12"/>
      <c r="AO13" s="4"/>
      <c r="AP13" s="131" t="s">
        <v>86</v>
      </c>
    </row>
    <row r="14" spans="2:44">
      <c r="P14" s="24"/>
      <c r="Q14" s="24"/>
      <c r="R14" s="24"/>
      <c r="S14" s="24"/>
      <c r="T14" s="24"/>
      <c r="U14" s="24"/>
      <c r="V14" s="24"/>
      <c r="W14" s="8" t="s">
        <v>0</v>
      </c>
      <c r="AC14" s="25" t="s">
        <v>81</v>
      </c>
      <c r="AD14" s="25"/>
      <c r="AE14" s="24" t="s">
        <v>82</v>
      </c>
      <c r="AG14" s="24" t="s">
        <v>39</v>
      </c>
      <c r="AI14" s="24"/>
      <c r="AM14" s="4"/>
      <c r="AN14" s="4"/>
      <c r="AO14" s="4"/>
      <c r="AP14" s="25" t="s">
        <v>91</v>
      </c>
    </row>
    <row r="15" spans="2:44">
      <c r="D15" s="26" t="s">
        <v>40</v>
      </c>
      <c r="AM15" s="4"/>
      <c r="AN15" s="4"/>
      <c r="AO15" s="4"/>
    </row>
    <row r="16" spans="2:44">
      <c r="B16" s="13">
        <v>1</v>
      </c>
      <c r="D16" s="2" t="s">
        <v>41</v>
      </c>
      <c r="F16" s="27" t="s">
        <v>42</v>
      </c>
      <c r="G16" s="27"/>
      <c r="H16" s="28">
        <v>101336.91666666667</v>
      </c>
      <c r="I16" s="28">
        <v>107084.16666666667</v>
      </c>
      <c r="J16" s="3"/>
      <c r="K16" s="28">
        <v>1569938.6044392167</v>
      </c>
      <c r="L16" s="28">
        <v>1637294.9340945808</v>
      </c>
      <c r="N16" s="29">
        <v>102672.94442530281</v>
      </c>
      <c r="O16" s="145">
        <v>157361.39913594275</v>
      </c>
      <c r="P16" s="30"/>
      <c r="Q16" s="29">
        <f>L16*AM16/100</f>
        <v>5403.0732825121167</v>
      </c>
      <c r="R16" s="30"/>
      <c r="S16" s="31">
        <f>O16+Q16</f>
        <v>162764.47241845485</v>
      </c>
      <c r="T16" s="31"/>
      <c r="U16" s="31">
        <f>O16</f>
        <v>157361.39913594275</v>
      </c>
      <c r="V16" s="30"/>
      <c r="W16" s="32">
        <f>O16/($O$43-$O$41)*$W$50</f>
        <v>4792.0654298723775</v>
      </c>
      <c r="X16" s="29"/>
      <c r="Y16" s="31">
        <f>W16+AF16</f>
        <v>5679.4792841516401</v>
      </c>
      <c r="Z16" s="31"/>
      <c r="AA16" s="31">
        <f>W16+U16</f>
        <v>162153.46456581511</v>
      </c>
      <c r="AB16" s="29"/>
      <c r="AC16" s="29">
        <f>W16-Q16</f>
        <v>-611.00785263973921</v>
      </c>
      <c r="AD16" s="29"/>
      <c r="AE16" s="33">
        <f>AC16/S16</f>
        <v>-3.7539387039506101E-3</v>
      </c>
      <c r="AF16" s="29">
        <f>(AK16/100)*L16</f>
        <v>887.41385427926275</v>
      </c>
      <c r="AG16" s="33">
        <f>AF16/O16</f>
        <v>5.6393363248672945E-3</v>
      </c>
      <c r="AH16" s="29">
        <f>AC16+AF16</f>
        <v>276.40600163952354</v>
      </c>
      <c r="AI16" s="33">
        <f>AH16/O16</f>
        <v>1.7565044741419686E-3</v>
      </c>
      <c r="AJ16" s="30"/>
      <c r="AK16" s="34">
        <f>ROUND((((O16/$O$43)*$AF$50)/L16)*100,4)</f>
        <v>5.4199999999999998E-2</v>
      </c>
      <c r="AL16" s="30"/>
      <c r="AM16" s="56">
        <v>0.33</v>
      </c>
      <c r="AN16" s="36"/>
      <c r="AO16" s="37" t="s">
        <v>0</v>
      </c>
      <c r="AP16" s="38">
        <f>ROUND(W16/L16*100,3)</f>
        <v>0.29299999999999998</v>
      </c>
      <c r="AR16" s="32">
        <f>AP16*L16/100</f>
        <v>4797.2741568971214</v>
      </c>
    </row>
    <row r="17" spans="2:44">
      <c r="D17" s="2" t="s">
        <v>43</v>
      </c>
      <c r="H17" s="39"/>
      <c r="I17" s="39"/>
      <c r="K17" s="39"/>
      <c r="L17" s="39"/>
      <c r="N17" s="39"/>
      <c r="O17" s="39"/>
      <c r="P17" s="4"/>
      <c r="Q17" s="40"/>
      <c r="R17" s="4"/>
      <c r="S17" s="41"/>
      <c r="T17" s="4"/>
      <c r="U17" s="41"/>
      <c r="V17" s="4"/>
      <c r="W17" s="41"/>
      <c r="X17" s="4"/>
      <c r="Y17" s="41"/>
      <c r="Z17" s="4"/>
      <c r="AA17" s="41"/>
      <c r="AB17" s="4"/>
      <c r="AC17" s="39"/>
      <c r="AD17" s="4"/>
      <c r="AE17" s="42"/>
      <c r="AF17" s="39"/>
      <c r="AG17" s="43"/>
      <c r="AH17" s="39"/>
      <c r="AI17" s="43"/>
      <c r="AJ17" s="4"/>
      <c r="AK17" s="44"/>
      <c r="AL17" s="4"/>
      <c r="AM17" s="133"/>
      <c r="AN17" s="4"/>
      <c r="AO17" s="4"/>
      <c r="AP17" s="134"/>
    </row>
    <row r="18" spans="2:44">
      <c r="Q18" s="29"/>
      <c r="AE18" s="47"/>
      <c r="AG18" s="47"/>
      <c r="AI18" s="47"/>
      <c r="AK18" s="48"/>
      <c r="AM18" s="45"/>
      <c r="AN18" s="4"/>
      <c r="AO18" s="4"/>
      <c r="AP18" s="46"/>
    </row>
    <row r="19" spans="2:44">
      <c r="B19" s="49">
        <f>MAX(B$13:B18)+1</f>
        <v>2</v>
      </c>
      <c r="D19" s="26" t="s">
        <v>44</v>
      </c>
      <c r="H19" s="50">
        <f>SUM(H16:H16)</f>
        <v>101336.91666666667</v>
      </c>
      <c r="I19" s="50">
        <f>SUM(I16:I18)</f>
        <v>107084.16666666667</v>
      </c>
      <c r="K19" s="50">
        <f>SUM(K16:K16)</f>
        <v>1569938.6044392167</v>
      </c>
      <c r="L19" s="50">
        <f>SUM(L16:L18)</f>
        <v>1637294.9340945808</v>
      </c>
      <c r="M19" s="50"/>
      <c r="N19" s="51">
        <f>SUM(N16:N16)</f>
        <v>102672.94442530281</v>
      </c>
      <c r="O19" s="51">
        <f>SUM(O16:O18)</f>
        <v>157361.39913594275</v>
      </c>
      <c r="P19" s="30"/>
      <c r="Q19" s="51">
        <f>SUM(Q16:Q18)</f>
        <v>5403.0732825121167</v>
      </c>
      <c r="R19" s="30"/>
      <c r="S19" s="51">
        <f>SUM(S16:S16)</f>
        <v>162764.47241845485</v>
      </c>
      <c r="T19" s="51"/>
      <c r="U19" s="51">
        <f>SUM(U16:U16)</f>
        <v>157361.39913594275</v>
      </c>
      <c r="V19" s="30"/>
      <c r="W19" s="51">
        <f>SUM(W16:W16)</f>
        <v>4792.0654298723775</v>
      </c>
      <c r="X19" s="51"/>
      <c r="Y19" s="51">
        <f>SUM(Y16:Y16)</f>
        <v>5679.4792841516401</v>
      </c>
      <c r="Z19" s="51"/>
      <c r="AA19" s="51">
        <f>SUM(AA16:AA16)</f>
        <v>162153.46456581511</v>
      </c>
      <c r="AB19" s="51"/>
      <c r="AC19" s="29">
        <f>SUM(AC16)</f>
        <v>-611.00785263973921</v>
      </c>
      <c r="AD19" s="29"/>
      <c r="AE19" s="33">
        <f>AC19/S19</f>
        <v>-3.7539387039506101E-3</v>
      </c>
      <c r="AF19" s="29">
        <f>SUM(AF16)</f>
        <v>887.41385427926275</v>
      </c>
      <c r="AG19" s="33">
        <f>AF19/O19</f>
        <v>5.6393363248672945E-3</v>
      </c>
      <c r="AH19" s="29">
        <f>AC19+AF19</f>
        <v>276.40600163952354</v>
      </c>
      <c r="AI19" s="33">
        <f>AH19/O19</f>
        <v>1.7565044741419686E-3</v>
      </c>
      <c r="AJ19" s="30"/>
      <c r="AK19" s="52"/>
      <c r="AL19" s="30"/>
      <c r="AM19" s="130"/>
      <c r="AN19" s="36"/>
      <c r="AO19" s="4"/>
      <c r="AP19" s="46"/>
    </row>
    <row r="20" spans="2:44">
      <c r="Q20" s="29"/>
      <c r="AE20" s="47"/>
      <c r="AG20" s="47"/>
      <c r="AI20" s="47"/>
      <c r="AK20" s="48"/>
      <c r="AM20" s="45"/>
      <c r="AN20" s="4"/>
      <c r="AO20" s="4"/>
      <c r="AP20" s="46"/>
    </row>
    <row r="21" spans="2:44">
      <c r="D21" s="26" t="s">
        <v>45</v>
      </c>
      <c r="H21" s="53"/>
      <c r="I21" s="53"/>
      <c r="L21" s="53"/>
      <c r="O21" s="53"/>
      <c r="Q21" s="29"/>
      <c r="AE21" s="47"/>
      <c r="AG21" s="47"/>
      <c r="AI21" s="47"/>
      <c r="AK21" s="48"/>
      <c r="AM21" s="45"/>
      <c r="AN21" s="4"/>
      <c r="AO21" s="4"/>
      <c r="AP21" s="46"/>
    </row>
    <row r="22" spans="2:44">
      <c r="B22" s="49">
        <f>MAX(B$13:B21)+1</f>
        <v>3</v>
      </c>
      <c r="D22" s="2" t="s">
        <v>46</v>
      </c>
      <c r="F22" s="11">
        <v>24</v>
      </c>
      <c r="G22" s="11"/>
      <c r="H22" s="28">
        <v>17306.416666666664</v>
      </c>
      <c r="I22" s="28">
        <v>19540.666666666668</v>
      </c>
      <c r="K22" s="28">
        <v>513041.74113523914</v>
      </c>
      <c r="L22" s="28">
        <v>543374.18286763737</v>
      </c>
      <c r="N22" s="51">
        <v>33647.646251191611</v>
      </c>
      <c r="O22" s="145">
        <v>50936.479012319709</v>
      </c>
      <c r="P22" s="30"/>
      <c r="Q22" s="29">
        <f t="shared" ref="Q22:Q28" si="0">L22*AM22/100</f>
        <v>1787.7010616345269</v>
      </c>
      <c r="R22" s="30"/>
      <c r="S22" s="31">
        <f t="shared" ref="S22:S28" si="1">O22+Q22</f>
        <v>52724.180073954238</v>
      </c>
      <c r="T22" s="31"/>
      <c r="U22" s="31">
        <f t="shared" ref="U22:U28" si="2">O22</f>
        <v>50936.479012319709</v>
      </c>
      <c r="V22" s="30"/>
      <c r="W22" s="32">
        <f>O22/($O$43-$O$41)*$W$50</f>
        <v>1551.1487666901701</v>
      </c>
      <c r="X22" s="29"/>
      <c r="Y22" s="31">
        <f t="shared" ref="Y22:Y28" si="3">W22+AF22</f>
        <v>1838.0503352442827</v>
      </c>
      <c r="Z22" s="31"/>
      <c r="AA22" s="31">
        <f t="shared" ref="AA22:AA28" si="4">W22+U22</f>
        <v>52487.627779009876</v>
      </c>
      <c r="AB22" s="29"/>
      <c r="AC22" s="29">
        <f t="shared" ref="AC22:AC28" si="5">W22-Q22</f>
        <v>-236.55229494435685</v>
      </c>
      <c r="AD22" s="29"/>
      <c r="AE22" s="33">
        <f>AC22/S22</f>
        <v>-4.4865997842461237E-3</v>
      </c>
      <c r="AF22" s="29">
        <f t="shared" ref="AF22:AF28" si="6">(AK22/100)*L22</f>
        <v>286.90156855411254</v>
      </c>
      <c r="AG22" s="33">
        <f>AF22/O22</f>
        <v>5.6325363299006464E-3</v>
      </c>
      <c r="AH22" s="29">
        <f t="shared" ref="AH22:AH28" si="7">AC22+AF22</f>
        <v>50.349273609755699</v>
      </c>
      <c r="AI22" s="33">
        <f>AH22/O22</f>
        <v>9.8847181010642713E-4</v>
      </c>
      <c r="AJ22" s="30"/>
      <c r="AK22" s="34">
        <f>ROUND((((O22/$O$43)*$AF$50)/L22)*100,4)</f>
        <v>5.28E-2</v>
      </c>
      <c r="AL22" s="30"/>
      <c r="AM22" s="56">
        <v>0.32900000000000001</v>
      </c>
      <c r="AN22" s="36"/>
      <c r="AO22" s="4"/>
      <c r="AP22" s="38">
        <f>ROUND(W22/L22*100,3)</f>
        <v>0.28499999999999998</v>
      </c>
      <c r="AQ22" s="54"/>
      <c r="AR22" s="32">
        <f t="shared" ref="AR22:AR28" si="8">AP22*L22/100</f>
        <v>1548.6164211727664</v>
      </c>
    </row>
    <row r="23" spans="2:44">
      <c r="B23" s="49">
        <f>MAX(B$13:B22)+1</f>
        <v>4</v>
      </c>
      <c r="D23" s="55" t="s">
        <v>47</v>
      </c>
      <c r="E23" s="55"/>
      <c r="F23" s="49">
        <v>33</v>
      </c>
      <c r="G23" s="11"/>
      <c r="H23" s="28">
        <v>0</v>
      </c>
      <c r="I23" s="28">
        <v>0</v>
      </c>
      <c r="K23" s="28">
        <v>0</v>
      </c>
      <c r="L23" s="28">
        <v>0</v>
      </c>
      <c r="N23" s="29">
        <v>0</v>
      </c>
      <c r="O23" s="145">
        <v>0</v>
      </c>
      <c r="P23" s="30"/>
      <c r="Q23" s="29">
        <f t="shared" si="0"/>
        <v>0</v>
      </c>
      <c r="R23" s="30"/>
      <c r="S23" s="31">
        <f t="shared" si="1"/>
        <v>0</v>
      </c>
      <c r="T23" s="31"/>
      <c r="U23" s="31">
        <f t="shared" si="2"/>
        <v>0</v>
      </c>
      <c r="V23" s="30"/>
      <c r="W23" s="32">
        <f>AP23*L23</f>
        <v>0</v>
      </c>
      <c r="X23" s="29"/>
      <c r="Y23" s="31">
        <f t="shared" si="3"/>
        <v>0</v>
      </c>
      <c r="Z23" s="31"/>
      <c r="AA23" s="31">
        <f t="shared" si="4"/>
        <v>0</v>
      </c>
      <c r="AB23" s="29"/>
      <c r="AC23" s="29">
        <f t="shared" si="5"/>
        <v>0</v>
      </c>
      <c r="AD23" s="29"/>
      <c r="AE23" s="33">
        <v>0</v>
      </c>
      <c r="AF23" s="29">
        <f t="shared" si="6"/>
        <v>0</v>
      </c>
      <c r="AG23" s="33">
        <v>0</v>
      </c>
      <c r="AH23" s="29">
        <f t="shared" si="7"/>
        <v>0</v>
      </c>
      <c r="AI23" s="33">
        <f>AE23+AG23</f>
        <v>0</v>
      </c>
      <c r="AJ23" s="30"/>
      <c r="AK23" s="34">
        <v>0</v>
      </c>
      <c r="AL23" s="30"/>
      <c r="AM23" s="56">
        <v>0.28199999999999997</v>
      </c>
      <c r="AN23" s="36"/>
      <c r="AO23" s="4"/>
      <c r="AP23" s="38">
        <f>AP24</f>
        <v>0.245</v>
      </c>
      <c r="AQ23" s="54"/>
      <c r="AR23" s="32">
        <f t="shared" si="8"/>
        <v>0</v>
      </c>
    </row>
    <row r="24" spans="2:44">
      <c r="B24" s="49">
        <f>MAX(B$13:B23)+1</f>
        <v>5</v>
      </c>
      <c r="D24" s="2" t="s">
        <v>48</v>
      </c>
      <c r="F24" s="11">
        <v>36</v>
      </c>
      <c r="G24" s="11"/>
      <c r="H24" s="28">
        <v>1058.6666666666667</v>
      </c>
      <c r="I24" s="28">
        <v>1101.1666666666667</v>
      </c>
      <c r="K24" s="28">
        <v>901191.51506367233</v>
      </c>
      <c r="L24" s="28">
        <v>922757.20514216553</v>
      </c>
      <c r="N24" s="51">
        <v>49005.26783999426</v>
      </c>
      <c r="O24" s="145">
        <v>74289.160709911259</v>
      </c>
      <c r="P24" s="30"/>
      <c r="Q24" s="29">
        <f t="shared" si="0"/>
        <v>2602.1753185009065</v>
      </c>
      <c r="R24" s="30"/>
      <c r="S24" s="31">
        <f t="shared" si="1"/>
        <v>76891.336028412159</v>
      </c>
      <c r="T24" s="31"/>
      <c r="U24" s="31">
        <f t="shared" si="2"/>
        <v>74289.160709911259</v>
      </c>
      <c r="V24" s="30"/>
      <c r="W24" s="32">
        <f>O24/($O$43-$O$41)*$W$50</f>
        <v>2262.2988916402292</v>
      </c>
      <c r="X24" s="29"/>
      <c r="Y24" s="31">
        <f t="shared" si="3"/>
        <v>2681.2306627747721</v>
      </c>
      <c r="Z24" s="31"/>
      <c r="AA24" s="31">
        <f t="shared" si="4"/>
        <v>76551.459601551484</v>
      </c>
      <c r="AB24" s="29"/>
      <c r="AC24" s="29">
        <f t="shared" si="5"/>
        <v>-339.87642686067738</v>
      </c>
      <c r="AD24" s="29"/>
      <c r="AE24" s="33">
        <f t="shared" ref="AE24:AE28" si="9">AC24/S24</f>
        <v>-4.4202174707315455E-3</v>
      </c>
      <c r="AF24" s="29">
        <f t="shared" si="6"/>
        <v>418.93177113454317</v>
      </c>
      <c r="AG24" s="33">
        <f t="shared" ref="AG24:AG28" si="10">AF24/O24</f>
        <v>5.6392045236641304E-3</v>
      </c>
      <c r="AH24" s="29">
        <f t="shared" si="7"/>
        <v>79.055344273865785</v>
      </c>
      <c r="AI24" s="33">
        <f t="shared" ref="AI24:AI28" si="11">AH24/O24</f>
        <v>1.0641571868413725E-3</v>
      </c>
      <c r="AJ24" s="30"/>
      <c r="AK24" s="34">
        <f>ROUND((((O24/$O$43)*$AF$50)/L24)*100,4)</f>
        <v>4.5400000000000003E-2</v>
      </c>
      <c r="AL24" s="30"/>
      <c r="AM24" s="56">
        <v>0.28199999999999997</v>
      </c>
      <c r="AN24" s="36"/>
      <c r="AO24" s="4"/>
      <c r="AP24" s="38">
        <f>ROUND(W24/L24*100,3)</f>
        <v>0.245</v>
      </c>
      <c r="AQ24" s="54"/>
      <c r="AR24" s="32">
        <f t="shared" si="8"/>
        <v>2260.7551525983054</v>
      </c>
    </row>
    <row r="25" spans="2:44">
      <c r="B25" s="49">
        <f>MAX(B$13:B24)+1</f>
        <v>6</v>
      </c>
      <c r="D25" s="2" t="s">
        <v>49</v>
      </c>
      <c r="F25" s="11" t="s">
        <v>50</v>
      </c>
      <c r="G25" s="11"/>
      <c r="H25" s="28">
        <v>5259</v>
      </c>
      <c r="I25" s="28">
        <v>5169.583333333333</v>
      </c>
      <c r="K25" s="28">
        <v>168033.04399999999</v>
      </c>
      <c r="L25" s="28">
        <v>139102.20980699998</v>
      </c>
      <c r="N25" s="51">
        <v>10140.337</v>
      </c>
      <c r="O25" s="145">
        <v>12062.622176678356</v>
      </c>
      <c r="P25" s="30"/>
      <c r="Q25" s="29">
        <f t="shared" si="0"/>
        <v>432.60787249976994</v>
      </c>
      <c r="R25" s="30"/>
      <c r="S25" s="31">
        <f t="shared" si="1"/>
        <v>12495.230049178126</v>
      </c>
      <c r="T25" s="31"/>
      <c r="U25" s="31">
        <f t="shared" si="2"/>
        <v>12062.622176678356</v>
      </c>
      <c r="V25" s="30"/>
      <c r="W25" s="32">
        <f>O25/($O$43-$O$41)*$W$50</f>
        <v>367.33833738053676</v>
      </c>
      <c r="X25" s="29"/>
      <c r="Y25" s="31">
        <f t="shared" si="3"/>
        <v>435.35931797615973</v>
      </c>
      <c r="Z25" s="31"/>
      <c r="AA25" s="31">
        <f t="shared" si="4"/>
        <v>12429.960514058894</v>
      </c>
      <c r="AB25" s="29"/>
      <c r="AC25" s="29">
        <f t="shared" si="5"/>
        <v>-65.269535119233183</v>
      </c>
      <c r="AD25" s="29"/>
      <c r="AE25" s="33">
        <f t="shared" si="9"/>
        <v>-5.2235560979948734E-3</v>
      </c>
      <c r="AF25" s="29">
        <f t="shared" si="6"/>
        <v>68.020980595622987</v>
      </c>
      <c r="AG25" s="33">
        <f t="shared" si="10"/>
        <v>5.6389879082123168E-3</v>
      </c>
      <c r="AH25" s="29">
        <f t="shared" si="7"/>
        <v>2.7514454763898044</v>
      </c>
      <c r="AI25" s="33">
        <f t="shared" si="11"/>
        <v>2.2809679654141839E-4</v>
      </c>
      <c r="AJ25" s="30"/>
      <c r="AK25" s="34">
        <f>ROUND((((O25/$O$43)*$AF$50)/L25)*100,4)</f>
        <v>4.8899999999999999E-2</v>
      </c>
      <c r="AL25" s="30"/>
      <c r="AM25" s="56">
        <v>0.311</v>
      </c>
      <c r="AN25" s="36"/>
      <c r="AO25" s="4"/>
      <c r="AP25" s="38">
        <f>ROUND(W25/L25*100,3)</f>
        <v>0.26400000000000001</v>
      </c>
      <c r="AR25" s="32">
        <f t="shared" si="8"/>
        <v>367.22983389047994</v>
      </c>
    </row>
    <row r="26" spans="2:44">
      <c r="B26" s="49">
        <f>MAX(B$13:B25)+1</f>
        <v>7</v>
      </c>
      <c r="D26" s="2" t="s">
        <v>51</v>
      </c>
      <c r="F26" s="11">
        <v>47</v>
      </c>
      <c r="G26" s="11"/>
      <c r="H26" s="28">
        <v>1.0833333333333333</v>
      </c>
      <c r="I26" s="28">
        <v>1</v>
      </c>
      <c r="K26" s="28">
        <v>1616.6904507017675</v>
      </c>
      <c r="L26" s="28">
        <v>2211.1067276415802</v>
      </c>
      <c r="N26" s="51">
        <v>165.62561725051643</v>
      </c>
      <c r="O26" s="145">
        <v>347.54749696885699</v>
      </c>
      <c r="P26" s="30"/>
      <c r="Q26" s="29">
        <f t="shared" si="0"/>
        <v>5.1076565408520507</v>
      </c>
      <c r="R26" s="30"/>
      <c r="S26" s="31">
        <f t="shared" si="1"/>
        <v>352.65515350970907</v>
      </c>
      <c r="T26" s="31"/>
      <c r="U26" s="31">
        <f t="shared" si="2"/>
        <v>347.54749696885699</v>
      </c>
      <c r="V26" s="30"/>
      <c r="W26" s="32">
        <f>(O27+O26)/($O$43-$O$41)*$W$50*L26/(L26+L27)</f>
        <v>4.4935581020128845</v>
      </c>
      <c r="X26" s="29"/>
      <c r="Y26" s="31">
        <f t="shared" si="3"/>
        <v>6.4525986627033243</v>
      </c>
      <c r="Z26" s="31"/>
      <c r="AA26" s="31">
        <f t="shared" si="4"/>
        <v>352.0410550708699</v>
      </c>
      <c r="AB26" s="29"/>
      <c r="AC26" s="29">
        <f t="shared" si="5"/>
        <v>-0.61409843883916615</v>
      </c>
      <c r="AD26" s="29"/>
      <c r="AE26" s="33">
        <f t="shared" si="9"/>
        <v>-1.7413567694318671E-3</v>
      </c>
      <c r="AF26" s="29">
        <f t="shared" si="6"/>
        <v>1.95904056069044</v>
      </c>
      <c r="AG26" s="33">
        <f t="shared" si="10"/>
        <v>5.6367563506463277E-3</v>
      </c>
      <c r="AH26" s="29">
        <f t="shared" si="7"/>
        <v>1.3449421218512738</v>
      </c>
      <c r="AI26" s="33">
        <f t="shared" si="11"/>
        <v>3.8698081084778788E-3</v>
      </c>
      <c r="AJ26" s="30"/>
      <c r="AK26" s="34">
        <f>ROUND((((O26/$O$43)*$AF$50)/L26)*100,4)</f>
        <v>8.8599999999999998E-2</v>
      </c>
      <c r="AL26" s="30"/>
      <c r="AM26" s="56">
        <v>0.23100000000000001</v>
      </c>
      <c r="AN26" s="36"/>
      <c r="AO26" s="4"/>
      <c r="AP26" s="38">
        <f>AP27</f>
        <v>0.20300000000000001</v>
      </c>
      <c r="AR26" s="32">
        <f t="shared" si="8"/>
        <v>4.4885466571124075</v>
      </c>
    </row>
    <row r="27" spans="2:44">
      <c r="B27" s="49">
        <f>MAX(B$13:B26)+1</f>
        <v>8</v>
      </c>
      <c r="D27" s="2" t="s">
        <v>52</v>
      </c>
      <c r="F27" s="11">
        <v>48</v>
      </c>
      <c r="G27" s="11"/>
      <c r="H27" s="28">
        <v>63.666666666666671</v>
      </c>
      <c r="I27" s="28">
        <v>70.833333333333343</v>
      </c>
      <c r="K27" s="28">
        <v>856497.09877425549</v>
      </c>
      <c r="L27" s="28">
        <v>868826.99741174828</v>
      </c>
      <c r="N27" s="51">
        <v>38996.209349631463</v>
      </c>
      <c r="O27" s="145">
        <v>57781.509628941429</v>
      </c>
      <c r="P27" s="30"/>
      <c r="Q27" s="29">
        <f t="shared" si="0"/>
        <v>2006.9903640211385</v>
      </c>
      <c r="R27" s="30"/>
      <c r="S27" s="31">
        <f t="shared" si="1"/>
        <v>59788.49999296257</v>
      </c>
      <c r="T27" s="31"/>
      <c r="U27" s="31">
        <f t="shared" si="2"/>
        <v>57781.509628941429</v>
      </c>
      <c r="V27" s="30"/>
      <c r="W27" s="32">
        <f>(O27+O26)/($O$43-$O$41)*$W$50*L27/(L26+L27)</f>
        <v>1765.6879899376554</v>
      </c>
      <c r="X27" s="29"/>
      <c r="Y27" s="31">
        <f t="shared" si="3"/>
        <v>2091.4981139670608</v>
      </c>
      <c r="Z27" s="31"/>
      <c r="AA27" s="31">
        <f t="shared" si="4"/>
        <v>59547.197618879087</v>
      </c>
      <c r="AB27" s="29"/>
      <c r="AC27" s="29">
        <f t="shared" si="5"/>
        <v>-241.30237408348307</v>
      </c>
      <c r="AD27" s="29"/>
      <c r="AE27" s="33">
        <f t="shared" si="9"/>
        <v>-4.0359328986658916E-3</v>
      </c>
      <c r="AF27" s="29">
        <f t="shared" si="6"/>
        <v>325.81012402940559</v>
      </c>
      <c r="AG27" s="33">
        <f t="shared" si="10"/>
        <v>5.6386571780778607E-3</v>
      </c>
      <c r="AH27" s="29">
        <f t="shared" si="7"/>
        <v>84.507749945922512</v>
      </c>
      <c r="AI27" s="33">
        <f t="shared" si="11"/>
        <v>1.4625396686346616E-3</v>
      </c>
      <c r="AJ27" s="30"/>
      <c r="AK27" s="34">
        <f>ROUND((((O27/$O$43)*$AF$50)/L27)*100,4)</f>
        <v>3.7499999999999999E-2</v>
      </c>
      <c r="AL27" s="30"/>
      <c r="AM27" s="56">
        <v>0.23100000000000001</v>
      </c>
      <c r="AN27" s="36"/>
      <c r="AO27" s="4"/>
      <c r="AP27" s="38">
        <f>ROUND((W26+W27)/(L26+L27)*100,3)</f>
        <v>0.20300000000000001</v>
      </c>
      <c r="AR27" s="32">
        <f t="shared" si="8"/>
        <v>1763.718804745849</v>
      </c>
    </row>
    <row r="28" spans="2:44">
      <c r="B28" s="49">
        <f>MAX(B$13:B27)+1</f>
        <v>9</v>
      </c>
      <c r="D28" s="2" t="s">
        <v>53</v>
      </c>
      <c r="F28" s="11" t="s">
        <v>54</v>
      </c>
      <c r="G28" s="11"/>
      <c r="H28" s="28">
        <v>28</v>
      </c>
      <c r="I28" s="28">
        <v>27.833333333333332</v>
      </c>
      <c r="K28" s="28">
        <v>233.86177246899351</v>
      </c>
      <c r="L28" s="28">
        <v>272.12571766391329</v>
      </c>
      <c r="N28" s="51">
        <v>18.659249899021408</v>
      </c>
      <c r="O28" s="145">
        <v>25.134765528542093</v>
      </c>
      <c r="P28" s="30"/>
      <c r="Q28" s="29">
        <f t="shared" si="0"/>
        <v>0.88168732523107907</v>
      </c>
      <c r="R28" s="30"/>
      <c r="S28" s="144">
        <f t="shared" si="1"/>
        <v>26.016452853773174</v>
      </c>
      <c r="T28" s="31"/>
      <c r="U28" s="31">
        <f t="shared" si="2"/>
        <v>25.134765528542093</v>
      </c>
      <c r="V28" s="30"/>
      <c r="W28" s="32">
        <f>O28/($O$43-$O$41)*$W$50</f>
        <v>0.76541923012022328</v>
      </c>
      <c r="X28" s="29"/>
      <c r="Y28" s="31">
        <f t="shared" si="3"/>
        <v>0.90719672902312209</v>
      </c>
      <c r="Z28" s="31"/>
      <c r="AA28" s="31">
        <f t="shared" si="4"/>
        <v>25.900184758662316</v>
      </c>
      <c r="AB28" s="29"/>
      <c r="AC28" s="29">
        <f t="shared" si="5"/>
        <v>-0.11626809511085578</v>
      </c>
      <c r="AD28" s="29"/>
      <c r="AE28" s="33">
        <f t="shared" si="9"/>
        <v>-4.4690218057145091E-3</v>
      </c>
      <c r="AF28" s="29">
        <f t="shared" si="6"/>
        <v>0.14177749890289881</v>
      </c>
      <c r="AG28" s="33">
        <f t="shared" si="10"/>
        <v>5.6406931165481379E-3</v>
      </c>
      <c r="AH28" s="29">
        <f t="shared" si="7"/>
        <v>2.5509403792043028E-2</v>
      </c>
      <c r="AI28" s="33">
        <f t="shared" si="11"/>
        <v>1.0149051823489465E-3</v>
      </c>
      <c r="AJ28" s="30"/>
      <c r="AK28" s="34">
        <f>ROUND((((O28/$O$43)*$AF$50)/L28)*100,4)</f>
        <v>5.21E-2</v>
      </c>
      <c r="AL28" s="30"/>
      <c r="AM28" s="56">
        <v>0.32400000000000001</v>
      </c>
      <c r="AN28" s="36"/>
      <c r="AO28" s="4"/>
      <c r="AP28" s="38">
        <f>ROUND(W28/L28*100,3)</f>
        <v>0.28100000000000003</v>
      </c>
      <c r="AR28" s="32">
        <f t="shared" si="8"/>
        <v>0.76467326663559643</v>
      </c>
    </row>
    <row r="29" spans="2:44">
      <c r="B29" s="13"/>
      <c r="D29" s="2" t="s">
        <v>43</v>
      </c>
      <c r="F29" s="11"/>
      <c r="G29" s="11"/>
      <c r="H29" s="39"/>
      <c r="I29" s="39"/>
      <c r="K29" s="39"/>
      <c r="L29" s="39"/>
      <c r="M29" s="1" t="s">
        <v>0</v>
      </c>
      <c r="N29" s="39"/>
      <c r="O29" s="39"/>
      <c r="P29" s="4"/>
      <c r="Q29" s="40"/>
      <c r="R29" s="4"/>
      <c r="S29" s="41"/>
      <c r="T29" s="4"/>
      <c r="U29" s="41"/>
      <c r="V29" s="4"/>
      <c r="W29" s="41"/>
      <c r="X29" s="4"/>
      <c r="Y29" s="41"/>
      <c r="Z29" s="4"/>
      <c r="AA29" s="41"/>
      <c r="AB29" s="4"/>
      <c r="AC29" s="39"/>
      <c r="AD29" s="4"/>
      <c r="AE29" s="43"/>
      <c r="AF29" s="39"/>
      <c r="AG29" s="43"/>
      <c r="AH29" s="39"/>
      <c r="AI29" s="43"/>
      <c r="AJ29" s="4"/>
      <c r="AK29" s="44"/>
      <c r="AL29" s="4"/>
      <c r="AM29" s="135"/>
      <c r="AN29" s="4"/>
      <c r="AO29" s="4"/>
      <c r="AP29" s="134"/>
    </row>
    <row r="30" spans="2:44">
      <c r="B30" s="13"/>
      <c r="Q30" s="29"/>
      <c r="AE30" s="47"/>
      <c r="AG30" s="47"/>
      <c r="AI30" s="47"/>
      <c r="AK30" s="48"/>
      <c r="AM30" s="35"/>
      <c r="AN30" s="4"/>
      <c r="AO30" s="4"/>
      <c r="AP30" s="46"/>
    </row>
    <row r="31" spans="2:44">
      <c r="B31" s="49">
        <f>MAX(B$13:B30)+1</f>
        <v>10</v>
      </c>
      <c r="D31" s="26" t="s">
        <v>55</v>
      </c>
      <c r="H31" s="50">
        <f>SUM(H22:H28)</f>
        <v>23716.833333333332</v>
      </c>
      <c r="I31" s="50">
        <f>SUM(I22:I30)</f>
        <v>25911.083333333332</v>
      </c>
      <c r="K31" s="50">
        <f>SUM(K22:K28)</f>
        <v>2440613.9511963376</v>
      </c>
      <c r="L31" s="50">
        <f>SUM(L22:L30)</f>
        <v>2476543.8276738566</v>
      </c>
      <c r="M31" s="50"/>
      <c r="N31" s="29">
        <f>SUM(N22:N28)</f>
        <v>131973.74530796689</v>
      </c>
      <c r="O31" s="145">
        <f>SUM(O22:O30)</f>
        <v>195442.45379034814</v>
      </c>
      <c r="P31" s="30"/>
      <c r="Q31" s="29">
        <f>SUM(Q22:Q28)</f>
        <v>6835.4639605224247</v>
      </c>
      <c r="R31" s="30"/>
      <c r="S31" s="29">
        <f>SUM(S22:S28)</f>
        <v>202277.91775087058</v>
      </c>
      <c r="T31" s="29"/>
      <c r="U31" s="29">
        <f>SUM(U22:U28)</f>
        <v>195442.45379034814</v>
      </c>
      <c r="V31" s="30"/>
      <c r="W31" s="31">
        <f>SUM(W22:W28)</f>
        <v>5951.7329629807246</v>
      </c>
      <c r="X31" s="51"/>
      <c r="Y31" s="31">
        <f>SUM(Y22:Y28)</f>
        <v>7053.498225354002</v>
      </c>
      <c r="Z31" s="31"/>
      <c r="AA31" s="31">
        <f>SUM(AA22:AA28)</f>
        <v>201394.18675332886</v>
      </c>
      <c r="AB31" s="51"/>
      <c r="AC31" s="29">
        <f>SUM(AC22:AC28)</f>
        <v>-883.7309975417005</v>
      </c>
      <c r="AD31" s="29"/>
      <c r="AE31" s="33">
        <f>AC31/O31</f>
        <v>-4.5216941375985902E-3</v>
      </c>
      <c r="AF31" s="29">
        <f>SUM(AF22:AF28)</f>
        <v>1101.7652623732777</v>
      </c>
      <c r="AG31" s="33">
        <f>AF31/O31</f>
        <v>5.6372872986702547E-3</v>
      </c>
      <c r="AH31" s="29">
        <f>AC31+AF31</f>
        <v>218.03426483157716</v>
      </c>
      <c r="AI31" s="33"/>
      <c r="AJ31" s="30"/>
      <c r="AK31" s="34"/>
      <c r="AL31" s="30"/>
      <c r="AM31" s="35"/>
      <c r="AN31" s="36"/>
      <c r="AO31" s="4"/>
      <c r="AP31" s="46"/>
    </row>
    <row r="32" spans="2:44">
      <c r="B32" s="13"/>
      <c r="O32" s="145"/>
      <c r="Q32" s="29"/>
      <c r="AE32" s="47"/>
      <c r="AG32" s="47"/>
      <c r="AI32" s="47"/>
      <c r="AK32" s="48"/>
      <c r="AM32" s="35"/>
      <c r="AN32" s="4"/>
      <c r="AO32" s="4"/>
      <c r="AP32" s="46"/>
    </row>
    <row r="33" spans="2:44">
      <c r="B33" s="13"/>
      <c r="D33" s="26" t="s">
        <v>56</v>
      </c>
      <c r="O33" s="145"/>
      <c r="Q33" s="29"/>
      <c r="AE33" s="47"/>
      <c r="AG33" s="47"/>
      <c r="AI33" s="47"/>
      <c r="AK33" s="48"/>
      <c r="AM33" s="56" t="s">
        <v>0</v>
      </c>
      <c r="AN33" s="4"/>
      <c r="AO33" s="4"/>
      <c r="AP33" s="57" t="s">
        <v>0</v>
      </c>
    </row>
    <row r="34" spans="2:44">
      <c r="B34" s="49">
        <f>MAX(B$13:B33)+1</f>
        <v>11</v>
      </c>
      <c r="D34" s="2" t="s">
        <v>57</v>
      </c>
      <c r="F34" s="11" t="s">
        <v>58</v>
      </c>
      <c r="G34" s="11"/>
      <c r="H34" s="28">
        <v>2828</v>
      </c>
      <c r="I34" s="28">
        <v>2368.9166666666665</v>
      </c>
      <c r="K34" s="28">
        <v>3735.0893644456642</v>
      </c>
      <c r="L34" s="28">
        <v>3089.8820515623579</v>
      </c>
      <c r="N34" s="51">
        <v>473.92026673033644</v>
      </c>
      <c r="O34" s="145">
        <v>462.55326541264583</v>
      </c>
      <c r="P34" s="30"/>
      <c r="Q34" s="29">
        <f>L34*AM34/100</f>
        <v>9.1769496931402017</v>
      </c>
      <c r="R34" s="30"/>
      <c r="S34" s="31">
        <f t="shared" ref="S34:S38" si="12">O34+Q34</f>
        <v>471.73021510578604</v>
      </c>
      <c r="T34" s="31"/>
      <c r="U34" s="31">
        <f t="shared" ref="U34:U38" si="13">O34</f>
        <v>462.55326541264583</v>
      </c>
      <c r="V34" s="30"/>
      <c r="W34" s="32">
        <f>AP34*L34/100</f>
        <v>8.0645921545777544</v>
      </c>
      <c r="X34" s="29"/>
      <c r="Y34" s="31">
        <f>W34+AF34</f>
        <v>10.672452606096385</v>
      </c>
      <c r="Z34" s="31"/>
      <c r="AA34" s="31">
        <f t="shared" ref="AA34:AA38" si="14">W34+U34</f>
        <v>470.61785756722361</v>
      </c>
      <c r="AB34" s="29"/>
      <c r="AC34" s="29">
        <f>W34-Q34</f>
        <v>-1.1123575385624473</v>
      </c>
      <c r="AD34" s="29"/>
      <c r="AE34" s="33">
        <f t="shared" ref="AE34:AE38" si="15">AC34/S34</f>
        <v>-2.3580375030948565E-3</v>
      </c>
      <c r="AF34" s="29">
        <f>(AK34/100)*L34</f>
        <v>2.6078604515186301</v>
      </c>
      <c r="AG34" s="33">
        <f>AF34/O34</f>
        <v>5.63796787639613E-3</v>
      </c>
      <c r="AH34" s="29">
        <f>AC34+AF34</f>
        <v>1.4955029129561828</v>
      </c>
      <c r="AI34" s="33">
        <f>AH34/O34</f>
        <v>3.2331474551845138E-3</v>
      </c>
      <c r="AJ34" s="30"/>
      <c r="AK34" s="34">
        <f>ROUND((((O34/$O$43)*$AF$50)/L34)*100,4)</f>
        <v>8.4400000000000003E-2</v>
      </c>
      <c r="AL34" s="30"/>
      <c r="AM34" s="56">
        <v>0.29699999999999999</v>
      </c>
      <c r="AN34" s="36"/>
      <c r="AO34" s="4"/>
      <c r="AP34" s="38">
        <f>ROUND(W51,3)</f>
        <v>0.26100000000000001</v>
      </c>
      <c r="AR34" s="32">
        <f>AP34*L34/100</f>
        <v>8.0645921545777544</v>
      </c>
    </row>
    <row r="35" spans="2:44">
      <c r="B35" s="49">
        <f>MAX(B$13:B34)+1</f>
        <v>12</v>
      </c>
      <c r="D35" s="2" t="s">
        <v>59</v>
      </c>
      <c r="F35" s="11" t="s">
        <v>60</v>
      </c>
      <c r="G35" s="11"/>
      <c r="H35" s="28">
        <v>178</v>
      </c>
      <c r="I35" s="28">
        <v>193.25</v>
      </c>
      <c r="K35" s="28">
        <v>2902.2385934150548</v>
      </c>
      <c r="L35" s="28">
        <v>4462.5519743658697</v>
      </c>
      <c r="N35" s="51">
        <v>522.31224201957195</v>
      </c>
      <c r="O35" s="145">
        <v>937.91679813055214</v>
      </c>
      <c r="P35" s="30"/>
      <c r="Q35" s="29">
        <f>L35*AM35/100</f>
        <v>13.253779363866631</v>
      </c>
      <c r="R35" s="30"/>
      <c r="S35" s="31">
        <f t="shared" si="12"/>
        <v>951.17057749441881</v>
      </c>
      <c r="T35" s="31"/>
      <c r="U35" s="31">
        <f t="shared" si="13"/>
        <v>937.91679813055214</v>
      </c>
      <c r="V35" s="30"/>
      <c r="W35" s="32">
        <f>AP35*L35/100</f>
        <v>11.64726065309492</v>
      </c>
      <c r="X35" s="29"/>
      <c r="Y35" s="31">
        <f>W35+AF35</f>
        <v>16.935384742718476</v>
      </c>
      <c r="Z35" s="31"/>
      <c r="AA35" s="31">
        <f t="shared" si="14"/>
        <v>949.56405878364706</v>
      </c>
      <c r="AB35" s="29"/>
      <c r="AC35" s="29">
        <f>W35-Q35</f>
        <v>-1.6065187107717112</v>
      </c>
      <c r="AD35" s="29"/>
      <c r="AE35" s="33">
        <f t="shared" si="15"/>
        <v>-1.6889911744364672E-3</v>
      </c>
      <c r="AF35" s="29">
        <f>(AK35/100)*L35</f>
        <v>5.2881240896235546</v>
      </c>
      <c r="AG35" s="33">
        <f>AF35/O35</f>
        <v>5.6381590565003194E-3</v>
      </c>
      <c r="AH35" s="29">
        <f>AC35+AF35</f>
        <v>3.6816053788518435</v>
      </c>
      <c r="AI35" s="33">
        <f>AH35/O35</f>
        <v>3.9253006089559209E-3</v>
      </c>
      <c r="AJ35" s="30"/>
      <c r="AK35" s="34">
        <f>ROUND((((O35/$O$43)*$AF$50)/L35)*100,4)</f>
        <v>0.11849999999999999</v>
      </c>
      <c r="AL35" s="30"/>
      <c r="AM35" s="56">
        <v>0.29699999999999999</v>
      </c>
      <c r="AN35" s="36"/>
      <c r="AO35" s="35" t="s">
        <v>0</v>
      </c>
      <c r="AP35" s="38">
        <f>AP34</f>
        <v>0.26100000000000001</v>
      </c>
      <c r="AR35" s="32">
        <f>AP35*L35/100</f>
        <v>11.64726065309492</v>
      </c>
    </row>
    <row r="36" spans="2:44">
      <c r="B36" s="49">
        <f>MAX(B$13:B35)+1</f>
        <v>13</v>
      </c>
      <c r="D36" s="2" t="s">
        <v>59</v>
      </c>
      <c r="F36" s="11">
        <v>52</v>
      </c>
      <c r="G36" s="11"/>
      <c r="H36" s="28">
        <v>30</v>
      </c>
      <c r="I36" s="28">
        <v>14</v>
      </c>
      <c r="K36" s="28">
        <v>466.2387672357238</v>
      </c>
      <c r="L36" s="28">
        <v>175.53686057573989</v>
      </c>
      <c r="N36" s="51">
        <v>60.670270195709442</v>
      </c>
      <c r="O36" s="145">
        <v>37.038604828386383</v>
      </c>
      <c r="P36" s="30"/>
      <c r="Q36" s="29">
        <f>L36*AM36/100</f>
        <v>0.52134447590994748</v>
      </c>
      <c r="R36" s="30"/>
      <c r="S36" s="31">
        <f t="shared" si="12"/>
        <v>37.559949304296332</v>
      </c>
      <c r="T36" s="31"/>
      <c r="U36" s="31">
        <f t="shared" si="13"/>
        <v>37.038604828386383</v>
      </c>
      <c r="V36" s="30"/>
      <c r="W36" s="32">
        <f>AP36*L36/100</f>
        <v>0.45815120610268117</v>
      </c>
      <c r="X36" s="29"/>
      <c r="Y36" s="31">
        <f>W36+AF36</f>
        <v>0.66686453332723583</v>
      </c>
      <c r="Z36" s="31"/>
      <c r="AA36" s="31">
        <f t="shared" si="14"/>
        <v>37.496756034489067</v>
      </c>
      <c r="AB36" s="29"/>
      <c r="AC36" s="29">
        <f>W36-Q36</f>
        <v>-6.3193269807266306E-2</v>
      </c>
      <c r="AD36" s="29"/>
      <c r="AE36" s="33">
        <f t="shared" si="15"/>
        <v>-1.6824641933166262E-3</v>
      </c>
      <c r="AF36" s="29">
        <f>(AK36/100)*L36</f>
        <v>0.20871332722455471</v>
      </c>
      <c r="AG36" s="33">
        <f>AF36/O36</f>
        <v>5.635021302546386E-3</v>
      </c>
      <c r="AH36" s="29">
        <f>AC36+AF36</f>
        <v>0.14552005741728841</v>
      </c>
      <c r="AI36" s="33">
        <f>AH36/O36</f>
        <v>3.9288752395382305E-3</v>
      </c>
      <c r="AJ36" s="30"/>
      <c r="AK36" s="34">
        <f>ROUND((((O36/$O$43)*$AF$50)/L36)*100,4)</f>
        <v>0.11890000000000001</v>
      </c>
      <c r="AL36" s="30"/>
      <c r="AM36" s="56">
        <v>0.29699999999999999</v>
      </c>
      <c r="AN36" s="36"/>
      <c r="AO36" s="4"/>
      <c r="AP36" s="38">
        <f>AP34</f>
        <v>0.26100000000000001</v>
      </c>
      <c r="AR36" s="32">
        <f>AP36*L36/100</f>
        <v>0.45815120610268117</v>
      </c>
    </row>
    <row r="37" spans="2:44">
      <c r="B37" s="49">
        <f>MAX(B$13:B36)+1</f>
        <v>14</v>
      </c>
      <c r="D37" s="2" t="s">
        <v>59</v>
      </c>
      <c r="F37" s="11">
        <v>53</v>
      </c>
      <c r="G37" s="11"/>
      <c r="H37" s="28">
        <v>272.33333333333337</v>
      </c>
      <c r="I37" s="28">
        <v>220.75</v>
      </c>
      <c r="K37" s="28">
        <v>4499.9316487570059</v>
      </c>
      <c r="L37" s="28">
        <v>4980.451525857864</v>
      </c>
      <c r="N37" s="28">
        <v>278.83306975907675</v>
      </c>
      <c r="O37" s="145">
        <v>366.77149220948235</v>
      </c>
      <c r="P37" s="30"/>
      <c r="Q37" s="29">
        <f>L37*AM37/100</f>
        <v>14.791941031797855</v>
      </c>
      <c r="R37" s="30"/>
      <c r="S37" s="31">
        <f t="shared" si="12"/>
        <v>381.56343324128022</v>
      </c>
      <c r="T37" s="31"/>
      <c r="U37" s="31">
        <f t="shared" si="13"/>
        <v>366.77149220948235</v>
      </c>
      <c r="V37" s="30"/>
      <c r="W37" s="32">
        <f>AP37*L37/100</f>
        <v>12.998978482489026</v>
      </c>
      <c r="X37" s="29"/>
      <c r="Y37" s="31">
        <f>W37+AF37</f>
        <v>15.065865865720038</v>
      </c>
      <c r="Z37" s="31"/>
      <c r="AA37" s="31">
        <f t="shared" si="14"/>
        <v>379.77047069197135</v>
      </c>
      <c r="AB37" s="29"/>
      <c r="AC37" s="29">
        <f>W37-Q37</f>
        <v>-1.7929625493088288</v>
      </c>
      <c r="AD37" s="29"/>
      <c r="AE37" s="33">
        <f t="shared" si="15"/>
        <v>-4.6989894552475512E-3</v>
      </c>
      <c r="AF37" s="29">
        <f>(AK37/100)*L37</f>
        <v>2.0668873832310135</v>
      </c>
      <c r="AG37" s="33">
        <f>AF37/O37</f>
        <v>5.6353545112783907E-3</v>
      </c>
      <c r="AH37" s="29">
        <f>AC37+AF37</f>
        <v>0.2739248339221847</v>
      </c>
      <c r="AI37" s="33">
        <f>AH37/O37</f>
        <v>7.4685421233810589E-4</v>
      </c>
      <c r="AJ37" s="30"/>
      <c r="AK37" s="34">
        <f>ROUND((((O37/$O$43)*$AF$50)/L37)*100,4)</f>
        <v>4.1500000000000002E-2</v>
      </c>
      <c r="AL37" s="30"/>
      <c r="AM37" s="56">
        <v>0.29699999999999999</v>
      </c>
      <c r="AN37" s="36"/>
      <c r="AO37" s="4"/>
      <c r="AP37" s="38">
        <f>AP34</f>
        <v>0.26100000000000001</v>
      </c>
      <c r="AR37" s="32">
        <f>AP37*L37/100</f>
        <v>12.998978482489026</v>
      </c>
    </row>
    <row r="38" spans="2:44">
      <c r="B38" s="49">
        <f>MAX(B$13:B37)+1</f>
        <v>15</v>
      </c>
      <c r="D38" s="2" t="s">
        <v>59</v>
      </c>
      <c r="F38" s="11">
        <v>57</v>
      </c>
      <c r="G38" s="11"/>
      <c r="H38" s="28">
        <v>50.666666666666664</v>
      </c>
      <c r="I38" s="28">
        <v>40.083333333333336</v>
      </c>
      <c r="K38" s="28">
        <v>2174.0459905922153</v>
      </c>
      <c r="L38" s="28">
        <v>1905.8826392005269</v>
      </c>
      <c r="N38" s="28">
        <v>235.8029580256418</v>
      </c>
      <c r="O38" s="145">
        <v>249.91094327375487</v>
      </c>
      <c r="P38" s="30"/>
      <c r="Q38" s="29">
        <f>L38*AM38/100</f>
        <v>5.6604714384255645</v>
      </c>
      <c r="R38" s="30"/>
      <c r="S38" s="31">
        <f t="shared" si="12"/>
        <v>255.57141471218043</v>
      </c>
      <c r="T38" s="31"/>
      <c r="U38" s="31">
        <f t="shared" si="13"/>
        <v>249.91094327375487</v>
      </c>
      <c r="V38" s="30"/>
      <c r="W38" s="32">
        <f>AP38*L38/100</f>
        <v>4.974353688313375</v>
      </c>
      <c r="X38" s="29"/>
      <c r="Y38" s="31">
        <f>W38+AF38</f>
        <v>6.382800958682564</v>
      </c>
      <c r="Z38" s="31"/>
      <c r="AA38" s="31">
        <f t="shared" si="14"/>
        <v>254.88529696206825</v>
      </c>
      <c r="AB38" s="29"/>
      <c r="AC38" s="29">
        <f>W38-Q38</f>
        <v>-0.68611775011218956</v>
      </c>
      <c r="AD38" s="29"/>
      <c r="AE38" s="33">
        <f t="shared" si="15"/>
        <v>-2.6846419850392192E-3</v>
      </c>
      <c r="AF38" s="29">
        <f>(AK38/100)*L38</f>
        <v>1.4084472703691893</v>
      </c>
      <c r="AG38" s="33">
        <f>AF38/O38</f>
        <v>5.6357967038936849E-3</v>
      </c>
      <c r="AH38" s="29">
        <f>AC38+AF38</f>
        <v>0.7223295202569997</v>
      </c>
      <c r="AI38" s="33">
        <f>AH38/O38</f>
        <v>2.8903477006437168E-3</v>
      </c>
      <c r="AJ38" s="30"/>
      <c r="AK38" s="34">
        <f>ROUND((((O38/$O$43)*$AF$50)/L38)*100,4)</f>
        <v>7.3899999999999993E-2</v>
      </c>
      <c r="AL38" s="30"/>
      <c r="AM38" s="56">
        <v>0.29699999999999999</v>
      </c>
      <c r="AN38" s="36"/>
      <c r="AO38" s="4"/>
      <c r="AP38" s="38">
        <f>AP34</f>
        <v>0.26100000000000001</v>
      </c>
      <c r="AR38" s="32">
        <f>AP38*L38/100</f>
        <v>4.974353688313375</v>
      </c>
    </row>
    <row r="39" spans="2:44">
      <c r="B39" s="13"/>
      <c r="D39" s="2" t="s">
        <v>43</v>
      </c>
      <c r="H39" s="39"/>
      <c r="I39" s="39"/>
      <c r="K39" s="39"/>
      <c r="L39" s="39"/>
      <c r="N39" s="39"/>
      <c r="O39" s="39"/>
      <c r="P39" s="4"/>
      <c r="Q39" s="40"/>
      <c r="R39" s="4"/>
      <c r="S39" s="41"/>
      <c r="T39" s="4"/>
      <c r="U39" s="41"/>
      <c r="V39" s="4"/>
      <c r="W39" s="41"/>
      <c r="X39" s="4"/>
      <c r="Y39" s="41"/>
      <c r="Z39" s="4"/>
      <c r="AA39" s="41"/>
      <c r="AB39" s="4"/>
      <c r="AC39" s="39"/>
      <c r="AD39" s="4"/>
      <c r="AE39" s="43"/>
      <c r="AF39" s="39"/>
      <c r="AG39" s="43"/>
      <c r="AH39" s="39"/>
      <c r="AI39" s="43"/>
      <c r="AJ39" s="4"/>
      <c r="AK39" s="44"/>
      <c r="AL39" s="4"/>
      <c r="AM39" s="135"/>
      <c r="AN39" s="4"/>
      <c r="AO39" s="4"/>
      <c r="AP39" s="41"/>
    </row>
    <row r="40" spans="2:44">
      <c r="B40" s="13"/>
      <c r="Q40" s="29"/>
      <c r="AE40" s="47"/>
      <c r="AG40" s="47"/>
      <c r="AI40" s="47"/>
      <c r="AK40" s="48"/>
      <c r="AM40" s="35"/>
      <c r="AN40" s="4"/>
      <c r="AO40" s="4"/>
    </row>
    <row r="41" spans="2:44">
      <c r="B41" s="49">
        <f>MAX(B$13:B40)+1</f>
        <v>16</v>
      </c>
      <c r="D41" s="26" t="s">
        <v>61</v>
      </c>
      <c r="H41" s="58">
        <f>SUM(H34:H38)</f>
        <v>3359</v>
      </c>
      <c r="I41" s="58">
        <f>SUM(I34:I40)</f>
        <v>2837</v>
      </c>
      <c r="K41" s="58">
        <f>SUM(K34:K38)</f>
        <v>13777.544364445665</v>
      </c>
      <c r="L41" s="58">
        <f>SUM(L34:L40)</f>
        <v>14614.305051562358</v>
      </c>
      <c r="M41" s="50"/>
      <c r="N41" s="59">
        <f>SUM(N34:N38)</f>
        <v>1571.5388067303365</v>
      </c>
      <c r="O41" s="146">
        <f>SUM(O34:O40)</f>
        <v>2054.1911038548219</v>
      </c>
      <c r="P41" s="36"/>
      <c r="Q41" s="59">
        <f>SUM(Q34:Q38)</f>
        <v>43.4044860031402</v>
      </c>
      <c r="R41" s="36"/>
      <c r="S41" s="59">
        <f>SUM(S34:S38)</f>
        <v>2097.5955898579618</v>
      </c>
      <c r="T41" s="60"/>
      <c r="U41" s="59">
        <f>SUM(U34:U38)</f>
        <v>2054.1911038548219</v>
      </c>
      <c r="V41" s="36"/>
      <c r="W41" s="59">
        <f>SUM(W34:W38)</f>
        <v>38.143336184577748</v>
      </c>
      <c r="X41" s="60"/>
      <c r="Y41" s="59">
        <f>SUM(Y34:Y38)</f>
        <v>49.723368706544704</v>
      </c>
      <c r="Z41" s="60"/>
      <c r="AA41" s="59">
        <f>SUM(AA34:AA38)</f>
        <v>2092.3344400393994</v>
      </c>
      <c r="AB41" s="60"/>
      <c r="AC41" s="59">
        <f>SUM(AC34:AC38)</f>
        <v>-5.2611498185624432</v>
      </c>
      <c r="AD41" s="60"/>
      <c r="AE41" s="61">
        <f>AC41/S41</f>
        <v>-2.5081811975580575E-3</v>
      </c>
      <c r="AF41" s="59">
        <f>SUM(AF34:AF38)</f>
        <v>11.580032521966944</v>
      </c>
      <c r="AG41" s="61">
        <f>AF41/O41</f>
        <v>5.6372712841742268E-3</v>
      </c>
      <c r="AH41" s="59">
        <f>AC41+AF41</f>
        <v>6.3188827034045003</v>
      </c>
      <c r="AI41" s="61">
        <f>AH41/O41</f>
        <v>3.0760929163536487E-3</v>
      </c>
      <c r="AJ41" s="36"/>
      <c r="AK41" s="34"/>
      <c r="AL41" s="36"/>
      <c r="AM41" s="135"/>
      <c r="AN41" s="36"/>
      <c r="AO41" s="4"/>
      <c r="AP41" s="41"/>
    </row>
    <row r="42" spans="2:44">
      <c r="B42" s="13"/>
      <c r="D42" s="26"/>
      <c r="H42" s="62"/>
      <c r="I42" s="62"/>
      <c r="K42" s="62"/>
      <c r="L42" s="62"/>
      <c r="M42" s="50"/>
      <c r="N42" s="60"/>
      <c r="O42" s="62"/>
      <c r="P42" s="60"/>
      <c r="Q42" s="29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3"/>
      <c r="AF42" s="60"/>
      <c r="AG42" s="63"/>
      <c r="AH42" s="60"/>
      <c r="AI42" s="64"/>
      <c r="AJ42" s="60"/>
      <c r="AK42" s="65"/>
      <c r="AL42" s="60"/>
      <c r="AM42" s="35"/>
      <c r="AN42" s="60"/>
      <c r="AO42" s="4"/>
    </row>
    <row r="43" spans="2:44" ht="16.5" thickBot="1">
      <c r="B43" s="49">
        <f>MAX(B$13:B42)+1</f>
        <v>17</v>
      </c>
      <c r="D43" s="66" t="s">
        <v>62</v>
      </c>
      <c r="H43" s="67">
        <f>H41+H31+H19</f>
        <v>128412.75</v>
      </c>
      <c r="I43" s="67">
        <f>I41+I31+I19</f>
        <v>135832.25</v>
      </c>
      <c r="K43" s="67">
        <f>K41+K31+K19</f>
        <v>4024330.1</v>
      </c>
      <c r="L43" s="67">
        <f>L41+L31+L19</f>
        <v>4128453.0668199998</v>
      </c>
      <c r="N43" s="68">
        <f>N41+N31+N19</f>
        <v>236218.22854000004</v>
      </c>
      <c r="O43" s="68">
        <f>O41+O31+O19</f>
        <v>354858.04403014574</v>
      </c>
      <c r="P43" s="36"/>
      <c r="Q43" s="68">
        <f>Q41+Q31+Q19</f>
        <v>12281.94172903768</v>
      </c>
      <c r="R43" s="36"/>
      <c r="S43" s="68">
        <f>S41+S31+S19</f>
        <v>367139.98575918342</v>
      </c>
      <c r="T43" s="69"/>
      <c r="U43" s="68">
        <f>U41+U31+U19</f>
        <v>354858.04403014574</v>
      </c>
      <c r="V43" s="36"/>
      <c r="W43" s="68">
        <f>W41+W31+W19</f>
        <v>10781.94172903768</v>
      </c>
      <c r="X43" s="69"/>
      <c r="Y43" s="68">
        <f>Y41+Y31+Y19</f>
        <v>12782.700878212187</v>
      </c>
      <c r="Z43" s="69"/>
      <c r="AA43" s="68">
        <f>AA41+AA31+AA19</f>
        <v>365639.98575918342</v>
      </c>
      <c r="AB43" s="69"/>
      <c r="AC43" s="68">
        <f>AC41+AC31+AC19</f>
        <v>-1500.0000000000023</v>
      </c>
      <c r="AD43" s="69"/>
      <c r="AE43" s="70">
        <f>AC43/S43</f>
        <v>-4.0856350661403872E-3</v>
      </c>
      <c r="AF43" s="68">
        <f>AF41+AF31+AF19</f>
        <v>2000.7591491745075</v>
      </c>
      <c r="AG43" s="70">
        <f>AF43/O43</f>
        <v>5.6381958443206094E-3</v>
      </c>
      <c r="AH43" s="68">
        <f>AC43+AF43</f>
        <v>500.75914917450518</v>
      </c>
      <c r="AI43" s="70">
        <f>AH43/O43</f>
        <v>1.4111534389564661E-3</v>
      </c>
      <c r="AJ43" s="36"/>
      <c r="AK43" s="71">
        <f>ROUND((((O43/$O$43)*$AF$50)/L43)*100,4)</f>
        <v>4.8399999999999999E-2</v>
      </c>
      <c r="AL43" s="36"/>
      <c r="AM43" s="136" t="s">
        <v>0</v>
      </c>
      <c r="AN43" s="36"/>
      <c r="AO43" s="37" t="s">
        <v>0</v>
      </c>
      <c r="AP43" s="137"/>
      <c r="AR43" s="1" t="s">
        <v>0</v>
      </c>
    </row>
    <row r="44" spans="2:44" ht="16.5" thickTop="1">
      <c r="B44" s="190" t="s">
        <v>0</v>
      </c>
      <c r="C44" s="191"/>
      <c r="D44" s="191"/>
      <c r="H44" s="72"/>
      <c r="I44" s="72"/>
      <c r="K44" s="72"/>
      <c r="L44" s="72"/>
      <c r="N44" s="69"/>
      <c r="O44" s="72"/>
      <c r="P44" s="36"/>
      <c r="Q44" s="29"/>
      <c r="R44" s="36"/>
      <c r="S44" s="36"/>
      <c r="T44" s="36"/>
      <c r="U44" s="36"/>
      <c r="V44" s="36"/>
      <c r="W44" s="69"/>
      <c r="X44" s="69"/>
      <c r="Y44" s="69"/>
      <c r="Z44" s="69"/>
      <c r="AA44" s="69"/>
      <c r="AB44" s="69"/>
      <c r="AC44" s="69"/>
      <c r="AD44" s="69"/>
      <c r="AE44" s="47"/>
      <c r="AF44" s="69"/>
      <c r="AG44" s="47"/>
      <c r="AH44" s="36"/>
      <c r="AJ44" s="36"/>
      <c r="AK44" s="36"/>
      <c r="AL44" s="36"/>
      <c r="AM44" s="35"/>
      <c r="AN44" s="36"/>
      <c r="AO44" s="4"/>
    </row>
    <row r="45" spans="2:44">
      <c r="B45" s="49">
        <v>18</v>
      </c>
      <c r="D45" s="2" t="s">
        <v>63</v>
      </c>
      <c r="H45" s="72"/>
      <c r="I45" s="72"/>
      <c r="K45" s="72"/>
      <c r="L45" s="72"/>
      <c r="N45" s="69">
        <v>311.00673999999998</v>
      </c>
      <c r="O45" s="72">
        <v>674.90093999999999</v>
      </c>
      <c r="P45" s="73"/>
      <c r="Q45" s="29"/>
      <c r="R45" s="73"/>
      <c r="S45" s="74">
        <f>O45</f>
        <v>674.90093999999999</v>
      </c>
      <c r="T45" s="74"/>
      <c r="U45" s="74">
        <f>O45</f>
        <v>674.90093999999999</v>
      </c>
      <c r="V45" s="73"/>
      <c r="W45" s="31" t="s">
        <v>0</v>
      </c>
      <c r="X45" s="69"/>
      <c r="Y45" s="31" t="str">
        <f>W45</f>
        <v xml:space="preserve"> </v>
      </c>
      <c r="Z45" s="31"/>
      <c r="AA45" s="31">
        <f>S45</f>
        <v>674.90093999999999</v>
      </c>
      <c r="AB45" s="69"/>
      <c r="AC45" s="75"/>
      <c r="AD45" s="75"/>
      <c r="AE45" s="33"/>
      <c r="AF45" s="75"/>
      <c r="AG45" s="33"/>
      <c r="AH45" s="36"/>
      <c r="AJ45" s="36"/>
      <c r="AK45" s="36"/>
      <c r="AL45" s="36"/>
      <c r="AM45" s="35"/>
      <c r="AN45" s="36"/>
      <c r="AO45" s="4"/>
    </row>
    <row r="46" spans="2:44">
      <c r="B46" s="49"/>
      <c r="H46" s="72"/>
      <c r="I46" s="72"/>
      <c r="K46" s="72"/>
      <c r="L46" s="72"/>
      <c r="N46" s="69"/>
      <c r="O46" s="72"/>
      <c r="P46" s="73"/>
      <c r="Q46" s="29"/>
      <c r="R46" s="73"/>
      <c r="S46" s="73"/>
      <c r="T46" s="73"/>
      <c r="U46" s="73"/>
      <c r="V46" s="73"/>
      <c r="W46" s="31"/>
      <c r="X46" s="69"/>
      <c r="Y46" s="31"/>
      <c r="Z46" s="31"/>
      <c r="AA46" s="31"/>
      <c r="AB46" s="69"/>
      <c r="AC46" s="75"/>
      <c r="AD46" s="75"/>
      <c r="AE46" s="33"/>
      <c r="AF46" s="75"/>
      <c r="AG46" s="33"/>
      <c r="AH46" s="36"/>
      <c r="AJ46" s="36"/>
      <c r="AK46" s="36"/>
      <c r="AL46" s="36"/>
      <c r="AM46" s="35"/>
      <c r="AN46" s="36"/>
      <c r="AO46" s="4"/>
    </row>
    <row r="47" spans="2:44" ht="16.5" thickBot="1">
      <c r="B47" s="49">
        <v>19</v>
      </c>
      <c r="D47" s="76" t="s">
        <v>64</v>
      </c>
      <c r="H47" s="77">
        <f>SUM(H43:H45)</f>
        <v>128412.75</v>
      </c>
      <c r="I47" s="77">
        <f>SUM(I43:I45)</f>
        <v>135832.25</v>
      </c>
      <c r="K47" s="77">
        <f>SUM(K43:K45)</f>
        <v>4024330.1</v>
      </c>
      <c r="L47" s="77">
        <f>SUM(L43:L45)</f>
        <v>4128453.0668199998</v>
      </c>
      <c r="N47" s="68">
        <f>SUM(N43:N45)</f>
        <v>236529.23528000005</v>
      </c>
      <c r="O47" s="147">
        <f>SUM(O43:O45)</f>
        <v>355532.94497014576</v>
      </c>
      <c r="Q47" s="68">
        <f>SUM(Q43:Q45)</f>
        <v>12281.94172903768</v>
      </c>
      <c r="S47" s="68">
        <f>SUM(S43:S45)</f>
        <v>367814.88669918344</v>
      </c>
      <c r="T47" s="69"/>
      <c r="U47" s="68">
        <f>SUM(U43:U45)</f>
        <v>355532.94497014576</v>
      </c>
      <c r="W47" s="78">
        <f>SUM(W43:W45)</f>
        <v>10781.94172903768</v>
      </c>
      <c r="X47" s="69"/>
      <c r="Y47" s="78">
        <f>SUM(Y43:Y45)</f>
        <v>12782.700878212187</v>
      </c>
      <c r="Z47" s="79"/>
      <c r="AA47" s="78">
        <f>SUM(AA43:AA45)</f>
        <v>366314.88669918344</v>
      </c>
      <c r="AB47" s="69"/>
      <c r="AC47" s="68">
        <f>SUM(AC43:AC45)</f>
        <v>-1500.0000000000023</v>
      </c>
      <c r="AD47" s="69"/>
      <c r="AE47" s="70">
        <f>AC47/S47</f>
        <v>-4.0781383631891275E-3</v>
      </c>
      <c r="AF47" s="68">
        <f>SUM(AF43:AF45)</f>
        <v>2000.7591491745075</v>
      </c>
      <c r="AG47" s="70">
        <f>AF47/O47</f>
        <v>5.6274929721140529E-3</v>
      </c>
      <c r="AM47" s="136"/>
      <c r="AN47" s="4"/>
      <c r="AO47" s="4"/>
      <c r="AP47" s="137"/>
      <c r="AR47" s="75">
        <f>SUM(AR16:AR38)</f>
        <v>10780.990925412849</v>
      </c>
    </row>
    <row r="48" spans="2:44" ht="18.75" customHeight="1" thickTop="1">
      <c r="Q48" s="29"/>
      <c r="AE48" s="80" t="s">
        <v>0</v>
      </c>
      <c r="AG48" s="80" t="s">
        <v>0</v>
      </c>
      <c r="AM48" s="35"/>
    </row>
    <row r="49" spans="4:40" ht="18.75" customHeight="1">
      <c r="D49" s="186" t="s">
        <v>127</v>
      </c>
      <c r="L49" s="29">
        <v>12129</v>
      </c>
      <c r="R49" s="1" t="s">
        <v>0</v>
      </c>
      <c r="W49" s="75">
        <f>Q47-1500</f>
        <v>10781.94172903768</v>
      </c>
      <c r="AC49" s="81"/>
      <c r="AD49" s="81"/>
      <c r="AE49" s="80"/>
      <c r="AG49" s="80"/>
      <c r="AM49" s="35"/>
    </row>
    <row r="50" spans="4:40">
      <c r="D50" s="186" t="s">
        <v>128</v>
      </c>
      <c r="L50" s="29">
        <v>13878</v>
      </c>
      <c r="N50" s="82"/>
      <c r="O50" s="82"/>
      <c r="P50" s="4"/>
      <c r="R50" s="4"/>
      <c r="S50" s="4"/>
      <c r="T50" s="4"/>
      <c r="U50" s="4"/>
      <c r="V50" s="4"/>
      <c r="W50" s="75">
        <f>W49-W41</f>
        <v>10743.798392853103</v>
      </c>
      <c r="Y50" s="75"/>
      <c r="Z50" s="75"/>
      <c r="AA50" s="75"/>
      <c r="AC50" s="75"/>
      <c r="AD50" s="75"/>
      <c r="AE50" s="83"/>
      <c r="AF50" s="75">
        <v>2000</v>
      </c>
      <c r="AG50" s="83"/>
      <c r="AH50" s="4"/>
      <c r="AJ50" s="4"/>
      <c r="AK50" s="4"/>
      <c r="AL50" s="4"/>
      <c r="AM50" s="4"/>
      <c r="AN50" s="4"/>
    </row>
    <row r="51" spans="4:40">
      <c r="D51" s="186" t="s">
        <v>0</v>
      </c>
      <c r="P51" s="4"/>
      <c r="Q51" s="29"/>
      <c r="R51" s="4"/>
      <c r="S51" s="4"/>
      <c r="T51" s="4"/>
      <c r="U51" s="4"/>
      <c r="V51" s="4"/>
      <c r="W51" s="1">
        <f>W49/L47*100</f>
        <v>0.26116178516576005</v>
      </c>
      <c r="AA51" s="1" t="s">
        <v>0</v>
      </c>
      <c r="AC51" s="84"/>
      <c r="AD51" s="84"/>
      <c r="AH51" s="4"/>
      <c r="AI51" s="4"/>
      <c r="AJ51" s="4"/>
      <c r="AK51" s="4"/>
      <c r="AL51" s="4"/>
      <c r="AM51" s="4"/>
      <c r="AN51" s="4"/>
    </row>
    <row r="52" spans="4:40">
      <c r="Q52" s="29"/>
      <c r="W52" s="35"/>
      <c r="AC52" s="85"/>
      <c r="AD52" s="85"/>
      <c r="AE52" s="86"/>
      <c r="AF52" s="85"/>
    </row>
    <row r="53" spans="4:40">
      <c r="Q53" s="29"/>
      <c r="W53" s="4"/>
      <c r="AC53" s="87"/>
      <c r="AD53" s="87"/>
      <c r="AE53" s="88"/>
      <c r="AF53" s="87"/>
    </row>
    <row r="54" spans="4:40">
      <c r="Q54" s="29"/>
      <c r="U54" s="1" t="s">
        <v>0</v>
      </c>
      <c r="W54" s="23"/>
      <c r="AC54" s="89"/>
      <c r="AD54" s="89"/>
      <c r="AE54" s="90"/>
      <c r="AF54" s="89"/>
    </row>
    <row r="55" spans="4:40">
      <c r="W55" s="91"/>
      <c r="AE55" s="47"/>
    </row>
    <row r="56" spans="4:40">
      <c r="W56" s="3"/>
      <c r="AE56" s="92"/>
    </row>
    <row r="58" spans="4:40">
      <c r="W58" s="23"/>
      <c r="AG58" s="54"/>
    </row>
  </sheetData>
  <mergeCells count="10">
    <mergeCell ref="O9:S9"/>
    <mergeCell ref="U9:AA9"/>
    <mergeCell ref="AC10:AI10"/>
    <mergeCell ref="B44:D44"/>
    <mergeCell ref="B2:AP2"/>
    <mergeCell ref="B3:AP3"/>
    <mergeCell ref="B4:AP4"/>
    <mergeCell ref="B5:AP5"/>
    <mergeCell ref="B6:AP6"/>
    <mergeCell ref="B7:AP7"/>
  </mergeCells>
  <printOptions horizontalCentered="1"/>
  <pageMargins left="0.25" right="0.25" top="0.5" bottom="0.5" header="0.5" footer="0.25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view="pageBreakPreview" zoomScale="75" zoomScaleNormal="100" workbookViewId="0">
      <selection activeCell="B26" sqref="B26:J26"/>
    </sheetView>
  </sheetViews>
  <sheetFormatPr defaultColWidth="8.5" defaultRowHeight="15"/>
  <cols>
    <col min="1" max="1" width="4.625" style="93" customWidth="1"/>
    <col min="2" max="2" width="8.5" style="93"/>
    <col min="3" max="3" width="2.75" style="93" customWidth="1"/>
    <col min="4" max="4" width="12.25" style="93" customWidth="1"/>
    <col min="5" max="5" width="2.625" style="93" customWidth="1"/>
    <col min="6" max="6" width="12.25" style="93" customWidth="1"/>
    <col min="7" max="7" width="2.625" style="93" customWidth="1"/>
    <col min="8" max="8" width="12.25" style="93" customWidth="1"/>
    <col min="9" max="9" width="2.875" style="93" customWidth="1"/>
    <col min="10" max="10" width="7.75" style="93" bestFit="1" customWidth="1"/>
    <col min="11" max="11" width="2.875" style="93" customWidth="1"/>
    <col min="12" max="12" width="2.25" style="93" customWidth="1"/>
    <col min="13" max="13" width="15.125" style="93" customWidth="1"/>
    <col min="14" max="14" width="15.25" style="93" customWidth="1"/>
    <col min="15" max="15" width="9.125" style="93" customWidth="1"/>
    <col min="16" max="16" width="8.25" style="93" customWidth="1"/>
    <col min="17" max="17" width="1.625" style="93" customWidth="1"/>
    <col min="18" max="16384" width="8.5" style="93"/>
  </cols>
  <sheetData>
    <row r="1" spans="1:20" ht="18.75">
      <c r="B1" s="195" t="s">
        <v>65</v>
      </c>
      <c r="C1" s="195"/>
      <c r="D1" s="195"/>
      <c r="E1" s="195"/>
      <c r="F1" s="195"/>
      <c r="G1" s="195"/>
      <c r="H1" s="195"/>
      <c r="I1" s="195"/>
      <c r="J1" s="195"/>
      <c r="K1" s="143"/>
    </row>
    <row r="2" spans="1:20" ht="18.75">
      <c r="A2" s="95"/>
      <c r="B2" s="195" t="s">
        <v>66</v>
      </c>
      <c r="C2" s="195"/>
      <c r="D2" s="195"/>
      <c r="E2" s="195"/>
      <c r="F2" s="195"/>
      <c r="G2" s="195"/>
      <c r="H2" s="195"/>
      <c r="I2" s="195"/>
      <c r="J2" s="195"/>
      <c r="K2" s="143"/>
    </row>
    <row r="3" spans="1:20" ht="18.75">
      <c r="A3" s="95"/>
      <c r="B3" s="195" t="s">
        <v>67</v>
      </c>
      <c r="C3" s="195"/>
      <c r="D3" s="195"/>
      <c r="E3" s="195"/>
      <c r="F3" s="195"/>
      <c r="G3" s="195"/>
      <c r="H3" s="195"/>
      <c r="I3" s="195"/>
      <c r="J3" s="195"/>
      <c r="K3" s="143"/>
    </row>
    <row r="4" spans="1:20" ht="18.75">
      <c r="B4" s="94" t="s">
        <v>0</v>
      </c>
      <c r="C4" s="94"/>
      <c r="D4" s="94"/>
      <c r="E4" s="94"/>
      <c r="F4" s="94"/>
      <c r="G4" s="94"/>
      <c r="H4" s="94"/>
      <c r="I4" s="94"/>
      <c r="J4" s="94"/>
      <c r="K4" s="94"/>
    </row>
    <row r="6" spans="1:20" ht="18.75" thickBot="1">
      <c r="D6" s="194" t="s">
        <v>90</v>
      </c>
      <c r="E6" s="194"/>
      <c r="F6" s="194"/>
      <c r="G6" s="194"/>
      <c r="H6" s="194"/>
      <c r="I6" s="194"/>
      <c r="J6" s="194"/>
      <c r="K6" s="97"/>
      <c r="L6" s="95"/>
      <c r="M6" s="96"/>
    </row>
    <row r="7" spans="1:20">
      <c r="D7" s="97" t="s">
        <v>0</v>
      </c>
      <c r="E7" s="98"/>
      <c r="F7" s="98" t="s">
        <v>0</v>
      </c>
      <c r="H7" s="194" t="s">
        <v>83</v>
      </c>
      <c r="I7" s="194"/>
      <c r="J7" s="194"/>
      <c r="K7" s="97"/>
      <c r="L7" s="98"/>
      <c r="M7" s="99" t="s">
        <v>69</v>
      </c>
      <c r="N7" s="100"/>
      <c r="O7" s="99" t="s">
        <v>70</v>
      </c>
      <c r="P7" s="100"/>
    </row>
    <row r="8" spans="1:20" ht="18">
      <c r="B8" s="139" t="s">
        <v>71</v>
      </c>
      <c r="D8" s="101" t="s">
        <v>7</v>
      </c>
      <c r="E8" s="102" t="s">
        <v>0</v>
      </c>
      <c r="F8" s="101" t="s">
        <v>8</v>
      </c>
      <c r="G8" s="102" t="s">
        <v>0</v>
      </c>
      <c r="H8" s="139" t="s">
        <v>84</v>
      </c>
      <c r="J8" s="140" t="s">
        <v>25</v>
      </c>
      <c r="K8" s="98"/>
      <c r="M8" s="103" t="s">
        <v>72</v>
      </c>
      <c r="N8" s="104">
        <v>7.75</v>
      </c>
      <c r="O8" s="103"/>
      <c r="P8" s="104">
        <v>7.75</v>
      </c>
    </row>
    <row r="9" spans="1:20">
      <c r="B9" s="105"/>
      <c r="D9" s="105"/>
      <c r="E9" s="105"/>
      <c r="F9" s="105"/>
      <c r="M9" s="103" t="s">
        <v>73</v>
      </c>
      <c r="N9" s="106">
        <v>6.1029999999999998</v>
      </c>
      <c r="O9" s="103"/>
      <c r="P9" s="107">
        <f>N9-P11+P12</f>
        <v>6.0659999999999998</v>
      </c>
      <c r="Q9" s="108"/>
      <c r="R9" s="129">
        <f>(P9-N9)/N9</f>
        <v>-6.0625921677863216E-3</v>
      </c>
    </row>
    <row r="10" spans="1:20" ht="15.75" thickBot="1">
      <c r="B10" s="109">
        <v>50</v>
      </c>
      <c r="D10" s="110">
        <f>ROUND((($B10*N$9/100))+((B10*$P$14)/100),2)+P16+N8</f>
        <v>11.129999999999999</v>
      </c>
      <c r="F10" s="110">
        <f>ROUND((($B10*P$9/100))+((B10*$P$15)/100),2)+P17+P8</f>
        <v>11.120000000000001</v>
      </c>
      <c r="H10" s="111">
        <f>F10-D10</f>
        <v>-9.9999999999980105E-3</v>
      </c>
      <c r="J10" s="112">
        <f>(F10-D10)/D10</f>
        <v>-8.984725965856255E-4</v>
      </c>
      <c r="K10" s="112"/>
      <c r="M10" s="113" t="s">
        <v>68</v>
      </c>
      <c r="N10" s="114">
        <v>9.9990000000000006</v>
      </c>
      <c r="O10" s="113"/>
      <c r="P10" s="114">
        <f>N10-P11+P12</f>
        <v>9.9619999999999997</v>
      </c>
      <c r="R10" s="129">
        <f>(P10-N10)/N10</f>
        <v>-3.7003700370037813E-3</v>
      </c>
    </row>
    <row r="11" spans="1:20">
      <c r="B11" s="109">
        <v>100</v>
      </c>
      <c r="D11" s="110">
        <f>ROUND((($B11*N$9/100))+((B11*$P$14)/100),2)+P16+N8</f>
        <v>13.780000000000001</v>
      </c>
      <c r="F11" s="110">
        <f>ROUND((($B11*P$9/100))+((B11*$P$15)/100),2)+P17+P8</f>
        <v>13.74</v>
      </c>
      <c r="H11" s="111">
        <f>F11-D11</f>
        <v>-4.0000000000000924E-2</v>
      </c>
      <c r="J11" s="112">
        <f>(F11-D11)/D11</f>
        <v>-2.9027576197388186E-3</v>
      </c>
      <c r="K11" s="112"/>
      <c r="M11" s="115"/>
      <c r="N11" s="115" t="s">
        <v>13</v>
      </c>
      <c r="O11" s="115"/>
      <c r="P11" s="116">
        <f>'Attach C - Table A for SBC 2019'!AM16</f>
        <v>0.33</v>
      </c>
      <c r="T11" s="111"/>
    </row>
    <row r="12" spans="1:20">
      <c r="B12" s="109">
        <v>150</v>
      </c>
      <c r="D12" s="110">
        <f>ROUND((($B12*N$9/100))+((B12*$P$14)/100),2)+P16+N8</f>
        <v>16.420000000000002</v>
      </c>
      <c r="F12" s="110">
        <f>ROUND((($B12*P$9/100))+((B12*$P$15)/100),2)+P17+P8</f>
        <v>16.369999999999997</v>
      </c>
      <c r="H12" s="111">
        <f>F12-D12</f>
        <v>-5.0000000000004263E-2</v>
      </c>
      <c r="J12" s="112">
        <f>(F12-D12)/D12</f>
        <v>-3.0450669914740716E-3</v>
      </c>
      <c r="K12" s="112"/>
      <c r="M12" s="115"/>
      <c r="N12" s="115"/>
      <c r="O12" s="115"/>
      <c r="P12" s="116">
        <f>'Attach C - Table A for SBC 2019'!AP16</f>
        <v>0.29299999999999998</v>
      </c>
      <c r="Q12" s="117"/>
      <c r="T12" s="111"/>
    </row>
    <row r="13" spans="1:20">
      <c r="D13" s="118"/>
      <c r="F13" s="118"/>
      <c r="M13" s="115"/>
      <c r="N13" s="115"/>
      <c r="O13" s="115"/>
      <c r="P13" s="119"/>
      <c r="T13" s="111"/>
    </row>
    <row r="14" spans="1:20">
      <c r="B14" s="109">
        <v>200</v>
      </c>
      <c r="D14" s="110">
        <f>ROUND((($B14*N$9/100))+((B14*$P$14)/100),2)+P16+N8</f>
        <v>19.07</v>
      </c>
      <c r="F14" s="110">
        <f>ROUND((($B14*P$9/100))+((B14*$P$15)/100),2)+P17+P8</f>
        <v>18.990000000000002</v>
      </c>
      <c r="H14" s="111">
        <f>F14-D14</f>
        <v>-7.9999999999998295E-2</v>
      </c>
      <c r="J14" s="112">
        <f>(F14-D14)/D14</f>
        <v>-4.1950707918195227E-3</v>
      </c>
      <c r="K14" s="112"/>
      <c r="M14" s="115"/>
      <c r="N14" s="115" t="s">
        <v>74</v>
      </c>
      <c r="O14" s="115"/>
      <c r="P14" s="116">
        <v>-0.81499999999999995</v>
      </c>
      <c r="R14" s="93" t="s">
        <v>0</v>
      </c>
      <c r="T14" s="111"/>
    </row>
    <row r="15" spans="1:20">
      <c r="B15" s="109">
        <v>300</v>
      </c>
      <c r="D15" s="110">
        <f>ROUND((($B15*N$9/100))+((B15*$P$14)/100),2)+P16+N8</f>
        <v>24.349999999999998</v>
      </c>
      <c r="F15" s="110">
        <f>ROUND((($B15*P$9/100))+((B15*$P$15)/100),2)+P17+P8</f>
        <v>24.24</v>
      </c>
      <c r="H15" s="111">
        <f>F15-D15</f>
        <v>-0.10999999999999943</v>
      </c>
      <c r="J15" s="112">
        <f>(F15-D15)/D15</f>
        <v>-4.5174537987679444E-3</v>
      </c>
      <c r="K15" s="112"/>
      <c r="M15" s="115"/>
      <c r="N15" s="93" t="s">
        <v>0</v>
      </c>
      <c r="O15" s="93" t="s">
        <v>0</v>
      </c>
      <c r="P15" s="116">
        <v>-0.81499999999999995</v>
      </c>
      <c r="T15" s="111"/>
    </row>
    <row r="16" spans="1:20">
      <c r="B16" s="109">
        <v>400</v>
      </c>
      <c r="D16" s="110">
        <f>ROUND((($B16*N$9/100))+((B16*$P$14)/100),2)+P16+N8</f>
        <v>29.639999999999997</v>
      </c>
      <c r="F16" s="110">
        <f>ROUND((($B16*P$9/100))+((B16*$P$15)/100),2)+P17+P8</f>
        <v>29.49</v>
      </c>
      <c r="H16" s="111">
        <f>F16-D16</f>
        <v>-0.14999999999999858</v>
      </c>
      <c r="J16" s="112">
        <f>(F16-D16)/D16</f>
        <v>-5.0607287449392236E-3</v>
      </c>
      <c r="K16" s="112"/>
      <c r="N16" s="93" t="s">
        <v>75</v>
      </c>
      <c r="P16" s="111">
        <v>0.74</v>
      </c>
      <c r="Q16" s="93" t="s">
        <v>0</v>
      </c>
      <c r="T16" s="111"/>
    </row>
    <row r="17" spans="2:20">
      <c r="B17" s="109">
        <v>500</v>
      </c>
      <c r="D17" s="110">
        <f>ROUND((($B17*N$9/100))+((B17*$P$14)/100),2)+P16+N8</f>
        <v>34.93</v>
      </c>
      <c r="F17" s="110">
        <f>ROUND((($B17*P$9/100))+((B17*$P$15)/100),2)+P17+P8</f>
        <v>34.75</v>
      </c>
      <c r="H17" s="111">
        <f>F17-D17</f>
        <v>-0.17999999999999972</v>
      </c>
      <c r="J17" s="112">
        <f>(F17-D17)/D17</f>
        <v>-5.1531634697967281E-3</v>
      </c>
      <c r="K17" s="112"/>
      <c r="N17" s="93" t="s">
        <v>76</v>
      </c>
      <c r="P17" s="111">
        <f>P16</f>
        <v>0.74</v>
      </c>
      <c r="T17" s="111"/>
    </row>
    <row r="18" spans="2:20">
      <c r="D18" s="118"/>
      <c r="F18" s="118"/>
      <c r="T18" s="111"/>
    </row>
    <row r="19" spans="2:20">
      <c r="B19" s="109">
        <v>600</v>
      </c>
      <c r="D19" s="110">
        <f>ROUND((($B19*N$9/100))+((B19*$P$14)/100),2)+P16+N8</f>
        <v>40.22</v>
      </c>
      <c r="F19" s="110">
        <f>ROUND((($B19*P$9/100))+((B19*$P$15)/100),2)+P17+P8</f>
        <v>40</v>
      </c>
      <c r="H19" s="111">
        <f>F19-D19</f>
        <v>-0.21999999999999886</v>
      </c>
      <c r="J19" s="112">
        <f>(F19-D19)/D19</f>
        <v>-5.4699154649427862E-3</v>
      </c>
      <c r="K19" s="112"/>
      <c r="N19" s="93" t="s">
        <v>0</v>
      </c>
      <c r="P19" s="141" t="s">
        <v>0</v>
      </c>
      <c r="T19" s="111"/>
    </row>
    <row r="20" spans="2:20">
      <c r="B20" s="109">
        <v>700</v>
      </c>
      <c r="D20" s="110">
        <f>ROUND((((600*N$9/100)+(($B20-600)*N$10/100)))+((B20*$P$14)/100),2)+P16+N8</f>
        <v>49.4</v>
      </c>
      <c r="F20" s="110">
        <f>ROUND((((600*P$9/100)+(($B20-600)*P$10/100)))+((B20*$P$15)/100),2)+P17+P8</f>
        <v>49.14</v>
      </c>
      <c r="H20" s="111">
        <f>F20-D20</f>
        <v>-0.25999999999999801</v>
      </c>
      <c r="J20" s="112">
        <f>(F20-D20)/D20</f>
        <v>-5.2631578947368021E-3</v>
      </c>
      <c r="K20" s="112"/>
      <c r="T20" s="111"/>
    </row>
    <row r="21" spans="2:20">
      <c r="B21" s="109">
        <v>800</v>
      </c>
      <c r="D21" s="110">
        <f>ROUND((((600*N$9/100)+(($B21-600)*N$10/100)))+((B21*$P$14)/100),2)+P16+N8</f>
        <v>58.59</v>
      </c>
      <c r="F21" s="110">
        <f>ROUND((((600*P$9/100)+(($B21-600)*P$10/100)))+((B21*$P$15)/100),2)+P17+P8</f>
        <v>58.29</v>
      </c>
      <c r="H21" s="111">
        <f>F21-D21</f>
        <v>-0.30000000000000426</v>
      </c>
      <c r="J21" s="112">
        <f>(F21-D21)/D21</f>
        <v>-5.1203277009729351E-3</v>
      </c>
      <c r="K21" s="112"/>
      <c r="T21" s="111"/>
    </row>
    <row r="22" spans="2:20">
      <c r="B22" s="109">
        <v>900</v>
      </c>
      <c r="D22" s="110">
        <f>ROUND((((600*N$9/100)+(($B22-600)*N$10/100)))+((B22*$P$14)/100),2)+P16+N8</f>
        <v>67.77000000000001</v>
      </c>
      <c r="F22" s="110">
        <f>ROUND((((600*P$9/100)+(($B22-600)*P$10/100)))+((B22*$P$15)/100),2)+P17+P8</f>
        <v>67.44</v>
      </c>
      <c r="H22" s="111">
        <f>F22-D22</f>
        <v>-0.33000000000001251</v>
      </c>
      <c r="J22" s="112">
        <f>(F22-D22)/D22</f>
        <v>-4.8694112439134195E-3</v>
      </c>
      <c r="K22" s="112"/>
      <c r="M22" s="120" t="s">
        <v>88</v>
      </c>
      <c r="N22" s="142">
        <f>'Attach C - Table A for SBC 2019'!AE16</f>
        <v>-3.7539387039506101E-3</v>
      </c>
      <c r="T22" s="111"/>
    </row>
    <row r="23" spans="2:20">
      <c r="B23" s="109">
        <v>1000</v>
      </c>
      <c r="D23" s="110">
        <f>ROUND((((600*N$9/100)+(($B23-600)*N$10/100)))+((B23*$P$14)/100),2)+P16+N8</f>
        <v>76.949999999999989</v>
      </c>
      <c r="F23" s="110">
        <f>ROUND((((600*P$9/100)+(($B23-600)*P$10/100)))+((B23*$P$15)/100),2)+P17+P8</f>
        <v>76.58</v>
      </c>
      <c r="H23" s="111">
        <f>F23-D23</f>
        <v>-0.36999999999999034</v>
      </c>
      <c r="J23" s="112">
        <f>(F23-D23)/D23</f>
        <v>-4.8083170890187189E-3</v>
      </c>
      <c r="K23" s="112"/>
      <c r="N23" s="128" t="s">
        <v>0</v>
      </c>
      <c r="T23" s="111"/>
    </row>
    <row r="24" spans="2:20">
      <c r="D24" s="118"/>
      <c r="F24" s="118"/>
      <c r="J24" s="121"/>
      <c r="K24" s="121"/>
      <c r="T24" s="111"/>
    </row>
    <row r="25" spans="2:20">
      <c r="B25" s="109">
        <v>1100</v>
      </c>
      <c r="D25" s="110">
        <f>ROUND((((600*N$9/100)+(($B25-600)*N$10/100)))+((B25*$P$14)/100),2)+P16+N8</f>
        <v>86.14</v>
      </c>
      <c r="F25" s="110">
        <f>ROUND((((600*P$9/100)+(($B25-600)*P$10/100)))+((B25*$P$15)/100),2)+P17+P8</f>
        <v>85.72999999999999</v>
      </c>
      <c r="H25" s="111">
        <f>F25-D25</f>
        <v>-0.4100000000000108</v>
      </c>
      <c r="J25" s="112">
        <f>(F25-D25)/D25</f>
        <v>-4.7596935221733321E-3</v>
      </c>
      <c r="K25" s="112"/>
      <c r="T25" s="111"/>
    </row>
    <row r="26" spans="2:20">
      <c r="B26" s="109">
        <v>1200</v>
      </c>
      <c r="C26" s="93" t="s">
        <v>77</v>
      </c>
      <c r="D26" s="110">
        <f>ROUND((((600*N$9/100)+(($B26-600)*N$10/100)))+((B26*$P$14)/100),2)+P16+N8</f>
        <v>95.32</v>
      </c>
      <c r="F26" s="110">
        <f>ROUND((((600*P$9/100)+(($B26-600)*P$10/100)))+((B26*$P$15)/100),2)+P17+P8</f>
        <v>94.88</v>
      </c>
      <c r="H26" s="111">
        <f>F26-D26</f>
        <v>-0.43999999999999773</v>
      </c>
      <c r="J26" s="112">
        <f>(F26-D26)/D26</f>
        <v>-4.6160302140159232E-3</v>
      </c>
      <c r="K26" s="112"/>
      <c r="T26" s="111"/>
    </row>
    <row r="27" spans="2:20">
      <c r="B27" s="109">
        <v>1300</v>
      </c>
      <c r="D27" s="110">
        <f>ROUND((((600*N$9/100)+(($B27-600)*N$10/100)))+((B27*$P$14)/100),2)+P16+N8</f>
        <v>104.50999999999999</v>
      </c>
      <c r="F27" s="110">
        <f>ROUND((((600*P$9/100)+(($B27-600)*P$10/100)))+((B27*$P$15)/100),2)+P17+P8</f>
        <v>104.03</v>
      </c>
      <c r="H27" s="111">
        <f>F27-D27</f>
        <v>-0.47999999999998977</v>
      </c>
      <c r="J27" s="112">
        <f>(F27-D27)/D27</f>
        <v>-4.5928619270882197E-3</v>
      </c>
      <c r="K27" s="112"/>
      <c r="M27" s="111"/>
      <c r="T27" s="111"/>
    </row>
    <row r="28" spans="2:20">
      <c r="B28" s="109">
        <v>1400</v>
      </c>
      <c r="D28" s="110">
        <f>ROUND((((600*N$9/100)+(($B28-600)*N$10/100)))+((B28*$P$14)/100),2)+P16+N8</f>
        <v>113.69</v>
      </c>
      <c r="F28" s="110">
        <f>ROUND((((600*P$9/100)+(($B28-600)*P$10/100)))+((B28*$P$15)/100),2)+P17+P8</f>
        <v>113.17</v>
      </c>
      <c r="H28" s="111">
        <f>F28-D28</f>
        <v>-0.51999999999999602</v>
      </c>
      <c r="J28" s="112">
        <f>(F28-D28)/D28</f>
        <v>-4.5738411469785911E-3</v>
      </c>
      <c r="K28" s="112"/>
      <c r="T28" s="111"/>
    </row>
    <row r="29" spans="2:20">
      <c r="B29" s="109">
        <v>1500</v>
      </c>
      <c r="D29" s="110">
        <f>ROUND((((600*N$9/100)+(($B29-600)*N$10/100)))+((B29*$P$14)/100),2)+P16+N8</f>
        <v>122.86999999999999</v>
      </c>
      <c r="F29" s="110">
        <f>ROUND((((600*P$9/100)+(($B29-600)*P$10/100)))+((B29*$P$15)/100),2)+P17+P8</f>
        <v>122.32</v>
      </c>
      <c r="H29" s="111">
        <f>F29-D29</f>
        <v>-0.54999999999999716</v>
      </c>
      <c r="J29" s="112">
        <f>(F29-D29)/D29</f>
        <v>-4.4762757385854741E-3</v>
      </c>
      <c r="K29" s="112"/>
      <c r="T29" s="111"/>
    </row>
    <row r="30" spans="2:20">
      <c r="D30" s="118"/>
      <c r="F30" s="118"/>
      <c r="T30" s="111"/>
    </row>
    <row r="31" spans="2:20">
      <c r="B31" s="109">
        <v>1600</v>
      </c>
      <c r="D31" s="110">
        <f>ROUND((((600*N$9/100)+(($B31-600)*N$10/100)))+((B31*$P$14)/100),2)+P16+N8</f>
        <v>132.06</v>
      </c>
      <c r="F31" s="110">
        <f>ROUND((((600*P$9/100)+(($B31-600)*P$10/100)))+((B31*$P$15)/100),2)+P17+P8</f>
        <v>131.47</v>
      </c>
      <c r="H31" s="111">
        <f>F31-D31</f>
        <v>-0.59000000000000341</v>
      </c>
      <c r="J31" s="112">
        <f>(F31-D31)/D31</f>
        <v>-4.4676662123277555E-3</v>
      </c>
      <c r="K31" s="112"/>
      <c r="T31" s="111"/>
    </row>
    <row r="32" spans="2:20">
      <c r="B32" s="109">
        <v>2000</v>
      </c>
      <c r="D32" s="110">
        <f>ROUND((((600*N$9/100)+(($B32-600)*N$10/100)))+((B32*$P$14)/100),2)+P16+N8</f>
        <v>168.79000000000002</v>
      </c>
      <c r="F32" s="110">
        <f>ROUND((((600*P$9/100)+(($B32-600)*P$10/100)))+((B32*$P$15)/100),2)+P17+P8</f>
        <v>168.05</v>
      </c>
      <c r="H32" s="111">
        <f>F32-D32</f>
        <v>-0.74000000000000909</v>
      </c>
      <c r="J32" s="112">
        <f>(F32-D32)/D32</f>
        <v>-4.3841459802121509E-3</v>
      </c>
      <c r="K32" s="112"/>
      <c r="T32" s="111"/>
    </row>
    <row r="33" spans="2:20">
      <c r="B33" s="109">
        <v>2600</v>
      </c>
      <c r="D33" s="110">
        <f>ROUND((((600*N$9/100)+(($B33-600)*N$10/100)))+((B33*$P$14)/100),2)+P16+N8</f>
        <v>223.9</v>
      </c>
      <c r="F33" s="110">
        <f>ROUND((((600*P$9/100)+(($B33-600)*P$10/100)))+((B33*$P$15)/100),2)+P17+P8</f>
        <v>222.94</v>
      </c>
      <c r="H33" s="111">
        <f>F33-D33</f>
        <v>-0.96000000000000796</v>
      </c>
      <c r="J33" s="112">
        <f>(F33-D33)/D33</f>
        <v>-4.2876284055382219E-3</v>
      </c>
      <c r="K33" s="112"/>
      <c r="T33" s="111"/>
    </row>
    <row r="34" spans="2:20">
      <c r="B34" s="122"/>
      <c r="C34" s="123"/>
      <c r="D34" s="124"/>
      <c r="E34" s="123"/>
      <c r="F34" s="124"/>
      <c r="G34" s="123"/>
      <c r="H34" s="123"/>
      <c r="I34" s="123"/>
      <c r="J34" s="125"/>
      <c r="K34" s="125"/>
      <c r="T34" s="111"/>
    </row>
    <row r="35" spans="2:20">
      <c r="B35" s="126"/>
    </row>
    <row r="36" spans="2:20">
      <c r="B36" s="93" t="s">
        <v>78</v>
      </c>
    </row>
    <row r="37" spans="2:20">
      <c r="B37" s="93" t="s">
        <v>79</v>
      </c>
    </row>
    <row r="38" spans="2:20" ht="16.5">
      <c r="B38" s="127" t="s">
        <v>89</v>
      </c>
    </row>
    <row r="39" spans="2:20">
      <c r="B39" s="127" t="s">
        <v>0</v>
      </c>
    </row>
    <row r="47" spans="2:20">
      <c r="P47" s="128"/>
    </row>
  </sheetData>
  <mergeCells count="5">
    <mergeCell ref="D6:J6"/>
    <mergeCell ref="H7:J7"/>
    <mergeCell ref="B1:J1"/>
    <mergeCell ref="B2:J2"/>
    <mergeCell ref="B3:J3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6"/>
  <sheetViews>
    <sheetView zoomScale="110" zoomScaleNormal="110" workbookViewId="0">
      <pane xSplit="1" ySplit="4" topLeftCell="B126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" defaultRowHeight="15" outlineLevelRow="1"/>
  <cols>
    <col min="1" max="1" width="15.5" style="164" bestFit="1" customWidth="1"/>
    <col min="2" max="2" width="11.5" style="148" customWidth="1"/>
    <col min="3" max="3" width="14.125" style="148" customWidth="1"/>
    <col min="4" max="4" width="12.625" style="148" customWidth="1"/>
    <col min="5" max="5" width="9.75" style="148" customWidth="1"/>
    <col min="6" max="6" width="14.625" style="148" customWidth="1"/>
    <col min="7" max="7" width="2.125" style="148" customWidth="1"/>
    <col min="8" max="8" width="8" style="148"/>
    <col min="9" max="9" width="16.5" style="148" customWidth="1"/>
    <col min="10" max="10" width="12.375" style="148" bestFit="1" customWidth="1"/>
    <col min="11" max="11" width="9.75" style="148" bestFit="1" customWidth="1"/>
    <col min="12" max="20" width="8" style="148" customWidth="1"/>
    <col min="21" max="16384" width="8" style="148"/>
  </cols>
  <sheetData>
    <row r="1" spans="1:6">
      <c r="A1" s="196"/>
      <c r="B1" s="196"/>
      <c r="C1" s="196"/>
      <c r="D1" s="196"/>
      <c r="E1" s="196"/>
      <c r="F1" s="196"/>
    </row>
    <row r="2" spans="1:6" ht="15.75">
      <c r="A2" s="197" t="s">
        <v>93</v>
      </c>
      <c r="B2" s="197"/>
      <c r="C2" s="197"/>
      <c r="D2" s="197"/>
      <c r="E2" s="197"/>
      <c r="F2" s="197"/>
    </row>
    <row r="3" spans="1:6">
      <c r="A3" s="149"/>
      <c r="B3" s="149"/>
      <c r="C3" s="149"/>
      <c r="D3" s="149"/>
      <c r="E3" s="149"/>
      <c r="F3" s="149"/>
    </row>
    <row r="4" spans="1:6" ht="45">
      <c r="A4" s="150"/>
      <c r="B4" s="151" t="s">
        <v>94</v>
      </c>
      <c r="C4" s="152" t="s">
        <v>95</v>
      </c>
      <c r="D4" s="153" t="s">
        <v>96</v>
      </c>
      <c r="E4" s="151" t="s">
        <v>97</v>
      </c>
      <c r="F4" s="153" t="s">
        <v>98</v>
      </c>
    </row>
    <row r="5" spans="1:6" ht="15.75">
      <c r="A5" s="154" t="s">
        <v>99</v>
      </c>
      <c r="B5" s="155">
        <v>9195525</v>
      </c>
      <c r="C5" s="155">
        <v>-8819537</v>
      </c>
      <c r="D5" s="155">
        <v>765948.69</v>
      </c>
      <c r="E5" s="155">
        <v>530995.68999999994</v>
      </c>
      <c r="F5" s="155">
        <f>+D5+E5</f>
        <v>1296944.3799999999</v>
      </c>
    </row>
    <row r="6" spans="1:6" ht="10.5" customHeight="1">
      <c r="A6" s="155"/>
      <c r="B6" s="155"/>
      <c r="C6" s="155"/>
      <c r="D6" s="155"/>
      <c r="E6" s="155"/>
      <c r="F6" s="155"/>
    </row>
    <row r="7" spans="1:6" ht="15.75" hidden="1" outlineLevel="1">
      <c r="A7" s="155" t="s">
        <v>100</v>
      </c>
      <c r="B7" s="155">
        <v>269147.33</v>
      </c>
      <c r="C7" s="155">
        <v>-921780</v>
      </c>
      <c r="D7" s="155">
        <f>+D5+B7+C7</f>
        <v>113316.02000000002</v>
      </c>
      <c r="E7" s="155">
        <v>201803.21</v>
      </c>
      <c r="F7" s="155">
        <f>D7+SUM(E5:E7)</f>
        <v>846114.91999999993</v>
      </c>
    </row>
    <row r="8" spans="1:6" ht="15.75" hidden="1" outlineLevel="1">
      <c r="A8" s="155" t="s">
        <v>101</v>
      </c>
      <c r="B8" s="155">
        <v>966516.06</v>
      </c>
      <c r="C8" s="155">
        <v>-804573</v>
      </c>
      <c r="D8" s="155">
        <f>+D7+B8+C8</f>
        <v>275259.08000000007</v>
      </c>
      <c r="E8" s="155">
        <v>-210794.01</v>
      </c>
      <c r="F8" s="155">
        <f>+D8+SUM(E5:E8)</f>
        <v>797263.97</v>
      </c>
    </row>
    <row r="9" spans="1:6" ht="15.75" hidden="1" outlineLevel="1">
      <c r="A9" s="155" t="s">
        <v>102</v>
      </c>
      <c r="B9" s="155">
        <v>1193462.8599999999</v>
      </c>
      <c r="C9" s="155">
        <v>-722893</v>
      </c>
      <c r="D9" s="155">
        <f t="shared" ref="D9:D18" si="0">+D8+B9+C9</f>
        <v>745828.94</v>
      </c>
      <c r="E9" s="155">
        <v>80080.960000000006</v>
      </c>
      <c r="F9" s="155">
        <f>D9+SUM(E5:E9)</f>
        <v>1347914.7899999998</v>
      </c>
    </row>
    <row r="10" spans="1:6" ht="15.75" hidden="1" outlineLevel="1">
      <c r="A10" s="155" t="s">
        <v>103</v>
      </c>
      <c r="B10" s="155">
        <v>535597.30999999994</v>
      </c>
      <c r="C10" s="155">
        <v>-652708</v>
      </c>
      <c r="D10" s="155">
        <f t="shared" si="0"/>
        <v>628718.25</v>
      </c>
      <c r="E10" s="155">
        <v>114267.53</v>
      </c>
      <c r="F10" s="155">
        <f>D10+SUM(E5:E10)</f>
        <v>1345071.63</v>
      </c>
    </row>
    <row r="11" spans="1:6" ht="15.75" hidden="1" outlineLevel="1">
      <c r="A11" s="155" t="s">
        <v>104</v>
      </c>
      <c r="B11" s="155">
        <v>747333.69</v>
      </c>
      <c r="C11" s="155">
        <v>-592718</v>
      </c>
      <c r="D11" s="155">
        <f t="shared" si="0"/>
        <v>783333.94</v>
      </c>
      <c r="E11" s="155">
        <v>55877.89</v>
      </c>
      <c r="F11" s="155">
        <f>D11+SUM(E5:E11)</f>
        <v>1555565.21</v>
      </c>
    </row>
    <row r="12" spans="1:6" ht="15.75" hidden="1" outlineLevel="1">
      <c r="A12" s="155" t="s">
        <v>105</v>
      </c>
      <c r="B12" s="155">
        <v>887017.45</v>
      </c>
      <c r="C12" s="155">
        <v>-634001</v>
      </c>
      <c r="D12" s="155">
        <f t="shared" si="0"/>
        <v>1036350.3899999999</v>
      </c>
      <c r="E12" s="155">
        <v>106170.48</v>
      </c>
      <c r="F12" s="155">
        <f>D12+SUM(E5:E12)</f>
        <v>1914752.1399999997</v>
      </c>
    </row>
    <row r="13" spans="1:6" ht="15.75" hidden="1" outlineLevel="1">
      <c r="A13" s="155" t="s">
        <v>106</v>
      </c>
      <c r="B13" s="155">
        <v>540615.94999999995</v>
      </c>
      <c r="C13" s="155">
        <v>-719434</v>
      </c>
      <c r="D13" s="155">
        <f t="shared" si="0"/>
        <v>857532.33999999985</v>
      </c>
      <c r="E13" s="155">
        <v>109323.27</v>
      </c>
      <c r="F13" s="155">
        <f>D13+SUM(E5:E13)</f>
        <v>1845257.3599999999</v>
      </c>
    </row>
    <row r="14" spans="1:6" ht="15.75" hidden="1" outlineLevel="1">
      <c r="A14" s="155" t="s">
        <v>107</v>
      </c>
      <c r="B14" s="155">
        <v>857294.94</v>
      </c>
      <c r="C14" s="155">
        <v>-1013611</v>
      </c>
      <c r="D14" s="155">
        <f t="shared" si="0"/>
        <v>701216.2799999998</v>
      </c>
      <c r="E14" s="155">
        <v>-39809.629999999997</v>
      </c>
      <c r="F14" s="155">
        <f>D14+SUM(E5:E14)</f>
        <v>1649131.6699999997</v>
      </c>
    </row>
    <row r="15" spans="1:6" ht="15.75" hidden="1" outlineLevel="1">
      <c r="A15" s="155" t="s">
        <v>108</v>
      </c>
      <c r="B15" s="155">
        <v>676951.78</v>
      </c>
      <c r="C15" s="155">
        <v>-950412</v>
      </c>
      <c r="D15" s="155">
        <f t="shared" si="0"/>
        <v>427756.05999999982</v>
      </c>
      <c r="E15" s="155">
        <v>-94132.25</v>
      </c>
      <c r="F15" s="155">
        <f>D15+SUM(E5:E15)</f>
        <v>1281539.1999999997</v>
      </c>
    </row>
    <row r="16" spans="1:6" ht="15.75" hidden="1" outlineLevel="1">
      <c r="A16" s="155" t="s">
        <v>109</v>
      </c>
      <c r="B16" s="155">
        <v>1251103.98</v>
      </c>
      <c r="C16" s="155">
        <v>-897683</v>
      </c>
      <c r="D16" s="155">
        <f t="shared" si="0"/>
        <v>781177.0399999998</v>
      </c>
      <c r="E16" s="155">
        <v>-381622.28</v>
      </c>
      <c r="F16" s="155">
        <f>D16+SUM(E5:E16)</f>
        <v>1253337.8999999997</v>
      </c>
    </row>
    <row r="17" spans="1:6" ht="15.75" hidden="1" outlineLevel="1">
      <c r="A17" s="155" t="s">
        <v>110</v>
      </c>
      <c r="B17" s="155">
        <v>581198.62</v>
      </c>
      <c r="C17" s="155">
        <v>-928125</v>
      </c>
      <c r="D17" s="155">
        <f t="shared" si="0"/>
        <v>434250.65999999968</v>
      </c>
      <c r="E17" s="155">
        <v>45363.17</v>
      </c>
      <c r="F17" s="155">
        <f>D17+SUM(E5:E17)</f>
        <v>951774.68999999948</v>
      </c>
    </row>
    <row r="18" spans="1:6" ht="15.75" hidden="1" outlineLevel="1">
      <c r="A18" s="155" t="s">
        <v>111</v>
      </c>
      <c r="B18" s="155">
        <v>1480119.36</v>
      </c>
      <c r="C18" s="155">
        <v>-1080074</v>
      </c>
      <c r="D18" s="155">
        <f t="shared" si="0"/>
        <v>834296.01999999979</v>
      </c>
      <c r="E18" s="155">
        <v>106487.26</v>
      </c>
      <c r="F18" s="155">
        <f>D18+SUM(E5:E18)</f>
        <v>1458307.3099999996</v>
      </c>
    </row>
    <row r="19" spans="1:6" ht="16.5" collapsed="1" thickBot="1">
      <c r="A19" s="154" t="s">
        <v>112</v>
      </c>
      <c r="B19" s="156">
        <f>SUM(B7:B18)</f>
        <v>9986359.3299999982</v>
      </c>
      <c r="C19" s="156">
        <f>SUM(C7:C18)</f>
        <v>-9918012</v>
      </c>
      <c r="D19" s="156">
        <f>+D18</f>
        <v>834296.01999999979</v>
      </c>
      <c r="E19" s="156">
        <f>SUM(E7:E18)</f>
        <v>93015.599999999977</v>
      </c>
      <c r="F19" s="156">
        <f>+F18</f>
        <v>1458307.3099999996</v>
      </c>
    </row>
    <row r="20" spans="1:6" ht="10.5" customHeight="1" thickTop="1">
      <c r="A20" s="155"/>
      <c r="B20" s="155"/>
      <c r="C20" s="155"/>
      <c r="D20" s="155"/>
      <c r="E20" s="155"/>
      <c r="F20" s="155"/>
    </row>
    <row r="21" spans="1:6" ht="15.75" hidden="1" outlineLevel="1">
      <c r="A21" s="155" t="s">
        <v>100</v>
      </c>
      <c r="B21" s="155">
        <v>894625.89</v>
      </c>
      <c r="C21" s="155">
        <v>-931431</v>
      </c>
      <c r="D21" s="155">
        <f>+D18+B21+C21</f>
        <v>797490.90999999968</v>
      </c>
      <c r="E21" s="155">
        <v>112426.58</v>
      </c>
      <c r="F21" s="155">
        <f>D21+$E$5+$E$19+E21</f>
        <v>1533928.7799999998</v>
      </c>
    </row>
    <row r="22" spans="1:6" ht="15.75" hidden="1" outlineLevel="1">
      <c r="A22" s="155" t="s">
        <v>101</v>
      </c>
      <c r="B22" s="155">
        <v>785020.2</v>
      </c>
      <c r="C22" s="155">
        <v>-1336182</v>
      </c>
      <c r="D22" s="155">
        <f>+D21+B22+C22</f>
        <v>246329.10999999964</v>
      </c>
      <c r="E22" s="155">
        <v>-126243.76</v>
      </c>
      <c r="F22" s="155">
        <f>D22+$E$5+$E$19+SUM(E21:E22)</f>
        <v>856523.21999999951</v>
      </c>
    </row>
    <row r="23" spans="1:6" ht="15.75" hidden="1" outlineLevel="1">
      <c r="A23" s="155" t="s">
        <v>102</v>
      </c>
      <c r="B23" s="155">
        <v>869657.4</v>
      </c>
      <c r="C23" s="155">
        <v>-929471</v>
      </c>
      <c r="D23" s="155">
        <f>+D22+B23+C23</f>
        <v>186515.50999999978</v>
      </c>
      <c r="E23" s="155">
        <v>-78322.81</v>
      </c>
      <c r="F23" s="157">
        <f>D23+$E$5+$E$19+SUM(E21:E23)</f>
        <v>718386.80999999971</v>
      </c>
    </row>
    <row r="24" spans="1:6" ht="15.75" hidden="1" outlineLevel="1">
      <c r="A24" s="155" t="s">
        <v>103</v>
      </c>
      <c r="B24" s="155">
        <v>787336.59</v>
      </c>
      <c r="C24" s="158">
        <v>-835051</v>
      </c>
      <c r="D24" s="155">
        <f t="shared" ref="D24:D32" si="1">+D23+B24+C24</f>
        <v>138801.09999999974</v>
      </c>
      <c r="E24" s="155">
        <v>27963.63</v>
      </c>
      <c r="F24" s="155">
        <f>D24+$E$5+$E$19+SUM(E21:E24)</f>
        <v>698636.02999999968</v>
      </c>
    </row>
    <row r="25" spans="1:6" ht="15.75" hidden="1" outlineLevel="1">
      <c r="A25" s="155" t="s">
        <v>104</v>
      </c>
      <c r="B25" s="155">
        <v>662110.71999999997</v>
      </c>
      <c r="C25" s="158">
        <v>-826203</v>
      </c>
      <c r="D25" s="155">
        <f t="shared" si="1"/>
        <v>-25291.180000000284</v>
      </c>
      <c r="E25" s="155">
        <v>-92083.88</v>
      </c>
      <c r="F25" s="155">
        <f>D25+$E$5+$E$19+SUM(E21:E25)</f>
        <v>442459.86999999965</v>
      </c>
    </row>
    <row r="26" spans="1:6" ht="15.75" hidden="1" outlineLevel="1">
      <c r="A26" s="155" t="s">
        <v>105</v>
      </c>
      <c r="B26" s="155">
        <v>961497.3</v>
      </c>
      <c r="C26" s="158">
        <v>-832399</v>
      </c>
      <c r="D26" s="155">
        <f t="shared" si="1"/>
        <v>103807.11999999976</v>
      </c>
      <c r="E26" s="155">
        <v>44355.17</v>
      </c>
      <c r="F26" s="155">
        <f>D26+$E$5+$E$19+SUM(E21:E26)</f>
        <v>615913.33999999973</v>
      </c>
    </row>
    <row r="27" spans="1:6" ht="15.75" hidden="1" outlineLevel="1">
      <c r="A27" s="155" t="s">
        <v>106</v>
      </c>
      <c r="B27" s="155">
        <v>845997.08</v>
      </c>
      <c r="C27" s="158">
        <v>-906595</v>
      </c>
      <c r="D27" s="155">
        <f t="shared" si="1"/>
        <v>43209.199999999721</v>
      </c>
      <c r="E27" s="155">
        <v>75953.97</v>
      </c>
      <c r="F27" s="155">
        <f>D27+$E$5+$E$19+SUM(E21:E27)</f>
        <v>631269.38999999966</v>
      </c>
    </row>
    <row r="28" spans="1:6" ht="15.75" hidden="1" outlineLevel="1">
      <c r="A28" s="155" t="s">
        <v>107</v>
      </c>
      <c r="B28" s="155">
        <v>569103.41</v>
      </c>
      <c r="C28" s="158">
        <v>-947290</v>
      </c>
      <c r="D28" s="155">
        <f t="shared" si="1"/>
        <v>-334977.39000000025</v>
      </c>
      <c r="E28" s="155">
        <v>-13328.16</v>
      </c>
      <c r="F28" s="155">
        <f>D28+$E$5+$E$19+SUM(E21:E28)</f>
        <v>239754.63999999966</v>
      </c>
    </row>
    <row r="29" spans="1:6" ht="15.75" hidden="1" outlineLevel="1">
      <c r="A29" s="155" t="s">
        <v>108</v>
      </c>
      <c r="B29" s="155">
        <v>819430.47</v>
      </c>
      <c r="C29" s="158">
        <v>-891047</v>
      </c>
      <c r="D29" s="155">
        <f t="shared" si="1"/>
        <v>-406593.92000000027</v>
      </c>
      <c r="E29" s="155">
        <v>-20051.900000000001</v>
      </c>
      <c r="F29" s="155">
        <f>D29+$E$5+$E$19+SUM(E21:E29)</f>
        <v>148086.20999999964</v>
      </c>
    </row>
    <row r="30" spans="1:6" ht="15.75" hidden="1" outlineLevel="1">
      <c r="A30" s="155" t="s">
        <v>109</v>
      </c>
      <c r="B30" s="155">
        <v>628893.67000000004</v>
      </c>
      <c r="C30" s="158">
        <v>-791683</v>
      </c>
      <c r="D30" s="155">
        <f t="shared" si="1"/>
        <v>-569383.25000000023</v>
      </c>
      <c r="E30" s="155">
        <v>-11915.47</v>
      </c>
      <c r="F30" s="155">
        <f>D30+$E$5+$E$19+SUM(E21:E30)</f>
        <v>-26618.590000000317</v>
      </c>
    </row>
    <row r="31" spans="1:6" ht="15.75" hidden="1" outlineLevel="1">
      <c r="A31" s="155" t="s">
        <v>110</v>
      </c>
      <c r="B31" s="155">
        <v>501740</v>
      </c>
      <c r="C31" s="158">
        <v>-822609</v>
      </c>
      <c r="D31" s="155">
        <f t="shared" si="1"/>
        <v>-890252.25000000023</v>
      </c>
      <c r="E31" s="155">
        <v>26093.57</v>
      </c>
      <c r="F31" s="155">
        <f>D31+$E$5+$E$19+SUM(E21:E31)</f>
        <v>-321394.02000000031</v>
      </c>
    </row>
    <row r="32" spans="1:6" ht="15.75" hidden="1" outlineLevel="1">
      <c r="A32" s="155" t="s">
        <v>111</v>
      </c>
      <c r="B32" s="155">
        <v>1193072.29</v>
      </c>
      <c r="C32" s="158">
        <v>-1090288</v>
      </c>
      <c r="D32" s="155">
        <f t="shared" si="1"/>
        <v>-787467.9600000002</v>
      </c>
      <c r="E32" s="155">
        <v>-278740.07</v>
      </c>
      <c r="F32" s="155">
        <f>D32+$E$5+$E$19+SUM(E21:E32)</f>
        <v>-497349.80000000028</v>
      </c>
    </row>
    <row r="33" spans="1:8" ht="16.5" collapsed="1" thickBot="1">
      <c r="A33" s="154" t="s">
        <v>113</v>
      </c>
      <c r="B33" s="156">
        <f>SUM(B21:B32)</f>
        <v>9518485.0199999996</v>
      </c>
      <c r="C33" s="159">
        <f>SUM(C21:C32)</f>
        <v>-11140249</v>
      </c>
      <c r="D33" s="156">
        <f>+D32</f>
        <v>-787467.9600000002</v>
      </c>
      <c r="E33" s="156">
        <f>SUM(E21:E32)</f>
        <v>-333893.13</v>
      </c>
      <c r="F33" s="156">
        <f>+F32</f>
        <v>-497349.80000000028</v>
      </c>
    </row>
    <row r="34" spans="1:8" ht="10.5" customHeight="1" thickTop="1">
      <c r="A34" s="155"/>
      <c r="B34" s="155"/>
      <c r="C34" s="158"/>
      <c r="D34" s="155"/>
      <c r="E34" s="155"/>
      <c r="F34" s="155"/>
    </row>
    <row r="35" spans="1:8" ht="15.75" hidden="1" outlineLevel="1">
      <c r="A35" s="155" t="s">
        <v>100</v>
      </c>
      <c r="B35" s="155">
        <v>546881.9</v>
      </c>
      <c r="C35" s="158">
        <v>-1199506.33</v>
      </c>
      <c r="D35" s="155">
        <f>+D32+B35+C35</f>
        <v>-1440092.3900000001</v>
      </c>
      <c r="E35" s="155">
        <v>50683.9</v>
      </c>
      <c r="F35" s="155">
        <f>D35+$E$5+$E$19+$E$33+E35</f>
        <v>-1099290.3300000003</v>
      </c>
    </row>
    <row r="36" spans="1:8" ht="15.75" hidden="1" outlineLevel="1">
      <c r="A36" s="155" t="s">
        <v>101</v>
      </c>
      <c r="B36" s="155">
        <v>553801.29</v>
      </c>
      <c r="C36" s="158">
        <v>-852251</v>
      </c>
      <c r="D36" s="155">
        <f>+D35+B36+C36</f>
        <v>-1738542.1</v>
      </c>
      <c r="E36" s="155">
        <v>91479.360000000001</v>
      </c>
      <c r="F36" s="155">
        <f>D36+$E$5+$E$19+$E$33+SUM(E35:E36)</f>
        <v>-1306260.68</v>
      </c>
    </row>
    <row r="37" spans="1:8" ht="15.75" hidden="1" outlineLevel="1">
      <c r="A37" s="155" t="s">
        <v>102</v>
      </c>
      <c r="B37" s="155">
        <v>918815.44</v>
      </c>
      <c r="C37" s="158">
        <v>-846267</v>
      </c>
      <c r="D37" s="155">
        <f t="shared" ref="D37:D46" si="2">+D36+B37+C37</f>
        <v>-1665993.6600000001</v>
      </c>
      <c r="E37" s="155">
        <v>6846.42</v>
      </c>
      <c r="F37" s="160">
        <f>D37+$E$5+$E$19+$E$33+SUM(E35:E37)</f>
        <v>-1226865.8200000003</v>
      </c>
      <c r="G37" s="161"/>
      <c r="H37" s="162"/>
    </row>
    <row r="38" spans="1:8" ht="15.75" hidden="1" outlineLevel="1">
      <c r="A38" s="155" t="s">
        <v>103</v>
      </c>
      <c r="B38" s="158">
        <v>546584.64</v>
      </c>
      <c r="C38" s="158">
        <v>-721911</v>
      </c>
      <c r="D38" s="155">
        <f t="shared" si="2"/>
        <v>-1841320.02</v>
      </c>
      <c r="E38" s="155">
        <v>-52825.13</v>
      </c>
      <c r="F38" s="155">
        <f>D38+$E$5+$E$19+$E$33+SUM(E35:E38)</f>
        <v>-1455017.3099999998</v>
      </c>
      <c r="H38" s="163"/>
    </row>
    <row r="39" spans="1:8" ht="15.75" hidden="1" outlineLevel="1">
      <c r="A39" s="155" t="s">
        <v>104</v>
      </c>
      <c r="B39" s="158">
        <v>550919.41</v>
      </c>
      <c r="C39" s="158">
        <v>-708222</v>
      </c>
      <c r="D39" s="155">
        <f t="shared" si="2"/>
        <v>-1998622.6099999999</v>
      </c>
      <c r="E39" s="155">
        <v>49037.75</v>
      </c>
      <c r="F39" s="155">
        <f>D39+$E$5+$E$19+$E$33+SUM(E35:E39)</f>
        <v>-1563282.1499999997</v>
      </c>
    </row>
    <row r="40" spans="1:8" ht="15.75" hidden="1" outlineLevel="1">
      <c r="A40" s="155" t="s">
        <v>105</v>
      </c>
      <c r="B40" s="158">
        <v>1067562.6299999999</v>
      </c>
      <c r="C40" s="158">
        <v>-781528</v>
      </c>
      <c r="D40" s="155">
        <f t="shared" si="2"/>
        <v>-1712587.98</v>
      </c>
      <c r="E40" s="155">
        <v>-33651.269999999997</v>
      </c>
      <c r="F40" s="155">
        <f>D40+$E$5+$E$19+$E$33+SUM(E35:E40)</f>
        <v>-1310898.7899999998</v>
      </c>
    </row>
    <row r="41" spans="1:8" ht="15.75" hidden="1" outlineLevel="1">
      <c r="A41" s="155" t="s">
        <v>106</v>
      </c>
      <c r="B41" s="158">
        <v>587135.29</v>
      </c>
      <c r="C41" s="158">
        <v>-829681</v>
      </c>
      <c r="D41" s="155">
        <f t="shared" si="2"/>
        <v>-1955133.69</v>
      </c>
      <c r="E41" s="155">
        <v>121940.72</v>
      </c>
      <c r="F41" s="155">
        <f>D41+$E$5+$E$19+$E$33+SUM(E35:E41)</f>
        <v>-1431503.7799999998</v>
      </c>
    </row>
    <row r="42" spans="1:8" ht="15.75" hidden="1" outlineLevel="1">
      <c r="A42" s="155" t="s">
        <v>107</v>
      </c>
      <c r="B42" s="158">
        <v>716476.04</v>
      </c>
      <c r="C42" s="158">
        <v>-987637</v>
      </c>
      <c r="D42" s="155">
        <f t="shared" si="2"/>
        <v>-2226294.65</v>
      </c>
      <c r="E42" s="155">
        <v>209893.17</v>
      </c>
      <c r="F42" s="155">
        <f>D42+$E$5+$E$19+$E$33+SUM(E35:E42)</f>
        <v>-1492771.5699999998</v>
      </c>
    </row>
    <row r="43" spans="1:8" ht="15.75" hidden="1" outlineLevel="1">
      <c r="A43" s="155" t="s">
        <v>108</v>
      </c>
      <c r="B43" s="158">
        <v>948745.33</v>
      </c>
      <c r="C43" s="158">
        <v>-869698</v>
      </c>
      <c r="D43" s="155">
        <f t="shared" si="2"/>
        <v>-2147247.3199999998</v>
      </c>
      <c r="E43" s="155">
        <v>64254.8</v>
      </c>
      <c r="F43" s="155">
        <f>D43+$E$5+$E$19+$E$33+SUM(E35:E43)</f>
        <v>-1349469.4399999997</v>
      </c>
    </row>
    <row r="44" spans="1:8" ht="15.75" hidden="1" outlineLevel="1">
      <c r="A44" s="155" t="s">
        <v>109</v>
      </c>
      <c r="B44" s="158">
        <v>799503.88</v>
      </c>
      <c r="C44" s="158">
        <v>-785294</v>
      </c>
      <c r="D44" s="155">
        <f t="shared" si="2"/>
        <v>-2133037.44</v>
      </c>
      <c r="E44" s="155">
        <v>25574.15</v>
      </c>
      <c r="F44" s="155">
        <f>D44+$E$5+$E$19+$E$33+SUM(E35:E44)</f>
        <v>-1309685.4099999997</v>
      </c>
    </row>
    <row r="45" spans="1:8" ht="15.75" hidden="1" outlineLevel="1">
      <c r="A45" s="155" t="s">
        <v>110</v>
      </c>
      <c r="B45" s="158">
        <v>1190242.79</v>
      </c>
      <c r="C45" s="158">
        <v>-830779</v>
      </c>
      <c r="D45" s="155">
        <f t="shared" si="2"/>
        <v>-1773573.65</v>
      </c>
      <c r="E45" s="155">
        <v>62166.37</v>
      </c>
      <c r="F45" s="155">
        <f>D45+$E$5+$E$19+$E$33+SUM(E35:E45)</f>
        <v>-888055.24999999977</v>
      </c>
    </row>
    <row r="46" spans="1:8" ht="15.75" hidden="1" outlineLevel="1">
      <c r="A46" s="155" t="s">
        <v>111</v>
      </c>
      <c r="B46" s="158">
        <v>2558602.2599999998</v>
      </c>
      <c r="C46" s="158">
        <v>-1050575</v>
      </c>
      <c r="D46" s="155">
        <f t="shared" si="2"/>
        <v>-265546.39000000013</v>
      </c>
      <c r="E46" s="155">
        <v>457509.41</v>
      </c>
      <c r="F46" s="155">
        <f>D46+$E$5+$E$19+$E$33+SUM(E35:E46)</f>
        <v>1077481.4199999997</v>
      </c>
    </row>
    <row r="47" spans="1:8" ht="16.5" collapsed="1" thickBot="1">
      <c r="A47" s="154" t="s">
        <v>114</v>
      </c>
      <c r="B47" s="159">
        <f>SUM(B35:B46)</f>
        <v>10985270.9</v>
      </c>
      <c r="C47" s="159">
        <f>SUM(C35:C46)</f>
        <v>-10463349.33</v>
      </c>
      <c r="D47" s="156">
        <f>+D46</f>
        <v>-265546.39000000013</v>
      </c>
      <c r="E47" s="156">
        <f>SUM(E35:E46)</f>
        <v>1052909.6499999999</v>
      </c>
      <c r="F47" s="156">
        <f>+F46</f>
        <v>1077481.4199999997</v>
      </c>
    </row>
    <row r="48" spans="1:8" ht="10.5" customHeight="1" thickTop="1">
      <c r="A48" s="155"/>
      <c r="B48" s="164"/>
      <c r="C48" s="164"/>
    </row>
    <row r="49" spans="1:20" ht="15.75" hidden="1" outlineLevel="1">
      <c r="A49" s="155" t="s">
        <v>100</v>
      </c>
      <c r="B49" s="158">
        <v>434701.94</v>
      </c>
      <c r="C49" s="158">
        <v>-1021573</v>
      </c>
      <c r="D49" s="155">
        <f>+D46+B49+C49</f>
        <v>-852417.45000000019</v>
      </c>
      <c r="E49" s="165">
        <v>-243936.34</v>
      </c>
      <c r="F49" s="155">
        <f>D49+$E$5+$E$19+$E$33+$E$47+E49</f>
        <v>246674.01999999964</v>
      </c>
    </row>
    <row r="50" spans="1:20" ht="15.75" hidden="1" outlineLevel="1">
      <c r="A50" s="155" t="s">
        <v>101</v>
      </c>
      <c r="B50" s="158">
        <v>1047571.6</v>
      </c>
      <c r="C50" s="158">
        <v>-886776.3</v>
      </c>
      <c r="D50" s="155">
        <f>+D49+B50+C50</f>
        <v>-691622.15000000026</v>
      </c>
      <c r="E50" s="165">
        <v>-35689.800000000003</v>
      </c>
      <c r="F50" s="155">
        <f>D50+$E$5+$E$19+$E$33+$E$47+SUM(E49:E50)</f>
        <v>371779.51999999955</v>
      </c>
    </row>
    <row r="51" spans="1:20" ht="15.75" hidden="1" outlineLevel="1">
      <c r="A51" s="155" t="s">
        <v>102</v>
      </c>
      <c r="B51" s="158">
        <v>1343084.27</v>
      </c>
      <c r="C51" s="158">
        <v>-765986.1</v>
      </c>
      <c r="D51" s="155">
        <f t="shared" ref="D51:D60" si="3">+D50+B51+C51</f>
        <v>-114523.98000000021</v>
      </c>
      <c r="E51" s="165">
        <v>-397443.98</v>
      </c>
      <c r="F51" s="166">
        <f>D51+$E$5+$E$19+$E$33+$E$47+SUM(E49:E51)</f>
        <v>551433.70999999961</v>
      </c>
    </row>
    <row r="52" spans="1:20" ht="14.25" hidden="1" customHeight="1" outlineLevel="1">
      <c r="A52" s="155" t="s">
        <v>103</v>
      </c>
      <c r="B52" s="158">
        <v>1180880.43</v>
      </c>
      <c r="C52" s="158">
        <v>-716950.42</v>
      </c>
      <c r="D52" s="155">
        <f t="shared" si="3"/>
        <v>349406.02999999968</v>
      </c>
      <c r="E52" s="165">
        <v>-275696.56</v>
      </c>
      <c r="F52" s="166">
        <f>D52+$E$5+$E$19+$E$33+$E$47+SUM(E49:E52)</f>
        <v>739667.15999999945</v>
      </c>
    </row>
    <row r="53" spans="1:20" ht="15.75" hidden="1" outlineLevel="1">
      <c r="A53" s="155" t="s">
        <v>104</v>
      </c>
      <c r="B53" s="158">
        <v>571483.89</v>
      </c>
      <c r="C53" s="158">
        <v>-735223.15</v>
      </c>
      <c r="D53" s="155">
        <f t="shared" si="3"/>
        <v>185666.76999999967</v>
      </c>
      <c r="E53" s="165">
        <v>502427.7</v>
      </c>
      <c r="F53" s="166">
        <f>D53+$E$5+$E$19+$E$33+$E$47+SUM(E49:E53)</f>
        <v>1078355.5999999996</v>
      </c>
    </row>
    <row r="54" spans="1:20" ht="15.75" hidden="1" outlineLevel="1">
      <c r="A54" s="155" t="s">
        <v>105</v>
      </c>
      <c r="B54" s="158">
        <v>1049210.82</v>
      </c>
      <c r="C54" s="158">
        <v>-805633.56</v>
      </c>
      <c r="D54" s="155">
        <f t="shared" si="3"/>
        <v>429244.0299999998</v>
      </c>
      <c r="E54" s="165">
        <v>-65455.12</v>
      </c>
      <c r="F54" s="158">
        <f>D54+$E$5+$E$19+$E$33+$E$47+SUM(E49:E54)</f>
        <v>1256477.74</v>
      </c>
      <c r="H54" s="167"/>
    </row>
    <row r="55" spans="1:20" ht="15.75" hidden="1" outlineLevel="1">
      <c r="A55" s="155" t="s">
        <v>106</v>
      </c>
      <c r="B55" s="158">
        <v>987492.18</v>
      </c>
      <c r="C55" s="158">
        <v>-1013351.12</v>
      </c>
      <c r="D55" s="155">
        <f t="shared" si="3"/>
        <v>403385.08999999997</v>
      </c>
      <c r="E55" s="165">
        <v>-52827.65</v>
      </c>
      <c r="F55" s="155">
        <f>D55+$E$5+$E$19+$E$33+$E$47+SUM(E49:E55)</f>
        <v>1177791.1499999999</v>
      </c>
    </row>
    <row r="56" spans="1:20" ht="15.75" hidden="1" outlineLevel="1">
      <c r="A56" s="155" t="s">
        <v>107</v>
      </c>
      <c r="B56" s="158">
        <v>777200.68</v>
      </c>
      <c r="C56" s="158">
        <v>-934306.55</v>
      </c>
      <c r="D56" s="155">
        <f t="shared" si="3"/>
        <v>246279.21999999997</v>
      </c>
      <c r="E56" s="165">
        <v>56954.65</v>
      </c>
      <c r="F56" s="155">
        <f>D56+$E$5+$E$19+$E$33+$E$47+SUM(E49:E56)</f>
        <v>1077639.93</v>
      </c>
    </row>
    <row r="57" spans="1:20" ht="15.75" hidden="1" outlineLevel="1">
      <c r="A57" s="155" t="s">
        <v>108</v>
      </c>
      <c r="B57" s="158">
        <v>1127417.8400000001</v>
      </c>
      <c r="C57" s="158">
        <v>-952828.13</v>
      </c>
      <c r="D57" s="155">
        <f t="shared" si="3"/>
        <v>420868.93000000005</v>
      </c>
      <c r="E57" s="165">
        <v>-104042.09</v>
      </c>
      <c r="F57" s="155">
        <f>D57+$E$5+$E$19+$E$33+$E$47+SUM(E49:E57)</f>
        <v>1148187.5499999998</v>
      </c>
    </row>
    <row r="58" spans="1:20" ht="15.75" hidden="1" outlineLevel="1">
      <c r="A58" s="155" t="s">
        <v>109</v>
      </c>
      <c r="B58" s="158">
        <v>850563.5</v>
      </c>
      <c r="C58" s="158">
        <v>-809876.43</v>
      </c>
      <c r="D58" s="155">
        <f t="shared" si="3"/>
        <v>461556.00000000012</v>
      </c>
      <c r="E58" s="165">
        <v>248690.64</v>
      </c>
      <c r="F58" s="155">
        <f>D58+$E$5+$E$19+$E$33+$E$47+SUM(E49:E58)</f>
        <v>1437565.2600000002</v>
      </c>
    </row>
    <row r="59" spans="1:20" ht="15.75" hidden="1" outlineLevel="1">
      <c r="A59" s="155" t="s">
        <v>110</v>
      </c>
      <c r="B59" s="158">
        <v>867733.6</v>
      </c>
      <c r="C59" s="158">
        <v>-831156.09</v>
      </c>
      <c r="D59" s="155">
        <f t="shared" si="3"/>
        <v>498133.51000000013</v>
      </c>
      <c r="E59" s="165">
        <v>-58923.68</v>
      </c>
      <c r="F59" s="155">
        <f>D59+$E$5+$E$19+$E$33+$E$47+SUM(E49:E59)</f>
        <v>1415219.09</v>
      </c>
    </row>
    <row r="60" spans="1:20" ht="15.75" hidden="1" outlineLevel="1">
      <c r="A60" s="155" t="s">
        <v>111</v>
      </c>
      <c r="B60" s="158">
        <v>1755149.99</v>
      </c>
      <c r="C60" s="158">
        <v>-1057447.76</v>
      </c>
      <c r="D60" s="155">
        <f t="shared" si="3"/>
        <v>1195835.74</v>
      </c>
      <c r="E60" s="165">
        <v>-192095.89</v>
      </c>
      <c r="F60" s="155">
        <f>D60+$E$5+$E$19+$E$33+$E$47+SUM(E49:E60)</f>
        <v>1920825.43</v>
      </c>
      <c r="O60" s="167"/>
    </row>
    <row r="61" spans="1:20" ht="16.5" collapsed="1" thickBot="1">
      <c r="A61" s="154" t="s">
        <v>115</v>
      </c>
      <c r="B61" s="159">
        <f>SUM(B49:B60)</f>
        <v>11992490.74</v>
      </c>
      <c r="C61" s="159">
        <f>SUM(C49:C60)</f>
        <v>-10531108.609999999</v>
      </c>
      <c r="D61" s="156">
        <f>+D60</f>
        <v>1195835.74</v>
      </c>
      <c r="E61" s="156">
        <f>SUM(E49:E60)</f>
        <v>-618038.11999999988</v>
      </c>
      <c r="F61" s="156">
        <f>+F60</f>
        <v>1920825.43</v>
      </c>
      <c r="K61" s="167"/>
      <c r="N61" s="167"/>
      <c r="O61" s="168"/>
      <c r="Q61" s="169"/>
      <c r="R61" s="167"/>
    </row>
    <row r="62" spans="1:20" ht="9.75" customHeight="1" thickTop="1">
      <c r="A62" s="155"/>
      <c r="B62" s="164"/>
      <c r="C62" s="164"/>
      <c r="K62" s="170"/>
      <c r="L62" s="171"/>
      <c r="M62" s="172"/>
      <c r="N62" s="173"/>
      <c r="O62" s="171"/>
      <c r="R62" s="172"/>
      <c r="S62" s="174"/>
      <c r="T62" s="172"/>
    </row>
    <row r="63" spans="1:20" ht="15.75" hidden="1" outlineLevel="1">
      <c r="A63" s="155" t="s">
        <v>100</v>
      </c>
      <c r="B63" s="158">
        <v>662873.81999999995</v>
      </c>
      <c r="C63" s="158">
        <v>-1123601.33</v>
      </c>
      <c r="D63" s="155">
        <f>+D60+B63+C63</f>
        <v>735108.23</v>
      </c>
      <c r="E63" s="165">
        <v>282256.57</v>
      </c>
      <c r="F63" s="155">
        <f>D63+$E$5+$E$19+$E$33+$E$47+E63+$E$61</f>
        <v>1742354.49</v>
      </c>
      <c r="L63" s="169"/>
      <c r="O63" s="169"/>
      <c r="S63" s="169"/>
      <c r="T63" s="172"/>
    </row>
    <row r="64" spans="1:20" ht="15.75" hidden="1" outlineLevel="1">
      <c r="A64" s="155" t="s">
        <v>101</v>
      </c>
      <c r="B64" s="158">
        <v>792700.18</v>
      </c>
      <c r="C64" s="158">
        <v>-925215.21</v>
      </c>
      <c r="D64" s="155">
        <f>+D63+B64+C64</f>
        <v>602593.20000000019</v>
      </c>
      <c r="E64" s="165">
        <v>-283374.17</v>
      </c>
      <c r="F64" s="155">
        <f>D64+$E$5+$E$19+$E$33+$E$47+$E$61+SUM(E63:E64)</f>
        <v>1326465.2900000005</v>
      </c>
      <c r="L64" s="169"/>
      <c r="O64" s="169"/>
      <c r="S64" s="169"/>
      <c r="T64" s="172"/>
    </row>
    <row r="65" spans="1:20" ht="15.75" hidden="1" outlineLevel="1">
      <c r="A65" s="155" t="s">
        <v>102</v>
      </c>
      <c r="B65" s="158">
        <v>677187.72</v>
      </c>
      <c r="C65" s="158">
        <v>-810190.54</v>
      </c>
      <c r="D65" s="155">
        <f t="shared" ref="D65:D74" si="4">+D64+B65+C65</f>
        <v>469590.38000000012</v>
      </c>
      <c r="E65" s="165">
        <v>244706.38</v>
      </c>
      <c r="F65" s="166">
        <f>D65+$E$5+$E$19+$E$33+$E$47+$E$61+SUM(E63:E65)</f>
        <v>1438168.85</v>
      </c>
      <c r="G65" s="161"/>
      <c r="L65" s="169"/>
      <c r="O65" s="169"/>
      <c r="S65" s="169"/>
      <c r="T65" s="172"/>
    </row>
    <row r="66" spans="1:20" ht="15.75" hidden="1" outlineLevel="1">
      <c r="A66" s="155" t="s">
        <v>103</v>
      </c>
      <c r="B66" s="158">
        <v>536607.44999999995</v>
      </c>
      <c r="C66" s="158">
        <v>-734411.94</v>
      </c>
      <c r="D66" s="155">
        <f t="shared" si="4"/>
        <v>271785.89000000013</v>
      </c>
      <c r="E66" s="165">
        <v>46409.27</v>
      </c>
      <c r="F66" s="166">
        <f>D66+$E$5+$E$19+$E$33+$E$47+$E$61+SUM(E63:E66)</f>
        <v>1286773.6300000001</v>
      </c>
      <c r="L66" s="169"/>
      <c r="O66" s="169"/>
      <c r="S66" s="169"/>
      <c r="T66" s="172"/>
    </row>
    <row r="67" spans="1:20" ht="15.75" hidden="1" outlineLevel="1">
      <c r="A67" s="155" t="s">
        <v>104</v>
      </c>
      <c r="B67" s="158">
        <v>1171437.3600000001</v>
      </c>
      <c r="C67" s="158">
        <v>-753252.94</v>
      </c>
      <c r="D67" s="155">
        <f t="shared" si="4"/>
        <v>689970.31000000029</v>
      </c>
      <c r="E67" s="165">
        <v>32046.78</v>
      </c>
      <c r="F67" s="166">
        <f>D67+$E$5+$E$19+$E$33+$E$47+$E$61+SUM(E63:E67)</f>
        <v>1737004.8300000003</v>
      </c>
      <c r="L67" s="169"/>
      <c r="O67" s="169"/>
      <c r="S67" s="169"/>
      <c r="T67" s="172"/>
    </row>
    <row r="68" spans="1:20" ht="15.75" hidden="1" outlineLevel="1">
      <c r="A68" s="155" t="s">
        <v>105</v>
      </c>
      <c r="B68" s="158">
        <v>903666</v>
      </c>
      <c r="C68" s="158">
        <v>-811915.85</v>
      </c>
      <c r="D68" s="155">
        <f t="shared" si="4"/>
        <v>781720.46000000031</v>
      </c>
      <c r="E68" s="165">
        <v>234052.05</v>
      </c>
      <c r="F68" s="166">
        <f>D68+$E$5+$E$19+$E$33+$E$47+$E$61+SUM(E63:E68)</f>
        <v>2062807.0300000007</v>
      </c>
      <c r="L68" s="175"/>
      <c r="O68" s="175"/>
      <c r="S68" s="169"/>
      <c r="T68" s="172"/>
    </row>
    <row r="69" spans="1:20" ht="15.75" hidden="1" outlineLevel="1">
      <c r="A69" s="155" t="s">
        <v>106</v>
      </c>
      <c r="B69" s="158">
        <v>987844.8</v>
      </c>
      <c r="C69" s="158">
        <v>-837367.06</v>
      </c>
      <c r="D69" s="155">
        <f t="shared" si="4"/>
        <v>932198.20000000019</v>
      </c>
      <c r="E69" s="165">
        <v>-17401.66</v>
      </c>
      <c r="F69" s="166">
        <f>D69+$E$5+$E$19+$E$33+$E$47+$E$61+SUM(E63:E69)</f>
        <v>2195883.1100000003</v>
      </c>
      <c r="H69" s="167"/>
      <c r="L69" s="175"/>
      <c r="O69" s="175"/>
      <c r="S69" s="169"/>
    </row>
    <row r="70" spans="1:20" ht="15.75" hidden="1" outlineLevel="1">
      <c r="A70" s="155" t="s">
        <v>107</v>
      </c>
      <c r="B70" s="158">
        <v>1043229.3</v>
      </c>
      <c r="C70" s="158">
        <v>-1019474.43</v>
      </c>
      <c r="D70" s="155">
        <f t="shared" si="4"/>
        <v>955953.07000000018</v>
      </c>
      <c r="E70" s="165">
        <v>-175664.62</v>
      </c>
      <c r="F70" s="166">
        <f>D70+$E$5+$E$19+$E$33+$E$47+$E$61+SUM(E63:E70)</f>
        <v>2043973.3600000006</v>
      </c>
      <c r="K70" s="167"/>
      <c r="L70" s="176"/>
      <c r="N70" s="167"/>
      <c r="O70" s="176"/>
      <c r="S70" s="169"/>
    </row>
    <row r="71" spans="1:20" ht="15.75" hidden="1" outlineLevel="1">
      <c r="A71" s="155" t="s">
        <v>108</v>
      </c>
      <c r="B71" s="158">
        <v>1094241.3600000001</v>
      </c>
      <c r="C71" s="158">
        <v>-1057355.26</v>
      </c>
      <c r="D71" s="155">
        <f t="shared" si="4"/>
        <v>992839.17000000016</v>
      </c>
      <c r="E71" s="165">
        <v>-527229.31000000006</v>
      </c>
      <c r="F71" s="166">
        <f>D71+$E$5+$E$19+$E$33+$E$47+$E$61+SUM(E63:E71)</f>
        <v>1553630.1500000001</v>
      </c>
      <c r="S71" s="169"/>
    </row>
    <row r="72" spans="1:20" ht="15.75" hidden="1" outlineLevel="1">
      <c r="A72" s="155" t="s">
        <v>109</v>
      </c>
      <c r="B72" s="158">
        <v>687103.13</v>
      </c>
      <c r="C72" s="158">
        <v>-971425.77</v>
      </c>
      <c r="D72" s="155">
        <f t="shared" si="4"/>
        <v>708516.53000000026</v>
      </c>
      <c r="E72" s="165">
        <v>281378.45</v>
      </c>
      <c r="F72" s="166">
        <f>D72+$E$5+$E$19+$E$33+$E$47+$E$61+SUM(E63:E72)</f>
        <v>1550685.9600000004</v>
      </c>
      <c r="L72" s="169"/>
      <c r="O72" s="169"/>
      <c r="S72" s="169"/>
    </row>
    <row r="73" spans="1:20" ht="15.75" hidden="1" outlineLevel="1">
      <c r="A73" s="155" t="s">
        <v>110</v>
      </c>
      <c r="B73" s="158">
        <v>1095979.49</v>
      </c>
      <c r="C73" s="158">
        <v>-979113.35</v>
      </c>
      <c r="D73" s="155">
        <f t="shared" si="4"/>
        <v>825382.67000000027</v>
      </c>
      <c r="E73" s="165">
        <v>6409.31</v>
      </c>
      <c r="F73" s="166">
        <f>D73+$E$5+$E$19+$E$33+$E$47+$E$61+SUM(E63:E73)</f>
        <v>1673961.4100000006</v>
      </c>
      <c r="L73" s="169"/>
      <c r="O73" s="169"/>
      <c r="S73" s="169"/>
    </row>
    <row r="74" spans="1:20" ht="15.75" hidden="1" outlineLevel="1">
      <c r="A74" s="155" t="s">
        <v>111</v>
      </c>
      <c r="B74" s="158">
        <v>1726781.91</v>
      </c>
      <c r="C74" s="158">
        <v>-1229348.6200000001</v>
      </c>
      <c r="D74" s="155">
        <f t="shared" si="4"/>
        <v>1322815.96</v>
      </c>
      <c r="E74" s="165">
        <v>304512.34999999998</v>
      </c>
      <c r="F74" s="166">
        <f>D74+$E$5+$E$19+$E$33+$E$47+$E$61+SUM(E63:E74)</f>
        <v>2475907.0500000003</v>
      </c>
      <c r="L74" s="169"/>
      <c r="O74" s="169"/>
      <c r="S74" s="175"/>
    </row>
    <row r="75" spans="1:20" ht="16.5" collapsed="1" thickBot="1">
      <c r="A75" s="154" t="s">
        <v>116</v>
      </c>
      <c r="B75" s="156">
        <f>SUM(B63:B74)</f>
        <v>11379652.520000001</v>
      </c>
      <c r="C75" s="156">
        <f>SUM(C63:C74)</f>
        <v>-11252672.299999997</v>
      </c>
      <c r="D75" s="156">
        <f>+D74</f>
        <v>1322815.96</v>
      </c>
      <c r="E75" s="156">
        <f>SUM(E63:E74)</f>
        <v>428101.4</v>
      </c>
      <c r="F75" s="156">
        <f>+F74</f>
        <v>2475907.0500000003</v>
      </c>
      <c r="L75" s="169"/>
      <c r="O75" s="169"/>
    </row>
    <row r="76" spans="1:20" ht="8.25" customHeight="1" thickTop="1">
      <c r="A76" s="155"/>
      <c r="L76" s="169"/>
      <c r="O76" s="169"/>
    </row>
    <row r="77" spans="1:20" ht="15.75" outlineLevel="1">
      <c r="A77" s="155" t="s">
        <v>100</v>
      </c>
      <c r="B77" s="158">
        <v>1150972.43</v>
      </c>
      <c r="C77" s="158">
        <v>-1523018.81</v>
      </c>
      <c r="D77" s="155">
        <f>+D74+B77+C77</f>
        <v>950769.57999999961</v>
      </c>
      <c r="E77" s="165">
        <v>-458874.48</v>
      </c>
      <c r="F77" s="155">
        <f>D77+$E$5+$E$19+$E$33+$E$47+E77+E75+E61</f>
        <v>1644986.1899999997</v>
      </c>
      <c r="L77" s="169"/>
      <c r="O77" s="169"/>
      <c r="S77" s="169"/>
      <c r="T77" s="172"/>
    </row>
    <row r="78" spans="1:20" ht="15.75" outlineLevel="1">
      <c r="A78" s="155" t="s">
        <v>101</v>
      </c>
      <c r="B78" s="158">
        <v>578636.99</v>
      </c>
      <c r="C78" s="158">
        <v>-1324980.28</v>
      </c>
      <c r="D78" s="155">
        <f>+D77+B78+C78</f>
        <v>204426.28999999957</v>
      </c>
      <c r="E78" s="165">
        <v>172695.23</v>
      </c>
      <c r="F78" s="155">
        <f>D78+$E$5+$E$19+$E$33+$E$47+$E$61+$E$75+SUM(E77:E78)</f>
        <v>1071338.1299999994</v>
      </c>
      <c r="L78" s="169"/>
      <c r="O78" s="169"/>
      <c r="S78" s="169"/>
      <c r="T78" s="172"/>
    </row>
    <row r="79" spans="1:20" ht="15.75" outlineLevel="1">
      <c r="A79" s="155" t="s">
        <v>102</v>
      </c>
      <c r="B79" s="158">
        <v>751796.72</v>
      </c>
      <c r="C79" s="158">
        <v>-1091487.93</v>
      </c>
      <c r="D79" s="155">
        <f t="shared" ref="D79:D88" si="5">+D78+B79+C79</f>
        <v>-135264.92000000039</v>
      </c>
      <c r="E79" s="165">
        <v>-135103.99</v>
      </c>
      <c r="F79" s="166">
        <f>D79+$E$5+$E$19+$E$33+$E$47+$E$61+$E$75+SUM(E77:E79)</f>
        <v>596542.92999999959</v>
      </c>
      <c r="G79" s="161"/>
      <c r="L79" s="169"/>
      <c r="O79" s="169"/>
      <c r="S79" s="169"/>
      <c r="T79" s="172"/>
    </row>
    <row r="80" spans="1:20" ht="15.75" outlineLevel="1">
      <c r="A80" s="155" t="s">
        <v>103</v>
      </c>
      <c r="B80" s="158">
        <v>955356.5</v>
      </c>
      <c r="C80" s="158">
        <v>-894774.18</v>
      </c>
      <c r="D80" s="155">
        <f t="shared" si="5"/>
        <v>-74682.600000000442</v>
      </c>
      <c r="E80" s="165">
        <v>346209.61</v>
      </c>
      <c r="F80" s="166">
        <f>D80+$E$5+$E$19+$E$33+$E$47+$E$61+$E$75+SUM(E77:E80)</f>
        <v>1003334.8599999998</v>
      </c>
      <c r="L80" s="169"/>
      <c r="O80" s="169"/>
      <c r="S80" s="169"/>
      <c r="T80" s="172"/>
    </row>
    <row r="81" spans="1:20" ht="15.75" outlineLevel="1">
      <c r="A81" s="155" t="s">
        <v>104</v>
      </c>
      <c r="B81" s="158">
        <v>1011604.46</v>
      </c>
      <c r="C81" s="158">
        <v>-877103.11</v>
      </c>
      <c r="D81" s="155">
        <f t="shared" si="5"/>
        <v>59818.749999999534</v>
      </c>
      <c r="E81" s="165">
        <v>-246905.60000000001</v>
      </c>
      <c r="F81" s="155">
        <f>D81+$E$5+$E$19+$E$33+$E$47+$E$61+$E$75+SUM(E77:E81)</f>
        <v>890930.6099999994</v>
      </c>
      <c r="L81" s="169"/>
      <c r="O81" s="169"/>
      <c r="S81" s="169"/>
      <c r="T81" s="172"/>
    </row>
    <row r="82" spans="1:20" ht="15.75" outlineLevel="1">
      <c r="A82" s="155" t="s">
        <v>105</v>
      </c>
      <c r="B82" s="158">
        <v>971755.43</v>
      </c>
      <c r="C82" s="158">
        <v>-941012.68</v>
      </c>
      <c r="D82" s="155">
        <f t="shared" si="5"/>
        <v>90561.499999999534</v>
      </c>
      <c r="E82" s="165">
        <v>-166906.35</v>
      </c>
      <c r="F82" s="155">
        <f>D82+$E$5+$E$19+$E$33+$E$47+$E$61+$E$75+SUM(E77:E82)</f>
        <v>754767.00999999943</v>
      </c>
      <c r="L82" s="175"/>
      <c r="O82" s="175"/>
      <c r="S82" s="169"/>
      <c r="T82" s="172"/>
    </row>
    <row r="83" spans="1:20" ht="15.75" outlineLevel="1">
      <c r="A83" s="155" t="s">
        <v>106</v>
      </c>
      <c r="B83" s="158">
        <v>780352.63</v>
      </c>
      <c r="C83" s="158">
        <v>-1092621.31</v>
      </c>
      <c r="D83" s="155">
        <f t="shared" si="5"/>
        <v>-221707.18000000052</v>
      </c>
      <c r="E83" s="165">
        <v>499361.73</v>
      </c>
      <c r="F83" s="158">
        <f>D83+$E$5+$E$19+$E$33+$E$47+$E$61+$E$75+SUM(E77:E83)</f>
        <v>941860.05999999959</v>
      </c>
      <c r="L83" s="175"/>
      <c r="O83" s="175"/>
      <c r="S83" s="169"/>
    </row>
    <row r="84" spans="1:20" ht="15.75" outlineLevel="1">
      <c r="A84" s="155" t="s">
        <v>107</v>
      </c>
      <c r="B84" s="158">
        <v>857569.22</v>
      </c>
      <c r="C84" s="158">
        <v>-1228474.28</v>
      </c>
      <c r="D84" s="155">
        <f t="shared" si="5"/>
        <v>-592612.24000000057</v>
      </c>
      <c r="E84" s="165">
        <v>-520125.06</v>
      </c>
      <c r="F84" s="158">
        <f>D84+$E$5+$E$19+$E$33+$E$47+$E$61+$E$75+SUM(E77:E84)</f>
        <v>50829.93999999942</v>
      </c>
      <c r="K84" s="167"/>
      <c r="L84" s="176"/>
      <c r="N84" s="167"/>
      <c r="O84" s="176"/>
      <c r="S84" s="169"/>
    </row>
    <row r="85" spans="1:20" ht="15.75" outlineLevel="1">
      <c r="A85" s="155" t="s">
        <v>108</v>
      </c>
      <c r="B85" s="158">
        <v>853021.97</v>
      </c>
      <c r="C85" s="158">
        <v>-1175826.6000000001</v>
      </c>
      <c r="D85" s="155">
        <f t="shared" si="5"/>
        <v>-915416.87000000069</v>
      </c>
      <c r="E85" s="165">
        <v>209840.47</v>
      </c>
      <c r="F85" s="158">
        <f>D85+$E$5+$E$19+$E$33+$E$47+$E$61+$E$75+SUM(E77:E85)</f>
        <v>-62134.220000000671</v>
      </c>
      <c r="S85" s="169"/>
    </row>
    <row r="86" spans="1:20" ht="15.75" outlineLevel="1">
      <c r="A86" s="155" t="s">
        <v>109</v>
      </c>
      <c r="B86" s="158">
        <v>449404.59</v>
      </c>
      <c r="C86" s="158">
        <v>-1031795.29</v>
      </c>
      <c r="D86" s="155">
        <f t="shared" si="5"/>
        <v>-1497807.5700000008</v>
      </c>
      <c r="E86" s="165">
        <v>41216.400000000001</v>
      </c>
      <c r="F86" s="158">
        <f>D86+$E$5+$E$19+$E$33+$E$47+$E$61+$E$75+SUM(E77:E86)</f>
        <v>-603308.52000000072</v>
      </c>
      <c r="L86" s="169"/>
      <c r="O86" s="169"/>
      <c r="S86" s="169"/>
    </row>
    <row r="87" spans="1:20" ht="15.75" outlineLevel="1">
      <c r="A87" s="155" t="s">
        <v>110</v>
      </c>
      <c r="B87" s="158">
        <v>1005391.26</v>
      </c>
      <c r="C87" s="158">
        <v>-1140114.8799999999</v>
      </c>
      <c r="D87" s="155">
        <f t="shared" si="5"/>
        <v>-1632531.1900000006</v>
      </c>
      <c r="E87" s="165">
        <v>255011.49</v>
      </c>
      <c r="F87" s="158">
        <f>D87+$E$5+$E$19+$E$33+$E$47+$E$61+$E$75+SUM(E77:E87)</f>
        <v>-483020.65000000061</v>
      </c>
      <c r="L87" s="169"/>
      <c r="O87" s="169"/>
      <c r="S87" s="169"/>
    </row>
    <row r="88" spans="1:20" ht="15.75" outlineLevel="1">
      <c r="A88" s="155" t="s">
        <v>111</v>
      </c>
      <c r="B88" s="158">
        <v>1942431.12</v>
      </c>
      <c r="C88" s="158">
        <v>-1351980.6</v>
      </c>
      <c r="D88" s="155">
        <f t="shared" si="5"/>
        <v>-1042080.6700000006</v>
      </c>
      <c r="E88" s="165">
        <v>-15825.82</v>
      </c>
      <c r="F88" s="158">
        <f>D88+$E$5+$E$19+$E$33+$E$47+$E$61+$E$75+SUM(E77:E88)</f>
        <v>91604.049999999377</v>
      </c>
      <c r="L88" s="169"/>
      <c r="O88" s="169"/>
      <c r="S88" s="175"/>
    </row>
    <row r="89" spans="1:20" ht="16.5" thickBot="1">
      <c r="A89" s="154" t="s">
        <v>117</v>
      </c>
      <c r="B89" s="156">
        <f>SUM(B77:B88)</f>
        <v>11308293.32</v>
      </c>
      <c r="C89" s="156">
        <f>SUM(C77:C88)</f>
        <v>-13673189.949999997</v>
      </c>
      <c r="D89" s="156"/>
      <c r="E89" s="156">
        <f>SUM(E77:E88)</f>
        <v>-19406.369999999959</v>
      </c>
      <c r="F89" s="156">
        <f>+F88</f>
        <v>91604.049999999377</v>
      </c>
      <c r="L89" s="169"/>
      <c r="O89" s="169"/>
    </row>
    <row r="90" spans="1:20" ht="16.5" thickTop="1">
      <c r="A90" s="155"/>
      <c r="L90" s="169"/>
      <c r="O90" s="169"/>
    </row>
    <row r="91" spans="1:20" ht="15.75">
      <c r="A91" s="155" t="s">
        <v>100</v>
      </c>
      <c r="B91" s="158">
        <v>782124.44</v>
      </c>
      <c r="C91" s="158">
        <v>-1402608.38</v>
      </c>
      <c r="D91" s="155">
        <f>+D88+B91+C91</f>
        <v>-1662564.6100000006</v>
      </c>
      <c r="E91" s="165">
        <v>36424.94</v>
      </c>
      <c r="F91" s="155">
        <f>D91+$E$5+$E$19+$E$33+$E$47+$E$61+$E$75+$E$89+E91</f>
        <v>-492454.95000000059</v>
      </c>
      <c r="L91" s="169"/>
      <c r="O91" s="169"/>
    </row>
    <row r="92" spans="1:20" ht="15.75">
      <c r="A92" s="155" t="s">
        <v>101</v>
      </c>
      <c r="B92" s="158">
        <v>615786.66</v>
      </c>
      <c r="C92" s="158">
        <v>-1181693.8799999999</v>
      </c>
      <c r="D92" s="155">
        <f>+D91+B92+C92</f>
        <v>-2228471.8300000005</v>
      </c>
      <c r="E92" s="165">
        <v>-210504.64</v>
      </c>
      <c r="F92" s="155">
        <f>D92+$E$5+$E$19+$E$33+$E$47+$E$61+$E$75+$E$89+SUM(E91:E92)</f>
        <v>-1268866.81</v>
      </c>
      <c r="L92" s="169"/>
      <c r="O92" s="169"/>
    </row>
    <row r="93" spans="1:20" ht="15.75">
      <c r="A93" s="155" t="s">
        <v>102</v>
      </c>
      <c r="B93" s="158">
        <v>1175326.8500000001</v>
      </c>
      <c r="C93" s="158">
        <v>-1132853.32</v>
      </c>
      <c r="D93" s="155">
        <f t="shared" ref="D93:D102" si="6">+D92+B93+C93</f>
        <v>-2185998.3000000007</v>
      </c>
      <c r="E93" s="165">
        <v>-152347.63</v>
      </c>
      <c r="F93" s="166">
        <f>D93+$E$5+$E$19+$E$33+$E$47+$E$61+$E$75+$E$89+SUM(E91:E93)</f>
        <v>-1378740.9100000006</v>
      </c>
      <c r="L93" s="169"/>
      <c r="O93" s="169"/>
    </row>
    <row r="94" spans="1:20" ht="15.75">
      <c r="A94" s="155" t="s">
        <v>103</v>
      </c>
      <c r="B94" s="158">
        <v>683461.22</v>
      </c>
      <c r="C94" s="158">
        <v>-959094.14</v>
      </c>
      <c r="D94" s="155">
        <f t="shared" si="6"/>
        <v>-2461631.2200000007</v>
      </c>
      <c r="E94" s="165">
        <v>247621.48</v>
      </c>
      <c r="F94" s="166">
        <f>D94+$E$5+$E$19+$E$33+$E$47+$E$61+$E$75+$E$89+SUM(E91:E94)</f>
        <v>-1406752.3500000003</v>
      </c>
      <c r="I94" s="164"/>
      <c r="J94" s="164"/>
      <c r="K94" s="164"/>
      <c r="L94" s="177"/>
      <c r="O94" s="169"/>
    </row>
    <row r="95" spans="1:20" ht="15.75">
      <c r="A95" s="155" t="s">
        <v>104</v>
      </c>
      <c r="B95" s="158">
        <v>1058052.99</v>
      </c>
      <c r="C95" s="158">
        <v>-987166.6</v>
      </c>
      <c r="D95" s="155">
        <f t="shared" si="6"/>
        <v>-2390744.8300000005</v>
      </c>
      <c r="E95" s="165">
        <v>-419741.94</v>
      </c>
      <c r="F95" s="155">
        <f>D95+$E$5+$E$19+$E$33+$E$47+$E$61+$E$75+$E$89+SUM(E91:E95)</f>
        <v>-1755607.9000000001</v>
      </c>
      <c r="L95" s="169"/>
      <c r="O95" s="169"/>
    </row>
    <row r="96" spans="1:20" ht="15.75">
      <c r="A96" s="155" t="s">
        <v>105</v>
      </c>
      <c r="B96" s="158">
        <v>746766.06</v>
      </c>
      <c r="C96" s="158">
        <v>-982775.44</v>
      </c>
      <c r="D96" s="155">
        <f t="shared" si="6"/>
        <v>-2626754.2100000004</v>
      </c>
      <c r="E96" s="165">
        <v>100779.18</v>
      </c>
      <c r="F96" s="155">
        <f>D96+$E$5+$E$19+$E$33+$E$47+$E$61+$E$75+E89+SUM(E91:E96)</f>
        <v>-1890838.1</v>
      </c>
      <c r="L96" s="169"/>
      <c r="O96" s="169"/>
    </row>
    <row r="97" spans="1:15" ht="15.75">
      <c r="A97" s="155" t="s">
        <v>106</v>
      </c>
      <c r="B97" s="158">
        <v>721560.93</v>
      </c>
      <c r="C97" s="158">
        <v>-1156302.24</v>
      </c>
      <c r="D97" s="155">
        <f t="shared" si="6"/>
        <v>-3061495.5200000005</v>
      </c>
      <c r="E97" s="165">
        <v>69845.009999999995</v>
      </c>
      <c r="F97" s="157">
        <f>D97+$E$5+$E$19+$E$33+$E$47+$E$61+$E$75+$E$89+SUM(E91:E97)</f>
        <v>-2255734.4</v>
      </c>
      <c r="H97" s="167"/>
      <c r="L97" s="169"/>
      <c r="O97" s="169"/>
    </row>
    <row r="98" spans="1:15" ht="15.75">
      <c r="A98" s="155" t="s">
        <v>107</v>
      </c>
      <c r="B98" s="158">
        <v>1097711.52</v>
      </c>
      <c r="C98" s="158">
        <v>-1226721.96</v>
      </c>
      <c r="D98" s="155">
        <f t="shared" si="6"/>
        <v>-3190505.9600000004</v>
      </c>
      <c r="E98" s="165">
        <v>-151891.35999999999</v>
      </c>
      <c r="F98" s="158">
        <f>D98+$E$5+$E$19+$E$33+$E$47+$E$61+$E$75+$E$89+SUM(E91:E98)</f>
        <v>-2536636.2000000007</v>
      </c>
      <c r="L98" s="169"/>
      <c r="O98" s="169"/>
    </row>
    <row r="99" spans="1:15" ht="15.75">
      <c r="A99" s="155" t="s">
        <v>108</v>
      </c>
      <c r="B99" s="158">
        <v>853003.39</v>
      </c>
      <c r="C99" s="158">
        <v>-1020474.84</v>
      </c>
      <c r="D99" s="155">
        <f t="shared" si="6"/>
        <v>-3357977.41</v>
      </c>
      <c r="E99" s="165">
        <v>147074.54</v>
      </c>
      <c r="F99" s="158">
        <f>D99+$E$5+$E$19+$E$33+$E$47+$E$61+$E$75+E89+SUM(E91:E99)</f>
        <v>-2557033.11</v>
      </c>
      <c r="L99" s="169"/>
      <c r="O99" s="169"/>
    </row>
    <row r="100" spans="1:15" ht="16.5" thickBot="1">
      <c r="A100" s="155" t="s">
        <v>109</v>
      </c>
      <c r="B100" s="158">
        <v>748294.06</v>
      </c>
      <c r="C100" s="158">
        <v>-895193.54</v>
      </c>
      <c r="D100" s="155">
        <f t="shared" si="6"/>
        <v>-3504876.89</v>
      </c>
      <c r="E100" s="165">
        <v>146869.63</v>
      </c>
      <c r="F100" s="178">
        <f>D100+$E$5+$E$19+$E$33+$E$47+$E$61+$E$75+$E$89+SUM(E91:E100)</f>
        <v>-2557062.9600000004</v>
      </c>
      <c r="H100" s="179" t="s">
        <v>6</v>
      </c>
      <c r="L100" s="169"/>
      <c r="O100" s="169"/>
    </row>
    <row r="101" spans="1:15" ht="15.75">
      <c r="A101" s="155" t="s">
        <v>110</v>
      </c>
      <c r="B101" s="180">
        <v>1305630.5249999999</v>
      </c>
      <c r="C101" s="158">
        <v>-941637</v>
      </c>
      <c r="D101" s="155">
        <f t="shared" si="6"/>
        <v>-3140883.3650000002</v>
      </c>
      <c r="E101" s="165">
        <v>-196885.82929027837</v>
      </c>
      <c r="F101" s="158">
        <f>D101+$E$5+$E$19+$E$33+$E$47+$E$61+$E$75+$E$89+SUM(E91:E101)</f>
        <v>-2389955.2642902783</v>
      </c>
      <c r="H101" s="163" t="s">
        <v>118</v>
      </c>
      <c r="L101" s="169"/>
      <c r="O101" s="169"/>
    </row>
    <row r="102" spans="1:15" ht="15.75">
      <c r="A102" s="155" t="s">
        <v>111</v>
      </c>
      <c r="B102" s="180">
        <v>932241.245</v>
      </c>
      <c r="C102" s="158">
        <v>-1162219</v>
      </c>
      <c r="D102" s="155">
        <f t="shared" si="6"/>
        <v>-3370861.12</v>
      </c>
      <c r="F102" s="158">
        <f>D102+$E$5+$E$19+$E$33+$E$47+$E$61+$E$75+$E$89+SUM(E91:E102)</f>
        <v>-2619933.0192902782</v>
      </c>
      <c r="L102" s="169"/>
      <c r="O102" s="169"/>
    </row>
    <row r="103" spans="1:15" ht="16.5" thickBot="1">
      <c r="A103" s="154" t="s">
        <v>119</v>
      </c>
      <c r="B103" s="156">
        <f>SUM(B91:B102)</f>
        <v>10719959.889999999</v>
      </c>
      <c r="C103" s="156">
        <f>SUM(C91:C102)</f>
        <v>-13048740.34</v>
      </c>
      <c r="D103" s="156"/>
      <c r="E103" s="156">
        <f>SUM(E91:E102)</f>
        <v>-382756.61929027841</v>
      </c>
      <c r="F103" s="156"/>
      <c r="L103" s="169"/>
      <c r="O103" s="169"/>
    </row>
    <row r="104" spans="1:15" ht="16.5" thickTop="1">
      <c r="A104" s="155"/>
      <c r="L104" s="169"/>
      <c r="O104" s="169"/>
    </row>
    <row r="105" spans="1:15" ht="16.5" thickBot="1">
      <c r="A105" s="155" t="s">
        <v>100</v>
      </c>
      <c r="B105" s="180">
        <v>725600.69000000006</v>
      </c>
      <c r="C105" s="158">
        <v>-1304752</v>
      </c>
      <c r="D105" s="155">
        <f>+D102+B105+C105</f>
        <v>-3950012.43</v>
      </c>
      <c r="E105" s="165"/>
      <c r="F105" s="155">
        <f>D105+$E$5+$E$19+$E$33+$E$47+$E$61+$E$75+E105+$E$103+$E$89</f>
        <v>-3199084.3292902787</v>
      </c>
      <c r="H105" s="179" t="s">
        <v>6</v>
      </c>
      <c r="L105" s="169"/>
      <c r="O105" s="169"/>
    </row>
    <row r="106" spans="1:15" ht="15.75">
      <c r="A106" s="155" t="s">
        <v>101</v>
      </c>
      <c r="B106" s="180">
        <v>726443.11</v>
      </c>
      <c r="C106" s="180">
        <f>C92*'Attach C - Table A for SBC 2019'!L49/'Attach C - Table A for SBC 2019'!L50</f>
        <v>-1032768.7757976652</v>
      </c>
      <c r="D106" s="155">
        <f>+D105+B106+C106</f>
        <v>-4256338.0957976654</v>
      </c>
      <c r="E106" s="165"/>
      <c r="F106" s="155">
        <f>D106+$E$5+$E$19+$E$33+$E$47+$E$61+$E$75+$E$89+$E$103+SUM(E105:E106)</f>
        <v>-3505409.9950879435</v>
      </c>
      <c r="H106" s="163" t="s">
        <v>118</v>
      </c>
      <c r="L106" s="169"/>
      <c r="O106" s="169"/>
    </row>
    <row r="107" spans="1:15" ht="15.75">
      <c r="A107" s="155" t="s">
        <v>102</v>
      </c>
      <c r="B107" s="180">
        <v>793802.34</v>
      </c>
      <c r="C107" s="180">
        <f>C93*'Attach C - Table A for SBC 2019'!L49/'Attach C - Table A for SBC 2019'!L50</f>
        <v>-990083.43552961526</v>
      </c>
      <c r="D107" s="155">
        <f t="shared" ref="D107:D116" si="7">+D106+B107+C107</f>
        <v>-4452619.1913272813</v>
      </c>
      <c r="E107" s="165"/>
      <c r="F107" s="166">
        <f>D107+$E$5+$E$19+$E$33+$E$47+$E$61+$E$75+$E$89+$E$103+SUM(E105:E107)</f>
        <v>-3701691.0906175594</v>
      </c>
      <c r="I107" s="184" t="s">
        <v>0</v>
      </c>
      <c r="L107" s="169"/>
      <c r="O107" s="169"/>
    </row>
    <row r="108" spans="1:15" ht="15.75">
      <c r="A108" s="155" t="s">
        <v>103</v>
      </c>
      <c r="B108" s="180">
        <v>640865.01000000013</v>
      </c>
      <c r="C108" s="180">
        <f>C94*'Attach C - Table A for SBC 2019'!W49/'Attach C - Table A for SBC 2019'!L50</f>
        <v>-745128.77432926267</v>
      </c>
      <c r="D108" s="155">
        <f t="shared" si="7"/>
        <v>-4556882.9556565434</v>
      </c>
      <c r="F108" s="166">
        <f>D108+$E$5+$E$19+$E$33+$E$47+$E$61+$E$75+$E$89+$E$103+SUM(E105:E108)</f>
        <v>-3805954.8549468215</v>
      </c>
      <c r="I108" s="187" t="s">
        <v>126</v>
      </c>
      <c r="L108" s="169"/>
      <c r="O108" s="169"/>
    </row>
    <row r="109" spans="1:15" ht="15.75">
      <c r="A109" s="155" t="s">
        <v>104</v>
      </c>
      <c r="B109" s="180">
        <v>1144916.68</v>
      </c>
      <c r="C109" s="180">
        <f>C95*'Attach C - Table A for SBC 2019'!W49/'Attach C - Table A for SBC 2019'!L50</f>
        <v>-766938.51837817032</v>
      </c>
      <c r="D109" s="155">
        <f t="shared" si="7"/>
        <v>-4178904.7940347139</v>
      </c>
      <c r="F109" s="155">
        <f>D109+$E$5+$E$19+$E$33+$E$47+$E$61+$E$75+$E$89+$E$103+SUM(E105:E109)</f>
        <v>-3427976.693324992</v>
      </c>
      <c r="L109" s="169"/>
      <c r="O109" s="169"/>
    </row>
    <row r="110" spans="1:15" ht="15.75">
      <c r="A110" s="155" t="s">
        <v>105</v>
      </c>
      <c r="B110" s="180">
        <v>1101398.21</v>
      </c>
      <c r="C110" s="180">
        <f>C96*'Attach C - Table A for SBC 2019'!W49/'Attach C - Table A for SBC 2019'!L50</f>
        <v>-763526.98708815151</v>
      </c>
      <c r="D110" s="155">
        <f t="shared" si="7"/>
        <v>-3841033.5711228652</v>
      </c>
      <c r="F110" s="155">
        <f>D110+$E$5+$E$19+$E$33+$E$47+$E$61+$E$75+$E$89+$E$103+SUM(E105:E110)</f>
        <v>-3090105.4704131433</v>
      </c>
      <c r="H110" s="167" t="s">
        <v>0</v>
      </c>
      <c r="L110" s="169"/>
      <c r="O110" s="169"/>
    </row>
    <row r="111" spans="1:15" ht="15.75">
      <c r="A111" s="155" t="s">
        <v>106</v>
      </c>
      <c r="B111" s="180">
        <v>953510.20000000007</v>
      </c>
      <c r="C111" s="180">
        <f>C97*'Attach C - Table A for SBC 2019'!W49/'Attach C - Table A for SBC 2019'!L50</f>
        <v>-898341.50258219789</v>
      </c>
      <c r="D111" s="155">
        <f t="shared" si="7"/>
        <v>-3785864.873705063</v>
      </c>
      <c r="F111" s="155">
        <f>D111+$E$5+$E$19+$E$33+$E$47+$E$61+$E$75+$E$89+$E$103+SUM(E105:E111)</f>
        <v>-3034936.7729953411</v>
      </c>
      <c r="H111" s="164"/>
      <c r="I111" s="164"/>
      <c r="J111" s="164"/>
      <c r="L111" s="169"/>
      <c r="O111" s="169"/>
    </row>
    <row r="112" spans="1:15" ht="15.75">
      <c r="A112" s="155" t="s">
        <v>107</v>
      </c>
      <c r="B112" s="180">
        <v>989094.77000000014</v>
      </c>
      <c r="C112" s="180">
        <f>C98*'Attach C - Table A for SBC 2019'!W49/'Attach C - Table A for SBC 2019'!L50</f>
        <v>-953051.20986099518</v>
      </c>
      <c r="D112" s="155">
        <f t="shared" si="7"/>
        <v>-3749821.3135660579</v>
      </c>
      <c r="F112" s="155">
        <f>D112+$E$5+$E$19+$E$33+$E$47+$E$61+$E$75+$E$89+$E$103+SUM(E105:E112)</f>
        <v>-2998893.212856336</v>
      </c>
      <c r="L112" s="169"/>
      <c r="O112" s="169"/>
    </row>
    <row r="113" spans="1:15" ht="15.75">
      <c r="A113" s="155" t="s">
        <v>108</v>
      </c>
      <c r="B113" s="180">
        <v>1142442.05</v>
      </c>
      <c r="C113" s="180">
        <f>-1042938.45957095*'Attach C - Table A for SBC 2019'!W49/'Attach C - Table A for SBC 2019'!L49</f>
        <v>-927108.72273611207</v>
      </c>
      <c r="D113" s="155">
        <f t="shared" si="7"/>
        <v>-3534487.98630217</v>
      </c>
      <c r="F113" s="155">
        <f>D113+$E$5+$E$19+$E$33+$E$47+$E$61+$E$75+$E$89+$E$103+SUM(E105:E113)</f>
        <v>-2783559.8855924481</v>
      </c>
      <c r="L113" s="169"/>
      <c r="O113" s="169"/>
    </row>
    <row r="114" spans="1:15" ht="15.75">
      <c r="A114" s="155" t="s">
        <v>109</v>
      </c>
      <c r="B114" s="180">
        <v>834463.11</v>
      </c>
      <c r="C114" s="180">
        <f>C100*'Attach C - Table A for SBC 2019'!W49/'Attach C - Table A for SBC 2019'!L49</f>
        <v>-795772.49439285707</v>
      </c>
      <c r="D114" s="155">
        <f t="shared" si="7"/>
        <v>-3495797.3706950271</v>
      </c>
      <c r="F114" s="155">
        <f>D114+$E$5+$E$19+$E$33+$E$47+$E$61+$E$75+$E$89+$E$103+SUM(E105:E114)</f>
        <v>-2744869.2699853056</v>
      </c>
      <c r="L114" s="169"/>
      <c r="O114" s="169"/>
    </row>
    <row r="115" spans="1:15" ht="15.75">
      <c r="A115" s="155" t="s">
        <v>110</v>
      </c>
      <c r="B115" s="180">
        <v>1115653.5900000001</v>
      </c>
      <c r="C115" s="180">
        <f>C101*'Attach C - Table A for SBC 2019'!W49/'Attach C - Table A for SBC 2019'!L49</f>
        <v>-837057.89957175823</v>
      </c>
      <c r="D115" s="155">
        <f t="shared" si="7"/>
        <v>-3217201.680266785</v>
      </c>
      <c r="F115" s="155">
        <f>D115+$E$5+$E$19+$E$33+$E$47+$E$61+$E$75+$E$89+$E$103+SUM(E105:E115)</f>
        <v>-2466273.5795570635</v>
      </c>
      <c r="L115" s="169"/>
      <c r="O115" s="169"/>
    </row>
    <row r="116" spans="1:15" ht="15.75">
      <c r="A116" s="155" t="s">
        <v>111</v>
      </c>
      <c r="B116" s="180">
        <v>1913960.24</v>
      </c>
      <c r="C116" s="180">
        <f>C102*'Attach C - Table A for SBC 2019'!W49/'Attach C - Table A for SBC 2019'!L49</f>
        <v>-1033141.8529458689</v>
      </c>
      <c r="D116" s="155">
        <f t="shared" si="7"/>
        <v>-2336383.2932126541</v>
      </c>
      <c r="F116" s="155">
        <f>D116+$E$5+$E$19+$E$33+$E$47+$E$61+$E$75+$E$89+$E$103+SUM(E105:E116)</f>
        <v>-1585455.1925029322</v>
      </c>
      <c r="L116" s="169"/>
      <c r="O116" s="169"/>
    </row>
    <row r="117" spans="1:15" ht="16.5" thickBot="1">
      <c r="A117" s="154" t="s">
        <v>120</v>
      </c>
      <c r="B117" s="156">
        <f>SUM(B105:B116)</f>
        <v>12082150</v>
      </c>
      <c r="C117" s="156">
        <f>SUM(C105:C116)</f>
        <v>-11047672.173212655</v>
      </c>
      <c r="D117" s="156"/>
      <c r="E117" s="156">
        <f>SUM(E105:E116)</f>
        <v>0</v>
      </c>
      <c r="F117" s="156"/>
      <c r="L117" s="169"/>
      <c r="O117" s="169"/>
    </row>
    <row r="118" spans="1:15" ht="16.5" thickTop="1">
      <c r="A118" s="155"/>
      <c r="L118" s="169"/>
      <c r="O118" s="169"/>
    </row>
    <row r="119" spans="1:15" ht="15.75">
      <c r="A119" s="155"/>
      <c r="L119" s="169"/>
      <c r="O119" s="169"/>
    </row>
    <row r="120" spans="1:15" ht="15.75">
      <c r="A120" s="155" t="s">
        <v>100</v>
      </c>
      <c r="B120" s="180">
        <v>725600.69000000006</v>
      </c>
      <c r="C120" s="180">
        <f>C105*'Attach C - Table A for SBC 2019'!W49/'Attach C - Table A for SBC 2019'!L49+I120/I132*K132</f>
        <v>-1180270.6424538274</v>
      </c>
      <c r="D120" s="155">
        <f>+D116+B120+C120</f>
        <v>-2791053.2456664816</v>
      </c>
      <c r="F120" s="155">
        <f>D120+$E$5+$E$19+$E$33+$E$47+$E$61+$E$75+$E$89+$E$103+SUM(E109:E120)</f>
        <v>-2040125.1449567596</v>
      </c>
      <c r="I120" s="155">
        <f>C105*'Attach C - Table A for SBC 2019'!W49/'Attach C - Table A for SBC 2019'!L49</f>
        <v>-1159845.002460662</v>
      </c>
      <c r="J120" s="155"/>
      <c r="L120" s="169"/>
      <c r="O120" s="169"/>
    </row>
    <row r="121" spans="1:15" ht="15.75">
      <c r="A121" s="155" t="s">
        <v>101</v>
      </c>
      <c r="B121" s="180">
        <v>726443.11</v>
      </c>
      <c r="C121" s="180">
        <f>C106*'Attach C - Table A for SBC 2019'!W49/'Attach C - Table A for SBC 2019'!L49+I121/I132*K132</f>
        <v>-934236.28897826048</v>
      </c>
      <c r="D121" s="155">
        <f>+D120+B121+C121</f>
        <v>-2998846.4246447422</v>
      </c>
      <c r="E121" s="165"/>
      <c r="F121" s="155">
        <f t="shared" ref="F121:F131" si="8">D121+$E$5+$E$19+$E$33+$E$47+$E$61+$E$75+$E$89+$E$103+SUM(E110:E121)</f>
        <v>-2247918.3239350202</v>
      </c>
      <c r="I121" s="155">
        <f>C106*'Attach C - Table A for SBC 2019'!W49/'Attach C - Table A for SBC 2019'!L49</f>
        <v>-918068.49371094129</v>
      </c>
      <c r="J121" s="155"/>
      <c r="L121" s="169"/>
      <c r="O121" s="169"/>
    </row>
    <row r="122" spans="1:15" ht="15.75">
      <c r="A122" s="155" t="s">
        <v>102</v>
      </c>
      <c r="B122" s="180">
        <v>793802.34</v>
      </c>
      <c r="C122" s="180">
        <f>C107*'Attach C - Table A for SBC 2019'!W49/'Attach C - Table A for SBC 2019'!L49+I122/I132*K132</f>
        <v>-895623.39244195982</v>
      </c>
      <c r="D122" s="155">
        <f t="shared" ref="D122:D131" si="9">+D121+B122+C122</f>
        <v>-3100667.4770867024</v>
      </c>
      <c r="E122" s="165"/>
      <c r="F122" s="155">
        <f t="shared" si="8"/>
        <v>-2349739.3763769805</v>
      </c>
      <c r="I122" s="155">
        <f>C107*'Attach C - Table A for SBC 2019'!W49/'Attach C - Table A for SBC 2019'!L49</f>
        <v>-880123.8279137396</v>
      </c>
      <c r="J122" s="155"/>
      <c r="L122" s="169"/>
      <c r="O122" s="169"/>
    </row>
    <row r="123" spans="1:15" ht="15.75">
      <c r="A123" s="155" t="s">
        <v>103</v>
      </c>
      <c r="B123" s="180">
        <v>640865.01000000013</v>
      </c>
      <c r="C123" s="180">
        <f>C108*'Attach C - Table A for SBC 2019'!W49/'Attach C - Table A for SBC 2019'!L49+I123/I132*K132</f>
        <v>-674038.91098724655</v>
      </c>
      <c r="D123" s="155">
        <f>+D122+B123+C123</f>
        <v>-3133841.3780739484</v>
      </c>
      <c r="F123" s="155">
        <f t="shared" si="8"/>
        <v>-2382913.2773642265</v>
      </c>
      <c r="I123" s="155">
        <f>C108*'Attach C - Table A for SBC 2019'!W49/'Attach C - Table A for SBC 2019'!L49</f>
        <v>-662374.0642631196</v>
      </c>
      <c r="J123" s="155"/>
      <c r="L123" s="169"/>
      <c r="O123" s="169"/>
    </row>
    <row r="124" spans="1:15" ht="15.75">
      <c r="A124" s="155" t="s">
        <v>104</v>
      </c>
      <c r="B124" s="180">
        <v>1144916.68</v>
      </c>
      <c r="C124" s="180">
        <f>C109+I124/I132*K132</f>
        <v>-780444.81451261044</v>
      </c>
      <c r="D124" s="155">
        <f t="shared" si="9"/>
        <v>-2769369.5125865592</v>
      </c>
      <c r="F124" s="155">
        <f t="shared" si="8"/>
        <v>-2018441.4118768373</v>
      </c>
      <c r="I124" s="155">
        <f>C109</f>
        <v>-766938.51837817032</v>
      </c>
      <c r="L124" s="169"/>
      <c r="O124" s="169"/>
    </row>
    <row r="125" spans="1:15" ht="15.75">
      <c r="A125" s="155" t="s">
        <v>105</v>
      </c>
      <c r="B125" s="180">
        <v>1101398.21</v>
      </c>
      <c r="C125" s="180">
        <f>C110+I125/I132*K132</f>
        <v>-776973.203893192</v>
      </c>
      <c r="D125" s="155">
        <f t="shared" si="9"/>
        <v>-2444944.5064797513</v>
      </c>
      <c r="F125" s="155">
        <f t="shared" si="8"/>
        <v>-1694016.4057700294</v>
      </c>
      <c r="H125" s="167" t="s">
        <v>0</v>
      </c>
      <c r="I125" s="155">
        <f t="shared" ref="I125:I131" si="10">C110</f>
        <v>-763526.98708815151</v>
      </c>
      <c r="L125" s="169"/>
      <c r="O125" s="169"/>
    </row>
    <row r="126" spans="1:15" ht="15.75">
      <c r="A126" s="155" t="s">
        <v>106</v>
      </c>
      <c r="B126" s="180">
        <v>953510.20000000007</v>
      </c>
      <c r="C126" s="180">
        <f>C111+I126/I132*K132</f>
        <v>-914161.89244785637</v>
      </c>
      <c r="D126" s="155">
        <f t="shared" si="9"/>
        <v>-2405596.1989276074</v>
      </c>
      <c r="F126" s="155">
        <f t="shared" si="8"/>
        <v>-1654668.0982178855</v>
      </c>
      <c r="H126" s="164"/>
      <c r="I126" s="155">
        <f t="shared" si="10"/>
        <v>-898341.50258219789</v>
      </c>
      <c r="J126" s="164"/>
      <c r="L126" s="169"/>
      <c r="O126" s="169"/>
    </row>
    <row r="127" spans="1:15" ht="15.75">
      <c r="A127" s="155" t="s">
        <v>107</v>
      </c>
      <c r="B127" s="180">
        <v>989094.77000000014</v>
      </c>
      <c r="C127" s="180">
        <f>C112+I127/I132*K132</f>
        <v>-969835.07396901993</v>
      </c>
      <c r="D127" s="155">
        <f t="shared" si="9"/>
        <v>-2386336.5028966274</v>
      </c>
      <c r="F127" s="155">
        <f t="shared" si="8"/>
        <v>-1635408.4021869055</v>
      </c>
      <c r="I127" s="155">
        <f t="shared" si="10"/>
        <v>-953051.20986099518</v>
      </c>
      <c r="L127" s="169"/>
      <c r="O127" s="169"/>
    </row>
    <row r="128" spans="1:15" ht="15.75">
      <c r="A128" s="155" t="s">
        <v>108</v>
      </c>
      <c r="B128" s="180">
        <v>1142442.05</v>
      </c>
      <c r="C128" s="180">
        <f>C113+I128/I132*K132</f>
        <v>-943435.72243430966</v>
      </c>
      <c r="D128" s="155">
        <f t="shared" si="9"/>
        <v>-2187330.1753309369</v>
      </c>
      <c r="F128" s="155">
        <f t="shared" si="8"/>
        <v>-1436402.074621215</v>
      </c>
      <c r="I128" s="155">
        <f t="shared" si="10"/>
        <v>-927108.72273611207</v>
      </c>
      <c r="L128" s="169"/>
      <c r="O128" s="169"/>
    </row>
    <row r="129" spans="1:15" ht="15.75">
      <c r="A129" s="155" t="s">
        <v>109</v>
      </c>
      <c r="B129" s="180">
        <v>834463.11</v>
      </c>
      <c r="C129" s="180">
        <f>C114+I129/I132*K132</f>
        <v>-809786.5759748338</v>
      </c>
      <c r="D129" s="155">
        <f t="shared" si="9"/>
        <v>-2162653.6413057707</v>
      </c>
      <c r="F129" s="155">
        <f t="shared" si="8"/>
        <v>-1411725.5405960488</v>
      </c>
      <c r="I129" s="155">
        <f t="shared" si="10"/>
        <v>-795772.49439285707</v>
      </c>
      <c r="L129" s="169"/>
      <c r="O129" s="169"/>
    </row>
    <row r="130" spans="1:15" ht="15.75">
      <c r="A130" s="155" t="s">
        <v>110</v>
      </c>
      <c r="B130" s="180">
        <v>1115653.5900000001</v>
      </c>
      <c r="C130" s="180">
        <f>C115+I130/I132*K132</f>
        <v>-851799.04452976119</v>
      </c>
      <c r="D130" s="155">
        <f t="shared" si="9"/>
        <v>-1898799.0958355318</v>
      </c>
      <c r="F130" s="155">
        <f t="shared" si="8"/>
        <v>-1147870.9951258102</v>
      </c>
      <c r="I130" s="155">
        <f t="shared" si="10"/>
        <v>-837057.89957175823</v>
      </c>
      <c r="L130" s="169"/>
      <c r="O130" s="169"/>
    </row>
    <row r="131" spans="1:15" ht="18">
      <c r="A131" s="155" t="s">
        <v>111</v>
      </c>
      <c r="B131" s="180">
        <v>1913960.24</v>
      </c>
      <c r="C131" s="180">
        <f>C116+I131/I132*K132</f>
        <v>-1051336.1664148015</v>
      </c>
      <c r="D131" s="155">
        <f t="shared" si="9"/>
        <v>-1036175.0222503333</v>
      </c>
      <c r="F131" s="155">
        <f t="shared" si="8"/>
        <v>-285246.92154061177</v>
      </c>
      <c r="I131" s="188">
        <f t="shared" si="10"/>
        <v>-1033141.8529458689</v>
      </c>
      <c r="L131" s="169"/>
      <c r="O131" s="169"/>
    </row>
    <row r="132" spans="1:15" ht="16.5" thickBot="1">
      <c r="A132" s="183" t="s">
        <v>123</v>
      </c>
      <c r="B132" s="156">
        <f>SUM(B120:B131)</f>
        <v>12082150</v>
      </c>
      <c r="C132" s="156">
        <f>SUM(C120:C131)</f>
        <v>-10781941.72903768</v>
      </c>
      <c r="D132" s="156"/>
      <c r="E132" s="156">
        <f>SUM(E120:E131)</f>
        <v>0</v>
      </c>
      <c r="F132" s="156"/>
      <c r="I132" s="155">
        <f>SUM(I120:I131)</f>
        <v>-10595350.575904574</v>
      </c>
      <c r="J132" s="155">
        <f>-'Attach C - Table A for SBC 2019'!W49*1000</f>
        <v>-10781941.72903768</v>
      </c>
      <c r="K132" s="155">
        <f>J132-I132</f>
        <v>-186591.15313310549</v>
      </c>
      <c r="L132" s="169"/>
      <c r="O132" s="169"/>
    </row>
    <row r="133" spans="1:15" ht="16.5" thickTop="1">
      <c r="A133" s="155"/>
      <c r="L133" s="169"/>
      <c r="O133" s="169"/>
    </row>
    <row r="134" spans="1:15" ht="15.75">
      <c r="D134" s="181"/>
      <c r="E134" s="182"/>
      <c r="L134" s="169"/>
      <c r="O134" s="169"/>
    </row>
    <row r="135" spans="1:15" ht="15.75">
      <c r="A135" s="158" t="s">
        <v>121</v>
      </c>
      <c r="L135" s="169"/>
      <c r="O135" s="169"/>
    </row>
    <row r="136" spans="1:15" ht="15.75">
      <c r="A136" s="158"/>
      <c r="L136" s="169"/>
      <c r="O136" s="169"/>
    </row>
    <row r="137" spans="1:15" ht="45">
      <c r="A137" s="158"/>
      <c r="B137" s="151" t="s">
        <v>94</v>
      </c>
      <c r="C137" s="152" t="s">
        <v>95</v>
      </c>
      <c r="F137" s="153" t="s">
        <v>98</v>
      </c>
      <c r="L137" s="169"/>
      <c r="O137" s="169"/>
    </row>
    <row r="138" spans="1:15" ht="15.75">
      <c r="A138" s="164" t="s">
        <v>122</v>
      </c>
      <c r="F138" s="155">
        <f>F102</f>
        <v>-2619933.0192902782</v>
      </c>
      <c r="K138" s="167"/>
      <c r="L138" s="176"/>
      <c r="N138" s="167"/>
      <c r="O138" s="176"/>
    </row>
    <row r="139" spans="1:15" ht="15.75">
      <c r="A139" s="185" t="s">
        <v>124</v>
      </c>
      <c r="B139" s="155">
        <f>B117</f>
        <v>12082150</v>
      </c>
      <c r="C139" s="155">
        <f>SUM(C105:C116)</f>
        <v>-11047672.173212655</v>
      </c>
      <c r="F139" s="155">
        <f>F138+B139+C139</f>
        <v>-1585455.1925029326</v>
      </c>
    </row>
    <row r="140" spans="1:15" ht="15.75">
      <c r="A140" s="185" t="s">
        <v>125</v>
      </c>
      <c r="B140" s="155">
        <f>B117</f>
        <v>12082150</v>
      </c>
      <c r="C140" s="155">
        <f>SUM(C120:C131)</f>
        <v>-10781941.72903768</v>
      </c>
      <c r="F140" s="155">
        <f>F139+B140+C140</f>
        <v>-285246.92154061235</v>
      </c>
    </row>
    <row r="144" spans="1:15">
      <c r="J144" s="148" t="s">
        <v>0</v>
      </c>
    </row>
    <row r="146" spans="6:6">
      <c r="F146" s="148" t="s">
        <v>0</v>
      </c>
    </row>
  </sheetData>
  <mergeCells count="2">
    <mergeCell ref="A1:F1"/>
    <mergeCell ref="A2:F2"/>
  </mergeCells>
  <pageMargins left="0.7" right="0.7" top="0.75" bottom="0.75" header="0.3" footer="0.3"/>
  <pageSetup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2019-02-27T08:00:00+00:00</OpenedDate>
    <SignificantOrder xmlns="dc463f71-b30c-4ab2-9473-d307f9d35888">false</SignificantOrder>
    <Date1 xmlns="dc463f71-b30c-4ab2-9473-d307f9d35888">2019-02-27T08:00:00+00:00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190134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309C16B5FFF345A2ECC703B703090E" ma:contentTypeVersion="56" ma:contentTypeDescription="" ma:contentTypeScope="" ma:versionID="7e80dde259d12533303b3c2212f057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850AE0-4998-4A23-98BD-85B63385ADE1}"/>
</file>

<file path=customXml/itemProps2.xml><?xml version="1.0" encoding="utf-8"?>
<ds:datastoreItem xmlns:ds="http://schemas.openxmlformats.org/officeDocument/2006/customXml" ds:itemID="{60794229-F6F5-4183-962E-C2DA6A4D5D45}"/>
</file>

<file path=customXml/itemProps3.xml><?xml version="1.0" encoding="utf-8"?>
<ds:datastoreItem xmlns:ds="http://schemas.openxmlformats.org/officeDocument/2006/customXml" ds:itemID="{2C1E6EA1-34D5-481E-B94E-729638BC8E7A}"/>
</file>

<file path=customXml/itemProps4.xml><?xml version="1.0" encoding="utf-8"?>
<ds:datastoreItem xmlns:ds="http://schemas.openxmlformats.org/officeDocument/2006/customXml" ds:itemID="{5BAD6270-EB9A-46C3-A1AE-43DCE7E662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Attach C - Table A for SBC 2019</vt:lpstr>
      <vt:lpstr>Attach C - Bill Comparison</vt:lpstr>
      <vt:lpstr>Attach B - SBC Balancing Acct</vt:lpstr>
      <vt:lpstr>'Attach C - Bill Comparison'!Print_Area</vt:lpstr>
      <vt:lpstr>'Attach C - Table A for SBC 2019'!Print_Area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2019-02-27T23:18:09Z</dcterms:created>
  <dcterms:modified xsi:type="dcterms:W3CDTF">2019-02-27T23:18:15Z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0x0101006E56B4D1795A2E4DB2F0B01679ED314A00B6309C16B5FFF345A2ECC703B703090E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