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B-DC1\Redirection$\Cassie\Desktop\"/>
    </mc:Choice>
  </mc:AlternateContent>
  <bookViews>
    <workbookView xWindow="0" yWindow="0" windowWidth="23880" windowHeight="12195" activeTab="2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52511"/>
</workbook>
</file>

<file path=xl/calcChain.xml><?xml version="1.0" encoding="utf-8"?>
<calcChain xmlns="http://schemas.openxmlformats.org/spreadsheetml/2006/main">
  <c r="R8" i="7" l="1"/>
  <c r="S8" i="7"/>
  <c r="T8" i="7"/>
  <c r="U8" i="7"/>
  <c r="Q8" i="7"/>
  <c r="P7" i="7"/>
  <c r="P6" i="7"/>
  <c r="E8" i="7"/>
  <c r="N6" i="7"/>
  <c r="O6" i="7"/>
  <c r="N7" i="7"/>
  <c r="N8" i="7" s="1"/>
  <c r="O7" i="7"/>
  <c r="T7" i="7" s="1"/>
  <c r="Q6" i="7"/>
  <c r="R6" i="7"/>
  <c r="T6" i="7"/>
  <c r="U6" i="7" s="1"/>
  <c r="R7" i="7"/>
  <c r="M7" i="7"/>
  <c r="M6" i="7"/>
  <c r="K6" i="7"/>
  <c r="K7" i="7"/>
  <c r="I8" i="7"/>
  <c r="G8" i="7"/>
  <c r="G7" i="7"/>
  <c r="I7" i="7" s="1"/>
  <c r="G6" i="7"/>
  <c r="F7" i="7"/>
  <c r="F6" i="7"/>
  <c r="Q7" i="7" l="1"/>
  <c r="U7" i="7"/>
  <c r="S7" i="7"/>
  <c r="S6" i="7"/>
  <c r="O8" i="7"/>
  <c r="E11" i="7"/>
  <c r="D6" i="4" l="1"/>
  <c r="G6" i="4" s="1"/>
  <c r="E6" i="4" l="1"/>
  <c r="F6" i="4"/>
  <c r="E12" i="7" l="1"/>
  <c r="B25" i="4" l="1"/>
  <c r="F15" i="4" l="1"/>
  <c r="F16" i="4"/>
  <c r="F17" i="4" s="1"/>
  <c r="F18" i="4" s="1"/>
  <c r="B17" i="4"/>
  <c r="B20" i="4" s="1"/>
  <c r="C16" i="4"/>
  <c r="C15" i="4"/>
  <c r="D9" i="4"/>
  <c r="D8" i="4"/>
  <c r="D7" i="4"/>
  <c r="B21" i="4" l="1"/>
  <c r="B23" i="4" s="1"/>
  <c r="G8" i="4"/>
  <c r="F8" i="4"/>
  <c r="E8" i="4"/>
  <c r="G7" i="4"/>
  <c r="F7" i="4"/>
  <c r="E7" i="4"/>
  <c r="I6" i="7"/>
  <c r="G9" i="4"/>
  <c r="F9" i="4"/>
  <c r="E9" i="4"/>
  <c r="C17" i="4"/>
  <c r="E13" i="7" l="1"/>
  <c r="E14" i="7" l="1"/>
  <c r="J7" i="7" s="1"/>
  <c r="L7" i="7" s="1"/>
  <c r="J6" i="7" l="1"/>
  <c r="B26" i="4"/>
  <c r="J8" i="7" l="1"/>
  <c r="L6" i="7" l="1"/>
  <c r="K8" i="7"/>
  <c r="L8" i="7" l="1"/>
  <c r="M8" i="7" l="1"/>
  <c r="B28" i="4" l="1"/>
  <c r="B29" i="4" s="1"/>
  <c r="C29" i="4" s="1"/>
</calcChain>
</file>

<file path=xl/comments1.xml><?xml version="1.0" encoding="utf-8"?>
<comments xmlns="http://schemas.openxmlformats.org/spreadsheetml/2006/main">
  <authors>
    <author>Young, Mike (UTC)</author>
    <author>Mike Young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Young, Mike (UTC):</t>
        </r>
        <r>
          <rPr>
            <sz val="9"/>
            <color indexed="81"/>
            <rFont val="Tahoma"/>
            <family val="2"/>
          </rPr>
          <t xml:space="preserve">
weekly March-November
EOW December-February</t>
        </r>
      </text>
    </comment>
    <comment ref="O5" authorId="1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rounded here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<sst xmlns="http://schemas.openxmlformats.org/spreadsheetml/2006/main" count="88" uniqueCount="84">
  <si>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</si>
  <si>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</si>
  <si>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</si>
  <si>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</si>
  <si>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</si>
  <si>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</si>
  <si>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</si>
  <si>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>Increase</t>
  </si>
  <si>
    <t>Disposal fee</t>
  </si>
  <si>
    <t>Meeks Weights</t>
  </si>
  <si>
    <t>Adjustment factor</t>
  </si>
  <si>
    <t>Collected Revenue Excess/(Deficiency)</t>
  </si>
  <si>
    <t>96 gal cart EOW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</si>
  <si>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</si>
  <si>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</si>
  <si>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</si>
  <si>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</si>
  <si>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</si>
  <si>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</si>
  <si>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</si>
  <si>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</si>
  <si>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</si>
  <si>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</si>
  <si>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</si>
  <si>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</si>
  <si>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</si>
  <si>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</si>
  <si>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</si>
  <si>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</si>
  <si>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</si>
  <si>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</si>
  <si>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</si>
  <si>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</si>
  <si>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</si>
  <si>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</si>
  <si>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</si>
  <si>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</si>
  <si>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</si>
  <si>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</si>
  <si>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</si>
  <si>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</si>
  <si>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</si>
  <si>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</si>
  <si>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</si>
  <si>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</si>
  <si>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</si>
  <si>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</si>
  <si>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</si>
  <si>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</si>
  <si>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</si>
  <si>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Company X, G-1</t>
  </si>
  <si>
    <t>Some County-all customers</t>
  </si>
  <si>
    <t>Some County Disposal Fees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</si>
  <si>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</si>
  <si>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</si>
  <si>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</si>
  <si>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</si>
  <si>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</si>
  <si>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</si>
  <si>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</si>
  <si>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</si>
  <si>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</si>
  <si>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</si>
  <si>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</si>
  <si>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</si>
  <si>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</si>
  <si>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</si>
  <si>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</si>
  <si>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</si>
  <si>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</si>
  <si>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</si>
  <si>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</si>
  <si>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</si>
  <si>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</si>
  <si>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</si>
  <si>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</si>
  <si>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</si>
  <si>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</si>
  <si>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</si>
  <si>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?</t>
  </si>
  <si>
    <t>Yard Waste Dispoal Fee</t>
  </si>
  <si>
    <t>Snohomish County</t>
  </si>
  <si>
    <t>Rubatino Refuse, Inc.</t>
  </si>
  <si>
    <t>96 gal cart 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</si>
</sst>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9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3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0" applyNumberFormat="0" applyFill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0" xfId="0" applyNumberFormat="1"/>
    <xf numFmtId="44" fontId="0" fillId="0" borderId="0" xfId="2" applyFont="1"/>
    <xf numFmtId="44" fontId="0" fillId="0" borderId="1" xfId="2" applyFont="1" applyBorder="1"/>
    <xf numFmtId="0" fontId="0" fillId="0" borderId="0" xfId="0" applyAlignment="1">
      <alignment horizontal="right"/>
    </xf>
    <xf numFmtId="165" fontId="0" fillId="0" borderId="0" xfId="2" applyNumberFormat="1" applyFont="1"/>
    <xf numFmtId="165" fontId="0" fillId="0" borderId="1" xfId="2" applyNumberFormat="1" applyFont="1" applyBorder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Fill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169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0" xfId="1" applyNumberFormat="1" applyFont="1" applyFill="1" applyBorder="1"/>
    <xf numFmtId="164" fontId="0" fillId="0" borderId="1" xfId="1" applyNumberFormat="1" applyFont="1" applyFill="1" applyBorder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1" xfId="0" applyNumberFormat="1" applyFill="1" applyBorder="1"/>
    <xf numFmtId="167" fontId="6" fillId="0" borderId="0" xfId="0" applyNumberFormat="1" applyFont="1" applyFill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44" fontId="0" fillId="17" borderId="0" xfId="2" applyFont="1" applyFill="1"/>
    <xf numFmtId="44" fontId="0" fillId="17" borderId="1" xfId="2" applyFont="1" applyFill="1" applyBorder="1"/>
    <xf numFmtId="0" fontId="0" fillId="17" borderId="1" xfId="0" applyFill="1" applyBorder="1"/>
    <xf numFmtId="9" fontId="0" fillId="0" borderId="0" xfId="3" applyFont="1" applyBorder="1"/>
    <xf numFmtId="167" fontId="0" fillId="0" borderId="0" xfId="0" applyNumberFormat="1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43" fontId="0" fillId="0" borderId="0" xfId="1" applyFont="1" applyFill="1" applyBorder="1" applyAlignment="1">
      <alignment horizontal="center" wrapText="1"/>
    </xf>
    <xf numFmtId="44" fontId="0" fillId="0" borderId="1" xfId="1" applyNumberFormat="1" applyFont="1" applyFill="1" applyBorder="1"/>
    <xf numFmtId="44" fontId="6" fillId="0" borderId="0" xfId="2" applyFont="1" applyFill="1" applyBorder="1"/>
    <xf numFmtId="44" fontId="6" fillId="0" borderId="0" xfId="1" applyNumberFormat="1" applyFont="1" applyFill="1" applyBorder="1"/>
    <xf numFmtId="164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opLeftCell="A10" workbookViewId="0">
      <selection activeCell="B28" sqref="B28"/>
    </sheetView>
  </sheetViews>
  <sheetFormatPr defaultRowHeight="15"/>
  <sheetData>
    <row r="2" spans="1:3">
      <c r="A2" s="63" t="s">
        <v>57</v>
      </c>
    </row>
    <row r="4" spans="1:3">
      <c r="B4" t="s">
        <v>58</v>
      </c>
    </row>
    <row r="5" spans="1:3">
      <c r="C5" t="s">
        <v>69</v>
      </c>
    </row>
    <row r="6" spans="1:3">
      <c r="C6" t="s">
        <v>59</v>
      </c>
    </row>
    <row r="7" spans="1:3" s="20" customFormat="1">
      <c r="C7" s="20" t="s">
        <v>70</v>
      </c>
    </row>
    <row r="8" spans="1:3" s="20" customFormat="1"/>
    <row r="9" spans="1:3" s="20" customFormat="1">
      <c r="B9" s="20" t="s">
        <v>73</v>
      </c>
    </row>
    <row r="10" spans="1:3" s="20" customFormat="1">
      <c r="C10" s="20" t="s">
        <v>74</v>
      </c>
    </row>
    <row r="11" spans="1:3" s="20" customFormat="1"/>
    <row r="12" spans="1:3">
      <c r="B12" t="s">
        <v>75</v>
      </c>
    </row>
    <row r="13" spans="1:3" s="20" customFormat="1">
      <c r="C13" s="20" t="s">
        <v>71</v>
      </c>
    </row>
    <row r="14" spans="1:3" s="20" customFormat="1">
      <c r="C14" s="20" t="s">
        <v>76</v>
      </c>
    </row>
    <row r="15" spans="1:3">
      <c r="C15" t="s">
        <v>72</v>
      </c>
    </row>
    <row r="17" spans="2:3">
      <c r="B17" t="s">
        <v>62</v>
      </c>
    </row>
    <row r="18" spans="2:3">
      <c r="C18" t="s">
        <v>60</v>
      </c>
    </row>
    <row r="19" spans="2:3">
      <c r="C19" t="s">
        <v>61</v>
      </c>
    </row>
    <row r="21" spans="2:3">
      <c r="B21" t="s">
        <v>64</v>
      </c>
    </row>
    <row r="22" spans="2:3">
      <c r="C22" t="s">
        <v>66</v>
      </c>
    </row>
    <row r="23" spans="2:3">
      <c r="C23" t="s">
        <v>65</v>
      </c>
    </row>
    <row r="24" spans="2:3">
      <c r="C24" t="s">
        <v>67</v>
      </c>
    </row>
    <row r="25" spans="2:3">
      <c r="C25" t="s">
        <v>68</v>
      </c>
    </row>
    <row r="27" spans="2:3">
      <c r="B27" t="s">
        <v>78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D8" sqref="D8"/>
    </sheetView>
  </sheetViews>
  <sheetFormatPr defaultRowHeight="15"/>
  <cols>
    <col min="1" max="1" width="32.7109375" bestFit="1" customWidth="1"/>
    <col min="2" max="2" width="17.42578125" customWidth="1"/>
    <col min="3" max="3" width="9.28515625" bestFit="1" customWidth="1"/>
    <col min="4" max="4" width="5.7109375" bestFit="1" customWidth="1"/>
    <col min="5" max="5" width="10.85546875" customWidth="1"/>
    <col min="6" max="6" width="9" bestFit="1" customWidth="1"/>
  </cols>
  <sheetData>
    <row r="1" spans="1:9" s="20" customFormat="1">
      <c r="A1" s="37" t="s">
        <v>50</v>
      </c>
    </row>
    <row r="2" spans="1:9" s="20" customFormat="1">
      <c r="A2" s="37" t="s">
        <v>8</v>
      </c>
    </row>
    <row r="3" spans="1:9" s="20" customFormat="1">
      <c r="A3" s="37" t="s">
        <v>51</v>
      </c>
    </row>
    <row r="4" spans="1:9" s="20" customFormat="1">
      <c r="A4" s="37"/>
      <c r="D4" s="80" t="s">
        <v>16</v>
      </c>
      <c r="E4" s="80"/>
      <c r="F4" s="80"/>
      <c r="G4" s="80"/>
    </row>
    <row r="5" spans="1:9" s="20" customFormat="1">
      <c r="D5" s="56" t="s">
        <v>43</v>
      </c>
      <c r="E5" s="56" t="s">
        <v>44</v>
      </c>
      <c r="F5" s="56" t="s">
        <v>45</v>
      </c>
      <c r="G5" s="59" t="s">
        <v>49</v>
      </c>
    </row>
    <row r="6" spans="1:9" s="20" customFormat="1">
      <c r="A6" s="53" t="s">
        <v>42</v>
      </c>
      <c r="D6" s="60">
        <f>52*2/12</f>
        <v>8.6666666666666661</v>
      </c>
      <c r="E6" s="60">
        <f>D6*2</f>
        <v>17.333333333333332</v>
      </c>
      <c r="F6" s="60">
        <f>D6*3</f>
        <v>26</v>
      </c>
      <c r="G6" s="60">
        <f>D6*4</f>
        <v>34.666666666666664</v>
      </c>
    </row>
    <row r="7" spans="1:9">
      <c r="A7" t="s">
        <v>19</v>
      </c>
      <c r="D7" s="60">
        <f>52/12</f>
        <v>4.333333333333333</v>
      </c>
      <c r="E7" s="60">
        <f t="shared" ref="E7:E9" si="0">D7*2</f>
        <v>8.6666666666666661</v>
      </c>
      <c r="F7" s="60">
        <f t="shared" ref="F7:F9" si="1">D7*3</f>
        <v>13</v>
      </c>
      <c r="G7" s="60">
        <f t="shared" ref="G7:G9" si="2">D7*4</f>
        <v>17.333333333333332</v>
      </c>
    </row>
    <row r="8" spans="1:9">
      <c r="A8" t="s">
        <v>21</v>
      </c>
      <c r="D8" s="60">
        <f>26/12</f>
        <v>2.1666666666666665</v>
      </c>
      <c r="E8" s="60">
        <f t="shared" si="0"/>
        <v>4.333333333333333</v>
      </c>
      <c r="F8" s="60">
        <f t="shared" si="1"/>
        <v>6.5</v>
      </c>
      <c r="G8" s="60">
        <f t="shared" si="2"/>
        <v>8.6666666666666661</v>
      </c>
    </row>
    <row r="9" spans="1:9">
      <c r="A9" t="s">
        <v>20</v>
      </c>
      <c r="D9" s="60">
        <f>12/12</f>
        <v>1</v>
      </c>
      <c r="E9" s="60">
        <f t="shared" si="0"/>
        <v>2</v>
      </c>
      <c r="F9" s="60">
        <f t="shared" si="1"/>
        <v>3</v>
      </c>
      <c r="G9" s="60">
        <f t="shared" si="2"/>
        <v>4</v>
      </c>
    </row>
    <row r="11" spans="1:9">
      <c r="A11" t="s">
        <v>17</v>
      </c>
      <c r="B11">
        <v>2000</v>
      </c>
    </row>
    <row r="12" spans="1:9">
      <c r="A12" t="s">
        <v>18</v>
      </c>
      <c r="B12" s="33" t="s">
        <v>46</v>
      </c>
    </row>
    <row r="14" spans="1:9">
      <c r="A14" s="34" t="s">
        <v>52</v>
      </c>
      <c r="B14" s="56" t="s">
        <v>5</v>
      </c>
      <c r="C14" s="1" t="s">
        <v>6</v>
      </c>
      <c r="E14" s="34" t="s">
        <v>24</v>
      </c>
      <c r="F14" s="1"/>
      <c r="I14" s="62"/>
    </row>
    <row r="15" spans="1:9">
      <c r="A15" s="20" t="s">
        <v>53</v>
      </c>
      <c r="B15" s="66">
        <v>51.27</v>
      </c>
      <c r="C15" s="7">
        <f>B15/2000</f>
        <v>2.5635000000000002E-2</v>
      </c>
      <c r="E15" t="s">
        <v>25</v>
      </c>
      <c r="F15" s="36">
        <f>0.015</f>
        <v>1.4999999999999999E-2</v>
      </c>
      <c r="I15" s="21"/>
    </row>
    <row r="16" spans="1:9">
      <c r="A16" s="20" t="s">
        <v>54</v>
      </c>
      <c r="B16" s="67">
        <v>59.41</v>
      </c>
      <c r="C16" s="8">
        <f>B16/2000</f>
        <v>2.9704999999999999E-2</v>
      </c>
      <c r="E16" t="s">
        <v>26</v>
      </c>
      <c r="F16" s="1">
        <f>0.004275</f>
        <v>4.2750000000000002E-3</v>
      </c>
    </row>
    <row r="17" spans="1:6">
      <c r="A17" s="20" t="s">
        <v>7</v>
      </c>
      <c r="B17" s="4">
        <f>B16-B15</f>
        <v>8.1399999999999935</v>
      </c>
      <c r="C17" s="7">
        <f>C16-C15</f>
        <v>4.0699999999999972E-3</v>
      </c>
      <c r="E17" t="s">
        <v>14</v>
      </c>
      <c r="F17">
        <f>SUM(F15:F16)</f>
        <v>1.9275E-2</v>
      </c>
    </row>
    <row r="18" spans="1:6">
      <c r="E18" t="s">
        <v>27</v>
      </c>
      <c r="F18">
        <f>1-F17</f>
        <v>0.98072499999999996</v>
      </c>
    </row>
    <row r="20" spans="1:6">
      <c r="A20" t="s">
        <v>3</v>
      </c>
      <c r="B20" s="35">
        <f>B17</f>
        <v>8.1399999999999935</v>
      </c>
      <c r="C20" s="35"/>
      <c r="E20" t="s">
        <v>63</v>
      </c>
    </row>
    <row r="21" spans="1:6">
      <c r="A21" t="s">
        <v>23</v>
      </c>
      <c r="B21" s="35">
        <f>B20/F18</f>
        <v>8.2999821560580127</v>
      </c>
    </row>
    <row r="22" spans="1:6">
      <c r="A22" t="s">
        <v>22</v>
      </c>
      <c r="B22" s="68">
        <v>8076</v>
      </c>
    </row>
    <row r="23" spans="1:6">
      <c r="A23" s="37" t="s">
        <v>28</v>
      </c>
      <c r="B23" s="57">
        <f>B21*B22</f>
        <v>67030.655892324517</v>
      </c>
    </row>
    <row r="25" spans="1:6">
      <c r="A25" t="s">
        <v>47</v>
      </c>
      <c r="B25" s="5">
        <f>'Staff calcs '!S8</f>
        <v>67030.655892324517</v>
      </c>
    </row>
    <row r="26" spans="1:6">
      <c r="A26" s="38" t="s">
        <v>11</v>
      </c>
      <c r="B26" s="35">
        <f>B25-B23</f>
        <v>0</v>
      </c>
    </row>
    <row r="27" spans="1:6">
      <c r="E27" s="61" t="s">
        <v>56</v>
      </c>
      <c r="F27" s="1"/>
    </row>
    <row r="28" spans="1:6">
      <c r="A28" s="37" t="s">
        <v>48</v>
      </c>
      <c r="B28" s="58">
        <f>'Staff calcs '!U8</f>
        <v>68121.959999999905</v>
      </c>
      <c r="E28">
        <v>0.01</v>
      </c>
    </row>
    <row r="29" spans="1:6">
      <c r="A29" s="38" t="s">
        <v>11</v>
      </c>
      <c r="B29" s="35">
        <f>B28-B23</f>
        <v>1091.3041076753871</v>
      </c>
      <c r="C29" s="16">
        <f>B29/B23</f>
        <v>1.6280671778423537E-2</v>
      </c>
    </row>
  </sheetData>
  <mergeCells count="1">
    <mergeCell ref="D4:G4"/>
  </mergeCells>
  <pageMargins left="0.28000000000000003" right="0.5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G14" sqref="G14"/>
    </sheetView>
  </sheetViews>
  <sheetFormatPr defaultColWidth="8.85546875" defaultRowHeight="15"/>
  <cols>
    <col min="1" max="1" width="4.5703125" style="20" bestFit="1" customWidth="1"/>
    <col min="2" max="2" width="4.5703125" style="20" customWidth="1"/>
    <col min="3" max="3" width="5.5703125" style="20" bestFit="1" customWidth="1"/>
    <col min="4" max="4" width="27" style="20" bestFit="1" customWidth="1"/>
    <col min="5" max="5" width="16.28515625" style="20" customWidth="1"/>
    <col min="6" max="6" width="16.85546875" style="20" customWidth="1"/>
    <col min="7" max="7" width="15.85546875" style="20" customWidth="1"/>
    <col min="8" max="8" width="13.42578125" style="20" bestFit="1" customWidth="1"/>
    <col min="9" max="9" width="15.7109375" style="20" bestFit="1" customWidth="1"/>
    <col min="10" max="10" width="14.140625" style="20" bestFit="1" customWidth="1"/>
    <col min="11" max="11" width="14.140625" style="20" customWidth="1"/>
    <col min="12" max="12" width="13.140625" style="20" customWidth="1"/>
    <col min="13" max="13" width="10.85546875" style="20" customWidth="1"/>
    <col min="14" max="14" width="11.28515625" style="20" customWidth="1"/>
    <col min="15" max="15" width="11.7109375" style="20" customWidth="1"/>
    <col min="16" max="16" width="14.42578125" style="20" customWidth="1"/>
    <col min="17" max="17" width="14" style="20" customWidth="1"/>
    <col min="18" max="18" width="11.7109375" style="20" customWidth="1"/>
    <col min="19" max="19" width="11" style="20" bestFit="1" customWidth="1"/>
    <col min="20" max="20" width="11.42578125" style="20" customWidth="1"/>
    <col min="21" max="21" width="11.42578125" style="20" bestFit="1" customWidth="1"/>
    <col min="22" max="16384" width="8.85546875" style="20"/>
  </cols>
  <sheetData>
    <row r="1" spans="1:21">
      <c r="D1" s="37" t="s">
        <v>82</v>
      </c>
      <c r="K1" s="42"/>
      <c r="L1" s="43"/>
      <c r="M1" s="43"/>
      <c r="O1" s="6"/>
    </row>
    <row r="2" spans="1:21">
      <c r="D2" s="37" t="s">
        <v>80</v>
      </c>
      <c r="K2" s="42"/>
      <c r="L2" s="43"/>
      <c r="M2" s="43"/>
    </row>
    <row r="3" spans="1:21">
      <c r="D3" s="37" t="s">
        <v>81</v>
      </c>
      <c r="K3" s="42"/>
      <c r="L3" s="43"/>
      <c r="M3" s="43"/>
    </row>
    <row r="4" spans="1:21">
      <c r="K4" s="42"/>
      <c r="L4" s="42"/>
      <c r="M4" s="42"/>
    </row>
    <row r="5" spans="1:21" ht="45">
      <c r="A5" s="1"/>
      <c r="B5" s="2" t="s">
        <v>77</v>
      </c>
      <c r="C5" s="2" t="s">
        <v>13</v>
      </c>
      <c r="D5" s="54" t="s">
        <v>15</v>
      </c>
      <c r="E5" s="2" t="s">
        <v>39</v>
      </c>
      <c r="F5" s="2" t="s">
        <v>0</v>
      </c>
      <c r="G5" s="21" t="s">
        <v>1</v>
      </c>
      <c r="H5" s="10" t="s">
        <v>9</v>
      </c>
      <c r="I5" s="10" t="s">
        <v>31</v>
      </c>
      <c r="J5" s="10" t="s">
        <v>32</v>
      </c>
      <c r="K5" s="72" t="s">
        <v>7</v>
      </c>
      <c r="L5" s="73" t="s">
        <v>2</v>
      </c>
      <c r="M5" s="73" t="s">
        <v>40</v>
      </c>
      <c r="N5" s="73" t="s">
        <v>36</v>
      </c>
      <c r="O5" s="73" t="s">
        <v>33</v>
      </c>
      <c r="P5" s="73" t="s">
        <v>34</v>
      </c>
      <c r="Q5" s="73" t="s">
        <v>37</v>
      </c>
      <c r="R5" s="73" t="s">
        <v>35</v>
      </c>
      <c r="S5" s="73" t="s">
        <v>41</v>
      </c>
      <c r="T5" s="73" t="s">
        <v>38</v>
      </c>
      <c r="U5" s="73" t="s">
        <v>55</v>
      </c>
    </row>
    <row r="6" spans="1:21" s="23" customFormat="1">
      <c r="A6" s="81"/>
      <c r="B6" s="64">
        <v>100</v>
      </c>
      <c r="C6" s="27" t="s">
        <v>79</v>
      </c>
      <c r="D6" s="28" t="s">
        <v>83</v>
      </c>
      <c r="E6" s="79">
        <v>10711</v>
      </c>
      <c r="F6" s="19">
        <f>References!D7</f>
        <v>4.333333333333333</v>
      </c>
      <c r="G6" s="70">
        <f>(E6*F6*9)</f>
        <v>417728.99999999994</v>
      </c>
      <c r="H6" s="18">
        <v>68</v>
      </c>
      <c r="I6" s="18">
        <f t="shared" ref="I6" si="0">G6*H6</f>
        <v>28405571.999999996</v>
      </c>
      <c r="J6" s="74">
        <f>$E$14*I6</f>
        <v>13815547.169811321</v>
      </c>
      <c r="K6" s="46">
        <f>References!$C$17*J6</f>
        <v>56229.27698113204</v>
      </c>
      <c r="L6" s="49">
        <f>K6/References!$F$18</f>
        <v>57334.397492805874</v>
      </c>
      <c r="M6" s="49">
        <f>L6/G6*F6*(9/12)</f>
        <v>0.446070997827824</v>
      </c>
      <c r="N6" s="46">
        <f>9*(9/12)</f>
        <v>6.75</v>
      </c>
      <c r="O6" s="49">
        <f>MROUND(N6+M6,References!$E$28)</f>
        <v>7.2</v>
      </c>
      <c r="P6" s="46">
        <f>M6+N6</f>
        <v>7.1960709978278237</v>
      </c>
      <c r="Q6" s="71">
        <f>E6*N6*12</f>
        <v>867591</v>
      </c>
      <c r="R6" s="71">
        <f>E6*P6*12</f>
        <v>924925.39749280585</v>
      </c>
      <c r="S6" s="71">
        <f t="shared" ref="S6" si="1">R6-Q6</f>
        <v>57334.397492805845</v>
      </c>
      <c r="T6" s="71">
        <f>E6*O6*12</f>
        <v>925430.39999999991</v>
      </c>
      <c r="U6" s="55">
        <f t="shared" ref="U6" si="2">T6-Q6</f>
        <v>57839.399999999907</v>
      </c>
    </row>
    <row r="7" spans="1:21" s="23" customFormat="1">
      <c r="A7" s="81"/>
      <c r="B7" s="64">
        <v>101</v>
      </c>
      <c r="C7" s="27" t="s">
        <v>79</v>
      </c>
      <c r="D7" s="28" t="s">
        <v>12</v>
      </c>
      <c r="E7" s="79">
        <v>10711</v>
      </c>
      <c r="F7" s="19">
        <f>References!D8</f>
        <v>2.1666666666666665</v>
      </c>
      <c r="G7" s="51">
        <f>(E7*F7*3)</f>
        <v>69621.5</v>
      </c>
      <c r="H7" s="24">
        <v>69</v>
      </c>
      <c r="I7" s="24">
        <f t="shared" ref="I7" si="3">G7*H7</f>
        <v>4803883.5</v>
      </c>
      <c r="J7" s="25">
        <f>$E$14*I7</f>
        <v>2336452.8301886795</v>
      </c>
      <c r="K7" s="75">
        <f>References!$C$17*J7</f>
        <v>9509.3630188679199</v>
      </c>
      <c r="L7" s="50">
        <f>K7/References!$F$18</f>
        <v>9696.2583995186415</v>
      </c>
      <c r="M7" s="50">
        <f>L7/G7*F7*(3/12)</f>
        <v>7.5438477573823173E-2</v>
      </c>
      <c r="N7" s="75">
        <f>9*(3/12)</f>
        <v>2.25</v>
      </c>
      <c r="O7" s="50">
        <f>MROUND(N7+M7,References!$E$28)</f>
        <v>2.33</v>
      </c>
      <c r="P7" s="75">
        <f>M7+N7</f>
        <v>2.3254384775738233</v>
      </c>
      <c r="Q7" s="47">
        <f>E7*N7*12</f>
        <v>289197</v>
      </c>
      <c r="R7" s="47">
        <f>E7*P7*12</f>
        <v>298893.25839951867</v>
      </c>
      <c r="S7" s="47">
        <f t="shared" ref="S7" si="4">R7-Q7</f>
        <v>9696.2583995186724</v>
      </c>
      <c r="T7" s="47">
        <f>E7*O7*12</f>
        <v>299479.56</v>
      </c>
      <c r="U7" s="78">
        <f t="shared" ref="U7" si="5">T7-Q7</f>
        <v>10282.559999999998</v>
      </c>
    </row>
    <row r="8" spans="1:21" s="23" customFormat="1">
      <c r="A8" s="82"/>
      <c r="B8" s="65"/>
      <c r="C8" s="26"/>
      <c r="D8" s="44" t="s">
        <v>14</v>
      </c>
      <c r="E8" s="45">
        <f>E7</f>
        <v>10711</v>
      </c>
      <c r="F8" s="48"/>
      <c r="G8" s="52">
        <f>SUM(G6:G7)</f>
        <v>487350.49999999994</v>
      </c>
      <c r="H8" s="18"/>
      <c r="I8" s="52">
        <f t="shared" ref="I8:N8" si="6">SUM(I6:I7)</f>
        <v>33209455.499999996</v>
      </c>
      <c r="J8" s="52">
        <f t="shared" si="6"/>
        <v>16152000</v>
      </c>
      <c r="K8" s="52">
        <f t="shared" si="6"/>
        <v>65738.639999999956</v>
      </c>
      <c r="L8" s="52">
        <f t="shared" si="6"/>
        <v>67030.655892324517</v>
      </c>
      <c r="M8" s="76">
        <f t="shared" si="6"/>
        <v>0.52150947540164716</v>
      </c>
      <c r="N8" s="76">
        <f t="shared" si="6"/>
        <v>9</v>
      </c>
      <c r="O8" s="49">
        <f>MROUND(N8+M8,References!$E$28)</f>
        <v>9.52</v>
      </c>
      <c r="P8" s="77">
        <v>9.52</v>
      </c>
      <c r="Q8" s="71">
        <f>SUM(Q6:Q7)</f>
        <v>1156788</v>
      </c>
      <c r="R8" s="71">
        <f t="shared" ref="R8:U8" si="7">SUM(R6:R7)</f>
        <v>1223818.6558923246</v>
      </c>
      <c r="S8" s="71">
        <f t="shared" si="7"/>
        <v>67030.655892324517</v>
      </c>
      <c r="T8" s="71">
        <f t="shared" si="7"/>
        <v>1224909.96</v>
      </c>
      <c r="U8" s="71">
        <f t="shared" si="7"/>
        <v>68121.959999999905</v>
      </c>
    </row>
    <row r="9" spans="1:21">
      <c r="H9" s="6"/>
      <c r="I9" s="16"/>
      <c r="J9" s="3"/>
    </row>
    <row r="10" spans="1:21">
      <c r="E10" s="32"/>
      <c r="H10" s="22"/>
      <c r="I10" s="30"/>
      <c r="J10" s="30"/>
      <c r="K10" s="31"/>
      <c r="Q10" s="17"/>
      <c r="R10" s="31"/>
      <c r="S10" s="21"/>
    </row>
    <row r="11" spans="1:21">
      <c r="D11" s="20" t="s">
        <v>29</v>
      </c>
      <c r="E11" s="32">
        <f>References!B22</f>
        <v>8076</v>
      </c>
      <c r="H11" s="22"/>
      <c r="I11" s="30"/>
      <c r="J11" s="30"/>
      <c r="K11" s="31"/>
      <c r="Q11" s="17"/>
      <c r="R11" s="39"/>
      <c r="S11" s="21"/>
    </row>
    <row r="12" spans="1:21">
      <c r="D12" s="20" t="s">
        <v>30</v>
      </c>
      <c r="E12" s="3">
        <f>E11*2000</f>
        <v>16152000</v>
      </c>
      <c r="H12" s="22"/>
      <c r="I12" s="30"/>
      <c r="J12" s="30"/>
      <c r="K12" s="31"/>
      <c r="Q12" s="21"/>
      <c r="R12" s="39"/>
      <c r="S12" s="21"/>
    </row>
    <row r="13" spans="1:21">
      <c r="D13" s="20" t="s">
        <v>4</v>
      </c>
      <c r="E13" s="3">
        <f>G8</f>
        <v>487350.49999999994</v>
      </c>
      <c r="H13" s="22"/>
      <c r="I13" s="30"/>
      <c r="J13" s="30"/>
      <c r="K13" s="31"/>
      <c r="Q13" s="17"/>
      <c r="R13" s="39"/>
      <c r="S13" s="21"/>
    </row>
    <row r="14" spans="1:21">
      <c r="D14" s="38" t="s">
        <v>10</v>
      </c>
      <c r="E14" s="69">
        <f>E12/I8</f>
        <v>0.48636750458013389</v>
      </c>
      <c r="H14" s="22"/>
      <c r="I14" s="30"/>
      <c r="J14" s="19"/>
      <c r="K14" s="31"/>
      <c r="L14" s="21"/>
      <c r="M14" s="21"/>
      <c r="N14" s="9"/>
      <c r="O14" s="9"/>
      <c r="P14" s="9"/>
      <c r="Q14" s="10"/>
      <c r="R14" s="10"/>
      <c r="S14" s="21"/>
    </row>
    <row r="15" spans="1:21">
      <c r="D15" s="21"/>
      <c r="E15" s="21"/>
      <c r="F15" s="21"/>
      <c r="H15" s="22"/>
      <c r="I15" s="30"/>
      <c r="J15" s="30"/>
      <c r="K15" s="31"/>
      <c r="L15" s="21"/>
      <c r="M15" s="21"/>
      <c r="N15" s="12"/>
      <c r="O15" s="13"/>
      <c r="P15" s="13"/>
      <c r="Q15" s="14"/>
      <c r="R15" s="15"/>
    </row>
    <row r="16" spans="1:21">
      <c r="D16" s="21"/>
      <c r="E16" s="39"/>
      <c r="F16" s="40"/>
      <c r="G16" s="21"/>
      <c r="H16" s="22"/>
      <c r="I16" s="30"/>
      <c r="J16" s="30"/>
      <c r="K16" s="31"/>
      <c r="L16" s="21"/>
      <c r="M16" s="21"/>
      <c r="N16" s="12"/>
      <c r="O16" s="13"/>
      <c r="P16" s="13"/>
      <c r="Q16" s="14"/>
      <c r="R16" s="15"/>
    </row>
    <row r="17" spans="4:18">
      <c r="D17" s="21"/>
      <c r="E17" s="39"/>
      <c r="F17" s="40"/>
      <c r="H17" s="22"/>
      <c r="I17" s="30"/>
      <c r="J17" s="30"/>
      <c r="K17" s="31"/>
      <c r="L17" s="21"/>
      <c r="M17" s="21"/>
      <c r="N17" s="12"/>
      <c r="O17" s="13"/>
      <c r="P17" s="13"/>
      <c r="Q17" s="14"/>
      <c r="R17" s="15"/>
    </row>
    <row r="18" spans="4:18">
      <c r="D18" s="21"/>
      <c r="E18" s="39"/>
      <c r="F18" s="40"/>
      <c r="H18" s="29"/>
      <c r="I18" s="21"/>
      <c r="J18" s="11"/>
      <c r="K18" s="31"/>
      <c r="L18" s="21"/>
      <c r="M18" s="21"/>
      <c r="N18" s="12"/>
      <c r="O18" s="13"/>
      <c r="P18" s="13"/>
      <c r="Q18" s="15"/>
      <c r="R18" s="15"/>
    </row>
    <row r="19" spans="4:18">
      <c r="D19" s="21"/>
      <c r="E19" s="41"/>
      <c r="F19" s="21"/>
      <c r="H19" s="21"/>
      <c r="I19" s="21"/>
      <c r="J19" s="11"/>
      <c r="K19" s="21"/>
      <c r="L19" s="21"/>
      <c r="M19" s="21"/>
      <c r="N19" s="21"/>
      <c r="O19" s="14"/>
      <c r="P19" s="14"/>
      <c r="Q19" s="14"/>
      <c r="R19" s="15"/>
    </row>
    <row r="20" spans="4:18">
      <c r="D20" s="21"/>
      <c r="E20" s="21"/>
      <c r="F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4:18">
      <c r="D21" s="21"/>
      <c r="E21" s="21"/>
      <c r="F21" s="21"/>
    </row>
    <row r="22" spans="4:18">
      <c r="D22" s="21"/>
      <c r="E22" s="21"/>
      <c r="F22" s="21"/>
    </row>
    <row r="23" spans="4:18">
      <c r="D23" s="21"/>
      <c r="E23" s="21"/>
      <c r="F23" s="21"/>
    </row>
    <row r="24" spans="4:18">
      <c r="D24" s="21"/>
      <c r="E24" s="21"/>
      <c r="F24" s="21"/>
    </row>
    <row r="25" spans="4:18">
      <c r="D25" s="21"/>
      <c r="E25" s="21"/>
      <c r="F25" s="21"/>
    </row>
  </sheetData>
  <mergeCells count="1">
    <mergeCell ref="A6:A8"/>
  </mergeCells>
  <pageMargins left="0.2" right="0.22" top="0.38" bottom="0.34" header="0.19" footer="0.17"/>
  <pageSetup scale="52"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7CD4467502BD439D74F3C57675EF1B" ma:contentTypeVersion="56" ma:contentTypeDescription="" ma:contentTypeScope="" ma:versionID="3e05f7c9971e22d6f9641dd74add01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2019-01-15T08:00:00+00:00</OpenedDate>
    <SignificantOrder xmlns="dc463f71-b30c-4ab2-9473-d307f9d35888">false</SignificantOrder>
    <Date1 xmlns="dc463f71-b30c-4ab2-9473-d307f9d35888">2019-01-15T08:00:00+00:00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Rubatino Refuse Removal Inc.</CaseCompanyNames>
    <Nickname xmlns="http://schemas.microsoft.com/sharepoint/v3" xsi:nil="true"/>
    <DocketNumber xmlns="dc463f71-b30c-4ab2-9473-d307f9d35888">190031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B9315D-F519-48A4-BE9C-CA84DAD77D22}"/>
</file>

<file path=customXml/itemProps2.xml><?xml version="1.0" encoding="utf-8"?>
<ds:datastoreItem xmlns:ds="http://schemas.openxmlformats.org/officeDocument/2006/customXml" ds:itemID="{23843BDE-D5F6-430A-A842-8A7B99DA9BAF}"/>
</file>

<file path=customXml/itemProps3.xml><?xml version="1.0" encoding="utf-8"?>
<ds:datastoreItem xmlns:ds="http://schemas.openxmlformats.org/officeDocument/2006/customXml" ds:itemID="{8532371E-3CB0-4332-938E-12960B68FFB2}"/>
</file>

<file path=customXml/itemProps4.xml><?xml version="1.0" encoding="utf-8"?>
<ds:datastoreItem xmlns:ds="http://schemas.openxmlformats.org/officeDocument/2006/customXml" ds:itemID="{6B1CBC32-C08F-499D-933B-66300A813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Staff calcs 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Cassie Rewis</cp:lastModifiedBy>
  <cp:lastPrinted>2013-11-13T18:16:52Z</cp:lastPrinted>
  <dcterms:created xsi:type="dcterms:W3CDTF">2013-10-29T22:33:54Z</dcterms:created>
  <dcterms:modified xsi:type="dcterms:W3CDTF">2019-01-15T21:53:40Z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0x0101006E56B4D1795A2E4DB2F0B01679ED314A00D07CD4467502BD439D74F3C57675EF1B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