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92" yWindow="0" windowWidth="21420" windowHeight="6792" tabRatio="931"/>
  </bookViews>
  <sheets>
    <sheet name="Rates PGA-1" sheetId="36" r:id="rId1"/>
    <sheet name="Rate Change PGA-2" sheetId="27" r:id="rId2"/>
    <sheet name="Forecast PGA-3" sheetId="5" r:id="rId3"/>
    <sheet name="Cust Impact PGA-4" sheetId="28" r:id="rId4"/>
    <sheet name="Rev Impact PGA-5" sheetId="55" r:id="rId5"/>
    <sheet name="Combined Cust Impact PGA-6" sheetId="32" r:id="rId6"/>
    <sheet name="Combined Rev Impact PGA-7" sheetId="54" r:id="rId7"/>
  </sheets>
  <calcPr calcId="145621"/>
</workbook>
</file>

<file path=xl/calcChain.xml><?xml version="1.0" encoding="utf-8"?>
<calcChain xmlns="http://schemas.openxmlformats.org/spreadsheetml/2006/main">
  <c r="E20" i="36" l="1"/>
  <c r="F20" i="36"/>
  <c r="G20" i="36"/>
  <c r="E9" i="54" l="1"/>
  <c r="B20" i="54" l="1"/>
  <c r="H7" i="54"/>
  <c r="G7" i="54"/>
  <c r="D23" i="32" l="1"/>
  <c r="C17" i="54" s="1"/>
  <c r="D22" i="32"/>
  <c r="C16" i="54" s="1"/>
  <c r="D21" i="32"/>
  <c r="C15" i="54" s="1"/>
  <c r="D17" i="32"/>
  <c r="C14" i="54" s="1"/>
  <c r="D16" i="32"/>
  <c r="C13" i="54" s="1"/>
  <c r="D12" i="32"/>
  <c r="C12" i="54" s="1"/>
  <c r="D11" i="32"/>
  <c r="C11" i="54" s="1"/>
  <c r="B31" i="36" l="1"/>
  <c r="B28" i="36"/>
  <c r="B27" i="36"/>
  <c r="H45" i="36" l="1"/>
  <c r="C17" i="55" l="1"/>
  <c r="C16" i="55"/>
  <c r="C15" i="55"/>
  <c r="C14" i="55"/>
  <c r="C13" i="55"/>
  <c r="C12" i="55"/>
  <c r="C11" i="55"/>
  <c r="H20" i="36" l="1"/>
  <c r="E43" i="36"/>
  <c r="F43" i="36"/>
  <c r="G43" i="36"/>
  <c r="I43" i="36"/>
  <c r="J43" i="36"/>
  <c r="K43" i="36"/>
  <c r="H43" i="36"/>
  <c r="I20" i="36" l="1"/>
  <c r="J20" i="36"/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K20" i="36" l="1"/>
  <c r="D20" i="36" s="1"/>
  <c r="M23" i="5" l="1"/>
  <c r="L23" i="5"/>
  <c r="K23" i="5"/>
  <c r="J23" i="5"/>
  <c r="I23" i="5"/>
  <c r="H23" i="5"/>
  <c r="G23" i="5"/>
  <c r="F23" i="5"/>
  <c r="E23" i="5"/>
  <c r="D23" i="5"/>
  <c r="C23" i="5"/>
  <c r="B23" i="5"/>
  <c r="C36" i="27" l="1"/>
  <c r="D23" i="27" l="1"/>
  <c r="E23" i="27"/>
  <c r="F23" i="27"/>
  <c r="G23" i="27"/>
  <c r="H23" i="27"/>
  <c r="I23" i="27"/>
  <c r="C23" i="27"/>
  <c r="C32" i="36"/>
  <c r="D10" i="36"/>
  <c r="D20" i="27"/>
  <c r="I19" i="27"/>
  <c r="H19" i="27"/>
  <c r="E19" i="27"/>
  <c r="H16" i="27"/>
  <c r="G16" i="27"/>
  <c r="I20" i="27"/>
  <c r="H20" i="27"/>
  <c r="G19" i="27"/>
  <c r="G20" i="27"/>
  <c r="F19" i="27"/>
  <c r="F20" i="27"/>
  <c r="D19" i="27"/>
  <c r="E20" i="27"/>
  <c r="D11" i="28"/>
  <c r="D16" i="28"/>
  <c r="D12" i="28"/>
  <c r="D17" i="28"/>
  <c r="D21" i="28"/>
  <c r="D22" i="28"/>
  <c r="D23" i="28"/>
  <c r="C19" i="27"/>
  <c r="C20" i="27"/>
  <c r="A12" i="32"/>
  <c r="A13" i="32" s="1"/>
  <c r="A16" i="32" s="1"/>
  <c r="A17" i="32" s="1"/>
  <c r="A18" i="32" s="1"/>
  <c r="A21" i="32" s="1"/>
  <c r="A22" i="32" s="1"/>
  <c r="A23" i="32" s="1"/>
  <c r="A24" i="32" s="1"/>
  <c r="A25" i="32" s="1"/>
  <c r="A12" i="28"/>
  <c r="A13" i="28" s="1"/>
  <c r="A16" i="28" s="1"/>
  <c r="A17" i="28" s="1"/>
  <c r="A18" i="28" s="1"/>
  <c r="A21" i="28" s="1"/>
  <c r="A22" i="28" s="1"/>
  <c r="A23" i="28" s="1"/>
  <c r="A24" i="28" s="1"/>
  <c r="A25" i="28" s="1"/>
  <c r="A11" i="27"/>
  <c r="A12" i="27" s="1"/>
  <c r="A14" i="27" s="1"/>
  <c r="A16" i="27" s="1"/>
  <c r="A17" i="27" s="1"/>
  <c r="A19" i="27" s="1"/>
  <c r="A20" i="27" s="1"/>
  <c r="A21" i="27" s="1"/>
  <c r="A23" i="27" s="1"/>
  <c r="A25" i="27" s="1"/>
  <c r="A26" i="27" s="1"/>
  <c r="A28" i="27" s="1"/>
  <c r="A29" i="27" s="1"/>
  <c r="A31" i="27" s="1"/>
  <c r="A32" i="27" s="1"/>
  <c r="A34" i="27" s="1"/>
  <c r="A36" i="27" s="1"/>
  <c r="I16" i="27"/>
  <c r="F25" i="27"/>
  <c r="F26" i="27" s="1"/>
  <c r="G25" i="27"/>
  <c r="G26" i="27" s="1"/>
  <c r="H25" i="27"/>
  <c r="H26" i="27" s="1"/>
  <c r="I25" i="27"/>
  <c r="I26" i="27" s="1"/>
  <c r="B9" i="36"/>
  <c r="B10" i="36" s="1"/>
  <c r="B11" i="36" s="1"/>
  <c r="E45" i="36"/>
  <c r="F45" i="36"/>
  <c r="G45" i="36"/>
  <c r="K45" i="36"/>
  <c r="B32" i="36" l="1"/>
  <c r="B33" i="36" s="1"/>
  <c r="B35" i="36" s="1"/>
  <c r="B36" i="36" s="1"/>
  <c r="B37" i="36" s="1"/>
  <c r="B38" i="36" s="1"/>
  <c r="B39" i="36" s="1"/>
  <c r="B40" i="36" s="1"/>
  <c r="B43" i="36" s="1"/>
  <c r="B44" i="36" s="1"/>
  <c r="B45" i="36" s="1"/>
  <c r="B47" i="36" s="1"/>
  <c r="B48" i="36" s="1"/>
  <c r="B49" i="36" s="1"/>
  <c r="B51" i="36" s="1"/>
  <c r="B52" i="36" s="1"/>
  <c r="B53" i="36" s="1"/>
  <c r="B54" i="36" s="1"/>
  <c r="B55" i="36" s="1"/>
  <c r="B13" i="36"/>
  <c r="B14" i="36" s="1"/>
  <c r="B16" i="36" s="1"/>
  <c r="B17" i="36" s="1"/>
  <c r="B19" i="36" s="1"/>
  <c r="B20" i="36" s="1"/>
  <c r="B22" i="36" s="1"/>
  <c r="B23" i="36" s="1"/>
  <c r="B24" i="36" s="1"/>
  <c r="B26" i="36" s="1"/>
  <c r="H21" i="27"/>
  <c r="E21" i="27"/>
  <c r="I45" i="36"/>
  <c r="G17" i="27" s="1"/>
  <c r="G32" i="27" s="1"/>
  <c r="H31" i="27"/>
  <c r="F17" i="27"/>
  <c r="F32" i="27" s="1"/>
  <c r="D21" i="27"/>
  <c r="J45" i="36"/>
  <c r="F16" i="27"/>
  <c r="F31" i="27" s="1"/>
  <c r="I31" i="27"/>
  <c r="G31" i="27"/>
  <c r="F21" i="27"/>
  <c r="I17" i="27"/>
  <c r="I32" i="27" s="1"/>
  <c r="G21" i="27"/>
  <c r="I21" i="27"/>
  <c r="C21" i="27"/>
  <c r="H17" i="27" l="1"/>
  <c r="H32" i="27" s="1"/>
  <c r="F18" i="55" l="1"/>
  <c r="F18" i="54" l="1"/>
  <c r="I26" i="5" l="1"/>
  <c r="L26" i="5"/>
  <c r="H26" i="5"/>
  <c r="D26" i="5"/>
  <c r="M26" i="5"/>
  <c r="E26" i="5"/>
  <c r="K26" i="5"/>
  <c r="G26" i="5"/>
  <c r="C26" i="5"/>
  <c r="J26" i="5"/>
  <c r="F26" i="5"/>
  <c r="B26" i="5"/>
  <c r="D14" i="5" l="1"/>
  <c r="L14" i="5"/>
  <c r="E38" i="5"/>
  <c r="E14" i="5"/>
  <c r="F14" i="5"/>
  <c r="I20" i="5"/>
  <c r="K11" i="36" s="1"/>
  <c r="F38" i="5"/>
  <c r="N35" i="5"/>
  <c r="M22" i="32" s="1"/>
  <c r="N12" i="5"/>
  <c r="E16" i="55" s="1"/>
  <c r="E16" i="54" s="1"/>
  <c r="N29" i="5"/>
  <c r="M16" i="32" s="1"/>
  <c r="J38" i="5"/>
  <c r="H38" i="5"/>
  <c r="C38" i="5"/>
  <c r="N36" i="5"/>
  <c r="I23" i="28" s="1"/>
  <c r="H14" i="5"/>
  <c r="G20" i="5"/>
  <c r="H21" i="28" s="1"/>
  <c r="C14" i="5"/>
  <c r="K14" i="5"/>
  <c r="M14" i="5"/>
  <c r="N26" i="5"/>
  <c r="M12" i="32" s="1"/>
  <c r="F20" i="5"/>
  <c r="H17" i="28" s="1"/>
  <c r="M38" i="5"/>
  <c r="L38" i="5"/>
  <c r="J14" i="5"/>
  <c r="N7" i="5"/>
  <c r="L11" i="32" s="1"/>
  <c r="N11" i="5"/>
  <c r="E15" i="55" s="1"/>
  <c r="E15" i="54" s="1"/>
  <c r="K38" i="5"/>
  <c r="E20" i="5"/>
  <c r="H16" i="28" s="1"/>
  <c r="N30" i="5"/>
  <c r="M17" i="32" s="1"/>
  <c r="H20" i="5"/>
  <c r="H22" i="28" s="1"/>
  <c r="B38" i="5"/>
  <c r="N25" i="5"/>
  <c r="I11" i="28" s="1"/>
  <c r="I38" i="5"/>
  <c r="I14" i="5"/>
  <c r="G38" i="5"/>
  <c r="D38" i="5"/>
  <c r="B14" i="5"/>
  <c r="G14" i="5"/>
  <c r="N34" i="5"/>
  <c r="I21" i="28" s="1"/>
  <c r="N9" i="5"/>
  <c r="L16" i="32" s="1"/>
  <c r="C20" i="5"/>
  <c r="E11" i="36" s="1"/>
  <c r="N8" i="5"/>
  <c r="E12" i="55" s="1"/>
  <c r="E12" i="54" s="1"/>
  <c r="N13" i="5"/>
  <c r="L23" i="32" s="1"/>
  <c r="D20" i="5"/>
  <c r="F11" i="36" s="1"/>
  <c r="N10" i="5"/>
  <c r="E14" i="55" s="1"/>
  <c r="E14" i="54" s="1"/>
  <c r="I16" i="28"/>
  <c r="N16" i="5"/>
  <c r="L22" i="32" l="1"/>
  <c r="J11" i="36"/>
  <c r="J14" i="36" s="1"/>
  <c r="H23" i="28"/>
  <c r="L12" i="32"/>
  <c r="L13" i="32" s="1"/>
  <c r="I22" i="28"/>
  <c r="I24" i="28" s="1"/>
  <c r="E11" i="55"/>
  <c r="E11" i="54" s="1"/>
  <c r="M11" i="32"/>
  <c r="M13" i="32" s="1"/>
  <c r="I11" i="36"/>
  <c r="I14" i="36" s="1"/>
  <c r="M23" i="32"/>
  <c r="L21" i="32"/>
  <c r="L24" i="32" s="1"/>
  <c r="I17" i="28"/>
  <c r="I18" i="28" s="1"/>
  <c r="H11" i="28"/>
  <c r="E13" i="55"/>
  <c r="E13" i="54" s="1"/>
  <c r="H12" i="28"/>
  <c r="H11" i="36"/>
  <c r="H32" i="36" s="1"/>
  <c r="L17" i="32"/>
  <c r="L18" i="32" s="1"/>
  <c r="I12" i="28"/>
  <c r="I13" i="28" s="1"/>
  <c r="G11" i="36"/>
  <c r="E17" i="55"/>
  <c r="E17" i="54" s="1"/>
  <c r="H24" i="28"/>
  <c r="N38" i="5"/>
  <c r="J20" i="5"/>
  <c r="H18" i="28"/>
  <c r="M21" i="32"/>
  <c r="N14" i="5"/>
  <c r="M18" i="32"/>
  <c r="F32" i="36"/>
  <c r="F14" i="36"/>
  <c r="E32" i="36"/>
  <c r="E14" i="36"/>
  <c r="K32" i="36"/>
  <c r="K14" i="36"/>
  <c r="J32" i="36" l="1"/>
  <c r="J33" i="36" s="1"/>
  <c r="H14" i="36"/>
  <c r="I32" i="36"/>
  <c r="I33" i="36" s="1"/>
  <c r="H13" i="28"/>
  <c r="E18" i="54"/>
  <c r="M24" i="32"/>
  <c r="D11" i="36"/>
  <c r="E18" i="55"/>
  <c r="G14" i="36"/>
  <c r="G32" i="36"/>
  <c r="D32" i="36" s="1"/>
  <c r="D36" i="36" s="1"/>
  <c r="H25" i="28"/>
  <c r="L25" i="32"/>
  <c r="M25" i="32"/>
  <c r="I25" i="28"/>
  <c r="H33" i="36"/>
  <c r="F33" i="36"/>
  <c r="K33" i="36"/>
  <c r="E33" i="36"/>
  <c r="D14" i="36" l="1"/>
  <c r="K16" i="36" s="1"/>
  <c r="K17" i="36" s="1"/>
  <c r="G33" i="36"/>
  <c r="D33" i="36" s="1"/>
  <c r="H36" i="36"/>
  <c r="F36" i="36"/>
  <c r="J36" i="36"/>
  <c r="G36" i="36"/>
  <c r="I36" i="36"/>
  <c r="E36" i="36"/>
  <c r="K36" i="36"/>
  <c r="I16" i="36" l="1"/>
  <c r="I22" i="36" s="1"/>
  <c r="I23" i="36" s="1"/>
  <c r="K22" i="36"/>
  <c r="K23" i="36" s="1"/>
  <c r="K47" i="36" s="1"/>
  <c r="F16" i="36"/>
  <c r="F17" i="36" s="1"/>
  <c r="E16" i="36"/>
  <c r="E17" i="36" s="1"/>
  <c r="H16" i="36"/>
  <c r="H22" i="36" s="1"/>
  <c r="H23" i="36" s="1"/>
  <c r="J16" i="36"/>
  <c r="J17" i="36" s="1"/>
  <c r="G16" i="36"/>
  <c r="G22" i="36" s="1"/>
  <c r="G23" i="36" s="1"/>
  <c r="I17" i="36"/>
  <c r="K48" i="36"/>
  <c r="I11" i="27" s="1"/>
  <c r="K39" i="36"/>
  <c r="K40" i="36" s="1"/>
  <c r="K37" i="36"/>
  <c r="E48" i="36"/>
  <c r="C11" i="27" s="1"/>
  <c r="E39" i="36"/>
  <c r="E40" i="36" s="1"/>
  <c r="E37" i="36"/>
  <c r="F39" i="36"/>
  <c r="F40" i="36" s="1"/>
  <c r="F48" i="36"/>
  <c r="D11" i="27" s="1"/>
  <c r="F38" i="36"/>
  <c r="F37" i="36"/>
  <c r="G39" i="36"/>
  <c r="G40" i="36" s="1"/>
  <c r="G48" i="36"/>
  <c r="E11" i="27" s="1"/>
  <c r="G37" i="36"/>
  <c r="J48" i="36"/>
  <c r="H11" i="27" s="1"/>
  <c r="J39" i="36"/>
  <c r="J40" i="36" s="1"/>
  <c r="J37" i="36"/>
  <c r="I48" i="36"/>
  <c r="G11" i="27" s="1"/>
  <c r="I39" i="36"/>
  <c r="I40" i="36" s="1"/>
  <c r="I37" i="36"/>
  <c r="H39" i="36"/>
  <c r="H40" i="36" s="1"/>
  <c r="H48" i="36"/>
  <c r="F11" i="27" s="1"/>
  <c r="H37" i="36"/>
  <c r="J22" i="36" l="1"/>
  <c r="J23" i="36" s="1"/>
  <c r="J47" i="36" s="1"/>
  <c r="K26" i="36"/>
  <c r="K27" i="36"/>
  <c r="K28" i="36" s="1"/>
  <c r="E22" i="36"/>
  <c r="E23" i="36" s="1"/>
  <c r="F22" i="36"/>
  <c r="F23" i="36" s="1"/>
  <c r="H17" i="36"/>
  <c r="G17" i="36"/>
  <c r="I10" i="27"/>
  <c r="I12" i="27" s="1"/>
  <c r="I28" i="27" s="1"/>
  <c r="K49" i="36"/>
  <c r="K51" i="36" s="1"/>
  <c r="G27" i="36"/>
  <c r="G28" i="36" s="1"/>
  <c r="G47" i="36"/>
  <c r="G26" i="36"/>
  <c r="H27" i="36"/>
  <c r="H28" i="36" s="1"/>
  <c r="H26" i="36"/>
  <c r="H47" i="36"/>
  <c r="D37" i="36"/>
  <c r="I27" i="36"/>
  <c r="I28" i="36" s="1"/>
  <c r="I47" i="36"/>
  <c r="I26" i="36"/>
  <c r="J27" i="36" l="1"/>
  <c r="J28" i="36" s="1"/>
  <c r="F26" i="36"/>
  <c r="F24" i="36"/>
  <c r="J26" i="36"/>
  <c r="F47" i="36"/>
  <c r="F27" i="36"/>
  <c r="F28" i="36" s="1"/>
  <c r="D22" i="36"/>
  <c r="D17" i="36"/>
  <c r="G49" i="36"/>
  <c r="G51" i="36" s="1"/>
  <c r="E10" i="27"/>
  <c r="E12" i="27" s="1"/>
  <c r="E28" i="27" s="1"/>
  <c r="H10" i="27"/>
  <c r="H12" i="27" s="1"/>
  <c r="H28" i="27" s="1"/>
  <c r="J49" i="36"/>
  <c r="J51" i="36" s="1"/>
  <c r="H49" i="36"/>
  <c r="H51" i="36" s="1"/>
  <c r="F10" i="27"/>
  <c r="F12" i="27" s="1"/>
  <c r="F28" i="27" s="1"/>
  <c r="E47" i="36"/>
  <c r="E27" i="36"/>
  <c r="E28" i="36" s="1"/>
  <c r="E26" i="36"/>
  <c r="E23" i="28"/>
  <c r="K54" i="36"/>
  <c r="K55" i="36" s="1"/>
  <c r="E23" i="32"/>
  <c r="D17" i="55"/>
  <c r="G17" i="55" s="1"/>
  <c r="I14" i="27"/>
  <c r="G10" i="27"/>
  <c r="G12" i="27" s="1"/>
  <c r="G28" i="27" s="1"/>
  <c r="I49" i="36"/>
  <c r="I51" i="36" s="1"/>
  <c r="F23" i="28" l="1"/>
  <c r="K23" i="28" s="1"/>
  <c r="L23" i="28" s="1"/>
  <c r="M23" i="28" s="1"/>
  <c r="D26" i="36"/>
  <c r="F49" i="36"/>
  <c r="F51" i="36" s="1"/>
  <c r="E12" i="32" s="1"/>
  <c r="D10" i="27"/>
  <c r="D12" i="27" s="1"/>
  <c r="D28" i="27" s="1"/>
  <c r="H14" i="27"/>
  <c r="J54" i="36"/>
  <c r="J55" i="36" s="1"/>
  <c r="E22" i="32"/>
  <c r="D16" i="55"/>
  <c r="G16" i="55" s="1"/>
  <c r="E22" i="28"/>
  <c r="E17" i="32"/>
  <c r="F14" i="27"/>
  <c r="H54" i="36"/>
  <c r="H55" i="36" s="1"/>
  <c r="D14" i="55"/>
  <c r="G14" i="55" s="1"/>
  <c r="E17" i="28"/>
  <c r="G14" i="27"/>
  <c r="E21" i="28"/>
  <c r="I54" i="36"/>
  <c r="I55" i="36" s="1"/>
  <c r="D15" i="55"/>
  <c r="G15" i="55" s="1"/>
  <c r="E21" i="32"/>
  <c r="I29" i="27"/>
  <c r="H17" i="55"/>
  <c r="I17" i="55" s="1"/>
  <c r="C10" i="27"/>
  <c r="C12" i="27" s="1"/>
  <c r="C28" i="27" s="1"/>
  <c r="E49" i="36"/>
  <c r="E51" i="36" s="1"/>
  <c r="E16" i="32"/>
  <c r="E14" i="27"/>
  <c r="D13" i="55"/>
  <c r="G13" i="55" s="1"/>
  <c r="E16" i="28"/>
  <c r="G54" i="36"/>
  <c r="G55" i="36" s="1"/>
  <c r="F17" i="28" l="1"/>
  <c r="K17" i="28" s="1"/>
  <c r="L17" i="28" s="1"/>
  <c r="M17" i="28" s="1"/>
  <c r="F16" i="28"/>
  <c r="K16" i="28" s="1"/>
  <c r="L16" i="28" s="1"/>
  <c r="M16" i="28" s="1"/>
  <c r="F21" i="28"/>
  <c r="K21" i="28" s="1"/>
  <c r="F22" i="28"/>
  <c r="K22" i="28" s="1"/>
  <c r="L22" i="28" s="1"/>
  <c r="M22" i="28" s="1"/>
  <c r="E12" i="28"/>
  <c r="F52" i="36"/>
  <c r="D14" i="27" s="1"/>
  <c r="D29" i="27" s="1"/>
  <c r="D12" i="55"/>
  <c r="G12" i="55" s="1"/>
  <c r="H12" i="55" s="1"/>
  <c r="I12" i="55" s="1"/>
  <c r="F54" i="36"/>
  <c r="F55" i="36" s="1"/>
  <c r="H16" i="55"/>
  <c r="I16" i="55" s="1"/>
  <c r="E29" i="27"/>
  <c r="G29" i="27"/>
  <c r="F29" i="27"/>
  <c r="H15" i="55"/>
  <c r="I15" i="55" s="1"/>
  <c r="H13" i="55"/>
  <c r="I13" i="55" s="1"/>
  <c r="L21" i="28"/>
  <c r="M21" i="28" s="1"/>
  <c r="E11" i="32"/>
  <c r="C14" i="27"/>
  <c r="D11" i="55"/>
  <c r="G11" i="55" s="1"/>
  <c r="E11" i="28"/>
  <c r="E54" i="36"/>
  <c r="E55" i="36" s="1"/>
  <c r="H14" i="55"/>
  <c r="I14" i="55" s="1"/>
  <c r="H29" i="27"/>
  <c r="K24" i="28" l="1"/>
  <c r="L24" i="28" s="1"/>
  <c r="M24" i="28" s="1"/>
  <c r="K18" i="28"/>
  <c r="L18" i="28" s="1"/>
  <c r="M18" i="28" s="1"/>
  <c r="F11" i="28"/>
  <c r="K11" i="28" s="1"/>
  <c r="L11" i="28" s="1"/>
  <c r="M11" i="28" s="1"/>
  <c r="F12" i="28"/>
  <c r="K12" i="28" s="1"/>
  <c r="L12" i="28" s="1"/>
  <c r="M12" i="28" s="1"/>
  <c r="C29" i="27"/>
  <c r="H11" i="55"/>
  <c r="K13" i="28" l="1"/>
  <c r="L13" i="28" s="1"/>
  <c r="M13" i="28" s="1"/>
  <c r="I11" i="55"/>
  <c r="H18" i="55"/>
  <c r="K25" i="28" l="1"/>
  <c r="I18" i="55"/>
  <c r="G18" i="55"/>
  <c r="D16" i="54" l="1"/>
  <c r="G16" i="54" s="1"/>
  <c r="H16" i="54" s="1"/>
  <c r="I16" i="54" s="1"/>
  <c r="J22" i="32"/>
  <c r="O22" i="32" s="1"/>
  <c r="P22" i="32" s="1"/>
  <c r="Q22" i="32" s="1"/>
  <c r="J11" i="32"/>
  <c r="O11" i="32" s="1"/>
  <c r="D11" i="54"/>
  <c r="G11" i="54" s="1"/>
  <c r="H11" i="54" s="1"/>
  <c r="J12" i="32"/>
  <c r="O12" i="32" s="1"/>
  <c r="P12" i="32" s="1"/>
  <c r="Q12" i="32" s="1"/>
  <c r="D12" i="54"/>
  <c r="G12" i="54" s="1"/>
  <c r="H12" i="54" s="1"/>
  <c r="I12" i="54" s="1"/>
  <c r="D15" i="54"/>
  <c r="G15" i="54" s="1"/>
  <c r="H15" i="54" s="1"/>
  <c r="I15" i="54" s="1"/>
  <c r="J21" i="32"/>
  <c r="O21" i="32" s="1"/>
  <c r="D13" i="54"/>
  <c r="G13" i="54" s="1"/>
  <c r="H13" i="54" s="1"/>
  <c r="I13" i="54" s="1"/>
  <c r="J16" i="32"/>
  <c r="O16" i="32" s="1"/>
  <c r="D17" i="54"/>
  <c r="G17" i="54" s="1"/>
  <c r="H17" i="54" s="1"/>
  <c r="I17" i="54" s="1"/>
  <c r="J23" i="32"/>
  <c r="O23" i="32" s="1"/>
  <c r="P23" i="32" s="1"/>
  <c r="Q23" i="32" s="1"/>
  <c r="D14" i="54"/>
  <c r="G14" i="54" s="1"/>
  <c r="H14" i="54" s="1"/>
  <c r="I14" i="54" s="1"/>
  <c r="J17" i="32"/>
  <c r="O17" i="32" s="1"/>
  <c r="P17" i="32" s="1"/>
  <c r="Q17" i="32" s="1"/>
  <c r="P16" i="32" l="1"/>
  <c r="Q16" i="32" s="1"/>
  <c r="O18" i="32"/>
  <c r="P18" i="32" s="1"/>
  <c r="Q18" i="32" s="1"/>
  <c r="P11" i="32"/>
  <c r="Q11" i="32" s="1"/>
  <c r="O13" i="32"/>
  <c r="H18" i="54"/>
  <c r="I11" i="54"/>
  <c r="O24" i="32"/>
  <c r="P24" i="32" s="1"/>
  <c r="Q24" i="32" s="1"/>
  <c r="P21" i="32"/>
  <c r="Q21" i="32" s="1"/>
  <c r="G18" i="54" l="1"/>
  <c r="I18" i="54"/>
  <c r="O25" i="32"/>
  <c r="P13" i="32"/>
  <c r="Q13" i="32" s="1"/>
</calcChain>
</file>

<file path=xl/comments1.xml><?xml version="1.0" encoding="utf-8"?>
<comments xmlns="http://schemas.openxmlformats.org/spreadsheetml/2006/main">
  <authors>
    <author>Kelly Xu</author>
  </authors>
  <commentList>
    <comment ref="H10" authorId="0">
      <text>
        <r>
          <rPr>
            <b/>
            <sz val="10"/>
            <color indexed="81"/>
            <rFont val="Tahoma"/>
            <family val="2"/>
          </rPr>
          <t>Puget Sound Energy Elena Zakharova: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Contract Demand for schedules 41,85,86,87 are the average actual demand for June 2018 through August 2018. </t>
        </r>
      </text>
    </comment>
    <comment ref="D44" authorId="0">
      <text>
        <r>
          <rPr>
            <b/>
            <sz val="10"/>
            <color indexed="81"/>
            <rFont val="Tahoma"/>
            <family val="2"/>
          </rPr>
          <t>Elena Zakharova:</t>
        </r>
        <r>
          <rPr>
            <sz val="10"/>
            <color indexed="81"/>
            <rFont val="Tahoma"/>
            <family val="2"/>
          </rPr>
          <t xml:space="preserve">
Revenue Adjustment Factor per 2017 GRC compliance filing.</t>
        </r>
      </text>
    </comment>
  </commentList>
</comments>
</file>

<file path=xl/sharedStrings.xml><?xml version="1.0" encoding="utf-8"?>
<sst xmlns="http://schemas.openxmlformats.org/spreadsheetml/2006/main" count="288" uniqueCount="172">
  <si>
    <t>Page 1 of 1</t>
  </si>
  <si>
    <t>Rate</t>
  </si>
  <si>
    <t>Sales</t>
  </si>
  <si>
    <t>(a)</t>
  </si>
  <si>
    <t>(b)</t>
  </si>
  <si>
    <t>(c)</t>
  </si>
  <si>
    <t>(d)</t>
  </si>
  <si>
    <t>Total</t>
  </si>
  <si>
    <t>Schedule</t>
  </si>
  <si>
    <t>Puget Sound Energy</t>
  </si>
  <si>
    <t>Calculation of PGA Demand Rates</t>
  </si>
  <si>
    <t>Line</t>
  </si>
  <si>
    <t>Residential</t>
  </si>
  <si>
    <t>Commercial and Industrial</t>
  </si>
  <si>
    <t>Large Volume</t>
  </si>
  <si>
    <t>(c )</t>
  </si>
  <si>
    <t>(e)</t>
  </si>
  <si>
    <t>(g)</t>
  </si>
  <si>
    <t>(h)</t>
  </si>
  <si>
    <t>(i)</t>
  </si>
  <si>
    <t>(j)</t>
  </si>
  <si>
    <t>Calculation of PGA Commodity Rates</t>
  </si>
  <si>
    <t>Rates</t>
  </si>
  <si>
    <t>Change</t>
  </si>
  <si>
    <t>(f)</t>
  </si>
  <si>
    <t>16 (unit x 19)</t>
  </si>
  <si>
    <t>PGA Period</t>
  </si>
  <si>
    <t>Change Per Customer</t>
  </si>
  <si>
    <t>Annual</t>
  </si>
  <si>
    <t>Monthly</t>
  </si>
  <si>
    <t>g = (f) / (e)</t>
  </si>
  <si>
    <t>h = (g) / 12</t>
  </si>
  <si>
    <t>Commercial &amp; Industrial</t>
  </si>
  <si>
    <t xml:space="preserve">Exhibit____(PGA-5)   </t>
  </si>
  <si>
    <t>Average</t>
  </si>
  <si>
    <t>( c)</t>
  </si>
  <si>
    <t>h = (e) * (f)</t>
  </si>
  <si>
    <t>i = (h) / (g)</t>
  </si>
  <si>
    <t>j = (i) / 12</t>
  </si>
  <si>
    <t>Annual Sales Volume</t>
  </si>
  <si>
    <t>Schedule:</t>
  </si>
  <si>
    <t>Annual Sales:</t>
  </si>
  <si>
    <t>Current Pre-Tax Commodity Rate</t>
  </si>
  <si>
    <t>Percent Change</t>
  </si>
  <si>
    <t>Proposed Pre-Tax Commodity Rate</t>
  </si>
  <si>
    <t>Description</t>
  </si>
  <si>
    <t>Revenue</t>
  </si>
  <si>
    <t>Current Commodity Rate (Sched. 101)</t>
  </si>
  <si>
    <t>Total Proposed PGA Rates</t>
  </si>
  <si>
    <t>Calculation of Proposed Schedule 101 Rates</t>
  </si>
  <si>
    <t>Total Residential</t>
  </si>
  <si>
    <t>Total Commercial &amp; Industrial</t>
  </si>
  <si>
    <t>Total Large Volume</t>
  </si>
  <si>
    <t>Current</t>
  </si>
  <si>
    <t>Proposed</t>
  </si>
  <si>
    <t>Total Annual</t>
  </si>
  <si>
    <t>Volume (therms)</t>
  </si>
  <si>
    <t>Rate Sch</t>
  </si>
  <si>
    <t>Projected Sales Volume by Month (Therms)</t>
  </si>
  <si>
    <t>Summary of Proposed Schedule 101 Rate Changes</t>
  </si>
  <si>
    <t>Estimated Annual and Monthly Customer Impact for PGA Period</t>
  </si>
  <si>
    <t>Exhibit____(PGA-4)</t>
  </si>
  <si>
    <t>Exhibit___(PGA-6)</t>
  </si>
  <si>
    <t xml:space="preserve">Exhibit___(PGA-7) </t>
  </si>
  <si>
    <t>Combined Annual and Monthly Customer Impact for PGA Period</t>
  </si>
  <si>
    <t>Schedule 101</t>
  </si>
  <si>
    <t>Proposed Total Volumetric Rates</t>
  </si>
  <si>
    <t>Current Volumetric Demand Rates (Sched. 101)</t>
  </si>
  <si>
    <t>Current Gas Supply Demand Rates (Sched. 101)</t>
  </si>
  <si>
    <t>Contract Demand (therms)</t>
  </si>
  <si>
    <t>Current Volumetric Rates Including RAF (Schedule 101)</t>
  </si>
  <si>
    <t>Revenue Adjustment Factor (RAF)</t>
  </si>
  <si>
    <t>Schedule 101 Rates Including RAF</t>
  </si>
  <si>
    <t>Schedule 106 Rates Incl. RAF</t>
  </si>
  <si>
    <t>Proposed Pre-Tax Volumetric Rate</t>
  </si>
  <si>
    <t>Current Pre-Tax Volumetric Rate</t>
  </si>
  <si>
    <t>Proposed Pre-Tax Gas Supply Demand Rate (1)</t>
  </si>
  <si>
    <t>Current Pre-Tax Gas Supply Demand Rate (1)</t>
  </si>
  <si>
    <t>(1) Gas supply demand charge is billed based on contract or fixed demand.</t>
  </si>
  <si>
    <t>Proposed Pre-Tax Volumetric Demand Rate</t>
  </si>
  <si>
    <t xml:space="preserve">Current Pre-Tax Volumetric Demand Rate </t>
  </si>
  <si>
    <t>Proposed Volumetric Rate Including RAF</t>
  </si>
  <si>
    <t>Total Current Volumetric Rate Including RAF</t>
  </si>
  <si>
    <t>Total Proposed Volumetric Rate Change, Before RAF (line 3 - line 11)</t>
  </si>
  <si>
    <t>Total Proposed Volumetric Rate Change, Including RAF (line 6 - line 14)</t>
  </si>
  <si>
    <t>Proposed Gas Supply Demand Rate Change, Before RAF (line 7 - line 15)</t>
  </si>
  <si>
    <t>Proposed Gas Supply Demand Rate Change, Including RAF (line 8 - line 16)</t>
  </si>
  <si>
    <t xml:space="preserve">Proposed Gas Supply Demand Rate Including RAF </t>
  </si>
  <si>
    <t>Current Gas Supply Demand Rate Including RAF</t>
  </si>
  <si>
    <t>Projected Annual Commodity Cost (Revenue Requirement)</t>
  </si>
  <si>
    <t xml:space="preserve">Net Change </t>
  </si>
  <si>
    <t xml:space="preserve">Percent </t>
  </si>
  <si>
    <t>Rate Class</t>
  </si>
  <si>
    <t>$ / therm</t>
  </si>
  <si>
    <t xml:space="preserve">$ </t>
  </si>
  <si>
    <t>A</t>
  </si>
  <si>
    <t>B</t>
  </si>
  <si>
    <t>C</t>
  </si>
  <si>
    <t>E</t>
  </si>
  <si>
    <t>F</t>
  </si>
  <si>
    <t>Residential (16)</t>
  </si>
  <si>
    <t>Large volume (41)</t>
  </si>
  <si>
    <t>Interruptible (85)</t>
  </si>
  <si>
    <t>Limited interruptible (86)</t>
  </si>
  <si>
    <t>Non exclusive interruptible (87)</t>
  </si>
  <si>
    <t>Interruptible</t>
  </si>
  <si>
    <t>Residential (23)</t>
  </si>
  <si>
    <t>Estimated Impact of Schedule 101 Change on Total Bills</t>
  </si>
  <si>
    <t>Estimated Impact of Schedule 101 and 106 Changes on Total Bills</t>
  </si>
  <si>
    <t>Total Interruptible</t>
  </si>
  <si>
    <t>Transportation</t>
  </si>
  <si>
    <t>Commercial &amp; industrial (31)</t>
  </si>
  <si>
    <t>Customers (1)</t>
  </si>
  <si>
    <t>(1) Average customers for schedule 16 is the average numbers of mantles</t>
  </si>
  <si>
    <t>(2) Includes gas supply demand charge.</t>
  </si>
  <si>
    <t>Total Percentage Change Including RAF (2)</t>
  </si>
  <si>
    <t xml:space="preserve">Rates </t>
  </si>
  <si>
    <t>c = (b) - (a)</t>
  </si>
  <si>
    <t>f = (c) * (d)</t>
  </si>
  <si>
    <t>Forecasted Sales Volumes and Customer Counts</t>
  </si>
  <si>
    <t>Number of Customers by Month</t>
  </si>
  <si>
    <t>16 (1)</t>
  </si>
  <si>
    <t>(1) Number of mantles</t>
  </si>
  <si>
    <t>Forecasted</t>
  </si>
  <si>
    <t>Volume (Therms)</t>
  </si>
  <si>
    <t>Revenue at</t>
  </si>
  <si>
    <t>Unit Demand Costs from Cost Study (1)</t>
  </si>
  <si>
    <t>Percent of Total Demand Cost</t>
  </si>
  <si>
    <t>Proposed Gas Supply Demand Rates (Sched. 101)</t>
  </si>
  <si>
    <t>Projected Annual Demand Cost (Revenue Requirement) (2)</t>
  </si>
  <si>
    <t>(2) Allocated based on line 6</t>
  </si>
  <si>
    <t>Estimated PGA Revenue Under Cost of Service Rates (line 4 x line 5)</t>
  </si>
  <si>
    <t>Revenue Under Proposed Gas Supply Demand Rates (line 3 x line 9)</t>
  </si>
  <si>
    <t>Revenue Requirement for Volumetric Charge (line 7 - line 10)</t>
  </si>
  <si>
    <t>Proposed Volumetric Demand Rates (line 11 / line 4)</t>
  </si>
  <si>
    <t>Proposed Schedule 16 Rate per Mantle (line 12 x 19)</t>
  </si>
  <si>
    <t>Proposed Total Demand Revenue ((line 2 x line 12) + (line 3 x line 9))</t>
  </si>
  <si>
    <t>D</t>
  </si>
  <si>
    <t>G=D*F</t>
  </si>
  <si>
    <t>H=G/E</t>
  </si>
  <si>
    <t>Schedule 101 &amp; 106</t>
  </si>
  <si>
    <t>Current Rates (1)</t>
  </si>
  <si>
    <t>Percent Change in Volumetric Demand Rate</t>
  </si>
  <si>
    <t>Proposed Change in Volumetric Demand Rate (line 12 - line 2)</t>
  </si>
  <si>
    <t>Revenue Under Current Rates (line 17 x line 18)</t>
  </si>
  <si>
    <t>Proposed Commodity Rates (line 20 / line 18)</t>
  </si>
  <si>
    <t>Revenue Under Proposed Rates (line 21 x line 18)</t>
  </si>
  <si>
    <t>Schedule 16 Rate per Mantle (line 21 x 19)</t>
  </si>
  <si>
    <t>Proposed Change in Commodity Rate (line 21 - line 17)</t>
  </si>
  <si>
    <t>Proposed Gas Supply Demand Charge (line 9)</t>
  </si>
  <si>
    <t>Proposed Gas Supply Demand Charge Including RAF (line 26 x (1 + line 27))</t>
  </si>
  <si>
    <t>Proposed Volumetric Demand Rates (line 14)</t>
  </si>
  <si>
    <t>Proposed Commodity Rates (line 21)</t>
  </si>
  <si>
    <t>Proposed Total Volumetric Rates Including RAF (line 31 x (1 + line 27))</t>
  </si>
  <si>
    <t>Schedule 16 Rate per Mantle (line 32 x 19)</t>
  </si>
  <si>
    <t>Proposed Volumetric Change Including RAF (line 32 - line 34)</t>
  </si>
  <si>
    <t>Exhibit____(PGA-2)</t>
  </si>
  <si>
    <t>Sources: Exhibit PGA-1</t>
  </si>
  <si>
    <t>Sources: Exhibit PGA-1; Exhibit PGA-3.</t>
  </si>
  <si>
    <t>Sources: Exhibit PGA-1; Exhibit PGA-3; Exhibit Tracker-2</t>
  </si>
  <si>
    <r>
      <t xml:space="preserve">Projected Volume </t>
    </r>
    <r>
      <rPr>
        <sz val="10"/>
        <color rgb="FF0000FF"/>
        <rFont val="Arial"/>
        <family val="2"/>
      </rPr>
      <t>Nov. 18 - Oct. 19</t>
    </r>
    <r>
      <rPr>
        <sz val="10"/>
        <rFont val="Arial"/>
        <family val="2"/>
      </rPr>
      <t xml:space="preserve"> (therms)</t>
    </r>
  </si>
  <si>
    <t>2018 PGA</t>
  </si>
  <si>
    <t>Nov18 - Oct19</t>
  </si>
  <si>
    <t>Source: 2018 Forecast customer counts and delivered volumes.</t>
  </si>
  <si>
    <t>PGA Filing Proposed Effective November 1, 2018</t>
  </si>
  <si>
    <t>Schedule 101 Rates Proposed Effective November 1, 2018</t>
  </si>
  <si>
    <t>Schedule 101 and 106 Rates Proposed Effective November 1, 2018</t>
  </si>
  <si>
    <t>PGA &amp; Tracker Filing Proposed Effective November 1, 2018</t>
  </si>
  <si>
    <t>(1) 2017 GRC cost of service study (UG-170034)</t>
  </si>
  <si>
    <t>Advice No. 2018 - 38</t>
  </si>
  <si>
    <r>
      <t xml:space="preserve">(1) Forecasted revenue at the rates in effect May 1, 2018 for the 12 months ended </t>
    </r>
    <r>
      <rPr>
        <sz val="10"/>
        <color rgb="FF0000FF"/>
        <rFont val="Arial"/>
        <family val="2"/>
      </rPr>
      <t>October 2019</t>
    </r>
    <r>
      <rPr>
        <sz val="10"/>
        <rFont val="Arial"/>
        <family val="2"/>
      </rPr>
      <t>.</t>
    </r>
  </si>
  <si>
    <t xml:space="preserve"> Advice No. 2018 - 38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</si>
</sst>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.00000_);[Red]\(&quot;$&quot;#,##0.00000\)"/>
    <numFmt numFmtId="171" formatCode="&quot;$&quot;#,##0.00000_);\(&quot;$&quot;#,##0.00000\)"/>
    <numFmt numFmtId="172" formatCode="#,##0.00000_);[Red]\(#,##0.00000\)"/>
    <numFmt numFmtId="173" formatCode="#,##0.00000_);\(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0.000000%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21"/>
      <name val="Arial"/>
      <family val="2"/>
    </font>
    <font>
      <sz val="10"/>
      <color indexed="21"/>
      <name val="Arial"/>
      <family val="2"/>
    </font>
    <font>
      <i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2" borderId="2" applyNumberFormat="0">
      <alignment horizontal="center" vertical="center" wrapText="1"/>
    </xf>
  </cellStyleXfs>
  <cellXfs count="28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2" fillId="0" borderId="0" xfId="0" applyFont="1" applyFill="1" applyBorder="1"/>
    <xf numFmtId="169" fontId="0" fillId="0" borderId="0" xfId="0" applyNumberFormat="1" applyFont="1"/>
    <xf numFmtId="0" fontId="3" fillId="0" borderId="0" xfId="0" applyFont="1"/>
    <xf numFmtId="0" fontId="0" fillId="0" borderId="0" xfId="0" applyFill="1"/>
    <xf numFmtId="0" fontId="2" fillId="0" borderId="7" xfId="0" applyFont="1" applyBorder="1"/>
    <xf numFmtId="0" fontId="2" fillId="0" borderId="2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10" fillId="0" borderId="0" xfId="0" applyNumberFormat="1" applyFont="1"/>
    <xf numFmtId="0" fontId="2" fillId="0" borderId="0" xfId="0" applyFont="1" applyAlignment="1">
      <alignment horizontal="center"/>
    </xf>
    <xf numFmtId="169" fontId="2" fillId="0" borderId="0" xfId="0" applyNumberFormat="1" applyFont="1"/>
    <xf numFmtId="0" fontId="2" fillId="0" borderId="0" xfId="0" applyFont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2" fillId="0" borderId="0" xfId="0" applyFont="1" applyBorder="1" applyAlignment="1">
      <alignment horizontal="right"/>
    </xf>
    <xf numFmtId="174" fontId="2" fillId="0" borderId="0" xfId="0" applyNumberFormat="1" applyFont="1"/>
    <xf numFmtId="42" fontId="2" fillId="0" borderId="0" xfId="0" applyNumberFormat="1" applyFo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74" fontId="2" fillId="0" borderId="0" xfId="0" applyNumberFormat="1" applyFont="1" applyFill="1" applyBorder="1"/>
    <xf numFmtId="174" fontId="2" fillId="0" borderId="3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74" fontId="0" fillId="0" borderId="3" xfId="0" applyNumberFormat="1" applyBorder="1"/>
    <xf numFmtId="42" fontId="2" fillId="0" borderId="0" xfId="0" applyNumberFormat="1" applyFont="1" applyFill="1"/>
    <xf numFmtId="175" fontId="2" fillId="0" borderId="0" xfId="0" applyNumberFormat="1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2" fillId="0" borderId="0" xfId="0" applyNumberFormat="1" applyFont="1" applyFill="1"/>
    <xf numFmtId="37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1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Continuous"/>
    </xf>
    <xf numFmtId="172" fontId="8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173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8" fillId="0" borderId="0" xfId="0" applyNumberFormat="1" applyFont="1" applyFill="1" applyBorder="1"/>
    <xf numFmtId="0" fontId="12" fillId="0" borderId="0" xfId="0" applyFont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38" fontId="12" fillId="0" borderId="0" xfId="0" applyNumberFormat="1" applyFont="1" applyAlignment="1">
      <alignment horizontal="centerContinuous"/>
    </xf>
    <xf numFmtId="6" fontId="12" fillId="0" borderId="0" xfId="0" applyNumberFormat="1" applyFont="1" applyAlignment="1">
      <alignment horizontal="centerContinuous"/>
    </xf>
    <xf numFmtId="44" fontId="12" fillId="0" borderId="0" xfId="0" applyNumberFormat="1" applyFont="1" applyAlignment="1">
      <alignment horizontal="centerContinuous"/>
    </xf>
    <xf numFmtId="6" fontId="2" fillId="0" borderId="0" xfId="0" applyNumberFormat="1" applyFont="1"/>
    <xf numFmtId="44" fontId="2" fillId="0" borderId="0" xfId="0" applyNumberFormat="1" applyFont="1"/>
    <xf numFmtId="0" fontId="1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38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170" fontId="2" fillId="0" borderId="0" xfId="0" applyNumberFormat="1" applyFont="1"/>
    <xf numFmtId="0" fontId="2" fillId="0" borderId="0" xfId="0" applyFont="1" applyAlignment="1">
      <alignment horizontal="right"/>
    </xf>
    <xf numFmtId="38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38" fontId="2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>
      <alignment horizontal="right"/>
    </xf>
    <xf numFmtId="174" fontId="10" fillId="0" borderId="0" xfId="0" applyNumberFormat="1" applyFont="1" applyFill="1"/>
    <xf numFmtId="174" fontId="2" fillId="0" borderId="0" xfId="0" applyNumberFormat="1" applyFont="1" applyFill="1"/>
    <xf numFmtId="174" fontId="2" fillId="0" borderId="0" xfId="0" applyNumberFormat="1" applyFont="1" applyFill="1"/>
    <xf numFmtId="170" fontId="2" fillId="0" borderId="0" xfId="0" applyNumberFormat="1" applyFont="1" applyFill="1"/>
    <xf numFmtId="42" fontId="2" fillId="0" borderId="0" xfId="0" applyNumberFormat="1" applyFont="1" applyFill="1" applyAlignment="1">
      <alignment horizontal="right"/>
    </xf>
    <xf numFmtId="44" fontId="2" fillId="0" borderId="0" xfId="0" applyNumberFormat="1" applyFont="1" applyFill="1" applyAlignment="1">
      <alignment horizontal="right"/>
    </xf>
    <xf numFmtId="42" fontId="2" fillId="0" borderId="0" xfId="0" applyNumberFormat="1" applyFont="1" applyFill="1"/>
    <xf numFmtId="38" fontId="2" fillId="0" borderId="1" xfId="0" applyNumberFormat="1" applyFont="1" applyFill="1" applyBorder="1" applyAlignment="1">
      <alignment horizontal="right"/>
    </xf>
    <xf numFmtId="42" fontId="2" fillId="0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12" fillId="0" borderId="0" xfId="0" applyFont="1" applyAlignment="1"/>
    <xf numFmtId="38" fontId="12" fillId="0" borderId="0" xfId="0" applyNumberFormat="1" applyFont="1" applyAlignment="1">
      <alignment horizontal="right"/>
    </xf>
    <xf numFmtId="42" fontId="12" fillId="0" borderId="0" xfId="0" applyNumberFormat="1" applyFont="1"/>
    <xf numFmtId="42" fontId="12" fillId="0" borderId="0" xfId="0" applyNumberFormat="1" applyFont="1" applyAlignment="1">
      <alignment horizontal="right"/>
    </xf>
    <xf numFmtId="42" fontId="12" fillId="0" borderId="0" xfId="0" applyNumberFormat="1" applyFont="1" applyAlignment="1">
      <alignment horizontal="right"/>
    </xf>
    <xf numFmtId="42" fontId="12" fillId="0" borderId="0" xfId="0" applyNumberFormat="1" applyFont="1"/>
    <xf numFmtId="0" fontId="12" fillId="0" borderId="0" xfId="0" applyFont="1" applyAlignment="1">
      <alignment horizontal="right"/>
    </xf>
    <xf numFmtId="6" fontId="12" fillId="0" borderId="0" xfId="0" applyNumberFormat="1" applyFont="1" applyAlignment="1">
      <alignment horizontal="right"/>
    </xf>
    <xf numFmtId="6" fontId="2" fillId="0" borderId="0" xfId="0" applyNumberFormat="1" applyFont="1" applyFill="1"/>
    <xf numFmtId="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Fill="1"/>
    <xf numFmtId="174" fontId="2" fillId="0" borderId="0" xfId="0" applyNumberFormat="1" applyFont="1"/>
    <xf numFmtId="174" fontId="2" fillId="0" borderId="0" xfId="0" applyNumberFormat="1" applyFont="1"/>
    <xf numFmtId="42" fontId="2" fillId="0" borderId="0" xfId="0" applyNumberFormat="1" applyFont="1" applyAlignment="1">
      <alignment horizontal="right"/>
    </xf>
    <xf numFmtId="38" fontId="2" fillId="0" borderId="1" xfId="0" applyNumberFormat="1" applyFont="1" applyBorder="1" applyAlignment="1">
      <alignment horizontal="right"/>
    </xf>
    <xf numFmtId="42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textRotation="180" wrapText="1"/>
    </xf>
    <xf numFmtId="0" fontId="3" fillId="0" borderId="0" xfId="0" applyFont="1" applyAlignment="1">
      <alignment horizontal="center" textRotation="180"/>
    </xf>
    <xf numFmtId="44" fontId="2" fillId="0" borderId="2" xfId="0" applyNumberFormat="1" applyFont="1" applyBorder="1" applyAlignment="1">
      <alignment horizontal="center"/>
    </xf>
    <xf numFmtId="9" fontId="2" fillId="0" borderId="0" xfId="0" applyNumberFormat="1" applyFont="1"/>
    <xf numFmtId="170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textRotation="180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44" fontId="2" fillId="0" borderId="0" xfId="0" applyNumberFormat="1" applyFont="1" applyFill="1" applyBorder="1" applyAlignment="1">
      <alignment horizontal="right"/>
    </xf>
    <xf numFmtId="6" fontId="2" fillId="0" borderId="0" xfId="0" applyNumberFormat="1" applyFont="1" applyBorder="1" applyAlignment="1">
      <alignment horizontal="centerContinuous"/>
    </xf>
    <xf numFmtId="38" fontId="2" fillId="0" borderId="2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Continuous"/>
    </xf>
    <xf numFmtId="44" fontId="2" fillId="0" borderId="0" xfId="0" applyNumberFormat="1" applyFont="1" applyBorder="1" applyAlignment="1">
      <alignment horizontal="centerContinuous"/>
    </xf>
    <xf numFmtId="44" fontId="2" fillId="0" borderId="2" xfId="0" applyNumberFormat="1" applyFont="1" applyBorder="1" applyAlignment="1">
      <alignment horizontal="centerContinuous"/>
    </xf>
    <xf numFmtId="44" fontId="4" fillId="0" borderId="2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38" fontId="12" fillId="0" borderId="0" xfId="0" applyNumberFormat="1" applyFont="1" applyBorder="1" applyAlignment="1">
      <alignment horizontal="centerContinuous"/>
    </xf>
    <xf numFmtId="38" fontId="2" fillId="0" borderId="0" xfId="0" applyNumberFormat="1" applyFont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174" fontId="2" fillId="0" borderId="0" xfId="0" applyNumberFormat="1" applyFont="1" applyFill="1" applyBorder="1"/>
    <xf numFmtId="6" fontId="2" fillId="0" borderId="0" xfId="0" applyNumberFormat="1" applyFont="1" applyAlignment="1"/>
    <xf numFmtId="44" fontId="2" fillId="0" borderId="0" xfId="0" applyNumberFormat="1" applyFont="1" applyAlignment="1"/>
    <xf numFmtId="42" fontId="2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2" fillId="0" borderId="0" xfId="0" applyFont="1" applyBorder="1" applyAlignment="1"/>
    <xf numFmtId="38" fontId="10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Continuous"/>
    </xf>
    <xf numFmtId="5" fontId="2" fillId="0" borderId="0" xfId="0" applyNumberFormat="1" applyFont="1" applyFill="1"/>
    <xf numFmtId="37" fontId="2" fillId="0" borderId="3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/>
    <xf numFmtId="44" fontId="2" fillId="0" borderId="3" xfId="0" applyNumberFormat="1" applyFont="1" applyFill="1" applyBorder="1"/>
    <xf numFmtId="174" fontId="2" fillId="0" borderId="0" xfId="0" applyNumberFormat="1" applyFont="1" applyFill="1" applyBorder="1"/>
    <xf numFmtId="169" fontId="3" fillId="0" borderId="0" xfId="0" applyNumberFormat="1" applyFont="1" applyFill="1" applyBorder="1"/>
    <xf numFmtId="37" fontId="2" fillId="0" borderId="0" xfId="0" applyNumberFormat="1" applyFont="1"/>
    <xf numFmtId="0" fontId="2" fillId="0" borderId="3" xfId="0" applyFont="1" applyBorder="1" applyAlignment="1">
      <alignment horizontal="centerContinuous"/>
    </xf>
    <xf numFmtId="44" fontId="2" fillId="0" borderId="0" xfId="0" applyNumberFormat="1" applyFont="1"/>
    <xf numFmtId="0" fontId="0" fillId="0" borderId="0" xfId="0" applyBorder="1" applyAlignment="1">
      <alignment horizontal="center"/>
    </xf>
    <xf numFmtId="4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74" fontId="2" fillId="0" borderId="3" xfId="0" applyNumberFormat="1" applyFont="1" applyFill="1" applyBorder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9" fillId="0" borderId="0" xfId="0" applyFont="1" applyFill="1"/>
    <xf numFmtId="37" fontId="2" fillId="0" borderId="0" xfId="0" applyNumberFormat="1" applyFont="1" applyFill="1" applyBorder="1"/>
    <xf numFmtId="166" fontId="2" fillId="0" borderId="0" xfId="0" applyNumberFormat="1" applyFont="1" applyFill="1" applyBorder="1"/>
    <xf numFmtId="3" fontId="13" fillId="0" borderId="0" xfId="0" applyNumberFormat="1" applyFont="1"/>
    <xf numFmtId="174" fontId="13" fillId="0" borderId="0" xfId="0" applyNumberFormat="1" applyFont="1" applyFill="1" applyBorder="1"/>
    <xf numFmtId="44" fontId="13" fillId="0" borderId="0" xfId="0" applyNumberFormat="1" applyFont="1" applyFill="1" applyBorder="1"/>
    <xf numFmtId="174" fontId="13" fillId="0" borderId="0" xfId="0" applyNumberFormat="1" applyFont="1" applyFill="1" applyBorder="1"/>
    <xf numFmtId="44" fontId="13" fillId="0" borderId="0" xfId="0" applyNumberFormat="1" applyFont="1" applyFill="1" applyBorder="1"/>
    <xf numFmtId="174" fontId="13" fillId="0" borderId="0" xfId="0" applyNumberFormat="1" applyFont="1" applyFill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Alignment="1">
      <alignment horizontal="right"/>
    </xf>
    <xf numFmtId="171" fontId="2" fillId="0" borderId="0" xfId="0" applyNumberFormat="1" applyFont="1"/>
    <xf numFmtId="17" fontId="2" fillId="0" borderId="2" xfId="0" applyNumberFormat="1" applyFont="1" applyFill="1" applyBorder="1" applyAlignment="1">
      <alignment horizontal="center"/>
    </xf>
    <xf numFmtId="169" fontId="1" fillId="0" borderId="0" xfId="0" applyNumberFormat="1" applyFont="1"/>
    <xf numFmtId="0" fontId="2" fillId="0" borderId="8" xfId="0" applyFont="1" applyBorder="1" applyAlignment="1">
      <alignment horizontal="left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8" xfId="0" applyFont="1" applyFill="1" applyBorder="1" applyAlignment="1">
      <alignment horizontal="left" vertical="center" textRotation="180"/>
    </xf>
    <xf numFmtId="0" fontId="2" fillId="0" borderId="1" xfId="0" applyFont="1" applyFill="1" applyBorder="1" applyAlignment="1">
      <alignment horizontal="left" vertical="center" textRotation="18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74" fontId="14" fillId="0" borderId="0" xfId="0" applyNumberFormat="1" applyFont="1" applyFill="1"/>
    <xf numFmtId="42" fontId="1" fillId="0" borderId="0" xfId="0" applyNumberFormat="1" applyFont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169" fontId="1" fillId="0" borderId="2" xfId="0" applyNumberFormat="1" applyFont="1" applyBorder="1"/>
    <xf numFmtId="0" fontId="0" fillId="0" borderId="3" xfId="0" applyBorder="1" applyAlignment="1">
      <alignment horizontal="left"/>
    </xf>
    <xf numFmtId="42" fontId="1" fillId="0" borderId="3" xfId="0" applyNumberFormat="1" applyFont="1" applyBorder="1"/>
    <xf numFmtId="174" fontId="0" fillId="0" borderId="3" xfId="0" applyNumberFormat="1" applyFill="1" applyBorder="1"/>
    <xf numFmtId="166" fontId="1" fillId="0" borderId="3" xfId="0" applyNumberFormat="1" applyFont="1" applyBorder="1"/>
    <xf numFmtId="169" fontId="1" fillId="0" borderId="3" xfId="0" applyNumberFormat="1" applyFont="1" applyBorder="1"/>
    <xf numFmtId="41" fontId="0" fillId="0" borderId="0" xfId="0" applyNumberFormat="1" applyBorder="1"/>
    <xf numFmtId="166" fontId="1" fillId="0" borderId="0" xfId="0" applyNumberFormat="1" applyFont="1"/>
    <xf numFmtId="42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/>
    <xf numFmtId="166" fontId="14" fillId="0" borderId="0" xfId="0" applyNumberFormat="1" applyFont="1"/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Alignment="1"/>
    <xf numFmtId="0" fontId="2" fillId="0" borderId="8" xfId="0" applyFont="1" applyBorder="1" applyAlignment="1">
      <alignment horizontal="center" vertical="center" textRotation="180"/>
    </xf>
    <xf numFmtId="38" fontId="1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180" wrapText="1"/>
    </xf>
    <xf numFmtId="164" fontId="0" fillId="0" borderId="0" xfId="0" applyNumberFormat="1"/>
    <xf numFmtId="175" fontId="13" fillId="0" borderId="0" xfId="0" applyNumberFormat="1" applyFont="1" applyFill="1" applyBorder="1"/>
    <xf numFmtId="176" fontId="2" fillId="0" borderId="0" xfId="0" applyNumberFormat="1" applyFont="1"/>
    <xf numFmtId="2" fontId="2" fillId="0" borderId="0" xfId="0" applyNumberFormat="1" applyFont="1"/>
    <xf numFmtId="37" fontId="8" fillId="0" borderId="0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6" fontId="0" fillId="0" borderId="0" xfId="0" applyNumberFormat="1" applyFill="1"/>
    <xf numFmtId="177" fontId="8" fillId="0" borderId="0" xfId="0" applyNumberFormat="1" applyFont="1" applyFill="1" applyBorder="1"/>
    <xf numFmtId="0" fontId="1" fillId="0" borderId="6" xfId="0" applyFont="1" applyFill="1" applyBorder="1" applyAlignment="1">
      <alignment horizontal="center" vertical="center" textRotation="180"/>
    </xf>
    <xf numFmtId="0" fontId="1" fillId="0" borderId="6" xfId="0" applyFont="1" applyFill="1" applyBorder="1" applyAlignment="1">
      <alignment horizontal="left" vertical="center" textRotation="180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" fontId="1" fillId="0" borderId="2" xfId="0" applyNumberFormat="1" applyFont="1" applyFill="1" applyBorder="1"/>
    <xf numFmtId="0" fontId="1" fillId="0" borderId="0" xfId="0" applyFont="1" applyFill="1" applyAlignment="1">
      <alignment horizontal="center"/>
    </xf>
    <xf numFmtId="37" fontId="1" fillId="0" borderId="0" xfId="0" applyNumberFormat="1" applyFont="1" applyFill="1" applyBorder="1"/>
    <xf numFmtId="0" fontId="1" fillId="0" borderId="0" xfId="0" applyFont="1" applyFill="1" applyBorder="1"/>
    <xf numFmtId="166" fontId="20" fillId="0" borderId="0" xfId="0" applyNumberFormat="1" applyFont="1"/>
    <xf numFmtId="174" fontId="19" fillId="0" borderId="0" xfId="0" applyNumberFormat="1" applyFont="1"/>
    <xf numFmtId="0" fontId="18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174" fontId="20" fillId="0" borderId="0" xfId="0" applyNumberFormat="1" applyFont="1" applyFill="1" applyBorder="1"/>
    <xf numFmtId="38" fontId="2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174" fontId="20" fillId="0" borderId="0" xfId="0" applyNumberFormat="1" applyFont="1"/>
    <xf numFmtId="42" fontId="1" fillId="0" borderId="0" xfId="0" applyNumberFormat="1" applyFont="1"/>
    <xf numFmtId="44" fontId="1" fillId="0" borderId="0" xfId="0" applyNumberFormat="1" applyFont="1"/>
    <xf numFmtId="169" fontId="1" fillId="0" borderId="0" xfId="0" applyNumberFormat="1" applyFont="1"/>
    <xf numFmtId="169" fontId="1" fillId="0" borderId="0" xfId="0" applyNumberFormat="1" applyFont="1"/>
    <xf numFmtId="0" fontId="2" fillId="0" borderId="2" xfId="0" applyFont="1" applyFill="1" applyBorder="1" applyAlignment="1">
      <alignment horizontal="center"/>
    </xf>
    <xf numFmtId="174" fontId="19" fillId="0" borderId="0" xfId="0" applyNumberFormat="1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Border="1"/>
    <xf numFmtId="174" fontId="1" fillId="0" borderId="0" xfId="0" applyNumberFormat="1" applyFont="1" applyBorder="1"/>
    <xf numFmtId="169" fontId="1" fillId="0" borderId="0" xfId="0" applyNumberFormat="1" applyFont="1" applyFill="1"/>
    <xf numFmtId="168" fontId="1" fillId="0" borderId="0" xfId="0" applyNumberFormat="1" applyFont="1"/>
    <xf numFmtId="0" fontId="1" fillId="0" borderId="1" xfId="0" applyFont="1" applyFill="1" applyBorder="1" applyAlignment="1">
      <alignment horizontal="center" vertical="center" textRotation="180"/>
    </xf>
    <xf numFmtId="0" fontId="1" fillId="0" borderId="8" xfId="0" applyFont="1" applyFill="1" applyBorder="1" applyAlignment="1">
      <alignment horizontal="center" vertical="center" textRotation="180"/>
    </xf>
    <xf numFmtId="165" fontId="20" fillId="0" borderId="0" xfId="0" applyNumberFormat="1" applyFont="1" applyFill="1" applyBorder="1"/>
    <xf numFmtId="44" fontId="18" fillId="0" borderId="0" xfId="0" applyNumberFormat="1" applyFont="1" applyFill="1"/>
    <xf numFmtId="37" fontId="21" fillId="0" borderId="0" xfId="0" applyNumberFormat="1" applyFont="1" applyFill="1"/>
    <xf numFmtId="37" fontId="21" fillId="0" borderId="0" xfId="0" applyNumberFormat="1" applyFont="1" applyFill="1" applyBorder="1"/>
    <xf numFmtId="0" fontId="2" fillId="0" borderId="2" xfId="0" applyFont="1" applyBorder="1" applyAlignment="1">
      <alignment horizontal="centerContinuous" wrapText="1"/>
    </xf>
    <xf numFmtId="0" fontId="2" fillId="0" borderId="0" xfId="0" applyFont="1" applyAlignment="1">
      <alignment wrapText="1"/>
    </xf>
    <xf numFmtId="44" fontId="18" fillId="0" borderId="0" xfId="1" applyFont="1" applyBorder="1" applyAlignment="1">
      <alignment horizontal="center"/>
    </xf>
    <xf numFmtId="174" fontId="18" fillId="0" borderId="0" xfId="0" applyNumberFormat="1" applyFont="1" applyFill="1" applyBorder="1"/>
    <xf numFmtId="3" fontId="18" fillId="0" borderId="0" xfId="0" applyNumberFormat="1" applyFont="1"/>
    <xf numFmtId="165" fontId="18" fillId="0" borderId="0" xfId="0" applyNumberFormat="1" applyFont="1" applyFill="1" applyBorder="1"/>
    <xf numFmtId="174" fontId="18" fillId="0" borderId="0" xfId="0" applyNumberFormat="1" applyFont="1" applyFill="1"/>
    <xf numFmtId="42" fontId="18" fillId="0" borderId="0" xfId="0" applyNumberFormat="1" applyFont="1"/>
    <xf numFmtId="42" fontId="18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Continuous"/>
    </xf>
    <xf numFmtId="37" fontId="18" fillId="0" borderId="0" xfId="0" applyNumberFormat="1" applyFont="1" applyFill="1" applyBorder="1"/>
    <xf numFmtId="0" fontId="18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174" fontId="18" fillId="0" borderId="0" xfId="0" applyNumberFormat="1" applyFont="1"/>
    <xf numFmtId="169" fontId="18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</cellXfs>
  <cellStyles count="5">
    <cellStyle name="Currency" xfId="1" builtinId="4"/>
    <cellStyle name="Normal" xfId="0" builtinId="0"/>
    <cellStyle name="Normal - Style1 2 2 3 4" xfId="2"/>
    <cellStyle name="Percent 10" xfId="3"/>
    <cellStyle name="Report Heading" xfId="4"/>
  </cellStyles>
  <dxfs count="0"/>
  <tableStyles count="0" defaultTableStyle="TableStyleMedium9" defaultPivotStyle="PivotStyleLight16"/>
  <colors>
    <mruColors>
      <color rgb="FF0000FF"/>
      <color rgb="FF00999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148590</xdr:colOff>
      <xdr:row>49</xdr:row>
      <xdr:rowOff>133350</xdr:rowOff>
    </xdr:from>
    <xdr:to>
      <xdr:col>13</xdr:col>
      <xdr:colOff>167640</xdr:colOff>
      <xdr:row>58</xdr:row>
      <xdr:rowOff>97155</xdr:rowOff>
    </xdr:to>
    <xdr:sp macro="" textlink="">
      <xdr:nvSpPr>
        <xdr:cNvPr id="35842" name="Text Box 2"/>
        <xdr:cNvSpPr txBox="1">
          <a:spLocks noChangeArrowheads="1"/>
        </xdr:cNvSpPr>
      </xdr:nvSpPr>
      <xdr:spPr bwMode="auto">
        <a:xfrm>
          <a:off x="11319510" y="8401050"/>
          <a:ext cx="521970" cy="14725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2018 - 38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Exhibit___(PGA-1)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163830</xdr:colOff>
      <xdr:row>39</xdr:row>
      <xdr:rowOff>93345</xdr:rowOff>
    </xdr:from>
    <xdr:to>
      <xdr:col>13</xdr:col>
      <xdr:colOff>834390</xdr:colOff>
      <xdr:row>50</xdr:row>
      <xdr:rowOff>55245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1388090" y="6753225"/>
          <a:ext cx="670560" cy="180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36576" tIns="22860" rIns="0" bIns="22860" anchor="b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2018 - 38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Exhibit___(PGA 3)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S67"/>
  <sheetViews>
    <sheetView tabSelected="1" zoomScaleNormal="100" workbookViewId="0">
      <pane xSplit="3" ySplit="6" topLeftCell="D7" activePane="bottomRight" state="frozen"/>
      <selection activeCell="A11" sqref="A11"/>
      <selection pane="topRight" activeCell="A11" sqref="A11"/>
      <selection pane="bottomLeft" activeCell="A11" sqref="A11"/>
      <selection pane="bottomRight" activeCell="C8" sqref="C8"/>
    </sheetView>
  </sheetViews>
  <sheetFormatPr defaultColWidth="9.109375" defaultRowHeight="13.2" x14ac:dyDescent="0.25"/>
  <cols>
    <col min="1" max="1" width="2.109375" style="1" customWidth="1"/>
    <col min="2" max="2" width="4.44140625" style="1" customWidth="1"/>
    <col min="3" max="3" width="65" style="1" bestFit="1" customWidth="1"/>
    <col min="4" max="5" width="13.5546875" style="1" bestFit="1" customWidth="1"/>
    <col min="6" max="6" width="10.5546875" style="1" bestFit="1" customWidth="1"/>
    <col min="7" max="8" width="12.44140625" style="1" bestFit="1" customWidth="1"/>
    <col min="9" max="10" width="11.44140625" style="1" bestFit="1" customWidth="1"/>
    <col min="11" max="11" width="11.44140625" style="1" customWidth="1"/>
    <col min="12" max="14" width="3.6640625" style="1" customWidth="1"/>
    <col min="15" max="15" width="3.44140625" style="1" customWidth="1"/>
    <col min="16" max="16" width="3.88671875" style="1" bestFit="1" customWidth="1"/>
    <col min="17" max="17" width="9.109375" style="1"/>
    <col min="18" max="18" width="12" style="1" customWidth="1"/>
    <col min="19" max="16384" width="9.109375" style="1"/>
  </cols>
  <sheetData>
    <row r="1" spans="2:18" ht="15.6" x14ac:dyDescent="0.3">
      <c r="B1" s="20" t="s">
        <v>9</v>
      </c>
      <c r="C1" s="20"/>
      <c r="D1" s="20"/>
      <c r="E1" s="20"/>
      <c r="F1" s="20"/>
      <c r="G1" s="20"/>
      <c r="H1" s="20"/>
      <c r="I1" s="20"/>
      <c r="J1" s="20"/>
      <c r="K1" s="20"/>
      <c r="L1" s="77"/>
      <c r="M1" s="77"/>
      <c r="N1" s="77"/>
      <c r="O1" s="77"/>
    </row>
    <row r="2" spans="2:18" s="6" customFormat="1" ht="15.6" x14ac:dyDescent="0.3">
      <c r="B2" s="51" t="s">
        <v>164</v>
      </c>
      <c r="C2" s="51"/>
      <c r="D2" s="51"/>
      <c r="E2" s="51"/>
      <c r="F2" s="51"/>
      <c r="G2" s="51"/>
      <c r="H2" s="51"/>
      <c r="I2" s="51"/>
      <c r="J2" s="51"/>
      <c r="K2" s="51"/>
      <c r="L2" s="274"/>
      <c r="M2" s="274"/>
      <c r="N2" s="274"/>
      <c r="O2" s="274"/>
    </row>
    <row r="3" spans="2:18" ht="15.6" x14ac:dyDescent="0.3">
      <c r="B3" s="20" t="s">
        <v>49</v>
      </c>
      <c r="C3" s="20"/>
      <c r="D3" s="20"/>
      <c r="E3" s="20"/>
      <c r="F3" s="20"/>
      <c r="G3" s="20"/>
      <c r="H3" s="20"/>
      <c r="I3" s="20"/>
      <c r="J3" s="20"/>
      <c r="K3" s="20"/>
      <c r="L3" s="77"/>
      <c r="M3" s="77"/>
      <c r="N3" s="77"/>
      <c r="O3" s="77"/>
    </row>
    <row r="4" spans="2:18" x14ac:dyDescent="0.25">
      <c r="B4" s="30"/>
      <c r="C4" s="30"/>
      <c r="D4" s="30"/>
      <c r="L4" s="77"/>
      <c r="M4" s="77"/>
      <c r="N4" s="77"/>
      <c r="O4" s="77"/>
    </row>
    <row r="5" spans="2:18" x14ac:dyDescent="0.25">
      <c r="D5" s="8"/>
      <c r="E5" s="9" t="s">
        <v>12</v>
      </c>
      <c r="F5" s="10"/>
      <c r="G5" s="9" t="s">
        <v>13</v>
      </c>
      <c r="H5" s="9"/>
      <c r="I5" s="214" t="s">
        <v>105</v>
      </c>
      <c r="J5" s="9"/>
      <c r="K5" s="152"/>
      <c r="L5" s="77"/>
      <c r="M5" s="77"/>
      <c r="N5" s="77"/>
      <c r="O5" s="77"/>
    </row>
    <row r="6" spans="2:18" x14ac:dyDescent="0.25">
      <c r="B6" s="11" t="s">
        <v>11</v>
      </c>
      <c r="C6" s="11" t="s">
        <v>45</v>
      </c>
      <c r="D6" s="12" t="s">
        <v>7</v>
      </c>
      <c r="E6" s="31">
        <v>23</v>
      </c>
      <c r="F6" s="13">
        <v>16</v>
      </c>
      <c r="G6" s="31">
        <v>31</v>
      </c>
      <c r="H6" s="14">
        <v>41</v>
      </c>
      <c r="I6" s="215">
        <v>85</v>
      </c>
      <c r="J6" s="14">
        <v>86</v>
      </c>
      <c r="K6" s="14">
        <v>87</v>
      </c>
      <c r="L6" s="77"/>
      <c r="M6" s="123"/>
      <c r="N6" s="123"/>
      <c r="O6" s="123"/>
    </row>
    <row r="7" spans="2:18" x14ac:dyDescent="0.25">
      <c r="B7" s="25"/>
      <c r="C7" s="27" t="s">
        <v>10</v>
      </c>
      <c r="D7" s="25"/>
      <c r="E7" s="25"/>
      <c r="F7" s="25"/>
      <c r="G7" s="26"/>
      <c r="H7" s="25"/>
      <c r="I7" s="25"/>
      <c r="J7" s="25"/>
      <c r="K7" s="25"/>
      <c r="L7" s="77"/>
      <c r="M7" s="123"/>
      <c r="N7" s="123"/>
      <c r="O7" s="123"/>
    </row>
    <row r="8" spans="2:18" x14ac:dyDescent="0.25">
      <c r="B8" s="21">
        <v>1</v>
      </c>
      <c r="C8" s="1" t="s">
        <v>68</v>
      </c>
      <c r="D8" s="25"/>
      <c r="E8" s="267">
        <v>0</v>
      </c>
      <c r="F8" s="267">
        <v>0</v>
      </c>
      <c r="G8" s="267">
        <v>0</v>
      </c>
      <c r="H8" s="267">
        <v>1</v>
      </c>
      <c r="I8" s="267">
        <v>1</v>
      </c>
      <c r="J8" s="267">
        <v>1</v>
      </c>
      <c r="K8" s="267">
        <v>1</v>
      </c>
      <c r="L8" s="77"/>
      <c r="M8" s="123"/>
      <c r="N8" s="123"/>
      <c r="O8" s="123"/>
    </row>
    <row r="9" spans="2:18" x14ac:dyDescent="0.25">
      <c r="B9" s="21">
        <f>B8+1</f>
        <v>2</v>
      </c>
      <c r="C9" s="1" t="s">
        <v>67</v>
      </c>
      <c r="D9" s="2"/>
      <c r="E9" s="268">
        <v>0.12683</v>
      </c>
      <c r="F9" s="268">
        <v>0.12683</v>
      </c>
      <c r="G9" s="268">
        <v>0.12073</v>
      </c>
      <c r="H9" s="268">
        <v>3.891E-2</v>
      </c>
      <c r="I9" s="268">
        <v>7.1940000000000004E-2</v>
      </c>
      <c r="J9" s="268">
        <v>7.6840000000000006E-2</v>
      </c>
      <c r="K9" s="268">
        <v>7.5450000000000003E-2</v>
      </c>
      <c r="L9" s="77"/>
      <c r="M9" s="123"/>
      <c r="N9" s="123"/>
      <c r="O9" s="123"/>
    </row>
    <row r="10" spans="2:18" x14ac:dyDescent="0.25">
      <c r="B10" s="21">
        <f>B9+1</f>
        <v>3</v>
      </c>
      <c r="C10" s="1" t="s">
        <v>69</v>
      </c>
      <c r="D10" s="158">
        <f>SUM(E10:K10)</f>
        <v>4104439.8992127306</v>
      </c>
      <c r="E10" s="269">
        <v>0</v>
      </c>
      <c r="F10" s="269">
        <v>0</v>
      </c>
      <c r="G10" s="269">
        <v>0</v>
      </c>
      <c r="H10" s="269">
        <v>3929815.6493943892</v>
      </c>
      <c r="I10" s="269">
        <v>95635.47107438017</v>
      </c>
      <c r="J10" s="269">
        <v>78988.778743961346</v>
      </c>
      <c r="K10" s="269">
        <v>0</v>
      </c>
      <c r="L10" s="77"/>
      <c r="M10" s="123"/>
      <c r="N10" s="123"/>
      <c r="O10" s="123"/>
      <c r="R10" s="220"/>
    </row>
    <row r="11" spans="2:18" x14ac:dyDescent="0.25">
      <c r="B11" s="21">
        <f>B10+1</f>
        <v>4</v>
      </c>
      <c r="C11" s="222" t="s">
        <v>160</v>
      </c>
      <c r="D11" s="15">
        <f>SUM(E11:K11)</f>
        <v>982631156</v>
      </c>
      <c r="E11" s="170">
        <f>'Forecast PGA-3'!C20</f>
        <v>630397866</v>
      </c>
      <c r="F11" s="170">
        <f>'Forecast PGA-3'!D20</f>
        <v>9725</v>
      </c>
      <c r="G11" s="170">
        <f>'Forecast PGA-3'!E20</f>
        <v>237120184</v>
      </c>
      <c r="H11" s="170">
        <f>'Forecast PGA-3'!F20</f>
        <v>67662362</v>
      </c>
      <c r="I11" s="170">
        <f>'Forecast PGA-3'!G20</f>
        <v>15967716</v>
      </c>
      <c r="J11" s="170">
        <f>'Forecast PGA-3'!H20</f>
        <v>9331174</v>
      </c>
      <c r="K11" s="170">
        <f>'Forecast PGA-3'!I20</f>
        <v>22142129</v>
      </c>
      <c r="L11" s="77"/>
      <c r="M11" s="123"/>
      <c r="N11" s="123"/>
      <c r="O11" s="123"/>
      <c r="R11" s="220"/>
    </row>
    <row r="12" spans="2:18" x14ac:dyDescent="0.25">
      <c r="B12" s="21"/>
      <c r="D12" s="15"/>
      <c r="E12" s="16"/>
      <c r="F12" s="16"/>
      <c r="G12" s="16"/>
      <c r="H12" s="16"/>
      <c r="I12" s="16"/>
      <c r="J12" s="16"/>
      <c r="K12" s="16"/>
      <c r="L12" s="77"/>
      <c r="M12" s="123"/>
      <c r="N12" s="123"/>
      <c r="O12" s="123"/>
      <c r="R12" s="220"/>
    </row>
    <row r="13" spans="2:18" x14ac:dyDescent="0.25">
      <c r="B13" s="21">
        <f>B11+1</f>
        <v>5</v>
      </c>
      <c r="C13" s="244" t="s">
        <v>126</v>
      </c>
      <c r="D13" s="245"/>
      <c r="E13" s="283">
        <v>0.13855558396845066</v>
      </c>
      <c r="F13" s="283">
        <v>0.13855558396845066</v>
      </c>
      <c r="G13" s="283">
        <v>0.13057537693381527</v>
      </c>
      <c r="H13" s="283">
        <v>9.9565046743550115E-2</v>
      </c>
      <c r="I13" s="283">
        <v>8.8004845155972913E-2</v>
      </c>
      <c r="J13" s="283">
        <v>8.8359429100977313E-2</v>
      </c>
      <c r="K13" s="283">
        <v>8.1919467843355867E-2</v>
      </c>
      <c r="L13" s="166"/>
      <c r="M13" s="123"/>
      <c r="N13" s="123"/>
      <c r="O13" s="123"/>
      <c r="R13" s="220"/>
    </row>
    <row r="14" spans="2:18" x14ac:dyDescent="0.25">
      <c r="B14" s="21">
        <f>B13+1</f>
        <v>6</v>
      </c>
      <c r="C14" s="244" t="s">
        <v>131</v>
      </c>
      <c r="D14" s="246">
        <f>SUM(E14:K14)</f>
        <v>129088960.55502921</v>
      </c>
      <c r="E14" s="246">
        <f>E11*E13</f>
        <v>87345144.456095114</v>
      </c>
      <c r="F14" s="246">
        <f t="shared" ref="F14:K14" si="0">F11*F13</f>
        <v>1347.4530540931828</v>
      </c>
      <c r="G14" s="246">
        <f t="shared" si="0"/>
        <v>30962057.404415634</v>
      </c>
      <c r="H14" s="246">
        <f t="shared" si="0"/>
        <v>6736806.2353090094</v>
      </c>
      <c r="I14" s="246">
        <f t="shared" si="0"/>
        <v>1405236.3740745513</v>
      </c>
      <c r="J14" s="246">
        <f t="shared" si="0"/>
        <v>824497.20748188288</v>
      </c>
      <c r="K14" s="246">
        <f t="shared" si="0"/>
        <v>1813871.4245989374</v>
      </c>
      <c r="L14" s="166"/>
      <c r="M14" s="123"/>
      <c r="N14" s="123"/>
      <c r="O14" s="123"/>
      <c r="R14" s="220"/>
    </row>
    <row r="15" spans="2:18" x14ac:dyDescent="0.25">
      <c r="B15" s="21"/>
      <c r="C15" s="244"/>
      <c r="D15" s="244"/>
      <c r="E15" s="244"/>
      <c r="F15" s="247"/>
      <c r="G15" s="244"/>
      <c r="H15" s="244"/>
      <c r="I15" s="244"/>
      <c r="J15" s="244"/>
      <c r="K15" s="244"/>
      <c r="L15" s="166"/>
      <c r="M15" s="123"/>
      <c r="N15" s="123"/>
      <c r="O15" s="123"/>
      <c r="R15" s="220"/>
    </row>
    <row r="16" spans="2:18" x14ac:dyDescent="0.25">
      <c r="B16" s="21">
        <f>B14+1</f>
        <v>7</v>
      </c>
      <c r="C16" s="222" t="s">
        <v>129</v>
      </c>
      <c r="D16" s="272">
        <v>122280654.42392074</v>
      </c>
      <c r="E16" s="246">
        <f>$D16*(E14/$D14)</f>
        <v>82738457.099049702</v>
      </c>
      <c r="F16" s="246">
        <f>$D16*(F14/$D14)</f>
        <v>1276.3867688731332</v>
      </c>
      <c r="G16" s="246">
        <f t="shared" ref="G16:K16" si="1">$D16*(G14/$D14)</f>
        <v>29329081.475630812</v>
      </c>
      <c r="H16" s="246">
        <f t="shared" si="1"/>
        <v>6381499.019271804</v>
      </c>
      <c r="I16" s="246">
        <f t="shared" si="1"/>
        <v>1331122.5274672732</v>
      </c>
      <c r="J16" s="246">
        <f t="shared" si="1"/>
        <v>781012.23890947131</v>
      </c>
      <c r="K16" s="246">
        <f t="shared" si="1"/>
        <v>1718205.6768228137</v>
      </c>
      <c r="L16" s="166"/>
      <c r="M16" s="123"/>
      <c r="N16" s="123"/>
      <c r="O16" s="123"/>
      <c r="R16" s="220"/>
    </row>
    <row r="17" spans="2:18" x14ac:dyDescent="0.25">
      <c r="B17" s="21">
        <f>B16+1</f>
        <v>8</v>
      </c>
      <c r="C17" s="244" t="s">
        <v>127</v>
      </c>
      <c r="D17" s="248">
        <f>SUM(E17:K17)</f>
        <v>1</v>
      </c>
      <c r="E17" s="249">
        <f>E16/$D$16</f>
        <v>0.67662752942271032</v>
      </c>
      <c r="F17" s="249">
        <f t="shared" ref="F17:K17" si="2">F16/$D$16</f>
        <v>1.0438174173063996E-5</v>
      </c>
      <c r="G17" s="249">
        <f t="shared" si="2"/>
        <v>0.23985054392948532</v>
      </c>
      <c r="H17" s="249">
        <f t="shared" si="2"/>
        <v>5.218731490550025E-2</v>
      </c>
      <c r="I17" s="249">
        <f t="shared" si="2"/>
        <v>1.0885798197093038E-2</v>
      </c>
      <c r="J17" s="249">
        <f t="shared" si="2"/>
        <v>6.3870466067499918E-3</v>
      </c>
      <c r="K17" s="249">
        <f t="shared" si="2"/>
        <v>1.4051328764288128E-2</v>
      </c>
      <c r="L17" s="166"/>
      <c r="M17" s="123"/>
      <c r="N17" s="123"/>
      <c r="O17" s="123"/>
      <c r="R17" s="220"/>
    </row>
    <row r="18" spans="2:18" x14ac:dyDescent="0.25">
      <c r="B18" s="21"/>
      <c r="C18" s="244"/>
      <c r="D18" s="244"/>
      <c r="E18" s="244"/>
      <c r="F18" s="244"/>
      <c r="G18" s="244"/>
      <c r="H18" s="244"/>
      <c r="I18" s="244"/>
      <c r="J18" s="244"/>
      <c r="K18" s="244"/>
      <c r="L18" s="166"/>
      <c r="M18" s="123"/>
      <c r="N18" s="123"/>
      <c r="O18" s="123"/>
      <c r="R18" s="220"/>
    </row>
    <row r="19" spans="2:18" x14ac:dyDescent="0.25">
      <c r="B19" s="21">
        <f>B17+1</f>
        <v>9</v>
      </c>
      <c r="C19" s="222" t="s">
        <v>128</v>
      </c>
      <c r="D19" s="244"/>
      <c r="E19" s="262">
        <v>0</v>
      </c>
      <c r="F19" s="262">
        <v>0</v>
      </c>
      <c r="G19" s="262">
        <v>0</v>
      </c>
      <c r="H19" s="262">
        <v>1</v>
      </c>
      <c r="I19" s="262">
        <v>1</v>
      </c>
      <c r="J19" s="262">
        <v>1</v>
      </c>
      <c r="K19" s="262">
        <v>1</v>
      </c>
      <c r="L19" s="166"/>
      <c r="M19" s="123"/>
      <c r="N19" s="123"/>
      <c r="O19" s="123"/>
      <c r="R19" s="220"/>
    </row>
    <row r="20" spans="2:18" x14ac:dyDescent="0.25">
      <c r="B20" s="21">
        <f>B19+1</f>
        <v>10</v>
      </c>
      <c r="C20" s="222" t="s">
        <v>132</v>
      </c>
      <c r="D20" s="246">
        <f>SUM(E20:K20)</f>
        <v>4104439.8992127306</v>
      </c>
      <c r="E20" s="246">
        <f t="shared" ref="E20:G20" si="3">E19*E10</f>
        <v>0</v>
      </c>
      <c r="F20" s="246">
        <f t="shared" si="3"/>
        <v>0</v>
      </c>
      <c r="G20" s="246">
        <f t="shared" si="3"/>
        <v>0</v>
      </c>
      <c r="H20" s="246">
        <f>H19*H10</f>
        <v>3929815.6493943892</v>
      </c>
      <c r="I20" s="246">
        <f t="shared" ref="I20:K20" si="4">I19*I10</f>
        <v>95635.47107438017</v>
      </c>
      <c r="J20" s="246">
        <f t="shared" si="4"/>
        <v>78988.778743961346</v>
      </c>
      <c r="K20" s="246">
        <f t="shared" si="4"/>
        <v>0</v>
      </c>
      <c r="L20" s="166"/>
      <c r="M20" s="123"/>
      <c r="N20" s="123"/>
      <c r="O20" s="123"/>
      <c r="R20" s="220"/>
    </row>
    <row r="21" spans="2:18" x14ac:dyDescent="0.25">
      <c r="B21" s="21"/>
      <c r="C21" s="244"/>
      <c r="D21" s="244"/>
      <c r="E21" s="244"/>
      <c r="F21" s="244"/>
      <c r="G21" s="244"/>
      <c r="H21" s="244"/>
      <c r="I21" s="244"/>
      <c r="J21" s="244"/>
      <c r="K21" s="244"/>
      <c r="L21" s="166"/>
      <c r="M21" s="123"/>
      <c r="N21" s="123"/>
      <c r="O21" s="123"/>
      <c r="R21" s="220"/>
    </row>
    <row r="22" spans="2:18" x14ac:dyDescent="0.25">
      <c r="B22" s="21">
        <f>B20+1</f>
        <v>11</v>
      </c>
      <c r="C22" s="206" t="s">
        <v>133</v>
      </c>
      <c r="D22" s="246">
        <f>SUM(E22:K22)</f>
        <v>118176214.52470802</v>
      </c>
      <c r="E22" s="246">
        <f>E16-E20</f>
        <v>82738457.099049702</v>
      </c>
      <c r="F22" s="246">
        <f t="shared" ref="F22:K22" si="5">F16-F20</f>
        <v>1276.3867688731332</v>
      </c>
      <c r="G22" s="246">
        <f t="shared" si="5"/>
        <v>29329081.475630812</v>
      </c>
      <c r="H22" s="246">
        <f t="shared" si="5"/>
        <v>2451683.3698774148</v>
      </c>
      <c r="I22" s="246">
        <f t="shared" si="5"/>
        <v>1235487.056392893</v>
      </c>
      <c r="J22" s="246">
        <f t="shared" si="5"/>
        <v>702023.46016550995</v>
      </c>
      <c r="K22" s="246">
        <f t="shared" si="5"/>
        <v>1718205.6768228137</v>
      </c>
      <c r="L22" s="166"/>
      <c r="M22" s="123"/>
      <c r="N22" s="123"/>
      <c r="O22" s="123"/>
      <c r="R22" s="220"/>
    </row>
    <row r="23" spans="2:18" x14ac:dyDescent="0.25">
      <c r="B23" s="21">
        <f>B22+1</f>
        <v>12</v>
      </c>
      <c r="C23" s="206" t="s">
        <v>134</v>
      </c>
      <c r="D23" s="244"/>
      <c r="E23" s="258">
        <f>ROUND(E22/E11,5)</f>
        <v>0.13125000000000001</v>
      </c>
      <c r="F23" s="258">
        <f t="shared" ref="F23:K23" si="6">ROUND(F22/F11,5)</f>
        <v>0.13125000000000001</v>
      </c>
      <c r="G23" s="258">
        <f t="shared" si="6"/>
        <v>0.12368999999999999</v>
      </c>
      <c r="H23" s="258">
        <f t="shared" si="6"/>
        <v>3.6229999999999998E-2</v>
      </c>
      <c r="I23" s="258">
        <f t="shared" si="6"/>
        <v>7.7369999999999994E-2</v>
      </c>
      <c r="J23" s="258">
        <f t="shared" si="6"/>
        <v>7.5230000000000005E-2</v>
      </c>
      <c r="K23" s="258">
        <f t="shared" si="6"/>
        <v>7.7600000000000002E-2</v>
      </c>
      <c r="L23" s="166"/>
      <c r="M23" s="123"/>
      <c r="N23" s="123"/>
      <c r="O23" s="123"/>
      <c r="R23" s="220"/>
    </row>
    <row r="24" spans="2:18" x14ac:dyDescent="0.25">
      <c r="B24" s="21">
        <f>B23+1</f>
        <v>13</v>
      </c>
      <c r="C24" s="244" t="s">
        <v>135</v>
      </c>
      <c r="D24" s="244"/>
      <c r="E24" s="244"/>
      <c r="F24" s="247">
        <f>ROUND(F23*19,2)</f>
        <v>2.4900000000000002</v>
      </c>
      <c r="G24" s="244"/>
      <c r="H24" s="244"/>
      <c r="I24" s="244"/>
      <c r="J24" s="244"/>
      <c r="K24" s="244"/>
      <c r="L24" s="166"/>
      <c r="M24" s="123"/>
      <c r="N24" s="123"/>
      <c r="O24" s="123"/>
      <c r="R24" s="220"/>
    </row>
    <row r="25" spans="2:18" x14ac:dyDescent="0.25">
      <c r="B25" s="21"/>
      <c r="C25" s="244"/>
      <c r="D25" s="244"/>
      <c r="E25" s="244"/>
      <c r="F25" s="247"/>
      <c r="G25" s="244"/>
      <c r="H25" s="244"/>
      <c r="I25" s="244"/>
      <c r="J25" s="244"/>
      <c r="K25" s="244"/>
      <c r="L25" s="166"/>
      <c r="M25" s="123"/>
      <c r="N25" s="123"/>
      <c r="O25" s="123"/>
      <c r="R25" s="220"/>
    </row>
    <row r="26" spans="2:18" x14ac:dyDescent="0.25">
      <c r="B26" s="21">
        <f>B24+1</f>
        <v>14</v>
      </c>
      <c r="C26" s="244" t="s">
        <v>136</v>
      </c>
      <c r="D26" s="246">
        <f>SUM(E26:K26)</f>
        <v>122281874.76952274</v>
      </c>
      <c r="E26" s="246">
        <f>(E23*E11)+(E19*E10)</f>
        <v>82739719.912500009</v>
      </c>
      <c r="F26" s="246">
        <f t="shared" ref="F26:K26" si="7">(F23*F11)+(F19*F10)</f>
        <v>1276.40625</v>
      </c>
      <c r="G26" s="246">
        <f t="shared" si="7"/>
        <v>29329395.558959998</v>
      </c>
      <c r="H26" s="246">
        <f t="shared" si="7"/>
        <v>6381223.0246543894</v>
      </c>
      <c r="I26" s="246">
        <f t="shared" si="7"/>
        <v>1331057.6579943802</v>
      </c>
      <c r="J26" s="246">
        <f t="shared" si="7"/>
        <v>780972.99876396137</v>
      </c>
      <c r="K26" s="246">
        <f t="shared" si="7"/>
        <v>1718229.2104</v>
      </c>
      <c r="L26" s="166"/>
      <c r="M26" s="123"/>
      <c r="N26" s="123"/>
      <c r="O26" s="123"/>
      <c r="R26" s="220"/>
    </row>
    <row r="27" spans="2:18" x14ac:dyDescent="0.25">
      <c r="B27" s="21">
        <f>B26+1</f>
        <v>15</v>
      </c>
      <c r="C27" s="243" t="s">
        <v>143</v>
      </c>
      <c r="D27" s="255"/>
      <c r="E27" s="256">
        <f>ROUND(E23-E9,5)</f>
        <v>4.4200000000000003E-3</v>
      </c>
      <c r="F27" s="256">
        <f t="shared" ref="F27:K27" si="8">ROUND(F23-F9,5)</f>
        <v>4.4200000000000003E-3</v>
      </c>
      <c r="G27" s="256">
        <f t="shared" si="8"/>
        <v>2.96E-3</v>
      </c>
      <c r="H27" s="256">
        <f t="shared" si="8"/>
        <v>-2.6800000000000001E-3</v>
      </c>
      <c r="I27" s="256">
        <f t="shared" si="8"/>
        <v>5.4299999999999999E-3</v>
      </c>
      <c r="J27" s="256">
        <f t="shared" si="8"/>
        <v>-1.6100000000000001E-3</v>
      </c>
      <c r="K27" s="256">
        <f t="shared" si="8"/>
        <v>2.15E-3</v>
      </c>
      <c r="L27" s="166"/>
      <c r="M27" s="123"/>
      <c r="N27" s="123"/>
      <c r="O27" s="123"/>
      <c r="R27" s="220"/>
    </row>
    <row r="28" spans="2:18" x14ac:dyDescent="0.25">
      <c r="B28" s="21">
        <f>B27+1</f>
        <v>16</v>
      </c>
      <c r="C28" s="243" t="s">
        <v>142</v>
      </c>
      <c r="D28" s="243"/>
      <c r="E28" s="257">
        <f>E27/E9</f>
        <v>3.4849798943467639E-2</v>
      </c>
      <c r="F28" s="257">
        <f t="shared" ref="F28:K28" si="9">F27/F9</f>
        <v>3.4849798943467639E-2</v>
      </c>
      <c r="G28" s="257">
        <f t="shared" si="9"/>
        <v>2.4517518429553548E-2</v>
      </c>
      <c r="H28" s="257">
        <f t="shared" si="9"/>
        <v>-6.8876895399640203E-2</v>
      </c>
      <c r="I28" s="257">
        <f t="shared" si="9"/>
        <v>7.5479566305254375E-2</v>
      </c>
      <c r="J28" s="257">
        <f t="shared" si="9"/>
        <v>-2.0952628839146278E-2</v>
      </c>
      <c r="K28" s="257">
        <f t="shared" si="9"/>
        <v>2.8495692511597084E-2</v>
      </c>
      <c r="L28" s="166"/>
      <c r="M28" s="123"/>
      <c r="N28" s="123"/>
      <c r="O28" s="123"/>
      <c r="R28" s="220"/>
    </row>
    <row r="29" spans="2:18" x14ac:dyDescent="0.25">
      <c r="D29" s="23"/>
    </row>
    <row r="30" spans="2:18" x14ac:dyDescent="0.25">
      <c r="C30" s="6" t="s">
        <v>21</v>
      </c>
      <c r="L30" s="77"/>
      <c r="M30" s="77"/>
      <c r="N30" s="77"/>
      <c r="O30" s="77"/>
    </row>
    <row r="31" spans="2:18" x14ac:dyDescent="0.25">
      <c r="B31" s="1">
        <f>B28+1</f>
        <v>17</v>
      </c>
      <c r="C31" s="1" t="s">
        <v>47</v>
      </c>
      <c r="E31" s="268">
        <v>0.24068000000000001</v>
      </c>
      <c r="F31" s="268">
        <v>0.24068000000000001</v>
      </c>
      <c r="G31" s="268">
        <v>0.24068000000000001</v>
      </c>
      <c r="H31" s="268">
        <v>0.24068000000000001</v>
      </c>
      <c r="I31" s="268">
        <v>0.24068000000000001</v>
      </c>
      <c r="J31" s="268">
        <v>0.24068000000000001</v>
      </c>
      <c r="K31" s="268">
        <v>0.24068000000000001</v>
      </c>
      <c r="L31" s="77"/>
      <c r="M31" s="77"/>
      <c r="N31" s="77"/>
      <c r="O31" s="77"/>
    </row>
    <row r="32" spans="2:18" x14ac:dyDescent="0.25">
      <c r="B32" s="1">
        <f>B31+1</f>
        <v>18</v>
      </c>
      <c r="C32" s="1" t="str">
        <f>+C11</f>
        <v>Projected Volume Nov. 18 - Oct. 19 (therms)</v>
      </c>
      <c r="D32" s="15">
        <f>SUM(E32:K32)</f>
        <v>982631156</v>
      </c>
      <c r="E32" s="15">
        <f t="shared" ref="E32:K32" si="10">E11</f>
        <v>630397866</v>
      </c>
      <c r="F32" s="15">
        <f t="shared" si="10"/>
        <v>9725</v>
      </c>
      <c r="G32" s="15">
        <f t="shared" si="10"/>
        <v>237120184</v>
      </c>
      <c r="H32" s="15">
        <f t="shared" si="10"/>
        <v>67662362</v>
      </c>
      <c r="I32" s="15">
        <f t="shared" si="10"/>
        <v>15967716</v>
      </c>
      <c r="J32" s="15">
        <f t="shared" si="10"/>
        <v>9331174</v>
      </c>
      <c r="K32" s="15">
        <f t="shared" si="10"/>
        <v>22142129</v>
      </c>
      <c r="L32" s="77"/>
      <c r="M32" s="77"/>
      <c r="N32" s="77"/>
      <c r="O32" s="77"/>
    </row>
    <row r="33" spans="2:19" x14ac:dyDescent="0.25">
      <c r="B33" s="1">
        <f>B32+1</f>
        <v>19</v>
      </c>
      <c r="C33" s="244" t="s">
        <v>144</v>
      </c>
      <c r="D33" s="23">
        <f>SUM(E33:K33)</f>
        <v>236499666.62608001</v>
      </c>
      <c r="E33" s="23">
        <f>E31*E32</f>
        <v>151724158.38888001</v>
      </c>
      <c r="F33" s="23">
        <f t="shared" ref="F33:K33" si="11">F31*F32</f>
        <v>2340.6129999999998</v>
      </c>
      <c r="G33" s="23">
        <f t="shared" si="11"/>
        <v>57070085.885120004</v>
      </c>
      <c r="H33" s="23">
        <f t="shared" si="11"/>
        <v>16284977.28616</v>
      </c>
      <c r="I33" s="23">
        <f t="shared" si="11"/>
        <v>3843109.8868800001</v>
      </c>
      <c r="J33" s="23">
        <f t="shared" si="11"/>
        <v>2245826.9583200002</v>
      </c>
      <c r="K33" s="23">
        <f t="shared" si="11"/>
        <v>5329167.6077199997</v>
      </c>
      <c r="L33" s="77"/>
      <c r="M33" s="77"/>
      <c r="N33" s="77"/>
      <c r="O33" s="77"/>
    </row>
    <row r="34" spans="2:19" x14ac:dyDescent="0.25">
      <c r="D34" s="23"/>
      <c r="E34" s="23"/>
      <c r="F34" s="23"/>
      <c r="G34" s="23"/>
      <c r="H34" s="23"/>
      <c r="I34" s="23"/>
      <c r="J34" s="23"/>
      <c r="K34" s="23"/>
      <c r="L34" s="77"/>
      <c r="M34" s="77"/>
      <c r="N34" s="77"/>
      <c r="O34" s="77"/>
    </row>
    <row r="35" spans="2:19" x14ac:dyDescent="0.25">
      <c r="B35" s="1">
        <f>B33+1</f>
        <v>20</v>
      </c>
      <c r="C35" s="1" t="s">
        <v>89</v>
      </c>
      <c r="D35" s="273">
        <v>177412446.53602001</v>
      </c>
      <c r="E35" s="23"/>
      <c r="F35" s="23"/>
      <c r="G35" s="23"/>
      <c r="H35" s="23"/>
      <c r="I35" s="23"/>
      <c r="J35" s="23"/>
      <c r="K35" s="23"/>
      <c r="L35" s="77"/>
      <c r="M35" s="77"/>
      <c r="N35" s="77"/>
      <c r="O35" s="77"/>
    </row>
    <row r="36" spans="2:19" x14ac:dyDescent="0.25">
      <c r="B36" s="1">
        <f>B35+1</f>
        <v>21</v>
      </c>
      <c r="C36" s="243" t="s">
        <v>145</v>
      </c>
      <c r="D36" s="28">
        <f>ROUND(D35/D32,5)</f>
        <v>0.18054999999999999</v>
      </c>
      <c r="E36" s="28">
        <f>$D$36</f>
        <v>0.18054999999999999</v>
      </c>
      <c r="F36" s="28">
        <f t="shared" ref="F36:K36" si="12">$D$36</f>
        <v>0.18054999999999999</v>
      </c>
      <c r="G36" s="28">
        <f t="shared" si="12"/>
        <v>0.18054999999999999</v>
      </c>
      <c r="H36" s="28">
        <f t="shared" si="12"/>
        <v>0.18054999999999999</v>
      </c>
      <c r="I36" s="28">
        <f t="shared" si="12"/>
        <v>0.18054999999999999</v>
      </c>
      <c r="J36" s="28">
        <f t="shared" si="12"/>
        <v>0.18054999999999999</v>
      </c>
      <c r="K36" s="28">
        <f t="shared" si="12"/>
        <v>0.18054999999999999</v>
      </c>
      <c r="L36" s="77"/>
      <c r="M36" s="77"/>
      <c r="N36" s="77"/>
      <c r="O36" s="77"/>
      <c r="R36" s="22"/>
      <c r="S36" s="120"/>
    </row>
    <row r="37" spans="2:19" x14ac:dyDescent="0.25">
      <c r="B37" s="1">
        <f>B36+1</f>
        <v>22</v>
      </c>
      <c r="C37" s="243" t="s">
        <v>146</v>
      </c>
      <c r="D37" s="33">
        <f>SUM(E37:K37)</f>
        <v>177414054</v>
      </c>
      <c r="E37" s="23">
        <f>ROUND(E32*E36,0)</f>
        <v>113818335</v>
      </c>
      <c r="F37" s="23">
        <f t="shared" ref="F37:K37" si="13">ROUND(F32*F36,0)</f>
        <v>1756</v>
      </c>
      <c r="G37" s="23">
        <f t="shared" si="13"/>
        <v>42812049</v>
      </c>
      <c r="H37" s="23">
        <f t="shared" si="13"/>
        <v>12216439</v>
      </c>
      <c r="I37" s="23">
        <f t="shared" si="13"/>
        <v>2882971</v>
      </c>
      <c r="J37" s="23">
        <f t="shared" si="13"/>
        <v>1684743</v>
      </c>
      <c r="K37" s="23">
        <f t="shared" si="13"/>
        <v>3997761</v>
      </c>
      <c r="L37" s="77"/>
      <c r="M37" s="77"/>
      <c r="N37" s="77"/>
      <c r="O37" s="77"/>
    </row>
    <row r="38" spans="2:19" x14ac:dyDescent="0.25">
      <c r="B38" s="1">
        <f>B37+1</f>
        <v>23</v>
      </c>
      <c r="C38" s="243" t="s">
        <v>147</v>
      </c>
      <c r="D38" s="30"/>
      <c r="F38" s="219">
        <f>ROUND(F36*19,2)</f>
        <v>3.43</v>
      </c>
      <c r="L38" s="77"/>
      <c r="M38" s="77"/>
      <c r="N38" s="77"/>
      <c r="O38" s="77"/>
    </row>
    <row r="39" spans="2:19" x14ac:dyDescent="0.25">
      <c r="B39" s="21">
        <f>B38+1</f>
        <v>24</v>
      </c>
      <c r="C39" s="243" t="s">
        <v>148</v>
      </c>
      <c r="D39" s="30"/>
      <c r="E39" s="22">
        <f>E36-E31</f>
        <v>-6.0130000000000017E-2</v>
      </c>
      <c r="F39" s="22">
        <f>F36-F31</f>
        <v>-6.0130000000000017E-2</v>
      </c>
      <c r="G39" s="22">
        <f t="shared" ref="G39:K39" si="14">G36-G31</f>
        <v>-6.0130000000000017E-2</v>
      </c>
      <c r="H39" s="22">
        <f t="shared" si="14"/>
        <v>-6.0130000000000017E-2</v>
      </c>
      <c r="I39" s="22">
        <f t="shared" si="14"/>
        <v>-6.0130000000000017E-2</v>
      </c>
      <c r="J39" s="22">
        <f t="shared" si="14"/>
        <v>-6.0130000000000017E-2</v>
      </c>
      <c r="K39" s="22">
        <f t="shared" si="14"/>
        <v>-6.0130000000000017E-2</v>
      </c>
      <c r="L39" s="77"/>
      <c r="M39" s="77"/>
      <c r="N39" s="77"/>
      <c r="O39" s="77"/>
    </row>
    <row r="40" spans="2:19" x14ac:dyDescent="0.25">
      <c r="B40" s="21">
        <f>B39+1</f>
        <v>25</v>
      </c>
      <c r="C40" s="1" t="s">
        <v>43</v>
      </c>
      <c r="E40" s="18">
        <f t="shared" ref="E40:K40" si="15">E39/E31</f>
        <v>-0.24983380422137283</v>
      </c>
      <c r="F40" s="18">
        <f t="shared" si="15"/>
        <v>-0.24983380422137283</v>
      </c>
      <c r="G40" s="18">
        <f t="shared" si="15"/>
        <v>-0.24983380422137283</v>
      </c>
      <c r="H40" s="18">
        <f t="shared" si="15"/>
        <v>-0.24983380422137283</v>
      </c>
      <c r="I40" s="18">
        <f t="shared" si="15"/>
        <v>-0.24983380422137283</v>
      </c>
      <c r="J40" s="18">
        <f t="shared" si="15"/>
        <v>-0.24983380422137283</v>
      </c>
      <c r="K40" s="18">
        <f t="shared" si="15"/>
        <v>-0.24983380422137283</v>
      </c>
      <c r="L40" s="77"/>
      <c r="M40" s="77"/>
      <c r="N40" s="77"/>
      <c r="O40" s="77"/>
    </row>
    <row r="42" spans="2:19" ht="12.75" customHeight="1" x14ac:dyDescent="0.25">
      <c r="C42" s="6" t="s">
        <v>48</v>
      </c>
      <c r="L42" s="77"/>
      <c r="M42" s="124"/>
      <c r="N42" s="124"/>
      <c r="O42" s="124"/>
      <c r="P42" s="46"/>
      <c r="Q42" s="47"/>
      <c r="R42" s="47"/>
      <c r="S42" s="47"/>
    </row>
    <row r="43" spans="2:19" ht="12.75" customHeight="1" x14ac:dyDescent="0.25">
      <c r="B43" s="1">
        <f>B40+1</f>
        <v>26</v>
      </c>
      <c r="C43" s="244" t="s">
        <v>149</v>
      </c>
      <c r="E43" s="160">
        <f t="shared" ref="E43:G43" si="16">E19</f>
        <v>0</v>
      </c>
      <c r="F43" s="160">
        <f t="shared" si="16"/>
        <v>0</v>
      </c>
      <c r="G43" s="160">
        <f t="shared" si="16"/>
        <v>0</v>
      </c>
      <c r="H43" s="160">
        <f>H19</f>
        <v>1</v>
      </c>
      <c r="I43" s="160">
        <f t="shared" ref="I43:K43" si="17">I19</f>
        <v>1</v>
      </c>
      <c r="J43" s="160">
        <f t="shared" si="17"/>
        <v>1</v>
      </c>
      <c r="K43" s="160">
        <f t="shared" si="17"/>
        <v>1</v>
      </c>
      <c r="L43" s="77"/>
      <c r="M43" s="124"/>
      <c r="N43" s="124"/>
      <c r="O43" s="124"/>
      <c r="P43" s="46"/>
      <c r="Q43" s="47"/>
      <c r="R43" s="47"/>
      <c r="S43" s="47"/>
    </row>
    <row r="44" spans="2:19" ht="12.75" customHeight="1" x14ac:dyDescent="0.25">
      <c r="B44" s="21">
        <f>B43+1</f>
        <v>27</v>
      </c>
      <c r="C44" s="1" t="s">
        <v>71</v>
      </c>
      <c r="D44" s="270">
        <v>4.7627000000000086E-2</v>
      </c>
      <c r="L44" s="77"/>
      <c r="M44" s="124"/>
      <c r="N44" s="124"/>
      <c r="O44" s="124"/>
      <c r="P44" s="46"/>
      <c r="Q44" s="47"/>
      <c r="R44" s="47"/>
      <c r="S44" s="47"/>
    </row>
    <row r="45" spans="2:19" ht="12.75" customHeight="1" x14ac:dyDescent="0.25">
      <c r="B45" s="21">
        <f>B44+1</f>
        <v>28</v>
      </c>
      <c r="C45" s="244" t="s">
        <v>150</v>
      </c>
      <c r="E45" s="160">
        <f>ROUND(E43*(1+$D$44),2)</f>
        <v>0</v>
      </c>
      <c r="F45" s="160">
        <f t="shared" ref="F45:K45" si="18">ROUND(F43*(1+$D$44),2)</f>
        <v>0</v>
      </c>
      <c r="G45" s="160">
        <f t="shared" si="18"/>
        <v>0</v>
      </c>
      <c r="H45" s="160">
        <f>ROUND(H43*(1+$D$44),2)</f>
        <v>1.05</v>
      </c>
      <c r="I45" s="160">
        <f t="shared" si="18"/>
        <v>1.05</v>
      </c>
      <c r="J45" s="160">
        <f t="shared" si="18"/>
        <v>1.05</v>
      </c>
      <c r="K45" s="160">
        <f t="shared" si="18"/>
        <v>1.05</v>
      </c>
      <c r="L45" s="77"/>
      <c r="M45" s="124"/>
      <c r="N45" s="124"/>
      <c r="O45" s="124"/>
      <c r="P45" s="46"/>
      <c r="Q45" s="47"/>
      <c r="R45" s="47"/>
      <c r="S45" s="47"/>
    </row>
    <row r="46" spans="2:19" ht="12.75" customHeight="1" x14ac:dyDescent="0.25">
      <c r="C46" s="6"/>
      <c r="L46" s="77"/>
      <c r="M46" s="124"/>
      <c r="N46" s="124"/>
      <c r="O46" s="124"/>
      <c r="P46" s="46"/>
      <c r="Q46" s="47"/>
      <c r="R46" s="47"/>
      <c r="S46" s="47"/>
    </row>
    <row r="47" spans="2:19" x14ac:dyDescent="0.25">
      <c r="B47" s="21">
        <f>B45+1</f>
        <v>29</v>
      </c>
      <c r="C47" s="222" t="s">
        <v>151</v>
      </c>
      <c r="E47" s="112">
        <f>E23</f>
        <v>0.13125000000000001</v>
      </c>
      <c r="F47" s="112">
        <f t="shared" ref="F47:K47" si="19">F23</f>
        <v>0.13125000000000001</v>
      </c>
      <c r="G47" s="112">
        <f t="shared" si="19"/>
        <v>0.12368999999999999</v>
      </c>
      <c r="H47" s="112">
        <f t="shared" si="19"/>
        <v>3.6229999999999998E-2</v>
      </c>
      <c r="I47" s="112">
        <f t="shared" si="19"/>
        <v>7.7369999999999994E-2</v>
      </c>
      <c r="J47" s="112">
        <f t="shared" si="19"/>
        <v>7.5230000000000005E-2</v>
      </c>
      <c r="K47" s="112">
        <f t="shared" si="19"/>
        <v>7.7600000000000002E-2</v>
      </c>
      <c r="L47" s="77"/>
      <c r="M47" s="125"/>
      <c r="N47" s="125"/>
      <c r="O47" s="125"/>
      <c r="P47" s="24"/>
      <c r="Q47" s="47"/>
      <c r="R47" s="47"/>
      <c r="S47" s="47"/>
    </row>
    <row r="48" spans="2:19" x14ac:dyDescent="0.25">
      <c r="B48" s="21">
        <f t="shared" ref="B48:B55" si="20">B47+1</f>
        <v>30</v>
      </c>
      <c r="C48" s="244" t="s">
        <v>152</v>
      </c>
      <c r="E48" s="112">
        <f>E36</f>
        <v>0.18054999999999999</v>
      </c>
      <c r="F48" s="22">
        <f t="shared" ref="F48:K48" si="21">F36</f>
        <v>0.18054999999999999</v>
      </c>
      <c r="G48" s="22">
        <f t="shared" si="21"/>
        <v>0.18054999999999999</v>
      </c>
      <c r="H48" s="22">
        <f t="shared" si="21"/>
        <v>0.18054999999999999</v>
      </c>
      <c r="I48" s="22">
        <f t="shared" si="21"/>
        <v>0.18054999999999999</v>
      </c>
      <c r="J48" s="22">
        <f t="shared" si="21"/>
        <v>0.18054999999999999</v>
      </c>
      <c r="K48" s="22">
        <f t="shared" si="21"/>
        <v>0.18054999999999999</v>
      </c>
      <c r="L48" s="77"/>
      <c r="M48" s="125"/>
      <c r="N48" s="125"/>
      <c r="O48" s="125"/>
      <c r="P48" s="24"/>
      <c r="Q48" s="47"/>
      <c r="R48" s="47"/>
      <c r="S48" s="47"/>
    </row>
    <row r="49" spans="2:19" x14ac:dyDescent="0.25">
      <c r="B49" s="21">
        <f t="shared" si="20"/>
        <v>31</v>
      </c>
      <c r="C49" s="1" t="s">
        <v>66</v>
      </c>
      <c r="E49" s="29">
        <f>SUM(E47:E48)</f>
        <v>0.31179999999999997</v>
      </c>
      <c r="F49" s="29">
        <f t="shared" ref="F49:K49" si="22">SUM(F47:F48)</f>
        <v>0.31179999999999997</v>
      </c>
      <c r="G49" s="29">
        <f t="shared" si="22"/>
        <v>0.30423999999999995</v>
      </c>
      <c r="H49" s="29">
        <f t="shared" si="22"/>
        <v>0.21677999999999997</v>
      </c>
      <c r="I49" s="29">
        <f t="shared" si="22"/>
        <v>0.25791999999999998</v>
      </c>
      <c r="J49" s="29">
        <f t="shared" si="22"/>
        <v>0.25578000000000001</v>
      </c>
      <c r="K49" s="29">
        <f t="shared" si="22"/>
        <v>0.25814999999999999</v>
      </c>
      <c r="L49" s="77"/>
      <c r="M49" s="125"/>
      <c r="N49" s="125"/>
      <c r="O49" s="125"/>
      <c r="P49" s="24"/>
      <c r="Q49" s="47"/>
      <c r="R49" s="47"/>
      <c r="S49" s="47"/>
    </row>
    <row r="50" spans="2:19" x14ac:dyDescent="0.25">
      <c r="B50" s="21"/>
      <c r="E50" s="22"/>
      <c r="F50" s="22"/>
      <c r="G50" s="22"/>
      <c r="H50" s="22"/>
      <c r="I50" s="22"/>
      <c r="J50" s="22"/>
      <c r="K50" s="22"/>
      <c r="L50" s="77"/>
      <c r="M50" s="125"/>
      <c r="N50" s="125"/>
      <c r="O50" s="125"/>
      <c r="P50" s="24"/>
      <c r="Q50" s="47"/>
      <c r="R50" s="47"/>
      <c r="S50" s="47"/>
    </row>
    <row r="51" spans="2:19" x14ac:dyDescent="0.25">
      <c r="B51" s="21">
        <f>B49+1</f>
        <v>32</v>
      </c>
      <c r="C51" s="244" t="s">
        <v>153</v>
      </c>
      <c r="E51" s="112">
        <f>ROUND(E49*(1+$D$44),5)</f>
        <v>0.32665</v>
      </c>
      <c r="F51" s="22">
        <f t="shared" ref="F51:K51" si="23">ROUND(F49*(1+$D$44),5)</f>
        <v>0.32665</v>
      </c>
      <c r="G51" s="22">
        <f t="shared" si="23"/>
        <v>0.31873000000000001</v>
      </c>
      <c r="H51" s="22">
        <f t="shared" si="23"/>
        <v>0.2271</v>
      </c>
      <c r="I51" s="22">
        <f t="shared" si="23"/>
        <v>0.2702</v>
      </c>
      <c r="J51" s="22">
        <f t="shared" si="23"/>
        <v>0.26795999999999998</v>
      </c>
      <c r="K51" s="22">
        <f t="shared" si="23"/>
        <v>0.27044000000000001</v>
      </c>
      <c r="L51" s="77"/>
      <c r="M51" s="125"/>
      <c r="N51" s="125"/>
      <c r="O51" s="125"/>
      <c r="P51" s="24"/>
      <c r="Q51" s="47"/>
      <c r="R51" s="47"/>
      <c r="S51" s="47"/>
    </row>
    <row r="52" spans="2:19" x14ac:dyDescent="0.25">
      <c r="B52" s="21">
        <f t="shared" si="20"/>
        <v>33</v>
      </c>
      <c r="C52" s="244" t="s">
        <v>154</v>
      </c>
      <c r="E52" s="22"/>
      <c r="F52" s="34">
        <f>ROUND(F51*19,2)</f>
        <v>6.21</v>
      </c>
      <c r="G52" s="22"/>
      <c r="H52" s="22"/>
      <c r="I52" s="22"/>
      <c r="J52" s="22"/>
      <c r="K52" s="22"/>
      <c r="L52" s="77"/>
      <c r="M52" s="125"/>
      <c r="N52" s="125"/>
      <c r="O52" s="125"/>
      <c r="P52" s="24"/>
      <c r="Q52" s="47"/>
      <c r="R52" s="47"/>
      <c r="S52" s="47"/>
    </row>
    <row r="53" spans="2:19" x14ac:dyDescent="0.25">
      <c r="B53" s="21">
        <f t="shared" si="20"/>
        <v>34</v>
      </c>
      <c r="C53" s="1" t="s">
        <v>70</v>
      </c>
      <c r="D53" s="178"/>
      <c r="E53" s="271">
        <v>0.38446999999999998</v>
      </c>
      <c r="F53" s="271">
        <v>0.38446999999999998</v>
      </c>
      <c r="G53" s="271">
        <v>0.37808000000000003</v>
      </c>
      <c r="H53" s="271">
        <v>0.29249000000000003</v>
      </c>
      <c r="I53" s="271">
        <v>0.32704</v>
      </c>
      <c r="J53" s="271">
        <v>0.33217000000000002</v>
      </c>
      <c r="K53" s="271">
        <v>0.33071</v>
      </c>
      <c r="L53" s="77"/>
      <c r="M53" s="125"/>
      <c r="N53" s="125"/>
      <c r="O53" s="125"/>
      <c r="P53" s="24"/>
      <c r="Q53" s="47"/>
      <c r="R53" s="47"/>
      <c r="S53" s="47"/>
    </row>
    <row r="54" spans="2:19" x14ac:dyDescent="0.25">
      <c r="B54" s="21">
        <f t="shared" si="20"/>
        <v>35</v>
      </c>
      <c r="C54" s="244" t="s">
        <v>155</v>
      </c>
      <c r="E54" s="29">
        <f>E51-E53</f>
        <v>-5.7819999999999983E-2</v>
      </c>
      <c r="F54" s="29">
        <f t="shared" ref="F54:K54" si="24">F51-F53</f>
        <v>-5.7819999999999983E-2</v>
      </c>
      <c r="G54" s="29">
        <f t="shared" si="24"/>
        <v>-5.9350000000000014E-2</v>
      </c>
      <c r="H54" s="29">
        <f t="shared" si="24"/>
        <v>-6.5390000000000031E-2</v>
      </c>
      <c r="I54" s="29">
        <f t="shared" si="24"/>
        <v>-5.6840000000000002E-2</v>
      </c>
      <c r="J54" s="29">
        <f t="shared" si="24"/>
        <v>-6.4210000000000045E-2</v>
      </c>
      <c r="K54" s="29">
        <f t="shared" si="24"/>
        <v>-6.026999999999999E-2</v>
      </c>
      <c r="L54" s="77"/>
      <c r="M54" s="125"/>
      <c r="N54" s="125"/>
      <c r="O54" s="125"/>
      <c r="P54" s="24"/>
      <c r="Q54" s="47"/>
      <c r="R54" s="47"/>
      <c r="S54" s="47"/>
    </row>
    <row r="55" spans="2:19" x14ac:dyDescent="0.25">
      <c r="B55" s="21">
        <f t="shared" si="20"/>
        <v>36</v>
      </c>
      <c r="C55" s="1" t="s">
        <v>43</v>
      </c>
      <c r="E55" s="18">
        <f>E54/E53</f>
        <v>-0.15038884698415997</v>
      </c>
      <c r="F55" s="18">
        <f t="shared" ref="F55:K55" si="25">F54/F53</f>
        <v>-0.15038884698415997</v>
      </c>
      <c r="G55" s="18">
        <f t="shared" si="25"/>
        <v>-0.15697735928903939</v>
      </c>
      <c r="H55" s="18">
        <f t="shared" si="25"/>
        <v>-0.22356319874183742</v>
      </c>
      <c r="I55" s="18">
        <f t="shared" si="25"/>
        <v>-0.1738013698630137</v>
      </c>
      <c r="J55" s="18">
        <f t="shared" si="25"/>
        <v>-0.1933046331697626</v>
      </c>
      <c r="K55" s="18">
        <f t="shared" si="25"/>
        <v>-0.18224426234465238</v>
      </c>
      <c r="L55" s="77"/>
      <c r="M55" s="125"/>
      <c r="N55" s="125"/>
      <c r="O55" s="125"/>
      <c r="P55" s="24"/>
      <c r="Q55" s="47"/>
      <c r="R55" s="47"/>
      <c r="S55" s="47"/>
    </row>
    <row r="56" spans="2:19" x14ac:dyDescent="0.25">
      <c r="C56" s="244"/>
      <c r="L56" s="122"/>
      <c r="M56" s="122"/>
      <c r="N56" s="122"/>
      <c r="P56" s="24"/>
    </row>
    <row r="57" spans="2:19" x14ac:dyDescent="0.25">
      <c r="B57" s="30"/>
      <c r="C57" s="244" t="s">
        <v>168</v>
      </c>
      <c r="E57" s="22"/>
      <c r="L57" s="77"/>
      <c r="M57" s="77"/>
      <c r="N57" s="77"/>
      <c r="O57" s="77"/>
    </row>
    <row r="58" spans="2:19" x14ac:dyDescent="0.25">
      <c r="C58" s="244" t="s">
        <v>130</v>
      </c>
      <c r="E58" s="22"/>
      <c r="L58" s="77"/>
      <c r="M58" s="77"/>
      <c r="N58" s="77"/>
      <c r="O58" s="77"/>
    </row>
    <row r="59" spans="2:19" x14ac:dyDescent="0.25">
      <c r="E59" s="22"/>
      <c r="L59" s="77"/>
      <c r="M59" s="77"/>
      <c r="N59" s="77"/>
      <c r="O59" s="77"/>
    </row>
    <row r="60" spans="2:19" x14ac:dyDescent="0.25">
      <c r="E60" s="22"/>
      <c r="L60" s="77"/>
      <c r="M60" s="77"/>
      <c r="N60" s="77"/>
      <c r="O60" s="77"/>
    </row>
    <row r="61" spans="2:19" x14ac:dyDescent="0.25">
      <c r="D61" s="23"/>
      <c r="E61" s="22"/>
      <c r="F61" s="23"/>
      <c r="G61" s="23"/>
      <c r="H61" s="23"/>
      <c r="I61" s="23"/>
      <c r="J61" s="23"/>
      <c r="K61" s="23"/>
      <c r="L61" s="77"/>
      <c r="M61" s="77"/>
      <c r="N61" s="77"/>
      <c r="O61" s="77"/>
    </row>
    <row r="62" spans="2:19" x14ac:dyDescent="0.25">
      <c r="D62" s="120"/>
      <c r="L62" s="77"/>
      <c r="M62" s="77"/>
      <c r="N62" s="77"/>
      <c r="O62" s="77"/>
    </row>
    <row r="63" spans="2:19" x14ac:dyDescent="0.25">
      <c r="E63" s="22"/>
      <c r="F63" s="22"/>
      <c r="G63" s="22"/>
      <c r="H63" s="22"/>
      <c r="I63" s="22"/>
      <c r="J63" s="22"/>
      <c r="K63" s="22"/>
      <c r="L63" s="77"/>
      <c r="M63" s="77"/>
      <c r="N63" s="77"/>
      <c r="O63" s="77"/>
    </row>
    <row r="64" spans="2:19" x14ac:dyDescent="0.25">
      <c r="L64" s="77"/>
      <c r="M64" s="77"/>
      <c r="N64" s="77"/>
      <c r="O64" s="77"/>
    </row>
    <row r="65" spans="12:15" x14ac:dyDescent="0.25">
      <c r="L65" s="77"/>
      <c r="M65" s="77"/>
      <c r="N65" s="77"/>
      <c r="O65" s="77"/>
    </row>
    <row r="66" spans="12:15" x14ac:dyDescent="0.25">
      <c r="L66" s="77"/>
      <c r="M66" s="77"/>
      <c r="N66" s="77"/>
      <c r="O66" s="77"/>
    </row>
    <row r="67" spans="12:15" x14ac:dyDescent="0.25">
      <c r="L67" s="77"/>
      <c r="M67" s="77"/>
      <c r="N67" s="77"/>
      <c r="O67" s="77"/>
    </row>
  </sheetData>
  <phoneticPr fontId="5" type="noConversion"/>
  <printOptions horizontalCentered="1"/>
  <pageMargins left="0.5" right="0.5" top="1" bottom="0.6" header="0.5" footer="0.3"/>
  <pageSetup scale="67" orientation="landscape" blackAndWhite="1" r:id="rId1"/>
  <headerFooter alignWithMargins="0">
    <oddFooter>&amp;L&amp;F
&amp;A</oddFooter>
  </headerFooter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43"/>
  <sheetViews>
    <sheetView topLeftCell="A31" workbookViewId="0">
      <selection activeCell="B8" sqref="B8"/>
    </sheetView>
  </sheetViews>
  <sheetFormatPr defaultColWidth="9.109375" defaultRowHeight="13.2" x14ac:dyDescent="0.25"/>
  <cols>
    <col min="1" max="1" width="5" style="30" customWidth="1"/>
    <col min="2" max="2" width="63.88671875" style="30" bestFit="1" customWidth="1"/>
    <col min="3" max="3" width="10.33203125" style="30" bestFit="1" customWidth="1"/>
    <col min="4" max="4" width="11.44140625" style="30" customWidth="1"/>
    <col min="5" max="5" width="12.88671875" style="30" bestFit="1" customWidth="1"/>
    <col min="6" max="6" width="10.5546875" style="30" bestFit="1" customWidth="1"/>
    <col min="7" max="7" width="10.33203125" style="30" bestFit="1" customWidth="1"/>
    <col min="8" max="8" width="10.44140625" style="30" customWidth="1"/>
    <col min="9" max="9" width="10.33203125" style="30" bestFit="1" customWidth="1"/>
    <col min="10" max="12" width="3.33203125" style="30" bestFit="1" customWidth="1"/>
    <col min="13" max="16384" width="9.109375" style="30"/>
  </cols>
  <sheetData>
    <row r="1" spans="1:12" ht="17.399999999999999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49"/>
      <c r="K1" s="49"/>
    </row>
    <row r="2" spans="1:12" s="243" customFormat="1" ht="15.6" x14ac:dyDescent="0.3">
      <c r="A2" s="51" t="s">
        <v>164</v>
      </c>
      <c r="B2" s="51"/>
      <c r="C2" s="51"/>
      <c r="D2" s="51"/>
      <c r="E2" s="275"/>
      <c r="F2" s="51"/>
      <c r="G2" s="51"/>
      <c r="H2" s="51"/>
      <c r="I2" s="51"/>
      <c r="J2" s="50"/>
      <c r="K2" s="50"/>
      <c r="L2" s="50"/>
    </row>
    <row r="3" spans="1:12" ht="15.6" x14ac:dyDescent="0.3">
      <c r="A3" s="51" t="s">
        <v>59</v>
      </c>
      <c r="B3" s="51"/>
      <c r="C3" s="51"/>
      <c r="D3" s="51"/>
      <c r="E3" s="48"/>
      <c r="F3" s="51"/>
      <c r="G3" s="51"/>
      <c r="H3" s="51"/>
      <c r="I3" s="51"/>
    </row>
    <row r="4" spans="1:12" ht="11.25" customHeight="1" x14ac:dyDescent="0.25">
      <c r="D4" s="148"/>
      <c r="E4" s="105"/>
    </row>
    <row r="5" spans="1:12" x14ac:dyDescent="0.25">
      <c r="D5" s="4"/>
    </row>
    <row r="6" spans="1:12" x14ac:dyDescent="0.25">
      <c r="D6" s="52"/>
    </row>
    <row r="7" spans="1:12" x14ac:dyDescent="0.25">
      <c r="A7" s="44"/>
      <c r="C7" s="278" t="s">
        <v>12</v>
      </c>
      <c r="D7" s="279"/>
      <c r="E7" s="54" t="s">
        <v>13</v>
      </c>
      <c r="F7" s="55"/>
      <c r="G7" s="54" t="s">
        <v>105</v>
      </c>
      <c r="H7" s="55"/>
      <c r="I7" s="55"/>
    </row>
    <row r="8" spans="1:12" x14ac:dyDescent="0.25">
      <c r="A8" s="56" t="s">
        <v>11</v>
      </c>
      <c r="B8" s="53" t="s">
        <v>45</v>
      </c>
      <c r="C8" s="31">
        <v>23</v>
      </c>
      <c r="D8" s="57" t="s">
        <v>25</v>
      </c>
      <c r="E8" s="31">
        <v>31</v>
      </c>
      <c r="F8" s="31">
        <v>41</v>
      </c>
      <c r="G8" s="31">
        <v>85</v>
      </c>
      <c r="H8" s="31">
        <v>86</v>
      </c>
      <c r="I8" s="31">
        <v>87</v>
      </c>
      <c r="J8" s="44"/>
      <c r="K8" s="44"/>
      <c r="L8" s="44"/>
    </row>
    <row r="9" spans="1:12" ht="12.75" customHeight="1" x14ac:dyDescent="0.25">
      <c r="A9" s="58"/>
      <c r="B9" s="44"/>
      <c r="C9" s="121" t="s">
        <v>3</v>
      </c>
      <c r="D9" s="59" t="s">
        <v>4</v>
      </c>
      <c r="E9" s="59" t="s">
        <v>15</v>
      </c>
      <c r="F9" s="59" t="s">
        <v>6</v>
      </c>
      <c r="G9" s="59" t="s">
        <v>16</v>
      </c>
      <c r="H9" s="59" t="s">
        <v>24</v>
      </c>
      <c r="I9" s="26" t="s">
        <v>17</v>
      </c>
      <c r="J9" s="44"/>
      <c r="K9" s="44"/>
      <c r="L9" s="44"/>
    </row>
    <row r="10" spans="1:12" s="4" customFormat="1" ht="12.75" customHeight="1" x14ac:dyDescent="0.25">
      <c r="A10" s="26">
        <v>1</v>
      </c>
      <c r="B10" s="4" t="s">
        <v>79</v>
      </c>
      <c r="C10" s="171">
        <f>'Rates PGA-1'!E47</f>
        <v>0.13125000000000001</v>
      </c>
      <c r="D10" s="172">
        <f>'Rates PGA-1'!F47*19</f>
        <v>2.4937499999999999</v>
      </c>
      <c r="E10" s="171">
        <f>'Rates PGA-1'!G47</f>
        <v>0.12368999999999999</v>
      </c>
      <c r="F10" s="171">
        <f>'Rates PGA-1'!H47</f>
        <v>3.6229999999999998E-2</v>
      </c>
      <c r="G10" s="171">
        <f>'Rates PGA-1'!I47</f>
        <v>7.7369999999999994E-2</v>
      </c>
      <c r="H10" s="171">
        <f>'Rates PGA-1'!J47</f>
        <v>7.5230000000000005E-2</v>
      </c>
      <c r="I10" s="171">
        <f>'Rates PGA-1'!K47</f>
        <v>7.7600000000000002E-2</v>
      </c>
    </row>
    <row r="11" spans="1:12" s="4" customFormat="1" ht="12.75" customHeight="1" x14ac:dyDescent="0.25">
      <c r="A11" s="26">
        <f>A10+1</f>
        <v>2</v>
      </c>
      <c r="B11" s="4" t="s">
        <v>44</v>
      </c>
      <c r="C11" s="240">
        <f>'Rates PGA-1'!E48</f>
        <v>0.18054999999999999</v>
      </c>
      <c r="D11" s="172">
        <f>'Rates PGA-1'!F48*19</f>
        <v>3.4304499999999996</v>
      </c>
      <c r="E11" s="171">
        <f>'Rates PGA-1'!G48</f>
        <v>0.18054999999999999</v>
      </c>
      <c r="F11" s="171">
        <f>'Rates PGA-1'!H48</f>
        <v>0.18054999999999999</v>
      </c>
      <c r="G11" s="171">
        <f>'Rates PGA-1'!I48</f>
        <v>0.18054999999999999</v>
      </c>
      <c r="H11" s="171">
        <f>'Rates PGA-1'!J48</f>
        <v>0.18054999999999999</v>
      </c>
      <c r="I11" s="171">
        <f>'Rates PGA-1'!K48</f>
        <v>0.18054999999999999</v>
      </c>
    </row>
    <row r="12" spans="1:12" s="4" customFormat="1" ht="12.75" customHeight="1" x14ac:dyDescent="0.25">
      <c r="A12" s="26">
        <f>A11+1</f>
        <v>3</v>
      </c>
      <c r="B12" s="4" t="s">
        <v>74</v>
      </c>
      <c r="C12" s="164">
        <f>SUM(C10:C11)</f>
        <v>0.31179999999999997</v>
      </c>
      <c r="D12" s="155">
        <f>ROUND(+D10+D11,2)</f>
        <v>5.92</v>
      </c>
      <c r="E12" s="164">
        <f>SUM(E10:E11)</f>
        <v>0.30423999999999995</v>
      </c>
      <c r="F12" s="164">
        <f>SUM(F10:F11)</f>
        <v>0.21677999999999997</v>
      </c>
      <c r="G12" s="164">
        <f>SUM(G10:G11)</f>
        <v>0.25791999999999998</v>
      </c>
      <c r="H12" s="164">
        <f>SUM(H10:H11)</f>
        <v>0.25578000000000001</v>
      </c>
      <c r="I12" s="164">
        <f>SUM(I10:I11)</f>
        <v>0.25814999999999999</v>
      </c>
    </row>
    <row r="13" spans="1:12" s="4" customFormat="1" ht="12.75" customHeight="1" x14ac:dyDescent="0.25">
      <c r="A13" s="26"/>
      <c r="C13" s="156"/>
      <c r="D13" s="153"/>
      <c r="E13" s="156"/>
      <c r="F13" s="156"/>
      <c r="G13" s="156"/>
      <c r="H13" s="156"/>
      <c r="I13" s="156"/>
    </row>
    <row r="14" spans="1:12" s="4" customFormat="1" ht="12.75" customHeight="1" x14ac:dyDescent="0.25">
      <c r="A14" s="26">
        <f>A12+1</f>
        <v>4</v>
      </c>
      <c r="B14" s="4" t="s">
        <v>81</v>
      </c>
      <c r="C14" s="173">
        <f>'Rates PGA-1'!E51</f>
        <v>0.32665</v>
      </c>
      <c r="D14" s="218">
        <f>'Rates PGA-1'!F52</f>
        <v>6.21</v>
      </c>
      <c r="E14" s="173">
        <f>'Rates PGA-1'!G51</f>
        <v>0.31873000000000001</v>
      </c>
      <c r="F14" s="173">
        <f>'Rates PGA-1'!H51</f>
        <v>0.2271</v>
      </c>
      <c r="G14" s="173">
        <f>'Rates PGA-1'!I51</f>
        <v>0.2702</v>
      </c>
      <c r="H14" s="173">
        <f>'Rates PGA-1'!J51</f>
        <v>0.26795999999999998</v>
      </c>
      <c r="I14" s="173">
        <f>'Rates PGA-1'!K51</f>
        <v>0.27044000000000001</v>
      </c>
    </row>
    <row r="15" spans="1:12" s="4" customFormat="1" ht="12.75" customHeight="1" x14ac:dyDescent="0.25">
      <c r="A15" s="26"/>
      <c r="C15" s="156"/>
      <c r="D15" s="154"/>
      <c r="E15" s="156"/>
      <c r="F15" s="156"/>
      <c r="G15" s="156"/>
      <c r="H15" s="156"/>
      <c r="I15" s="156"/>
    </row>
    <row r="16" spans="1:12" s="4" customFormat="1" ht="12.75" customHeight="1" x14ac:dyDescent="0.25">
      <c r="A16" s="26">
        <f>A14+1</f>
        <v>5</v>
      </c>
      <c r="B16" s="4" t="s">
        <v>76</v>
      </c>
      <c r="C16" s="154"/>
      <c r="D16" s="162"/>
      <c r="E16" s="162"/>
      <c r="F16" s="172">
        <f>'Rates PGA-1'!H43</f>
        <v>1</v>
      </c>
      <c r="G16" s="172">
        <f>'Rates PGA-1'!I43</f>
        <v>1</v>
      </c>
      <c r="H16" s="172">
        <f>'Rates PGA-1'!J43</f>
        <v>1</v>
      </c>
      <c r="I16" s="172">
        <f>'Rates PGA-1'!K43</f>
        <v>1</v>
      </c>
    </row>
    <row r="17" spans="1:12" s="4" customFormat="1" ht="12.75" customHeight="1" x14ac:dyDescent="0.25">
      <c r="A17" s="26">
        <f>A16+1</f>
        <v>6</v>
      </c>
      <c r="B17" s="4" t="s">
        <v>87</v>
      </c>
      <c r="C17" s="154"/>
      <c r="D17" s="162"/>
      <c r="E17" s="162"/>
      <c r="F17" s="172">
        <f>'Rates PGA-1'!H45</f>
        <v>1.05</v>
      </c>
      <c r="G17" s="172">
        <f>'Rates PGA-1'!I45</f>
        <v>1.05</v>
      </c>
      <c r="H17" s="172">
        <f>'Rates PGA-1'!J45</f>
        <v>1.05</v>
      </c>
      <c r="I17" s="172">
        <f>'Rates PGA-1'!K45</f>
        <v>1.05</v>
      </c>
    </row>
    <row r="18" spans="1:12" s="4" customFormat="1" ht="12.75" customHeight="1" x14ac:dyDescent="0.25">
      <c r="A18" s="26"/>
      <c r="C18" s="156"/>
      <c r="D18" s="154"/>
      <c r="E18" s="156"/>
      <c r="F18" s="156"/>
      <c r="G18" s="156"/>
      <c r="H18" s="156"/>
      <c r="I18" s="156"/>
    </row>
    <row r="19" spans="1:12" s="4" customFormat="1" ht="12.75" customHeight="1" x14ac:dyDescent="0.25">
      <c r="A19" s="26">
        <f>A17+1</f>
        <v>7</v>
      </c>
      <c r="B19" s="4" t="s">
        <v>80</v>
      </c>
      <c r="C19" s="171">
        <f>'Rates PGA-1'!E9</f>
        <v>0.12683</v>
      </c>
      <c r="D19" s="172">
        <f>'Rates PGA-1'!F9*19</f>
        <v>2.40977</v>
      </c>
      <c r="E19" s="171">
        <f>'Rates PGA-1'!G9</f>
        <v>0.12073</v>
      </c>
      <c r="F19" s="171">
        <f>'Rates PGA-1'!H9</f>
        <v>3.891E-2</v>
      </c>
      <c r="G19" s="171">
        <f>'Rates PGA-1'!I9</f>
        <v>7.1940000000000004E-2</v>
      </c>
      <c r="H19" s="171">
        <f>'Rates PGA-1'!J9</f>
        <v>7.6840000000000006E-2</v>
      </c>
      <c r="I19" s="171">
        <f>'Rates PGA-1'!K9</f>
        <v>7.5450000000000003E-2</v>
      </c>
    </row>
    <row r="20" spans="1:12" s="4" customFormat="1" ht="12.75" customHeight="1" x14ac:dyDescent="0.25">
      <c r="A20" s="26">
        <f>A19+1</f>
        <v>8</v>
      </c>
      <c r="B20" s="60" t="s">
        <v>42</v>
      </c>
      <c r="C20" s="173">
        <f>'Rates PGA-1'!E31</f>
        <v>0.24068000000000001</v>
      </c>
      <c r="D20" s="174">
        <f>'Rates PGA-1'!F31*19</f>
        <v>4.5729199999999999</v>
      </c>
      <c r="E20" s="173">
        <f>'Rates PGA-1'!G31</f>
        <v>0.24068000000000001</v>
      </c>
      <c r="F20" s="173">
        <f>'Rates PGA-1'!H31</f>
        <v>0.24068000000000001</v>
      </c>
      <c r="G20" s="173">
        <f>'Rates PGA-1'!I31</f>
        <v>0.24068000000000001</v>
      </c>
      <c r="H20" s="173">
        <f>'Rates PGA-1'!J31</f>
        <v>0.24068000000000001</v>
      </c>
      <c r="I20" s="173">
        <f>'Rates PGA-1'!K31</f>
        <v>0.24068000000000001</v>
      </c>
      <c r="J20" s="60"/>
      <c r="K20" s="60"/>
      <c r="L20" s="60"/>
    </row>
    <row r="21" spans="1:12" s="4" customFormat="1" ht="12.75" customHeight="1" x14ac:dyDescent="0.25">
      <c r="A21" s="26">
        <f>A20+1</f>
        <v>9</v>
      </c>
      <c r="B21" s="4" t="s">
        <v>75</v>
      </c>
      <c r="C21" s="164">
        <f>SUM(C19:C20)</f>
        <v>0.36751</v>
      </c>
      <c r="D21" s="155">
        <f>ROUND(+D19+D20,2)</f>
        <v>6.98</v>
      </c>
      <c r="E21" s="164">
        <f>SUM(E19:E20)</f>
        <v>0.36141000000000001</v>
      </c>
      <c r="F21" s="164">
        <f>SUM(F19:F20)</f>
        <v>0.27959000000000001</v>
      </c>
      <c r="G21" s="164">
        <f>SUM(G19:G20)</f>
        <v>0.31262000000000001</v>
      </c>
      <c r="H21" s="164">
        <f>SUM(H19:H20)</f>
        <v>0.31752000000000002</v>
      </c>
      <c r="I21" s="164">
        <f>SUM(I19:I20)</f>
        <v>0.31613000000000002</v>
      </c>
    </row>
    <row r="22" spans="1:12" s="4" customFormat="1" ht="12.75" customHeight="1" x14ac:dyDescent="0.25">
      <c r="A22" s="26"/>
      <c r="C22" s="139"/>
      <c r="D22" s="153"/>
      <c r="E22" s="139"/>
      <c r="F22" s="139"/>
      <c r="G22" s="139"/>
      <c r="H22" s="139"/>
      <c r="I22" s="139"/>
    </row>
    <row r="23" spans="1:12" s="4" customFormat="1" ht="12.75" customHeight="1" x14ac:dyDescent="0.25">
      <c r="A23" s="26">
        <f>+A21+1</f>
        <v>10</v>
      </c>
      <c r="B23" s="4" t="s">
        <v>82</v>
      </c>
      <c r="C23" s="173">
        <f>+'Rates PGA-1'!E53</f>
        <v>0.38446999999999998</v>
      </c>
      <c r="D23" s="218">
        <f>ROUND(+'Rates PGA-1'!F53*19,2)</f>
        <v>7.3</v>
      </c>
      <c r="E23" s="173">
        <f>+'Rates PGA-1'!G53</f>
        <v>0.37808000000000003</v>
      </c>
      <c r="F23" s="173">
        <f>+'Rates PGA-1'!H53</f>
        <v>0.29249000000000003</v>
      </c>
      <c r="G23" s="173">
        <f>+'Rates PGA-1'!I53</f>
        <v>0.32704</v>
      </c>
      <c r="H23" s="173">
        <f>+'Rates PGA-1'!J53</f>
        <v>0.33217000000000002</v>
      </c>
      <c r="I23" s="173">
        <f>+'Rates PGA-1'!K53</f>
        <v>0.33071</v>
      </c>
    </row>
    <row r="24" spans="1:12" s="4" customFormat="1" ht="12.75" customHeight="1" x14ac:dyDescent="0.25">
      <c r="A24" s="26"/>
      <c r="C24" s="156"/>
      <c r="D24" s="162"/>
      <c r="E24" s="139"/>
      <c r="F24" s="139"/>
      <c r="G24" s="139"/>
      <c r="H24" s="139"/>
      <c r="I24" s="139"/>
    </row>
    <row r="25" spans="1:12" s="4" customFormat="1" ht="12.75" customHeight="1" x14ac:dyDescent="0.25">
      <c r="A25" s="26">
        <f>A23+1</f>
        <v>11</v>
      </c>
      <c r="B25" s="4" t="s">
        <v>77</v>
      </c>
      <c r="C25" s="154"/>
      <c r="D25" s="162"/>
      <c r="E25" s="162"/>
      <c r="F25" s="172">
        <f>'Rates PGA-1'!H8</f>
        <v>1</v>
      </c>
      <c r="G25" s="172">
        <f>'Rates PGA-1'!I8</f>
        <v>1</v>
      </c>
      <c r="H25" s="172">
        <f>'Rates PGA-1'!J8</f>
        <v>1</v>
      </c>
      <c r="I25" s="172">
        <f>'Rates PGA-1'!K8</f>
        <v>1</v>
      </c>
    </row>
    <row r="26" spans="1:12" s="4" customFormat="1" ht="12.75" customHeight="1" x14ac:dyDescent="0.25">
      <c r="A26" s="26">
        <f>A25+1</f>
        <v>12</v>
      </c>
      <c r="B26" s="4" t="s">
        <v>88</v>
      </c>
      <c r="C26" s="154"/>
      <c r="D26" s="162"/>
      <c r="E26" s="162"/>
      <c r="F26" s="162">
        <f>F25*(1+$C$36)</f>
        <v>1.0476270000000001</v>
      </c>
      <c r="G26" s="162">
        <f>G25*(1+$C$36)</f>
        <v>1.0476270000000001</v>
      </c>
      <c r="H26" s="162">
        <f>H25*(1+$C$36)</f>
        <v>1.0476270000000001</v>
      </c>
      <c r="I26" s="162">
        <f>I25*(1+$C$36)</f>
        <v>1.0476270000000001</v>
      </c>
    </row>
    <row r="27" spans="1:12" ht="12.75" customHeight="1" x14ac:dyDescent="0.25">
      <c r="A27" s="44"/>
      <c r="C27" s="139"/>
      <c r="D27" s="153"/>
      <c r="E27" s="139"/>
      <c r="F27" s="139"/>
      <c r="G27" s="139"/>
      <c r="H27" s="139"/>
      <c r="I27" s="139"/>
    </row>
    <row r="28" spans="1:12" s="4" customFormat="1" ht="12.75" customHeight="1" x14ac:dyDescent="0.25">
      <c r="A28" s="26">
        <f>A26+1</f>
        <v>13</v>
      </c>
      <c r="B28" s="163" t="s">
        <v>83</v>
      </c>
      <c r="C28" s="139">
        <f>+C12-C21</f>
        <v>-5.5710000000000037E-2</v>
      </c>
      <c r="D28" s="162">
        <f>ROUND(+D12-D21,2)</f>
        <v>-1.06</v>
      </c>
      <c r="E28" s="139">
        <f>+E12-E21</f>
        <v>-5.7170000000000054E-2</v>
      </c>
      <c r="F28" s="139">
        <f>+F12-F21</f>
        <v>-6.2810000000000032E-2</v>
      </c>
      <c r="G28" s="139">
        <f>+G12-G21</f>
        <v>-5.4700000000000026E-2</v>
      </c>
      <c r="H28" s="139">
        <f>+H12-H21</f>
        <v>-6.1740000000000017E-2</v>
      </c>
      <c r="I28" s="139">
        <f>+I12-I21</f>
        <v>-5.7980000000000032E-2</v>
      </c>
    </row>
    <row r="29" spans="1:12" s="4" customFormat="1" ht="12.75" customHeight="1" x14ac:dyDescent="0.25">
      <c r="A29" s="26">
        <f>A28+1</f>
        <v>14</v>
      </c>
      <c r="B29" s="163" t="s">
        <v>84</v>
      </c>
      <c r="C29" s="139">
        <f>+C14-C23</f>
        <v>-5.7819999999999983E-2</v>
      </c>
      <c r="D29" s="162">
        <f>ROUND(+D14-D23,2)</f>
        <v>-1.0900000000000001</v>
      </c>
      <c r="E29" s="139">
        <f>+E14-E23</f>
        <v>-5.9350000000000014E-2</v>
      </c>
      <c r="F29" s="139">
        <f>+F14-F23</f>
        <v>-6.5390000000000031E-2</v>
      </c>
      <c r="G29" s="139">
        <f>+G14-G23</f>
        <v>-5.6840000000000002E-2</v>
      </c>
      <c r="H29" s="139">
        <f>+H14-H23</f>
        <v>-6.4210000000000045E-2</v>
      </c>
      <c r="I29" s="139">
        <f>+I14-I23</f>
        <v>-6.026999999999999E-2</v>
      </c>
    </row>
    <row r="30" spans="1:12" ht="12.75" customHeight="1" x14ac:dyDescent="0.25">
      <c r="A30" s="44"/>
      <c r="B30" s="163"/>
      <c r="C30" s="139"/>
      <c r="D30" s="162"/>
      <c r="E30" s="139"/>
      <c r="F30" s="139"/>
      <c r="G30" s="139"/>
      <c r="H30" s="139"/>
      <c r="I30" s="139"/>
    </row>
    <row r="31" spans="1:12" ht="12.75" customHeight="1" x14ac:dyDescent="0.25">
      <c r="A31" s="26">
        <f>A29+1</f>
        <v>15</v>
      </c>
      <c r="B31" s="163" t="s">
        <v>85</v>
      </c>
      <c r="C31" s="139"/>
      <c r="D31" s="162"/>
      <c r="E31" s="139"/>
      <c r="F31" s="162">
        <f t="shared" ref="F31:I32" si="0">F16-F25</f>
        <v>0</v>
      </c>
      <c r="G31" s="162">
        <f t="shared" si="0"/>
        <v>0</v>
      </c>
      <c r="H31" s="162">
        <f t="shared" si="0"/>
        <v>0</v>
      </c>
      <c r="I31" s="162">
        <f t="shared" si="0"/>
        <v>0</v>
      </c>
    </row>
    <row r="32" spans="1:12" ht="12.75" customHeight="1" x14ac:dyDescent="0.25">
      <c r="A32" s="26">
        <f>A31+1</f>
        <v>16</v>
      </c>
      <c r="B32" s="163" t="s">
        <v>86</v>
      </c>
      <c r="C32" s="139"/>
      <c r="D32" s="162"/>
      <c r="E32" s="139"/>
      <c r="F32" s="162">
        <f t="shared" si="0"/>
        <v>2.3729999999999585E-3</v>
      </c>
      <c r="G32" s="162">
        <f t="shared" si="0"/>
        <v>2.3729999999999585E-3</v>
      </c>
      <c r="H32" s="162">
        <f t="shared" si="0"/>
        <v>2.3729999999999585E-3</v>
      </c>
      <c r="I32" s="162">
        <f t="shared" si="0"/>
        <v>2.3729999999999585E-3</v>
      </c>
    </row>
    <row r="33" spans="1:12" ht="12.75" customHeight="1" x14ac:dyDescent="0.25">
      <c r="A33" s="44"/>
      <c r="B33" s="163"/>
      <c r="C33" s="139"/>
      <c r="D33" s="162"/>
      <c r="E33" s="139"/>
      <c r="F33" s="162"/>
      <c r="G33" s="162"/>
      <c r="H33" s="162"/>
      <c r="I33" s="162"/>
    </row>
    <row r="34" spans="1:12" s="4" customFormat="1" ht="12.75" customHeight="1" x14ac:dyDescent="0.25">
      <c r="A34" s="26">
        <f>A32+1</f>
        <v>17</v>
      </c>
      <c r="B34" s="4" t="s">
        <v>115</v>
      </c>
      <c r="C34" s="284">
        <v>-0.15038884698415997</v>
      </c>
      <c r="D34" s="284">
        <v>-0.15038884698415997</v>
      </c>
      <c r="E34" s="284">
        <v>-0.15697735928903939</v>
      </c>
      <c r="F34" s="284">
        <v>-0.18499448326590659</v>
      </c>
      <c r="G34" s="284">
        <v>-0.17052170521705218</v>
      </c>
      <c r="H34" s="284">
        <v>-0.18826599425321069</v>
      </c>
      <c r="I34" s="284">
        <v>-0.18224426234465238</v>
      </c>
    </row>
    <row r="35" spans="1:12" s="4" customFormat="1" ht="12.75" customHeight="1" x14ac:dyDescent="0.25">
      <c r="A35" s="26"/>
      <c r="C35" s="61"/>
      <c r="D35" s="61"/>
      <c r="E35" s="61"/>
      <c r="F35" s="61"/>
      <c r="G35" s="61"/>
      <c r="H35" s="61"/>
      <c r="I35" s="61"/>
    </row>
    <row r="36" spans="1:12" s="4" customFormat="1" ht="12.75" customHeight="1" x14ac:dyDescent="0.25">
      <c r="A36" s="26">
        <f>A34+1</f>
        <v>18</v>
      </c>
      <c r="B36" s="1" t="s">
        <v>71</v>
      </c>
      <c r="C36" s="261">
        <f>'Rates PGA-1'!D44</f>
        <v>4.7627000000000086E-2</v>
      </c>
      <c r="E36" s="157"/>
      <c r="F36" s="157"/>
      <c r="G36" s="157"/>
      <c r="H36" s="157"/>
      <c r="I36" s="157"/>
    </row>
    <row r="37" spans="1:12" s="4" customFormat="1" ht="12.75" customHeight="1" x14ac:dyDescent="0.25">
      <c r="A37" s="26"/>
      <c r="B37" s="1"/>
      <c r="C37" s="62"/>
      <c r="E37" s="157"/>
      <c r="F37" s="157"/>
      <c r="G37" s="157"/>
      <c r="H37" s="157"/>
      <c r="I37" s="157"/>
    </row>
    <row r="38" spans="1:12" s="4" customFormat="1" ht="12" customHeight="1" x14ac:dyDescent="0.25">
      <c r="A38" s="285" t="s">
        <v>78</v>
      </c>
      <c r="B38" s="1"/>
      <c r="C38" s="225"/>
      <c r="E38" s="157"/>
      <c r="F38" s="157"/>
      <c r="G38" s="157"/>
      <c r="H38" s="157"/>
      <c r="I38" s="157"/>
    </row>
    <row r="39" spans="1:12" s="4" customFormat="1" ht="12.75" customHeight="1" x14ac:dyDescent="0.25">
      <c r="A39" s="285" t="s">
        <v>114</v>
      </c>
      <c r="B39" s="1"/>
      <c r="C39" s="62"/>
      <c r="E39" s="157"/>
      <c r="F39" s="157"/>
      <c r="G39" s="157"/>
      <c r="H39" s="157"/>
      <c r="I39" s="157"/>
    </row>
    <row r="40" spans="1:12" ht="113.25" customHeight="1" x14ac:dyDescent="0.25">
      <c r="D40" s="4"/>
      <c r="E40" s="4"/>
      <c r="F40" s="4"/>
      <c r="G40" s="4"/>
      <c r="J40" s="260" t="s">
        <v>0</v>
      </c>
      <c r="K40" s="259" t="s">
        <v>156</v>
      </c>
      <c r="L40" s="226" t="s">
        <v>169</v>
      </c>
    </row>
    <row r="43" spans="1:12" x14ac:dyDescent="0.25">
      <c r="A43" s="206" t="s">
        <v>157</v>
      </c>
    </row>
  </sheetData>
  <mergeCells count="1">
    <mergeCell ref="C7:D7"/>
  </mergeCells>
  <phoneticPr fontId="5" type="noConversion"/>
  <printOptions horizontalCentered="1"/>
  <pageMargins left="0.75" right="0.75" top="1" bottom="1" header="0.5" footer="0.5"/>
  <pageSetup scale="76" orientation="landscape" blackAndWhite="1" r:id="rId1"/>
  <headerFooter alignWithMargins="0">
    <oddFooter>&amp;L&amp;F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66"/>
  <sheetViews>
    <sheetView topLeftCell="A34" zoomScaleNormal="100" workbookViewId="0">
      <selection activeCell="H47" sqref="H47"/>
    </sheetView>
  </sheetViews>
  <sheetFormatPr defaultColWidth="9.109375" defaultRowHeight="13.2" x14ac:dyDescent="0.25"/>
  <cols>
    <col min="1" max="1" width="12" style="30" customWidth="1"/>
    <col min="2" max="2" width="12.6640625" style="30" bestFit="1" customWidth="1"/>
    <col min="3" max="3" width="13.33203125" style="30" bestFit="1" customWidth="1"/>
    <col min="4" max="4" width="13.44140625" style="30" bestFit="1" customWidth="1"/>
    <col min="5" max="5" width="13.33203125" style="30" bestFit="1" customWidth="1"/>
    <col min="6" max="6" width="12.6640625" style="30" bestFit="1" customWidth="1"/>
    <col min="7" max="7" width="11.88671875" style="30" bestFit="1" customWidth="1"/>
    <col min="8" max="8" width="12" style="30" bestFit="1" customWidth="1"/>
    <col min="9" max="9" width="12.5546875" style="30" bestFit="1" customWidth="1"/>
    <col min="10" max="10" width="13.33203125" style="30" bestFit="1" customWidth="1"/>
    <col min="11" max="11" width="12.44140625" style="30" bestFit="1" customWidth="1"/>
    <col min="12" max="13" width="12" style="30" bestFit="1" customWidth="1"/>
    <col min="14" max="14" width="13.44140625" style="30" bestFit="1" customWidth="1"/>
    <col min="15" max="17" width="5.44140625" style="30" customWidth="1"/>
    <col min="18" max="18" width="6" style="30" bestFit="1" customWidth="1"/>
    <col min="19" max="30" width="11.33203125" style="30" bestFit="1" customWidth="1"/>
    <col min="31" max="16384" width="9.109375" style="30"/>
  </cols>
  <sheetData>
    <row r="1" spans="1:30" ht="15.6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7"/>
    </row>
    <row r="2" spans="1:30" s="243" customFormat="1" ht="15.6" x14ac:dyDescent="0.3">
      <c r="A2" s="51" t="s">
        <v>164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30" ht="15.6" x14ac:dyDescent="0.3">
      <c r="A3" s="20" t="s">
        <v>119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30" ht="15.6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167"/>
      <c r="L4" s="39"/>
      <c r="M4" s="39"/>
      <c r="N4" s="39"/>
      <c r="O4" s="39"/>
      <c r="P4" s="39"/>
    </row>
    <row r="5" spans="1:30" x14ac:dyDescent="0.25">
      <c r="A5" s="38" t="s">
        <v>58</v>
      </c>
      <c r="G5" s="38"/>
      <c r="H5" s="38"/>
    </row>
    <row r="6" spans="1:30" x14ac:dyDescent="0.25">
      <c r="A6" s="53" t="s">
        <v>57</v>
      </c>
      <c r="B6" s="179">
        <v>43405</v>
      </c>
      <c r="C6" s="179">
        <f>EDATE(B6,1)</f>
        <v>43435</v>
      </c>
      <c r="D6" s="179">
        <f t="shared" ref="D6:M6" si="0">EDATE(C6,1)</f>
        <v>43466</v>
      </c>
      <c r="E6" s="179">
        <f t="shared" si="0"/>
        <v>43497</v>
      </c>
      <c r="F6" s="179">
        <f t="shared" si="0"/>
        <v>43525</v>
      </c>
      <c r="G6" s="179">
        <f t="shared" si="0"/>
        <v>43556</v>
      </c>
      <c r="H6" s="179">
        <f t="shared" si="0"/>
        <v>43586</v>
      </c>
      <c r="I6" s="179">
        <f t="shared" si="0"/>
        <v>43617</v>
      </c>
      <c r="J6" s="179">
        <f t="shared" si="0"/>
        <v>43647</v>
      </c>
      <c r="K6" s="179">
        <f t="shared" si="0"/>
        <v>43678</v>
      </c>
      <c r="L6" s="179">
        <f t="shared" si="0"/>
        <v>43709</v>
      </c>
      <c r="M6" s="179">
        <f t="shared" si="0"/>
        <v>43739</v>
      </c>
      <c r="N6" s="53" t="s">
        <v>7</v>
      </c>
    </row>
    <row r="7" spans="1:30" x14ac:dyDescent="0.25">
      <c r="A7" s="35">
        <v>23</v>
      </c>
      <c r="B7" s="276">
        <v>79244239</v>
      </c>
      <c r="C7" s="276">
        <v>102502101</v>
      </c>
      <c r="D7" s="276">
        <v>95894421</v>
      </c>
      <c r="E7" s="276">
        <v>81791942</v>
      </c>
      <c r="F7" s="276">
        <v>72753404</v>
      </c>
      <c r="G7" s="276">
        <v>52270286</v>
      </c>
      <c r="H7" s="276">
        <v>31121542</v>
      </c>
      <c r="I7" s="276">
        <v>20769735</v>
      </c>
      <c r="J7" s="276">
        <v>14916126</v>
      </c>
      <c r="K7" s="276">
        <v>14168135</v>
      </c>
      <c r="L7" s="276">
        <v>19776922</v>
      </c>
      <c r="M7" s="276">
        <v>45189013</v>
      </c>
      <c r="N7" s="40">
        <f>SUM($B7:M7)</f>
        <v>630397866</v>
      </c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</row>
    <row r="8" spans="1:30" x14ac:dyDescent="0.25">
      <c r="A8" s="35">
        <v>16</v>
      </c>
      <c r="B8" s="276">
        <v>690</v>
      </c>
      <c r="C8" s="276">
        <v>845</v>
      </c>
      <c r="D8" s="276">
        <v>1012</v>
      </c>
      <c r="E8" s="276">
        <v>557</v>
      </c>
      <c r="F8" s="276">
        <v>918</v>
      </c>
      <c r="G8" s="276">
        <v>727</v>
      </c>
      <c r="H8" s="276">
        <v>657</v>
      </c>
      <c r="I8" s="276">
        <v>840</v>
      </c>
      <c r="J8" s="276">
        <v>1066</v>
      </c>
      <c r="K8" s="276">
        <v>885</v>
      </c>
      <c r="L8" s="276">
        <v>862</v>
      </c>
      <c r="M8" s="276">
        <v>666</v>
      </c>
      <c r="N8" s="40">
        <f>SUM($B8:M8)</f>
        <v>9725</v>
      </c>
      <c r="O8" s="221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</row>
    <row r="9" spans="1:30" x14ac:dyDescent="0.25">
      <c r="A9" s="35">
        <v>31</v>
      </c>
      <c r="B9" s="276">
        <v>27413893</v>
      </c>
      <c r="C9" s="276">
        <v>35450290</v>
      </c>
      <c r="D9" s="276">
        <v>33272920</v>
      </c>
      <c r="E9" s="276">
        <v>29057484</v>
      </c>
      <c r="F9" s="276">
        <v>26163641</v>
      </c>
      <c r="G9" s="276">
        <v>19953166</v>
      </c>
      <c r="H9" s="276">
        <v>13227705</v>
      </c>
      <c r="I9" s="276">
        <v>9701489</v>
      </c>
      <c r="J9" s="276">
        <v>8057195</v>
      </c>
      <c r="K9" s="276">
        <v>8321983</v>
      </c>
      <c r="L9" s="276">
        <v>9537729</v>
      </c>
      <c r="M9" s="276">
        <v>16962689</v>
      </c>
      <c r="N9" s="40">
        <f>SUM($B9:M9)</f>
        <v>237120184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</row>
    <row r="10" spans="1:30" x14ac:dyDescent="0.25">
      <c r="A10" s="35">
        <v>41</v>
      </c>
      <c r="B10" s="276">
        <v>7054105</v>
      </c>
      <c r="C10" s="276">
        <v>8110891</v>
      </c>
      <c r="D10" s="276">
        <v>8282622</v>
      </c>
      <c r="E10" s="276">
        <v>6812033</v>
      </c>
      <c r="F10" s="276">
        <v>7215503</v>
      </c>
      <c r="G10" s="276">
        <v>5830492</v>
      </c>
      <c r="H10" s="276">
        <v>4904026</v>
      </c>
      <c r="I10" s="276">
        <v>4004598</v>
      </c>
      <c r="J10" s="276">
        <v>3002032</v>
      </c>
      <c r="K10" s="276">
        <v>2916178</v>
      </c>
      <c r="L10" s="276">
        <v>3858550</v>
      </c>
      <c r="M10" s="276">
        <v>5671332</v>
      </c>
      <c r="N10" s="40">
        <f>SUM($B10:M10)</f>
        <v>67662362</v>
      </c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</row>
    <row r="11" spans="1:30" x14ac:dyDescent="0.25">
      <c r="A11" s="35">
        <v>85</v>
      </c>
      <c r="B11" s="276">
        <v>1712897</v>
      </c>
      <c r="C11" s="276">
        <v>1440898</v>
      </c>
      <c r="D11" s="276">
        <v>2906663</v>
      </c>
      <c r="E11" s="276">
        <v>1219367</v>
      </c>
      <c r="F11" s="276">
        <v>1324318</v>
      </c>
      <c r="G11" s="276">
        <v>1639977</v>
      </c>
      <c r="H11" s="276">
        <v>841002</v>
      </c>
      <c r="I11" s="276">
        <v>890204</v>
      </c>
      <c r="J11" s="276">
        <v>444047</v>
      </c>
      <c r="K11" s="276">
        <v>758849</v>
      </c>
      <c r="L11" s="276">
        <v>1002262</v>
      </c>
      <c r="M11" s="276">
        <v>1787232</v>
      </c>
      <c r="N11" s="40">
        <f>SUM($B11:M11)</f>
        <v>15967716</v>
      </c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</row>
    <row r="12" spans="1:30" x14ac:dyDescent="0.25">
      <c r="A12" s="35">
        <v>86</v>
      </c>
      <c r="B12" s="276">
        <v>826457</v>
      </c>
      <c r="C12" s="276">
        <v>1022260</v>
      </c>
      <c r="D12" s="276">
        <v>1262176</v>
      </c>
      <c r="E12" s="276">
        <v>1409579</v>
      </c>
      <c r="F12" s="276">
        <v>969069</v>
      </c>
      <c r="G12" s="276">
        <v>943910</v>
      </c>
      <c r="H12" s="276">
        <v>666928</v>
      </c>
      <c r="I12" s="276">
        <v>338042</v>
      </c>
      <c r="J12" s="276">
        <v>274417</v>
      </c>
      <c r="K12" s="276">
        <v>309790</v>
      </c>
      <c r="L12" s="276">
        <v>455112</v>
      </c>
      <c r="M12" s="276">
        <v>853434</v>
      </c>
      <c r="N12" s="40">
        <f>SUM($B12:M12)</f>
        <v>9331174</v>
      </c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</row>
    <row r="13" spans="1:30" x14ac:dyDescent="0.25">
      <c r="A13" s="35">
        <v>87</v>
      </c>
      <c r="B13" s="276">
        <v>2297785</v>
      </c>
      <c r="C13" s="276">
        <v>3347354</v>
      </c>
      <c r="D13" s="276">
        <v>1515121</v>
      </c>
      <c r="E13" s="276">
        <v>2587892</v>
      </c>
      <c r="F13" s="276">
        <v>2755225</v>
      </c>
      <c r="G13" s="276">
        <v>1503542</v>
      </c>
      <c r="H13" s="276">
        <v>1771103</v>
      </c>
      <c r="I13" s="276">
        <v>1290116</v>
      </c>
      <c r="J13" s="276">
        <v>1475682</v>
      </c>
      <c r="K13" s="276">
        <v>1041468</v>
      </c>
      <c r="L13" s="276">
        <v>1068554</v>
      </c>
      <c r="M13" s="276">
        <v>1488287</v>
      </c>
      <c r="N13" s="40">
        <f>SUM($B13:M13)</f>
        <v>22142129</v>
      </c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</row>
    <row r="14" spans="1:30" x14ac:dyDescent="0.25">
      <c r="A14" s="30" t="s">
        <v>2</v>
      </c>
      <c r="B14" s="149">
        <f>SUM(B7:B13)</f>
        <v>118550066</v>
      </c>
      <c r="C14" s="149">
        <f t="shared" ref="C14:M14" si="1">SUM(C7:C13)</f>
        <v>151874639</v>
      </c>
      <c r="D14" s="149">
        <f t="shared" si="1"/>
        <v>143134935</v>
      </c>
      <c r="E14" s="149">
        <f t="shared" si="1"/>
        <v>122878854</v>
      </c>
      <c r="F14" s="149">
        <f t="shared" si="1"/>
        <v>111182078</v>
      </c>
      <c r="G14" s="149">
        <f t="shared" si="1"/>
        <v>82142100</v>
      </c>
      <c r="H14" s="149">
        <f t="shared" si="1"/>
        <v>52532963</v>
      </c>
      <c r="I14" s="149">
        <f t="shared" si="1"/>
        <v>36995024</v>
      </c>
      <c r="J14" s="149">
        <f t="shared" si="1"/>
        <v>28170565</v>
      </c>
      <c r="K14" s="149">
        <f t="shared" si="1"/>
        <v>27517288</v>
      </c>
      <c r="L14" s="149">
        <f t="shared" si="1"/>
        <v>35699991</v>
      </c>
      <c r="M14" s="149">
        <f t="shared" si="1"/>
        <v>71952653</v>
      </c>
      <c r="N14" s="149">
        <f>SUM(N7:N13)</f>
        <v>982631156</v>
      </c>
      <c r="O14" s="40"/>
      <c r="P14" s="41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</row>
    <row r="15" spans="1:30" x14ac:dyDescent="0.25"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P15" s="40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</row>
    <row r="16" spans="1:30" x14ac:dyDescent="0.25">
      <c r="A16" s="44" t="s">
        <v>110</v>
      </c>
      <c r="B16" s="276">
        <v>16511885</v>
      </c>
      <c r="C16" s="276">
        <v>17492117</v>
      </c>
      <c r="D16" s="276">
        <v>18337092</v>
      </c>
      <c r="E16" s="276">
        <v>17081257</v>
      </c>
      <c r="F16" s="276">
        <v>19169527</v>
      </c>
      <c r="G16" s="276">
        <v>17665299</v>
      </c>
      <c r="H16" s="276">
        <v>17316607</v>
      </c>
      <c r="I16" s="276">
        <v>16122993</v>
      </c>
      <c r="J16" s="276">
        <v>15954319</v>
      </c>
      <c r="K16" s="276">
        <v>16050482</v>
      </c>
      <c r="L16" s="276">
        <v>16038227</v>
      </c>
      <c r="M16" s="276">
        <v>16239881</v>
      </c>
      <c r="N16" s="169">
        <f>SUM(B16:M16)</f>
        <v>203979686</v>
      </c>
      <c r="P16" s="42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</row>
    <row r="17" spans="1:14" x14ac:dyDescent="0.25"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</row>
    <row r="18" spans="1:14" x14ac:dyDescent="0.25">
      <c r="A18" s="38" t="s">
        <v>39</v>
      </c>
      <c r="E18" s="168"/>
      <c r="F18" s="168"/>
      <c r="G18" s="168"/>
      <c r="H18" s="168"/>
      <c r="I18" s="168"/>
      <c r="J18" s="168"/>
      <c r="K18" s="168"/>
      <c r="L18" s="168"/>
      <c r="M18" s="168"/>
      <c r="N18" s="4"/>
    </row>
    <row r="19" spans="1:14" x14ac:dyDescent="0.25">
      <c r="A19" s="43" t="s">
        <v>40</v>
      </c>
      <c r="C19" s="150"/>
      <c r="D19" s="150"/>
      <c r="E19" s="150"/>
      <c r="F19" s="150"/>
      <c r="G19" s="150"/>
      <c r="H19" s="150"/>
      <c r="I19" s="150"/>
      <c r="J19" s="53"/>
    </row>
    <row r="20" spans="1:14" x14ac:dyDescent="0.25">
      <c r="A20" s="43" t="s">
        <v>41</v>
      </c>
      <c r="C20" s="40">
        <f>SUM($B$7:$M$7)</f>
        <v>630397866</v>
      </c>
      <c r="D20" s="40">
        <f>SUM($B$8:$M$8)</f>
        <v>9725</v>
      </c>
      <c r="E20" s="40">
        <f>SUM($B$9:$M$9)</f>
        <v>237120184</v>
      </c>
      <c r="F20" s="40">
        <f>SUM($B$10:$M$10)</f>
        <v>67662362</v>
      </c>
      <c r="G20" s="40">
        <f>SUM($B$11:$M$11)</f>
        <v>15967716</v>
      </c>
      <c r="H20" s="40">
        <f>SUM($B$12:$M$12)</f>
        <v>9331174</v>
      </c>
      <c r="I20" s="40">
        <f>SUM($B$13:$M$13)</f>
        <v>22142129</v>
      </c>
      <c r="J20" s="41">
        <f>SUM(C20:I20)</f>
        <v>982631156</v>
      </c>
    </row>
    <row r="21" spans="1:14" x14ac:dyDescent="0.25">
      <c r="A21" s="43"/>
    </row>
    <row r="22" spans="1:14" x14ac:dyDescent="0.25">
      <c r="A22" s="38" t="s">
        <v>120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</row>
    <row r="23" spans="1:14" x14ac:dyDescent="0.25">
      <c r="A23" s="206"/>
      <c r="B23" s="230">
        <f>B6</f>
        <v>43405</v>
      </c>
      <c r="C23" s="230">
        <f t="shared" ref="C23:M23" si="2">C6</f>
        <v>43435</v>
      </c>
      <c r="D23" s="230">
        <f t="shared" si="2"/>
        <v>43466</v>
      </c>
      <c r="E23" s="230">
        <f t="shared" si="2"/>
        <v>43497</v>
      </c>
      <c r="F23" s="230">
        <f t="shared" si="2"/>
        <v>43525</v>
      </c>
      <c r="G23" s="230">
        <f t="shared" si="2"/>
        <v>43556</v>
      </c>
      <c r="H23" s="230">
        <f t="shared" si="2"/>
        <v>43586</v>
      </c>
      <c r="I23" s="230">
        <f t="shared" si="2"/>
        <v>43617</v>
      </c>
      <c r="J23" s="230">
        <f t="shared" si="2"/>
        <v>43647</v>
      </c>
      <c r="K23" s="230">
        <f t="shared" si="2"/>
        <v>43678</v>
      </c>
      <c r="L23" s="230">
        <f t="shared" si="2"/>
        <v>43709</v>
      </c>
      <c r="M23" s="230">
        <f t="shared" si="2"/>
        <v>43739</v>
      </c>
      <c r="N23" s="229" t="s">
        <v>34</v>
      </c>
    </row>
    <row r="24" spans="1:14" x14ac:dyDescent="0.25">
      <c r="A24" s="45" t="s">
        <v>12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</row>
    <row r="25" spans="1:14" x14ac:dyDescent="0.25">
      <c r="A25" s="231">
        <v>23</v>
      </c>
      <c r="B25" s="276">
        <v>774551</v>
      </c>
      <c r="C25" s="276">
        <v>776182</v>
      </c>
      <c r="D25" s="276">
        <v>777986</v>
      </c>
      <c r="E25" s="276">
        <v>779133</v>
      </c>
      <c r="F25" s="276">
        <v>779500</v>
      </c>
      <c r="G25" s="276">
        <v>779859</v>
      </c>
      <c r="H25" s="276">
        <v>780208</v>
      </c>
      <c r="I25" s="276">
        <v>780539</v>
      </c>
      <c r="J25" s="276">
        <v>780265</v>
      </c>
      <c r="K25" s="276">
        <v>780566</v>
      </c>
      <c r="L25" s="276">
        <v>780861</v>
      </c>
      <c r="M25" s="276">
        <v>782460</v>
      </c>
      <c r="N25" s="232">
        <f>AVERAGE(B25:M25)</f>
        <v>779342.5</v>
      </c>
    </row>
    <row r="26" spans="1:14" x14ac:dyDescent="0.25">
      <c r="A26" s="242" t="s">
        <v>121</v>
      </c>
      <c r="B26" s="232">
        <f>ROUND(+B8/19,0)</f>
        <v>36</v>
      </c>
      <c r="C26" s="232">
        <f t="shared" ref="C26:L26" si="3">ROUND(+C8/19,0)</f>
        <v>44</v>
      </c>
      <c r="D26" s="232">
        <f t="shared" si="3"/>
        <v>53</v>
      </c>
      <c r="E26" s="232">
        <f t="shared" si="3"/>
        <v>29</v>
      </c>
      <c r="F26" s="232">
        <f t="shared" si="3"/>
        <v>48</v>
      </c>
      <c r="G26" s="232">
        <f t="shared" si="3"/>
        <v>38</v>
      </c>
      <c r="H26" s="232">
        <f t="shared" si="3"/>
        <v>35</v>
      </c>
      <c r="I26" s="232">
        <f t="shared" si="3"/>
        <v>44</v>
      </c>
      <c r="J26" s="232">
        <f t="shared" si="3"/>
        <v>56</v>
      </c>
      <c r="K26" s="232">
        <f t="shared" si="3"/>
        <v>47</v>
      </c>
      <c r="L26" s="232">
        <f t="shared" si="3"/>
        <v>45</v>
      </c>
      <c r="M26" s="232">
        <f>ROUND(+M8/19,0)</f>
        <v>35</v>
      </c>
      <c r="N26" s="232">
        <f>AVERAGE(B26:M26)</f>
        <v>42.5</v>
      </c>
    </row>
    <row r="27" spans="1:14" x14ac:dyDescent="0.25">
      <c r="A27" s="206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</row>
    <row r="28" spans="1:14" x14ac:dyDescent="0.25">
      <c r="A28" s="45" t="s">
        <v>32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</row>
    <row r="29" spans="1:14" x14ac:dyDescent="0.25">
      <c r="A29" s="231">
        <v>31</v>
      </c>
      <c r="B29" s="276">
        <v>56724</v>
      </c>
      <c r="C29" s="276">
        <v>56865</v>
      </c>
      <c r="D29" s="276">
        <v>56962</v>
      </c>
      <c r="E29" s="276">
        <v>57032</v>
      </c>
      <c r="F29" s="276">
        <v>57058</v>
      </c>
      <c r="G29" s="276">
        <v>57025</v>
      </c>
      <c r="H29" s="276">
        <v>56989</v>
      </c>
      <c r="I29" s="276">
        <v>56943</v>
      </c>
      <c r="J29" s="276">
        <v>56903</v>
      </c>
      <c r="K29" s="276">
        <v>56849</v>
      </c>
      <c r="L29" s="276">
        <v>56835</v>
      </c>
      <c r="M29" s="276">
        <v>56903</v>
      </c>
      <c r="N29" s="232">
        <f>AVERAGE(B29:M29)</f>
        <v>56924</v>
      </c>
    </row>
    <row r="30" spans="1:14" x14ac:dyDescent="0.25">
      <c r="A30" s="231">
        <v>41</v>
      </c>
      <c r="B30" s="276">
        <v>1350</v>
      </c>
      <c r="C30" s="276">
        <v>1348</v>
      </c>
      <c r="D30" s="276">
        <v>1356</v>
      </c>
      <c r="E30" s="276">
        <v>1351</v>
      </c>
      <c r="F30" s="276">
        <v>1353</v>
      </c>
      <c r="G30" s="276">
        <v>1344</v>
      </c>
      <c r="H30" s="276">
        <v>1338</v>
      </c>
      <c r="I30" s="276">
        <v>1340</v>
      </c>
      <c r="J30" s="276">
        <v>1337</v>
      </c>
      <c r="K30" s="276">
        <v>1332</v>
      </c>
      <c r="L30" s="276">
        <v>1340</v>
      </c>
      <c r="M30" s="276">
        <v>1344</v>
      </c>
      <c r="N30" s="232">
        <f>AVERAGE(B30:M30)</f>
        <v>1344.4166666666667</v>
      </c>
    </row>
    <row r="31" spans="1:14" x14ac:dyDescent="0.25">
      <c r="A31" s="23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4" x14ac:dyDescent="0.25">
      <c r="A32" s="231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</row>
    <row r="33" spans="1:14" x14ac:dyDescent="0.25">
      <c r="A33" s="45" t="s">
        <v>14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</row>
    <row r="34" spans="1:14" x14ac:dyDescent="0.25">
      <c r="A34" s="231">
        <v>85</v>
      </c>
      <c r="B34" s="276">
        <v>29</v>
      </c>
      <c r="C34" s="276">
        <v>29</v>
      </c>
      <c r="D34" s="276">
        <v>29</v>
      </c>
      <c r="E34" s="276">
        <v>29</v>
      </c>
      <c r="F34" s="276">
        <v>29</v>
      </c>
      <c r="G34" s="276">
        <v>29</v>
      </c>
      <c r="H34" s="276">
        <v>29</v>
      </c>
      <c r="I34" s="276">
        <v>29</v>
      </c>
      <c r="J34" s="276">
        <v>29</v>
      </c>
      <c r="K34" s="276">
        <v>29</v>
      </c>
      <c r="L34" s="276">
        <v>29</v>
      </c>
      <c r="M34" s="276">
        <v>29</v>
      </c>
      <c r="N34" s="232">
        <f>AVERAGE(B34:M34)</f>
        <v>29</v>
      </c>
    </row>
    <row r="35" spans="1:14" x14ac:dyDescent="0.25">
      <c r="A35" s="231">
        <v>86</v>
      </c>
      <c r="B35" s="276">
        <v>219</v>
      </c>
      <c r="C35" s="276">
        <v>218</v>
      </c>
      <c r="D35" s="276">
        <v>217</v>
      </c>
      <c r="E35" s="276">
        <v>216</v>
      </c>
      <c r="F35" s="276">
        <v>216</v>
      </c>
      <c r="G35" s="276">
        <v>215</v>
      </c>
      <c r="H35" s="276">
        <v>214</v>
      </c>
      <c r="I35" s="276">
        <v>213</v>
      </c>
      <c r="J35" s="276">
        <v>213</v>
      </c>
      <c r="K35" s="276">
        <v>212</v>
      </c>
      <c r="L35" s="276">
        <v>211</v>
      </c>
      <c r="M35" s="276">
        <v>210</v>
      </c>
      <c r="N35" s="232">
        <f>AVERAGE(B35:M35)</f>
        <v>214.5</v>
      </c>
    </row>
    <row r="36" spans="1:14" x14ac:dyDescent="0.25">
      <c r="A36" s="231">
        <v>87</v>
      </c>
      <c r="B36" s="276">
        <v>5</v>
      </c>
      <c r="C36" s="276">
        <v>5</v>
      </c>
      <c r="D36" s="276">
        <v>5</v>
      </c>
      <c r="E36" s="276">
        <v>5</v>
      </c>
      <c r="F36" s="276">
        <v>5</v>
      </c>
      <c r="G36" s="276">
        <v>5</v>
      </c>
      <c r="H36" s="276">
        <v>5</v>
      </c>
      <c r="I36" s="276">
        <v>5</v>
      </c>
      <c r="J36" s="276">
        <v>5</v>
      </c>
      <c r="K36" s="276">
        <v>5</v>
      </c>
      <c r="L36" s="276">
        <v>5</v>
      </c>
      <c r="M36" s="276">
        <v>5</v>
      </c>
      <c r="N36" s="232">
        <f>AVERAGE(B36:M36)</f>
        <v>5</v>
      </c>
    </row>
    <row r="37" spans="1:14" x14ac:dyDescent="0.25">
      <c r="A37" s="206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33"/>
    </row>
    <row r="38" spans="1:14" x14ac:dyDescent="0.25">
      <c r="A38" s="206" t="s">
        <v>7</v>
      </c>
      <c r="B38" s="232">
        <f>SUM(B34:B36,B29:B30,B25:B26)</f>
        <v>832914</v>
      </c>
      <c r="C38" s="232">
        <f t="shared" ref="C38:K38" si="4">SUM(C34:C36,C29:C31,C25:C26)</f>
        <v>834691</v>
      </c>
      <c r="D38" s="232">
        <f>SUM(D34:D36,D29:D31,D25:D26)</f>
        <v>836608</v>
      </c>
      <c r="E38" s="232">
        <f t="shared" si="4"/>
        <v>837795</v>
      </c>
      <c r="F38" s="232">
        <f t="shared" si="4"/>
        <v>838209</v>
      </c>
      <c r="G38" s="232">
        <f t="shared" si="4"/>
        <v>838515</v>
      </c>
      <c r="H38" s="232">
        <f t="shared" si="4"/>
        <v>838818</v>
      </c>
      <c r="I38" s="232">
        <f t="shared" si="4"/>
        <v>839113</v>
      </c>
      <c r="J38" s="232">
        <f t="shared" si="4"/>
        <v>838808</v>
      </c>
      <c r="K38" s="232">
        <f t="shared" si="4"/>
        <v>839040</v>
      </c>
      <c r="L38" s="232">
        <f>SUM(L34:L36,L29:L31,L25:L26)</f>
        <v>839326</v>
      </c>
      <c r="M38" s="232">
        <f>SUM(M34:M36,M29:M31,M25:M26)</f>
        <v>840986</v>
      </c>
      <c r="N38" s="232">
        <f>SUM(N34:N36,N29:N31,N25:N26)</f>
        <v>837901.91666666663</v>
      </c>
    </row>
    <row r="39" spans="1:14" x14ac:dyDescent="0.25">
      <c r="A39" s="4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4"/>
    </row>
    <row r="40" spans="1:14" x14ac:dyDescent="0.25">
      <c r="A40" s="206" t="s">
        <v>122</v>
      </c>
    </row>
    <row r="42" spans="1:14" x14ac:dyDescent="0.25">
      <c r="A42" s="243" t="s">
        <v>163</v>
      </c>
    </row>
    <row r="44" spans="1:14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4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9" spans="1:14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3" spans="1:14" x14ac:dyDescent="0.25">
      <c r="A53" s="3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x14ac:dyDescent="0.25">
      <c r="A54" s="3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x14ac:dyDescent="0.25">
      <c r="A56" s="3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x14ac:dyDescent="0.25">
      <c r="A57" s="3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x14ac:dyDescent="0.25">
      <c r="A58" s="3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x14ac:dyDescent="0.25">
      <c r="A59" s="3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x14ac:dyDescent="0.25">
      <c r="A60" s="3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x14ac:dyDescent="0.25">
      <c r="A61" s="3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x14ac:dyDescent="0.25">
      <c r="A62" s="3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5" spans="2:14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</sheetData>
  <phoneticPr fontId="5" type="noConversion"/>
  <printOptions horizontalCentered="1"/>
  <pageMargins left="0.75" right="0.75" top="1" bottom="1" header="0.5" footer="0.5"/>
  <pageSetup scale="69" orientation="landscape" blackAndWhite="1" r:id="rId1"/>
  <headerFooter alignWithMargins="0">
    <oddFooter>&amp;L&amp;F 
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30"/>
  <sheetViews>
    <sheetView topLeftCell="A16" workbookViewId="0">
      <selection activeCell="F8" sqref="F8"/>
    </sheetView>
  </sheetViews>
  <sheetFormatPr defaultColWidth="9.109375" defaultRowHeight="13.2" x14ac:dyDescent="0.25"/>
  <cols>
    <col min="1" max="1" width="5.5546875" style="1" customWidth="1"/>
    <col min="2" max="2" width="12.6640625" style="47" customWidth="1"/>
    <col min="3" max="3" width="2.109375" style="1" customWidth="1"/>
    <col min="4" max="4" width="9.6640625" style="1" bestFit="1" customWidth="1"/>
    <col min="5" max="5" width="10.33203125" style="1" bestFit="1" customWidth="1"/>
    <col min="6" max="6" width="12.33203125" style="1" bestFit="1" customWidth="1"/>
    <col min="7" max="7" width="2" style="1" customWidth="1"/>
    <col min="8" max="8" width="14.88671875" style="1" bestFit="1" customWidth="1"/>
    <col min="9" max="9" width="12.6640625" style="1" bestFit="1" customWidth="1"/>
    <col min="10" max="10" width="2.109375" style="2" customWidth="1"/>
    <col min="11" max="11" width="14" style="1" bestFit="1" customWidth="1"/>
    <col min="12" max="12" width="14.5546875" style="1" bestFit="1" customWidth="1"/>
    <col min="13" max="13" width="12.88671875" style="1" bestFit="1" customWidth="1"/>
    <col min="14" max="15" width="3.33203125" style="1" bestFit="1" customWidth="1"/>
    <col min="16" max="16" width="3.33203125" style="1" customWidth="1"/>
    <col min="17" max="17" width="9.5546875" style="1" bestFit="1" customWidth="1"/>
    <col min="18" max="16384" width="9.109375" style="1"/>
  </cols>
  <sheetData>
    <row r="1" spans="1:16" ht="18" customHeight="1" x14ac:dyDescent="0.3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63"/>
    </row>
    <row r="2" spans="1:16" ht="15.6" x14ac:dyDescent="0.3">
      <c r="A2" s="51" t="s">
        <v>165</v>
      </c>
      <c r="B2" s="19"/>
      <c r="C2" s="64"/>
      <c r="D2" s="64"/>
      <c r="E2" s="64"/>
      <c r="F2" s="64"/>
      <c r="G2" s="64"/>
      <c r="H2" s="64"/>
      <c r="I2" s="64"/>
      <c r="J2" s="134"/>
      <c r="K2" s="64"/>
      <c r="L2" s="64"/>
      <c r="M2" s="64"/>
      <c r="N2" s="63"/>
    </row>
    <row r="3" spans="1:16" ht="15.6" x14ac:dyDescent="0.3">
      <c r="A3" s="65" t="s">
        <v>60</v>
      </c>
      <c r="B3" s="19"/>
      <c r="C3" s="19"/>
      <c r="D3" s="19"/>
      <c r="E3" s="19"/>
      <c r="F3" s="19"/>
      <c r="G3" s="66"/>
      <c r="H3" s="67"/>
      <c r="I3" s="67"/>
      <c r="J3" s="135"/>
      <c r="K3" s="68"/>
      <c r="L3" s="69"/>
      <c r="M3" s="69"/>
      <c r="N3" s="63"/>
    </row>
    <row r="4" spans="1:16" x14ac:dyDescent="0.25">
      <c r="K4" s="70"/>
      <c r="L4" s="71"/>
      <c r="M4" s="71"/>
    </row>
    <row r="5" spans="1:16" x14ac:dyDescent="0.25">
      <c r="D5" s="9" t="s">
        <v>72</v>
      </c>
      <c r="E5" s="9"/>
      <c r="F5" s="9"/>
      <c r="H5" s="130" t="s">
        <v>26</v>
      </c>
      <c r="I5" s="9"/>
      <c r="J5" s="123"/>
      <c r="K5" s="17" t="s">
        <v>55</v>
      </c>
      <c r="L5" s="127"/>
      <c r="M5" s="131"/>
    </row>
    <row r="6" spans="1:16" x14ac:dyDescent="0.25">
      <c r="A6" s="25"/>
      <c r="B6" s="25" t="s">
        <v>1</v>
      </c>
      <c r="C6" s="17"/>
      <c r="D6" s="159"/>
      <c r="E6" s="159"/>
      <c r="F6" s="159"/>
      <c r="H6" s="75" t="s">
        <v>7</v>
      </c>
      <c r="I6" s="76" t="s">
        <v>34</v>
      </c>
      <c r="J6" s="76"/>
      <c r="K6" s="127" t="s">
        <v>46</v>
      </c>
      <c r="L6" s="132" t="s">
        <v>27</v>
      </c>
      <c r="M6" s="133"/>
      <c r="N6" s="77"/>
    </row>
    <row r="7" spans="1:16" x14ac:dyDescent="0.25">
      <c r="A7" s="11" t="s">
        <v>11</v>
      </c>
      <c r="B7" s="11" t="s">
        <v>8</v>
      </c>
      <c r="C7" s="17"/>
      <c r="D7" s="11" t="s">
        <v>53</v>
      </c>
      <c r="E7" s="11" t="s">
        <v>54</v>
      </c>
      <c r="F7" s="11" t="s">
        <v>23</v>
      </c>
      <c r="H7" s="128" t="s">
        <v>56</v>
      </c>
      <c r="I7" s="128" t="s">
        <v>112</v>
      </c>
      <c r="J7" s="75"/>
      <c r="K7" s="129" t="s">
        <v>23</v>
      </c>
      <c r="L7" s="119" t="s">
        <v>28</v>
      </c>
      <c r="M7" s="119" t="s">
        <v>29</v>
      </c>
    </row>
    <row r="8" spans="1:16" x14ac:dyDescent="0.25">
      <c r="A8" s="72"/>
      <c r="B8" s="17"/>
      <c r="C8" s="17"/>
      <c r="D8" s="17" t="s">
        <v>3</v>
      </c>
      <c r="E8" s="25" t="s">
        <v>4</v>
      </c>
      <c r="F8" s="17" t="s">
        <v>5</v>
      </c>
      <c r="G8" s="72"/>
      <c r="H8" s="17" t="s">
        <v>6</v>
      </c>
      <c r="I8" s="73" t="s">
        <v>16</v>
      </c>
      <c r="J8" s="25"/>
      <c r="K8" s="73" t="s">
        <v>24</v>
      </c>
      <c r="L8" s="74" t="s">
        <v>17</v>
      </c>
      <c r="M8" s="74" t="s">
        <v>18</v>
      </c>
      <c r="N8" s="72"/>
      <c r="O8" s="17"/>
      <c r="P8" s="17"/>
    </row>
    <row r="9" spans="1:16" x14ac:dyDescent="0.25">
      <c r="D9" s="17"/>
      <c r="E9" s="17"/>
      <c r="F9" s="17" t="s">
        <v>117</v>
      </c>
      <c r="H9" s="75"/>
      <c r="I9" s="76"/>
      <c r="J9" s="76"/>
      <c r="K9" s="73" t="s">
        <v>118</v>
      </c>
      <c r="L9" s="74" t="s">
        <v>30</v>
      </c>
      <c r="M9" s="74" t="s">
        <v>31</v>
      </c>
    </row>
    <row r="10" spans="1:16" x14ac:dyDescent="0.25">
      <c r="A10" s="17"/>
      <c r="B10" s="83" t="s">
        <v>12</v>
      </c>
      <c r="C10" s="77"/>
      <c r="D10" s="81"/>
      <c r="E10" s="81"/>
      <c r="F10" s="43"/>
      <c r="G10" s="30"/>
      <c r="H10" s="84"/>
      <c r="I10" s="84"/>
      <c r="J10" s="108"/>
      <c r="K10" s="85"/>
      <c r="L10" s="79"/>
      <c r="M10" s="79"/>
      <c r="O10" s="80"/>
      <c r="P10" s="80"/>
    </row>
    <row r="11" spans="1:16" s="30" customFormat="1" x14ac:dyDescent="0.25">
      <c r="A11" s="44">
        <v>1</v>
      </c>
      <c r="B11" s="44">
        <v>23</v>
      </c>
      <c r="C11" s="44"/>
      <c r="D11" s="175">
        <f>'Rates PGA-1'!E$53</f>
        <v>0.38446999999999998</v>
      </c>
      <c r="E11" s="175">
        <f>'Rates PGA-1'!E51</f>
        <v>0.32665</v>
      </c>
      <c r="F11" s="88">
        <f>+E11-D11</f>
        <v>-5.7819999999999983E-2</v>
      </c>
      <c r="G11" s="89"/>
      <c r="H11" s="176">
        <f>ROUND('Forecast PGA-3'!C20,0)</f>
        <v>630397866</v>
      </c>
      <c r="I11" s="176">
        <f>ROUND('Forecast PGA-3'!N25,0)</f>
        <v>779343</v>
      </c>
      <c r="J11" s="137"/>
      <c r="K11" s="90">
        <f>+H11*F11</f>
        <v>-36449604.612119988</v>
      </c>
      <c r="L11" s="91">
        <f>+K11/I11</f>
        <v>-46.769656764890414</v>
      </c>
      <c r="M11" s="91">
        <f>+L11/12</f>
        <v>-3.897471397074201</v>
      </c>
      <c r="N11" s="33"/>
      <c r="O11" s="92"/>
      <c r="P11" s="89"/>
    </row>
    <row r="12" spans="1:16" s="30" customFormat="1" x14ac:dyDescent="0.25">
      <c r="A12" s="44">
        <f>A11+1</f>
        <v>2</v>
      </c>
      <c r="B12" s="44">
        <v>16</v>
      </c>
      <c r="C12" s="44"/>
      <c r="D12" s="175">
        <f>'Rates PGA-1'!F$53</f>
        <v>0.38446999999999998</v>
      </c>
      <c r="E12" s="175">
        <f>'Rates PGA-1'!F51</f>
        <v>0.32665</v>
      </c>
      <c r="F12" s="88">
        <f>+E12-D12</f>
        <v>-5.7819999999999983E-2</v>
      </c>
      <c r="G12" s="89"/>
      <c r="H12" s="176">
        <f>ROUND('Forecast PGA-3'!D20,0)</f>
        <v>9725</v>
      </c>
      <c r="I12" s="176">
        <f>ROUND('Forecast PGA-3'!N26,0)</f>
        <v>43</v>
      </c>
      <c r="J12" s="137"/>
      <c r="K12" s="90">
        <f>+H12*F12</f>
        <v>-562.29949999999985</v>
      </c>
      <c r="L12" s="91">
        <f>+K12/I12</f>
        <v>-13.076732558139531</v>
      </c>
      <c r="M12" s="91">
        <f>+L12/12</f>
        <v>-1.0897277131782943</v>
      </c>
      <c r="N12" s="33"/>
      <c r="O12" s="92"/>
      <c r="P12" s="89"/>
    </row>
    <row r="13" spans="1:16" s="30" customFormat="1" x14ac:dyDescent="0.25">
      <c r="A13" s="44">
        <f>A12+1</f>
        <v>3</v>
      </c>
      <c r="B13" s="43" t="s">
        <v>50</v>
      </c>
      <c r="C13" s="44"/>
      <c r="D13" s="87"/>
      <c r="E13" s="87"/>
      <c r="F13" s="88"/>
      <c r="G13" s="89"/>
      <c r="H13" s="93">
        <f>SUM(H11:H12)</f>
        <v>630407591</v>
      </c>
      <c r="I13" s="93">
        <f>SUM(I11:I12)</f>
        <v>779386</v>
      </c>
      <c r="J13" s="108"/>
      <c r="K13" s="94">
        <f>SUM(K11:K12)</f>
        <v>-36450166.911619991</v>
      </c>
      <c r="L13" s="95">
        <f>+K13/I13</f>
        <v>-46.767797871170373</v>
      </c>
      <c r="M13" s="95">
        <f>+L13/12</f>
        <v>-3.8973164892641976</v>
      </c>
      <c r="N13" s="33"/>
      <c r="O13" s="92"/>
      <c r="P13" s="89"/>
    </row>
    <row r="14" spans="1:16" s="30" customFormat="1" x14ac:dyDescent="0.25">
      <c r="A14" s="44"/>
      <c r="B14" s="96"/>
      <c r="D14" s="87"/>
      <c r="E14" s="87"/>
      <c r="F14" s="87"/>
      <c r="G14" s="89"/>
      <c r="H14" s="84"/>
      <c r="I14" s="84"/>
      <c r="J14" s="108"/>
      <c r="K14" s="90"/>
      <c r="L14" s="91"/>
      <c r="M14" s="91"/>
      <c r="N14" s="33"/>
      <c r="O14" s="92"/>
      <c r="P14" s="89"/>
    </row>
    <row r="15" spans="1:16" s="30" customFormat="1" x14ac:dyDescent="0.25">
      <c r="A15" s="44"/>
      <c r="B15" s="45" t="s">
        <v>32</v>
      </c>
      <c r="C15" s="43"/>
      <c r="D15" s="87"/>
      <c r="E15" s="87"/>
      <c r="F15" s="87"/>
      <c r="G15" s="89"/>
      <c r="H15" s="84"/>
      <c r="I15" s="84"/>
      <c r="J15" s="108"/>
      <c r="K15" s="90"/>
      <c r="L15" s="91"/>
      <c r="M15" s="91"/>
      <c r="N15" s="33"/>
      <c r="O15" s="92"/>
      <c r="P15" s="89"/>
    </row>
    <row r="16" spans="1:16" s="30" customFormat="1" x14ac:dyDescent="0.25">
      <c r="A16" s="44">
        <f>A13+1</f>
        <v>4</v>
      </c>
      <c r="B16" s="44">
        <v>31</v>
      </c>
      <c r="C16" s="44"/>
      <c r="D16" s="175">
        <f>'Rates PGA-1'!G$53</f>
        <v>0.37808000000000003</v>
      </c>
      <c r="E16" s="175">
        <f>'Rates PGA-1'!G51</f>
        <v>0.31873000000000001</v>
      </c>
      <c r="F16" s="88">
        <f>+E16-D16</f>
        <v>-5.9350000000000014E-2</v>
      </c>
      <c r="G16" s="89"/>
      <c r="H16" s="176">
        <f>ROUND('Forecast PGA-3'!E20,0)</f>
        <v>237120184</v>
      </c>
      <c r="I16" s="176">
        <f>ROUND('Forecast PGA-3'!N29,0)</f>
        <v>56924</v>
      </c>
      <c r="J16" s="137"/>
      <c r="K16" s="90">
        <f>+H16*F16</f>
        <v>-14073082.920400003</v>
      </c>
      <c r="L16" s="91">
        <f>+K16/I16</f>
        <v>-247.22582602065918</v>
      </c>
      <c r="M16" s="91">
        <f>+L16/12</f>
        <v>-20.602152168388265</v>
      </c>
      <c r="N16" s="33"/>
      <c r="O16" s="92"/>
      <c r="P16" s="89"/>
    </row>
    <row r="17" spans="1:16" s="30" customFormat="1" x14ac:dyDescent="0.25">
      <c r="A17" s="44">
        <f>A16+1</f>
        <v>5</v>
      </c>
      <c r="B17" s="44">
        <v>41</v>
      </c>
      <c r="C17" s="44"/>
      <c r="D17" s="175">
        <f>'Rates PGA-1'!H$53</f>
        <v>0.29249000000000003</v>
      </c>
      <c r="E17" s="175">
        <f>'Rates PGA-1'!H51</f>
        <v>0.2271</v>
      </c>
      <c r="F17" s="88">
        <f>+E17-D17</f>
        <v>-6.5390000000000031E-2</v>
      </c>
      <c r="G17" s="89"/>
      <c r="H17" s="241">
        <f>ROUND('Forecast PGA-3'!F20,0)</f>
        <v>67662362</v>
      </c>
      <c r="I17" s="176">
        <f>ROUND('Forecast PGA-3'!N30,0)</f>
        <v>1344</v>
      </c>
      <c r="J17" s="137"/>
      <c r="K17" s="90">
        <f>+H17*F17</f>
        <v>-4424441.8511800021</v>
      </c>
      <c r="L17" s="91">
        <f>+K17/I17</f>
        <v>-3291.9954249851207</v>
      </c>
      <c r="M17" s="91">
        <f>+L17/12</f>
        <v>-274.33295208209341</v>
      </c>
      <c r="N17" s="33"/>
      <c r="O17" s="92"/>
      <c r="P17" s="89"/>
    </row>
    <row r="18" spans="1:16" s="30" customFormat="1" x14ac:dyDescent="0.25">
      <c r="A18" s="44">
        <f>A17+1</f>
        <v>6</v>
      </c>
      <c r="B18" s="43" t="s">
        <v>51</v>
      </c>
      <c r="C18" s="44"/>
      <c r="D18" s="87"/>
      <c r="E18" s="87"/>
      <c r="F18" s="87"/>
      <c r="G18" s="89"/>
      <c r="H18" s="93">
        <f>SUM(H16:H17)</f>
        <v>304782546</v>
      </c>
      <c r="I18" s="93">
        <f>SUM(I16:I17)</f>
        <v>58268</v>
      </c>
      <c r="J18" s="108"/>
      <c r="K18" s="94">
        <f>SUM(K16:K17)</f>
        <v>-18497524.771580003</v>
      </c>
      <c r="L18" s="95">
        <f>K18/I18</f>
        <v>-317.45597534804699</v>
      </c>
      <c r="M18" s="95">
        <f>L18/12</f>
        <v>-26.45466461233725</v>
      </c>
      <c r="N18" s="33"/>
      <c r="O18" s="92"/>
      <c r="P18" s="89"/>
    </row>
    <row r="19" spans="1:16" s="30" customFormat="1" x14ac:dyDescent="0.25">
      <c r="A19" s="44"/>
      <c r="B19" s="43"/>
      <c r="C19" s="44"/>
      <c r="D19" s="87"/>
      <c r="E19" s="87"/>
      <c r="F19" s="87"/>
      <c r="G19" s="89"/>
      <c r="H19" s="108"/>
      <c r="I19" s="108"/>
      <c r="J19" s="108"/>
      <c r="K19" s="109"/>
      <c r="L19" s="126"/>
      <c r="M19" s="126"/>
      <c r="N19" s="33"/>
      <c r="O19" s="92"/>
      <c r="P19" s="89"/>
    </row>
    <row r="20" spans="1:16" s="30" customFormat="1" x14ac:dyDescent="0.25">
      <c r="A20" s="44"/>
      <c r="B20" s="45" t="s">
        <v>105</v>
      </c>
      <c r="C20" s="44"/>
      <c r="D20" s="87"/>
      <c r="E20" s="87"/>
      <c r="F20" s="87"/>
      <c r="G20" s="89"/>
      <c r="H20" s="84"/>
      <c r="I20" s="84"/>
      <c r="J20" s="108"/>
      <c r="K20" s="90"/>
      <c r="L20" s="91"/>
      <c r="M20" s="91"/>
      <c r="N20" s="33"/>
      <c r="O20" s="92"/>
      <c r="P20" s="89"/>
    </row>
    <row r="21" spans="1:16" s="30" customFormat="1" x14ac:dyDescent="0.25">
      <c r="A21" s="44">
        <f>A18+1</f>
        <v>7</v>
      </c>
      <c r="B21" s="44">
        <v>85</v>
      </c>
      <c r="C21" s="44"/>
      <c r="D21" s="175">
        <f>'Rates PGA-1'!I$53</f>
        <v>0.32704</v>
      </c>
      <c r="E21" s="175">
        <f>'Rates PGA-1'!I51</f>
        <v>0.2702</v>
      </c>
      <c r="F21" s="88">
        <f>+E21-D21</f>
        <v>-5.6840000000000002E-2</v>
      </c>
      <c r="G21" s="89"/>
      <c r="H21" s="176">
        <f>ROUND('Forecast PGA-3'!G20,0)</f>
        <v>15967716</v>
      </c>
      <c r="I21" s="176">
        <f>ROUND('Forecast PGA-3'!N34,0)</f>
        <v>29</v>
      </c>
      <c r="J21" s="137"/>
      <c r="K21" s="90">
        <f>+H21*F21</f>
        <v>-907604.97744000005</v>
      </c>
      <c r="L21" s="91">
        <f>+K21/I21</f>
        <v>-31296.72336</v>
      </c>
      <c r="M21" s="91">
        <f>+L21/12</f>
        <v>-2608.0602800000001</v>
      </c>
      <c r="N21" s="33"/>
      <c r="O21" s="92"/>
      <c r="P21" s="89"/>
    </row>
    <row r="22" spans="1:16" s="30" customFormat="1" x14ac:dyDescent="0.25">
      <c r="A22" s="44">
        <f>A21+1</f>
        <v>8</v>
      </c>
      <c r="B22" s="44">
        <v>86</v>
      </c>
      <c r="C22" s="44"/>
      <c r="D22" s="175">
        <f>'Rates PGA-1'!J$53</f>
        <v>0.33217000000000002</v>
      </c>
      <c r="E22" s="175">
        <f>'Rates PGA-1'!J51</f>
        <v>0.26795999999999998</v>
      </c>
      <c r="F22" s="88">
        <f>+E22-D22</f>
        <v>-6.4210000000000045E-2</v>
      </c>
      <c r="G22" s="89"/>
      <c r="H22" s="176">
        <f>ROUND('Forecast PGA-3'!H20,0)</f>
        <v>9331174</v>
      </c>
      <c r="I22" s="176">
        <f>ROUND('Forecast PGA-3'!N35,0)</f>
        <v>215</v>
      </c>
      <c r="J22" s="137"/>
      <c r="K22" s="90">
        <f>+H22*F22</f>
        <v>-599154.68254000042</v>
      </c>
      <c r="L22" s="91">
        <f>+K22/I22</f>
        <v>-2786.7659653023275</v>
      </c>
      <c r="M22" s="91">
        <f>+L22/12</f>
        <v>-232.23049710852729</v>
      </c>
      <c r="N22" s="33"/>
      <c r="O22" s="92"/>
      <c r="P22" s="89"/>
    </row>
    <row r="23" spans="1:16" s="30" customFormat="1" x14ac:dyDescent="0.25">
      <c r="A23" s="44">
        <f>A22+1</f>
        <v>9</v>
      </c>
      <c r="B23" s="44">
        <v>87</v>
      </c>
      <c r="C23" s="44"/>
      <c r="D23" s="175">
        <f>'Rates PGA-1'!K$53</f>
        <v>0.33071</v>
      </c>
      <c r="E23" s="175">
        <f>'Rates PGA-1'!K51</f>
        <v>0.27044000000000001</v>
      </c>
      <c r="F23" s="88">
        <f>+E23-D23</f>
        <v>-6.026999999999999E-2</v>
      </c>
      <c r="G23" s="89"/>
      <c r="H23" s="176">
        <f>ROUND('Forecast PGA-3'!I20,0)</f>
        <v>22142129</v>
      </c>
      <c r="I23" s="176">
        <f>ROUND('Forecast PGA-3'!N36,0)</f>
        <v>5</v>
      </c>
      <c r="J23" s="137"/>
      <c r="K23" s="90">
        <f>+H23*F23</f>
        <v>-1334506.1148299999</v>
      </c>
      <c r="L23" s="91">
        <f>+K23/I23</f>
        <v>-266901.22296599997</v>
      </c>
      <c r="M23" s="91">
        <f>+L23/12</f>
        <v>-22241.768580499996</v>
      </c>
      <c r="N23" s="33"/>
      <c r="O23" s="92"/>
      <c r="P23" s="89"/>
    </row>
    <row r="24" spans="1:16" s="30" customFormat="1" x14ac:dyDescent="0.25">
      <c r="A24" s="44">
        <f>A23+1</f>
        <v>10</v>
      </c>
      <c r="B24" s="43" t="s">
        <v>52</v>
      </c>
      <c r="C24" s="44"/>
      <c r="D24" s="87"/>
      <c r="E24" s="87"/>
      <c r="F24" s="87"/>
      <c r="G24" s="89"/>
      <c r="H24" s="93">
        <f>SUM(H21:H23)</f>
        <v>47441019</v>
      </c>
      <c r="I24" s="93">
        <f>SUM(I21:I23)</f>
        <v>249</v>
      </c>
      <c r="J24" s="108"/>
      <c r="K24" s="94">
        <f>SUM(K21:K23)</f>
        <v>-2841265.7748100003</v>
      </c>
      <c r="L24" s="95">
        <f>K24/I24</f>
        <v>-11410.705922931727</v>
      </c>
      <c r="M24" s="95">
        <f>L24/12</f>
        <v>-950.89216024431062</v>
      </c>
      <c r="N24" s="33"/>
      <c r="O24" s="33"/>
    </row>
    <row r="25" spans="1:16" x14ac:dyDescent="0.25">
      <c r="A25" s="44">
        <f>A24+1</f>
        <v>11</v>
      </c>
      <c r="B25" s="77" t="s">
        <v>7</v>
      </c>
      <c r="C25" s="17"/>
      <c r="D25" s="80"/>
      <c r="E25" s="80"/>
      <c r="F25" s="80"/>
      <c r="G25" s="80"/>
      <c r="H25" s="114">
        <f>SUM(H13,H18,H24)</f>
        <v>982631156</v>
      </c>
      <c r="I25" s="93">
        <f>SUM(I13,I18,I24)</f>
        <v>837903</v>
      </c>
      <c r="J25" s="108"/>
      <c r="K25" s="115">
        <f>SUM(K13,K18,K24)</f>
        <v>-57788957.458009996</v>
      </c>
      <c r="L25" s="91"/>
      <c r="M25" s="91"/>
      <c r="N25" s="23"/>
      <c r="O25" s="23"/>
    </row>
    <row r="26" spans="1:16" x14ac:dyDescent="0.25">
      <c r="A26" s="44"/>
      <c r="B26" s="77"/>
      <c r="C26" s="17"/>
      <c r="D26" s="80"/>
      <c r="E26" s="80"/>
      <c r="F26" s="80"/>
      <c r="G26" s="80"/>
      <c r="H26" s="136"/>
      <c r="I26" s="108"/>
      <c r="J26" s="108"/>
      <c r="K26" s="142"/>
      <c r="L26" s="91"/>
      <c r="M26" s="91"/>
      <c r="N26" s="23"/>
      <c r="O26" s="23"/>
    </row>
    <row r="27" spans="1:16" x14ac:dyDescent="0.25">
      <c r="A27" s="1" t="s">
        <v>113</v>
      </c>
      <c r="B27" s="97"/>
      <c r="C27" s="63"/>
      <c r="D27" s="63"/>
      <c r="E27" s="63"/>
      <c r="F27" s="80"/>
      <c r="G27" s="80"/>
      <c r="H27" s="98"/>
      <c r="I27" s="63"/>
      <c r="J27" s="138"/>
      <c r="K27" s="99"/>
      <c r="L27" s="100"/>
      <c r="M27" s="101"/>
      <c r="N27" s="102"/>
      <c r="O27" s="23"/>
    </row>
    <row r="28" spans="1:16" x14ac:dyDescent="0.25">
      <c r="B28" s="97"/>
      <c r="C28" s="63"/>
      <c r="D28" s="63"/>
      <c r="E28" s="63"/>
      <c r="F28" s="80"/>
      <c r="G28" s="80"/>
      <c r="H28" s="98"/>
      <c r="I28" s="63"/>
      <c r="J28" s="138"/>
      <c r="K28" s="99"/>
      <c r="L28" s="100"/>
      <c r="M28" s="101"/>
      <c r="N28" s="102"/>
      <c r="O28" s="23"/>
    </row>
    <row r="29" spans="1:16" ht="111" customHeight="1" x14ac:dyDescent="0.25">
      <c r="A29" s="63"/>
      <c r="B29" s="97"/>
      <c r="C29" s="63"/>
      <c r="D29" s="63"/>
      <c r="E29" s="63"/>
      <c r="F29" s="80"/>
      <c r="G29" s="80"/>
      <c r="H29" s="98"/>
      <c r="I29" s="63"/>
      <c r="J29" s="138"/>
      <c r="K29" s="78"/>
      <c r="L29" s="103"/>
      <c r="M29" s="104"/>
      <c r="N29" s="181" t="s">
        <v>0</v>
      </c>
      <c r="O29" s="182" t="s">
        <v>61</v>
      </c>
      <c r="P29" s="226" t="s">
        <v>169</v>
      </c>
    </row>
    <row r="30" spans="1:16" x14ac:dyDescent="0.25">
      <c r="A30" s="244" t="s">
        <v>158</v>
      </c>
    </row>
  </sheetData>
  <phoneticPr fontId="5" type="noConversion"/>
  <printOptions horizontalCentered="1"/>
  <pageMargins left="0.75" right="0.75" top="1" bottom="1" header="0.5" footer="0.5"/>
  <pageSetup scale="91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topLeftCell="A16" workbookViewId="0">
      <selection activeCell="B7" sqref="B7"/>
    </sheetView>
  </sheetViews>
  <sheetFormatPr defaultRowHeight="13.2" x14ac:dyDescent="0.25"/>
  <cols>
    <col min="1" max="1" width="2" customWidth="1"/>
    <col min="2" max="2" width="31.88671875" customWidth="1"/>
    <col min="3" max="3" width="12.33203125" bestFit="1" customWidth="1"/>
    <col min="4" max="4" width="12.33203125" customWidth="1"/>
    <col min="5" max="5" width="15" bestFit="1" customWidth="1"/>
    <col min="6" max="6" width="17.33203125" customWidth="1"/>
    <col min="7" max="7" width="12.109375" customWidth="1"/>
    <col min="8" max="8" width="14.21875" bestFit="1" customWidth="1"/>
    <col min="9" max="9" width="8.88671875" customWidth="1"/>
    <col min="10" max="12" width="3.33203125" bestFit="1" customWidth="1"/>
    <col min="13" max="13" width="13.44140625" bestFit="1" customWidth="1"/>
    <col min="14" max="14" width="12.33203125" bestFit="1" customWidth="1"/>
  </cols>
  <sheetData>
    <row r="1" spans="2:14" ht="15.6" x14ac:dyDescent="0.3">
      <c r="B1" s="65" t="s">
        <v>9</v>
      </c>
      <c r="C1" s="65"/>
      <c r="D1" s="151"/>
      <c r="E1" s="65"/>
      <c r="F1" s="65"/>
      <c r="G1" s="65"/>
      <c r="H1" s="65"/>
      <c r="I1" s="65"/>
    </row>
    <row r="2" spans="2:14" ht="15.6" x14ac:dyDescent="0.3">
      <c r="B2" s="151" t="s">
        <v>164</v>
      </c>
      <c r="C2" s="65"/>
      <c r="D2" s="151"/>
      <c r="E2" s="65"/>
      <c r="F2" s="65"/>
      <c r="G2" s="65"/>
      <c r="H2" s="65"/>
      <c r="I2" s="65"/>
    </row>
    <row r="3" spans="2:14" ht="15.6" x14ac:dyDescent="0.3">
      <c r="B3" s="65" t="s">
        <v>107</v>
      </c>
      <c r="C3" s="65"/>
      <c r="D3" s="151"/>
      <c r="E3" s="65"/>
      <c r="F3" s="65"/>
      <c r="G3" s="65"/>
      <c r="H3" s="65"/>
      <c r="I3" s="65"/>
    </row>
    <row r="4" spans="2:14" x14ac:dyDescent="0.25">
      <c r="B4" s="165"/>
      <c r="E4" s="185"/>
      <c r="H4" s="7"/>
    </row>
    <row r="5" spans="2:14" x14ac:dyDescent="0.25">
      <c r="B5" s="165"/>
      <c r="E5" s="161"/>
      <c r="H5" s="7"/>
    </row>
    <row r="6" spans="2:14" x14ac:dyDescent="0.25">
      <c r="E6" s="161"/>
      <c r="H6" s="7"/>
    </row>
    <row r="7" spans="2:14" x14ac:dyDescent="0.25">
      <c r="C7" s="187" t="s">
        <v>53</v>
      </c>
      <c r="D7" s="228" t="s">
        <v>54</v>
      </c>
      <c r="E7" s="223" t="s">
        <v>123</v>
      </c>
      <c r="F7" s="223" t="s">
        <v>123</v>
      </c>
      <c r="G7" s="236" t="s">
        <v>161</v>
      </c>
      <c r="H7" s="236" t="s">
        <v>161</v>
      </c>
      <c r="I7" s="186"/>
    </row>
    <row r="8" spans="2:14" x14ac:dyDescent="0.25">
      <c r="C8" s="223" t="s">
        <v>65</v>
      </c>
      <c r="D8" s="223" t="s">
        <v>65</v>
      </c>
      <c r="E8" s="187" t="s">
        <v>124</v>
      </c>
      <c r="F8" s="187" t="s">
        <v>125</v>
      </c>
      <c r="G8" s="187" t="s">
        <v>90</v>
      </c>
      <c r="H8" s="187" t="s">
        <v>90</v>
      </c>
      <c r="I8" s="161" t="s">
        <v>91</v>
      </c>
    </row>
    <row r="9" spans="2:14" s="1" customFormat="1" x14ac:dyDescent="0.25">
      <c r="B9" s="11" t="s">
        <v>92</v>
      </c>
      <c r="C9" s="53" t="s">
        <v>116</v>
      </c>
      <c r="D9" s="250" t="s">
        <v>116</v>
      </c>
      <c r="E9" s="237" t="s">
        <v>162</v>
      </c>
      <c r="F9" s="229" t="s">
        <v>141</v>
      </c>
      <c r="G9" s="53" t="s">
        <v>93</v>
      </c>
      <c r="H9" s="53" t="s">
        <v>94</v>
      </c>
      <c r="I9" s="53" t="s">
        <v>23</v>
      </c>
    </row>
    <row r="10" spans="2:14" x14ac:dyDescent="0.25">
      <c r="B10" s="188" t="s">
        <v>95</v>
      </c>
      <c r="C10" s="189" t="s">
        <v>96</v>
      </c>
      <c r="D10" s="189" t="s">
        <v>97</v>
      </c>
      <c r="E10" s="189" t="s">
        <v>137</v>
      </c>
      <c r="F10" s="189" t="s">
        <v>98</v>
      </c>
      <c r="G10" s="189" t="s">
        <v>99</v>
      </c>
      <c r="H10" s="189" t="s">
        <v>138</v>
      </c>
      <c r="I10" s="189" t="s">
        <v>139</v>
      </c>
    </row>
    <row r="11" spans="2:14" x14ac:dyDescent="0.25">
      <c r="B11" s="125" t="s">
        <v>106</v>
      </c>
      <c r="C11" s="190">
        <f>'Rates PGA-1'!$E$53</f>
        <v>0.38446999999999998</v>
      </c>
      <c r="D11" s="190">
        <f>'Rates PGA-1'!$E$51</f>
        <v>0.32665</v>
      </c>
      <c r="E11" s="234">
        <f>'Forecast PGA-3'!N7</f>
        <v>630397866</v>
      </c>
      <c r="F11" s="272">
        <v>642347672.64245129</v>
      </c>
      <c r="G11" s="251">
        <f>D11-C11</f>
        <v>-5.7819999999999983E-2</v>
      </c>
      <c r="H11" s="191">
        <f>G11*E11</f>
        <v>-36449604.612119988</v>
      </c>
      <c r="I11" s="180">
        <f>H11/F11</f>
        <v>-5.6744355377167932E-2</v>
      </c>
      <c r="M11" s="191"/>
      <c r="N11" s="5"/>
    </row>
    <row r="12" spans="2:14" x14ac:dyDescent="0.25">
      <c r="B12" s="125" t="s">
        <v>100</v>
      </c>
      <c r="C12" s="190">
        <f>'Rates PGA-1'!$F$53</f>
        <v>0.38446999999999998</v>
      </c>
      <c r="D12" s="190">
        <f>'Rates PGA-1'!$F$51</f>
        <v>0.32665</v>
      </c>
      <c r="E12" s="234">
        <f>'Forecast PGA-3'!N8</f>
        <v>9725</v>
      </c>
      <c r="F12" s="272">
        <v>8961.9588441384403</v>
      </c>
      <c r="G12" s="251">
        <f t="shared" ref="G12:G17" si="0">D12-C12</f>
        <v>-5.7819999999999983E-2</v>
      </c>
      <c r="H12" s="191">
        <f t="shared" ref="H12:H17" si="1">G12*E12</f>
        <v>-562.29949999999985</v>
      </c>
      <c r="I12" s="180">
        <f t="shared" ref="I12:I18" si="2">H12/F12</f>
        <v>-6.2742923704427772E-2</v>
      </c>
      <c r="M12" s="191"/>
      <c r="N12" s="5"/>
    </row>
    <row r="13" spans="2:14" x14ac:dyDescent="0.25">
      <c r="B13" s="192" t="s">
        <v>111</v>
      </c>
      <c r="C13" s="190">
        <f>'Rates PGA-1'!$G$53</f>
        <v>0.37808000000000003</v>
      </c>
      <c r="D13" s="190">
        <f>'Rates PGA-1'!$G$51</f>
        <v>0.31873000000000001</v>
      </c>
      <c r="E13" s="234">
        <f>'Forecast PGA-3'!N9</f>
        <v>237120184</v>
      </c>
      <c r="F13" s="272">
        <v>195418824.27467138</v>
      </c>
      <c r="G13" s="251">
        <f t="shared" si="0"/>
        <v>-5.9350000000000014E-2</v>
      </c>
      <c r="H13" s="191">
        <f t="shared" si="1"/>
        <v>-14073082.920400003</v>
      </c>
      <c r="I13" s="180">
        <f t="shared" si="2"/>
        <v>-7.2014981016463128E-2</v>
      </c>
      <c r="M13" s="191"/>
      <c r="N13" s="5"/>
    </row>
    <row r="14" spans="2:14" x14ac:dyDescent="0.25">
      <c r="B14" s="125" t="s">
        <v>101</v>
      </c>
      <c r="C14" s="190">
        <f>'Rates PGA-1'!$H$53</f>
        <v>0.29249000000000003</v>
      </c>
      <c r="D14" s="190">
        <f>'Rates PGA-1'!$H$51</f>
        <v>0.2271</v>
      </c>
      <c r="E14" s="234">
        <f>'Forecast PGA-3'!N10</f>
        <v>67662362</v>
      </c>
      <c r="F14" s="272">
        <v>40886083.949597575</v>
      </c>
      <c r="G14" s="251">
        <f t="shared" si="0"/>
        <v>-6.5390000000000031E-2</v>
      </c>
      <c r="H14" s="191">
        <f t="shared" si="1"/>
        <v>-4424441.8511800021</v>
      </c>
      <c r="I14" s="180">
        <f t="shared" si="2"/>
        <v>-0.10821388168733019</v>
      </c>
      <c r="M14" s="191"/>
      <c r="N14" s="5"/>
    </row>
    <row r="15" spans="2:14" x14ac:dyDescent="0.25">
      <c r="B15" s="125" t="s">
        <v>102</v>
      </c>
      <c r="C15" s="190">
        <f>'Rates PGA-1'!$I$53</f>
        <v>0.32704</v>
      </c>
      <c r="D15" s="190">
        <f>'Rates PGA-1'!$I$51</f>
        <v>0.2702</v>
      </c>
      <c r="E15" s="234">
        <f>'Forecast PGA-3'!N11</f>
        <v>15967716</v>
      </c>
      <c r="F15" s="272">
        <v>6979646.5880563883</v>
      </c>
      <c r="G15" s="251">
        <f t="shared" si="0"/>
        <v>-5.6840000000000002E-2</v>
      </c>
      <c r="H15" s="191">
        <f t="shared" si="1"/>
        <v>-907604.97744000005</v>
      </c>
      <c r="I15" s="180">
        <f t="shared" si="2"/>
        <v>-0.13003595038652802</v>
      </c>
      <c r="M15" s="191"/>
      <c r="N15" s="5"/>
    </row>
    <row r="16" spans="2:14" x14ac:dyDescent="0.25">
      <c r="B16" s="125" t="s">
        <v>103</v>
      </c>
      <c r="C16" s="190">
        <f>'Rates PGA-1'!$J$53</f>
        <v>0.33217000000000002</v>
      </c>
      <c r="D16" s="190">
        <f>'Rates PGA-1'!$J$51</f>
        <v>0.26795999999999998</v>
      </c>
      <c r="E16" s="234">
        <f>'Forecast PGA-3'!N12</f>
        <v>9331174</v>
      </c>
      <c r="F16" s="272">
        <v>5431777.3842644747</v>
      </c>
      <c r="G16" s="251">
        <f t="shared" si="0"/>
        <v>-6.4210000000000045E-2</v>
      </c>
      <c r="H16" s="191">
        <f>G16*E16</f>
        <v>-599154.68254000042</v>
      </c>
      <c r="I16" s="180">
        <f t="shared" si="2"/>
        <v>-0.11030545623532266</v>
      </c>
      <c r="M16" s="191"/>
      <c r="N16" s="5"/>
    </row>
    <row r="17" spans="2:14" x14ac:dyDescent="0.25">
      <c r="B17" s="193" t="s">
        <v>104</v>
      </c>
      <c r="C17" s="190">
        <f>'Rates PGA-1'!$K$53</f>
        <v>0.33071</v>
      </c>
      <c r="D17" s="190">
        <f>'Rates PGA-1'!$K$51</f>
        <v>0.27044000000000001</v>
      </c>
      <c r="E17" s="234">
        <f>'Forecast PGA-3'!N13</f>
        <v>22142129</v>
      </c>
      <c r="F17" s="272">
        <v>8441576.8987429943</v>
      </c>
      <c r="G17" s="251">
        <f t="shared" si="0"/>
        <v>-6.026999999999999E-2</v>
      </c>
      <c r="H17" s="191">
        <f t="shared" si="1"/>
        <v>-1334506.1148299999</v>
      </c>
      <c r="I17" s="194">
        <f t="shared" si="2"/>
        <v>-0.15808730179650635</v>
      </c>
      <c r="M17" s="191"/>
      <c r="N17" s="5"/>
    </row>
    <row r="18" spans="2:14" x14ac:dyDescent="0.25">
      <c r="B18" s="195" t="s">
        <v>7</v>
      </c>
      <c r="C18" s="197"/>
      <c r="D18" s="197"/>
      <c r="E18" s="198">
        <f>SUM(E11:E17)</f>
        <v>982631156</v>
      </c>
      <c r="F18" s="196">
        <f>SUM(F11:F17)</f>
        <v>899514543.69662833</v>
      </c>
      <c r="G18" s="32">
        <f>ROUND(H18/E18,5)</f>
        <v>-5.8810000000000001E-2</v>
      </c>
      <c r="H18" s="196">
        <f>SUM(H11:H17)</f>
        <v>-57788957.458009996</v>
      </c>
      <c r="I18" s="199">
        <f t="shared" si="2"/>
        <v>-6.4244606007726746E-2</v>
      </c>
      <c r="M18" s="191"/>
      <c r="N18" s="5"/>
    </row>
    <row r="19" spans="2:14" x14ac:dyDescent="0.25">
      <c r="B19" s="125"/>
      <c r="C19" s="7"/>
      <c r="D19" s="7"/>
      <c r="E19" s="201"/>
      <c r="F19" s="191"/>
      <c r="H19" s="191"/>
      <c r="I19" s="180"/>
    </row>
    <row r="20" spans="2:14" ht="13.2" customHeight="1" x14ac:dyDescent="0.25">
      <c r="B20" s="280" t="s">
        <v>170</v>
      </c>
      <c r="C20" s="281"/>
      <c r="D20" s="281"/>
      <c r="E20" s="281"/>
      <c r="F20" s="281"/>
      <c r="G20" s="281"/>
      <c r="H20" s="281"/>
      <c r="I20" s="281"/>
    </row>
    <row r="21" spans="2:14" x14ac:dyDescent="0.25">
      <c r="B21" s="252"/>
      <c r="C21" s="253"/>
      <c r="D21" s="253"/>
      <c r="E21" s="253"/>
      <c r="F21" s="253"/>
      <c r="G21" s="253"/>
      <c r="H21" s="253"/>
      <c r="I21" s="253"/>
    </row>
    <row r="23" spans="2:14" ht="110.25" customHeight="1" x14ac:dyDescent="0.25">
      <c r="E23" s="201"/>
      <c r="F23" s="191"/>
      <c r="H23" s="191"/>
      <c r="J23" s="183" t="s">
        <v>0</v>
      </c>
      <c r="K23" s="184" t="s">
        <v>33</v>
      </c>
      <c r="L23" s="227" t="s">
        <v>169</v>
      </c>
    </row>
    <row r="25" spans="2:14" x14ac:dyDescent="0.25">
      <c r="B25" s="125"/>
      <c r="C25" s="185"/>
      <c r="D25" s="185"/>
      <c r="E25" s="185"/>
      <c r="F25" s="191"/>
      <c r="H25" s="191"/>
    </row>
    <row r="26" spans="2:14" x14ac:dyDescent="0.25">
      <c r="C26" s="185"/>
      <c r="D26" s="185"/>
      <c r="E26" s="200"/>
      <c r="F26" s="191"/>
      <c r="H26" s="191"/>
    </row>
    <row r="27" spans="2:14" x14ac:dyDescent="0.25">
      <c r="C27" s="185"/>
      <c r="D27" s="185"/>
      <c r="E27" s="202"/>
      <c r="F27" s="217"/>
      <c r="H27" s="191"/>
    </row>
    <row r="28" spans="2:14" x14ac:dyDescent="0.25">
      <c r="C28" s="203"/>
      <c r="D28" s="203"/>
      <c r="E28" s="203"/>
      <c r="F28" s="217"/>
      <c r="G28" s="7"/>
      <c r="H28" s="191"/>
      <c r="I28" s="7"/>
    </row>
    <row r="29" spans="2:14" x14ac:dyDescent="0.25">
      <c r="C29" s="203"/>
      <c r="D29" s="203"/>
      <c r="E29" s="203"/>
      <c r="F29" s="217"/>
      <c r="G29" s="7"/>
      <c r="H29" s="7"/>
      <c r="I29" s="7"/>
    </row>
    <row r="30" spans="2:14" x14ac:dyDescent="0.25">
      <c r="B30" s="204"/>
      <c r="C30" s="7"/>
      <c r="D30" s="7"/>
      <c r="E30" s="7"/>
      <c r="F30" s="217"/>
      <c r="G30" s="7"/>
      <c r="H30" s="7"/>
      <c r="I30" s="7"/>
    </row>
    <row r="31" spans="2:14" x14ac:dyDescent="0.25">
      <c r="B31" s="205"/>
      <c r="C31" s="7"/>
      <c r="D31" s="7"/>
      <c r="E31" s="224"/>
      <c r="F31" s="217"/>
      <c r="G31" s="7"/>
      <c r="H31" s="7"/>
      <c r="I31" s="7"/>
    </row>
    <row r="32" spans="2:14" s="7" customFormat="1" x14ac:dyDescent="0.25">
      <c r="B32" s="206"/>
      <c r="F32" s="217"/>
    </row>
    <row r="33" spans="6:6" x14ac:dyDescent="0.25">
      <c r="F33" s="217"/>
    </row>
    <row r="34" spans="6:6" x14ac:dyDescent="0.25">
      <c r="F34" s="217"/>
    </row>
    <row r="35" spans="6:6" x14ac:dyDescent="0.25">
      <c r="F35" s="217"/>
    </row>
    <row r="36" spans="6:6" x14ac:dyDescent="0.25">
      <c r="F36" s="217"/>
    </row>
  </sheetData>
  <mergeCells count="1">
    <mergeCell ref="B20:I20"/>
  </mergeCells>
  <phoneticPr fontId="5" type="noConversion"/>
  <printOptions horizontalCentered="1"/>
  <pageMargins left="0.75" right="0.75" top="1" bottom="1" header="0.5" footer="0.5"/>
  <pageSetup scale="90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31"/>
  <sheetViews>
    <sheetView topLeftCell="A22" workbookViewId="0">
      <selection activeCell="T29" sqref="T29"/>
    </sheetView>
  </sheetViews>
  <sheetFormatPr defaultColWidth="9.109375" defaultRowHeight="13.2" x14ac:dyDescent="0.25"/>
  <cols>
    <col min="1" max="1" width="4.44140625" style="1" customWidth="1"/>
    <col min="2" max="2" width="25" style="1" bestFit="1" customWidth="1"/>
    <col min="3" max="3" width="1.5546875" style="1" customWidth="1"/>
    <col min="4" max="5" width="9.88671875" style="1" bestFit="1" customWidth="1"/>
    <col min="6" max="6" width="1.33203125" style="1" customWidth="1"/>
    <col min="7" max="8" width="10.5546875" style="1" bestFit="1" customWidth="1"/>
    <col min="9" max="9" width="1.109375" style="1" customWidth="1"/>
    <col min="10" max="10" width="10.5546875" style="1" bestFit="1" customWidth="1"/>
    <col min="11" max="11" width="1.6640625" style="1" customWidth="1"/>
    <col min="12" max="12" width="14.44140625" style="1" bestFit="1" customWidth="1"/>
    <col min="13" max="13" width="12.5546875" style="1" bestFit="1" customWidth="1"/>
    <col min="14" max="14" width="1.5546875" style="2" customWidth="1"/>
    <col min="15" max="16" width="13.21875" style="1" bestFit="1" customWidth="1"/>
    <col min="17" max="17" width="12.109375" style="1" bestFit="1" customWidth="1"/>
    <col min="18" max="20" width="3.33203125" style="1" bestFit="1" customWidth="1"/>
    <col min="21" max="16384" width="9.109375" style="1"/>
  </cols>
  <sheetData>
    <row r="1" spans="1:20" s="47" customFormat="1" ht="15.6" x14ac:dyDescent="0.3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12"/>
      <c r="S1" s="77"/>
      <c r="T1" s="77"/>
    </row>
    <row r="2" spans="1:20" s="47" customFormat="1" ht="15.6" x14ac:dyDescent="0.3">
      <c r="A2" s="151" t="s">
        <v>166</v>
      </c>
      <c r="B2" s="14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34"/>
      <c r="O2" s="64"/>
      <c r="P2" s="64"/>
      <c r="Q2" s="64"/>
      <c r="R2" s="212"/>
      <c r="S2" s="77"/>
      <c r="T2" s="77"/>
    </row>
    <row r="3" spans="1:20" s="47" customFormat="1" ht="15.6" x14ac:dyDescent="0.3">
      <c r="A3" s="65" t="s">
        <v>64</v>
      </c>
      <c r="B3" s="14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4"/>
      <c r="O3" s="65"/>
      <c r="P3" s="65"/>
      <c r="Q3" s="65"/>
      <c r="R3" s="212"/>
      <c r="S3" s="77"/>
      <c r="T3" s="77"/>
    </row>
    <row r="4" spans="1:20" s="47" customFormat="1" x14ac:dyDescent="0.25">
      <c r="N4" s="145"/>
      <c r="O4" s="140"/>
      <c r="P4" s="141"/>
      <c r="Q4" s="141"/>
      <c r="R4" s="77"/>
      <c r="S4" s="77"/>
      <c r="T4" s="77"/>
    </row>
    <row r="5" spans="1:20" s="47" customFormat="1" ht="26.4" x14ac:dyDescent="0.25">
      <c r="D5" s="265" t="s">
        <v>72</v>
      </c>
      <c r="E5" s="265"/>
      <c r="F5" s="266"/>
      <c r="G5" s="265" t="s">
        <v>73</v>
      </c>
      <c r="H5" s="265"/>
      <c r="L5" s="130" t="s">
        <v>26</v>
      </c>
      <c r="M5" s="9"/>
      <c r="N5" s="123"/>
      <c r="O5" s="17" t="s">
        <v>55</v>
      </c>
      <c r="P5" s="127"/>
      <c r="Q5" s="131"/>
      <c r="R5" s="77"/>
      <c r="S5" s="77"/>
      <c r="T5" s="77"/>
    </row>
    <row r="6" spans="1:20" x14ac:dyDescent="0.25">
      <c r="A6" s="2"/>
      <c r="B6" s="25" t="s">
        <v>1</v>
      </c>
      <c r="C6" s="17"/>
      <c r="D6" s="152"/>
      <c r="E6" s="152"/>
      <c r="J6" s="17" t="s">
        <v>7</v>
      </c>
      <c r="L6" s="75" t="s">
        <v>7</v>
      </c>
      <c r="M6" s="76" t="s">
        <v>34</v>
      </c>
      <c r="N6" s="76"/>
      <c r="O6" s="127" t="s">
        <v>46</v>
      </c>
      <c r="P6" s="132" t="s">
        <v>27</v>
      </c>
      <c r="Q6" s="133"/>
      <c r="R6" s="77"/>
      <c r="S6" s="77"/>
      <c r="T6" s="77"/>
    </row>
    <row r="7" spans="1:20" x14ac:dyDescent="0.25">
      <c r="A7" s="11" t="s">
        <v>11</v>
      </c>
      <c r="B7" s="11" t="s">
        <v>8</v>
      </c>
      <c r="C7" s="17"/>
      <c r="D7" s="11" t="s">
        <v>53</v>
      </c>
      <c r="E7" s="11" t="s">
        <v>54</v>
      </c>
      <c r="F7" s="25"/>
      <c r="G7" s="11" t="s">
        <v>53</v>
      </c>
      <c r="H7" s="11" t="s">
        <v>54</v>
      </c>
      <c r="J7" s="11" t="s">
        <v>23</v>
      </c>
      <c r="L7" s="128" t="s">
        <v>56</v>
      </c>
      <c r="M7" s="128" t="s">
        <v>112</v>
      </c>
      <c r="N7" s="75"/>
      <c r="O7" s="129" t="s">
        <v>23</v>
      </c>
      <c r="P7" s="119" t="s">
        <v>28</v>
      </c>
      <c r="Q7" s="119" t="s">
        <v>29</v>
      </c>
    </row>
    <row r="8" spans="1:20" x14ac:dyDescent="0.25">
      <c r="A8" s="17"/>
      <c r="B8" s="17"/>
      <c r="C8" s="17"/>
      <c r="D8" s="17" t="s">
        <v>3</v>
      </c>
      <c r="E8" s="25" t="s">
        <v>4</v>
      </c>
      <c r="F8" s="25"/>
      <c r="G8" s="25" t="s">
        <v>35</v>
      </c>
      <c r="H8" s="25" t="s">
        <v>6</v>
      </c>
      <c r="I8" s="17"/>
      <c r="J8" s="17" t="s">
        <v>16</v>
      </c>
      <c r="K8" s="17"/>
      <c r="L8" s="17" t="s">
        <v>24</v>
      </c>
      <c r="M8" s="17" t="s">
        <v>17</v>
      </c>
      <c r="N8" s="25"/>
      <c r="O8" s="73" t="s">
        <v>18</v>
      </c>
      <c r="P8" s="74" t="s">
        <v>19</v>
      </c>
      <c r="Q8" s="74" t="s">
        <v>20</v>
      </c>
      <c r="R8" s="17"/>
      <c r="S8" s="17"/>
      <c r="T8" s="17"/>
    </row>
    <row r="9" spans="1:20" x14ac:dyDescent="0.25">
      <c r="D9" s="17"/>
      <c r="E9" s="17"/>
      <c r="F9" s="17"/>
      <c r="G9" s="17"/>
      <c r="H9" s="17"/>
      <c r="I9" s="17"/>
      <c r="J9" s="17"/>
      <c r="L9" s="75"/>
      <c r="M9" s="76"/>
      <c r="N9" s="76"/>
      <c r="O9" s="73" t="s">
        <v>36</v>
      </c>
      <c r="P9" s="74" t="s">
        <v>37</v>
      </c>
      <c r="Q9" s="74" t="s">
        <v>38</v>
      </c>
    </row>
    <row r="10" spans="1:20" x14ac:dyDescent="0.25">
      <c r="A10" s="17"/>
      <c r="B10" s="83" t="s">
        <v>12</v>
      </c>
      <c r="C10" s="77"/>
      <c r="D10" s="107"/>
      <c r="E10" s="107"/>
      <c r="F10" s="107"/>
      <c r="G10" s="107"/>
      <c r="H10" s="107"/>
      <c r="I10" s="17"/>
      <c r="J10" s="81"/>
      <c r="L10" s="82"/>
      <c r="M10" s="82"/>
      <c r="N10" s="136"/>
      <c r="O10" s="78"/>
      <c r="P10" s="79"/>
      <c r="Q10" s="79"/>
      <c r="S10" s="80"/>
      <c r="T10" s="80"/>
    </row>
    <row r="11" spans="1:20" x14ac:dyDescent="0.25">
      <c r="A11" s="44">
        <v>1</v>
      </c>
      <c r="B11" s="44">
        <v>23</v>
      </c>
      <c r="C11" s="44"/>
      <c r="D11" s="175">
        <f>'Rates PGA-1'!E53</f>
        <v>0.38446999999999998</v>
      </c>
      <c r="E11" s="175">
        <f>'Rates PGA-1'!E51</f>
        <v>0.32665</v>
      </c>
      <c r="F11" s="175"/>
      <c r="G11" s="271">
        <v>-1.695E-2</v>
      </c>
      <c r="H11" s="271">
        <v>-5.8279999999999998E-2</v>
      </c>
      <c r="I11" s="111"/>
      <c r="J11" s="112">
        <f>E11-D11+H11-G11</f>
        <v>-9.9149999999999988E-2</v>
      </c>
      <c r="K11" s="80"/>
      <c r="L11" s="177">
        <f>'Forecast PGA-3'!N7</f>
        <v>630397866</v>
      </c>
      <c r="M11" s="177">
        <f>ROUND('Forecast PGA-3'!N25,0)</f>
        <v>779343</v>
      </c>
      <c r="N11" s="146"/>
      <c r="O11" s="113">
        <f>+L11*J11</f>
        <v>-62503948.413899995</v>
      </c>
      <c r="P11" s="79">
        <f>+O11/M11</f>
        <v>-80.200820965736511</v>
      </c>
      <c r="Q11" s="79">
        <f>+P11/12</f>
        <v>-6.6834017471447096</v>
      </c>
      <c r="S11" s="80"/>
      <c r="T11" s="80"/>
    </row>
    <row r="12" spans="1:20" x14ac:dyDescent="0.25">
      <c r="A12" s="44">
        <f>A11+1</f>
        <v>2</v>
      </c>
      <c r="B12" s="44">
        <v>16</v>
      </c>
      <c r="C12" s="44"/>
      <c r="D12" s="175">
        <f>'Rates PGA-1'!F53</f>
        <v>0.38446999999999998</v>
      </c>
      <c r="E12" s="175">
        <f>'Rates PGA-1'!F51</f>
        <v>0.32665</v>
      </c>
      <c r="F12" s="175"/>
      <c r="G12" s="271">
        <v>-1.695E-2</v>
      </c>
      <c r="H12" s="271">
        <v>-5.8279999999999998E-2</v>
      </c>
      <c r="I12" s="111"/>
      <c r="J12" s="112">
        <f>E12-D12+H12-G12</f>
        <v>-9.9149999999999988E-2</v>
      </c>
      <c r="K12" s="80"/>
      <c r="L12" s="177">
        <f>'Forecast PGA-3'!N8</f>
        <v>9725</v>
      </c>
      <c r="M12" s="177">
        <f>ROUND('Forecast PGA-3'!N26,0)</f>
        <v>43</v>
      </c>
      <c r="N12" s="137"/>
      <c r="O12" s="113">
        <f>+L12*J12</f>
        <v>-964.23374999999987</v>
      </c>
      <c r="P12" s="79">
        <f>+O12/M12</f>
        <v>-22.424040697674414</v>
      </c>
      <c r="Q12" s="79">
        <f>+P12/12</f>
        <v>-1.8686700581395346</v>
      </c>
      <c r="S12" s="80"/>
      <c r="T12" s="80"/>
    </row>
    <row r="13" spans="1:20" x14ac:dyDescent="0.25">
      <c r="A13" s="44">
        <f>A12+1</f>
        <v>3</v>
      </c>
      <c r="B13" s="77" t="s">
        <v>50</v>
      </c>
      <c r="C13" s="44"/>
      <c r="D13" s="86"/>
      <c r="E13" s="86"/>
      <c r="F13" s="87"/>
      <c r="G13" s="271"/>
      <c r="H13" s="271"/>
      <c r="I13" s="111"/>
      <c r="J13" s="112"/>
      <c r="K13" s="80"/>
      <c r="L13" s="114">
        <f>SUM(L11:L12)</f>
        <v>630407591</v>
      </c>
      <c r="M13" s="114">
        <f>SUM(M11:M12)</f>
        <v>779386</v>
      </c>
      <c r="N13" s="136"/>
      <c r="O13" s="115">
        <f>SUM(O11:O12)</f>
        <v>-62504912.647649996</v>
      </c>
      <c r="P13" s="116">
        <f>+O13/M13</f>
        <v>-80.197633326297876</v>
      </c>
      <c r="Q13" s="116">
        <f>+P13/12</f>
        <v>-6.6831361105248233</v>
      </c>
      <c r="S13" s="80"/>
      <c r="T13" s="80"/>
    </row>
    <row r="14" spans="1:20" x14ac:dyDescent="0.25">
      <c r="A14" s="17"/>
      <c r="D14" s="86"/>
      <c r="E14" s="86"/>
      <c r="F14" s="87"/>
      <c r="G14" s="271"/>
      <c r="H14" s="271"/>
      <c r="I14" s="111"/>
      <c r="J14" s="112"/>
      <c r="K14" s="80"/>
      <c r="L14" s="82"/>
      <c r="M14" s="84"/>
      <c r="N14" s="108"/>
      <c r="O14" s="113"/>
      <c r="P14" s="79"/>
      <c r="Q14" s="79"/>
      <c r="S14" s="80"/>
      <c r="T14" s="80"/>
    </row>
    <row r="15" spans="1:20" x14ac:dyDescent="0.25">
      <c r="A15" s="17"/>
      <c r="B15" s="83" t="s">
        <v>32</v>
      </c>
      <c r="C15" s="17"/>
      <c r="D15" s="86"/>
      <c r="E15" s="86"/>
      <c r="F15" s="87"/>
      <c r="G15" s="271"/>
      <c r="H15" s="271"/>
      <c r="I15" s="111"/>
      <c r="J15" s="112"/>
      <c r="K15" s="80"/>
      <c r="L15" s="82"/>
      <c r="M15" s="84"/>
      <c r="N15" s="108"/>
      <c r="O15" s="113"/>
      <c r="P15" s="79"/>
      <c r="Q15" s="79"/>
      <c r="S15" s="80"/>
      <c r="T15" s="80"/>
    </row>
    <row r="16" spans="1:20" x14ac:dyDescent="0.25">
      <c r="A16" s="44">
        <f>A13+1</f>
        <v>4</v>
      </c>
      <c r="B16" s="17">
        <v>31</v>
      </c>
      <c r="C16" s="44"/>
      <c r="D16" s="175">
        <f>'Rates PGA-1'!G53</f>
        <v>0.37808000000000003</v>
      </c>
      <c r="E16" s="175">
        <f>'Rates PGA-1'!G51</f>
        <v>0.31873000000000001</v>
      </c>
      <c r="F16" s="175"/>
      <c r="G16" s="271">
        <v>-1.695E-2</v>
      </c>
      <c r="H16" s="271">
        <v>-5.8270000000000002E-2</v>
      </c>
      <c r="I16" s="111"/>
      <c r="J16" s="112">
        <f>E16-D16+H16-G16</f>
        <v>-0.10067000000000001</v>
      </c>
      <c r="K16" s="80"/>
      <c r="L16" s="177">
        <f>'Forecast PGA-3'!N9</f>
        <v>237120184</v>
      </c>
      <c r="M16" s="177">
        <f>ROUND('Forecast PGA-3'!N29,)</f>
        <v>56924</v>
      </c>
      <c r="N16" s="146"/>
      <c r="O16" s="113">
        <f>+L16*J16</f>
        <v>-23870888.923280001</v>
      </c>
      <c r="P16" s="79">
        <f>+O16/M16</f>
        <v>-419.34665384161337</v>
      </c>
      <c r="Q16" s="79">
        <f>+P16/12</f>
        <v>-34.945554486801115</v>
      </c>
      <c r="S16" s="80"/>
      <c r="T16" s="80"/>
    </row>
    <row r="17" spans="1:20" x14ac:dyDescent="0.25">
      <c r="A17" s="44">
        <f>A16+1</f>
        <v>5</v>
      </c>
      <c r="B17" s="44">
        <v>41</v>
      </c>
      <c r="C17" s="44"/>
      <c r="D17" s="175">
        <f>'Rates PGA-1'!H53</f>
        <v>0.29249000000000003</v>
      </c>
      <c r="E17" s="175">
        <f>'Rates PGA-1'!H51</f>
        <v>0.2271</v>
      </c>
      <c r="F17" s="175"/>
      <c r="G17" s="271">
        <v>-1.6969999999999999E-2</v>
      </c>
      <c r="H17" s="271">
        <v>-5.8209999999999998E-2</v>
      </c>
      <c r="I17" s="111"/>
      <c r="J17" s="112">
        <f>E17-D17+H17-G17</f>
        <v>-0.10663000000000003</v>
      </c>
      <c r="K17" s="80"/>
      <c r="L17" s="177">
        <f>'Forecast PGA-3'!N10</f>
        <v>67662362</v>
      </c>
      <c r="M17" s="177">
        <f>ROUND('Forecast PGA-3'!N30,0)</f>
        <v>1344</v>
      </c>
      <c r="N17" s="146"/>
      <c r="O17" s="113">
        <f>+L17*J17</f>
        <v>-7214837.6600600025</v>
      </c>
      <c r="P17" s="79">
        <f>+O17/M17</f>
        <v>-5368.1827827827401</v>
      </c>
      <c r="Q17" s="79">
        <f>+P17/12</f>
        <v>-447.34856523189501</v>
      </c>
      <c r="S17" s="80"/>
      <c r="T17" s="80"/>
    </row>
    <row r="18" spans="1:20" x14ac:dyDescent="0.25">
      <c r="A18" s="44">
        <f>A17+1</f>
        <v>6</v>
      </c>
      <c r="B18" s="77" t="s">
        <v>51</v>
      </c>
      <c r="C18" s="44"/>
      <c r="D18" s="86"/>
      <c r="E18" s="86"/>
      <c r="F18" s="87"/>
      <c r="G18" s="271"/>
      <c r="H18" s="271"/>
      <c r="I18" s="111"/>
      <c r="J18" s="112"/>
      <c r="K18" s="80"/>
      <c r="L18" s="114">
        <f>SUM(L16:L17)</f>
        <v>304782546</v>
      </c>
      <c r="M18" s="93">
        <f>SUM(M16:M17)</f>
        <v>58268</v>
      </c>
      <c r="N18" s="108"/>
      <c r="O18" s="115">
        <f>SUM(O16:O17)</f>
        <v>-31085726.583340004</v>
      </c>
      <c r="P18" s="116">
        <f>O18/M18</f>
        <v>-533.49568516750196</v>
      </c>
      <c r="Q18" s="116">
        <f>P18/12</f>
        <v>-44.457973763958499</v>
      </c>
      <c r="S18" s="80"/>
      <c r="T18" s="80"/>
    </row>
    <row r="19" spans="1:20" x14ac:dyDescent="0.25">
      <c r="A19" s="17"/>
      <c r="B19" s="17"/>
      <c r="C19" s="44"/>
      <c r="D19" s="86"/>
      <c r="E19" s="86"/>
      <c r="F19" s="87"/>
      <c r="G19" s="271"/>
      <c r="H19" s="271"/>
      <c r="I19" s="111"/>
      <c r="J19" s="112"/>
      <c r="K19" s="80"/>
      <c r="L19" s="136"/>
      <c r="M19" s="108"/>
      <c r="N19" s="108"/>
      <c r="O19" s="142"/>
      <c r="P19" s="143"/>
      <c r="Q19" s="143"/>
      <c r="S19" s="80"/>
      <c r="T19" s="80"/>
    </row>
    <row r="20" spans="1:20" x14ac:dyDescent="0.25">
      <c r="A20" s="17"/>
      <c r="B20" s="83" t="s">
        <v>105</v>
      </c>
      <c r="C20" s="44"/>
      <c r="D20" s="86"/>
      <c r="E20" s="86"/>
      <c r="F20" s="87"/>
      <c r="G20" s="271"/>
      <c r="H20" s="271"/>
      <c r="I20" s="111"/>
      <c r="J20" s="112"/>
      <c r="K20" s="80"/>
      <c r="L20" s="82"/>
      <c r="M20" s="84"/>
      <c r="N20" s="108"/>
      <c r="O20" s="113"/>
      <c r="P20" s="79"/>
      <c r="Q20" s="79"/>
      <c r="S20" s="80"/>
      <c r="T20" s="80"/>
    </row>
    <row r="21" spans="1:20" x14ac:dyDescent="0.25">
      <c r="A21" s="44">
        <f>A18+1</f>
        <v>7</v>
      </c>
      <c r="B21" s="44">
        <v>85</v>
      </c>
      <c r="C21" s="44"/>
      <c r="D21" s="175">
        <f>'Rates PGA-1'!I53</f>
        <v>0.32704</v>
      </c>
      <c r="E21" s="175">
        <f>'Rates PGA-1'!I51</f>
        <v>0.2702</v>
      </c>
      <c r="F21" s="175"/>
      <c r="G21" s="271">
        <v>-1.6979999999999999E-2</v>
      </c>
      <c r="H21" s="271">
        <v>-5.8189999999999999E-2</v>
      </c>
      <c r="I21" s="111"/>
      <c r="J21" s="112">
        <f>E21-D21+H21-G21</f>
        <v>-9.8049999999999998E-2</v>
      </c>
      <c r="K21" s="80"/>
      <c r="L21" s="177">
        <f>'Forecast PGA-3'!N11</f>
        <v>15967716</v>
      </c>
      <c r="M21" s="177">
        <f>ROUND('Forecast PGA-3'!N34,0)</f>
        <v>29</v>
      </c>
      <c r="N21" s="146"/>
      <c r="O21" s="113">
        <f>+L21*J21</f>
        <v>-1565634.5537999999</v>
      </c>
      <c r="P21" s="79">
        <f>+O21/M21</f>
        <v>-53987.398406896551</v>
      </c>
      <c r="Q21" s="79">
        <f>+P21/12</f>
        <v>-4498.9498672413793</v>
      </c>
      <c r="S21" s="80"/>
      <c r="T21" s="80"/>
    </row>
    <row r="22" spans="1:20" x14ac:dyDescent="0.25">
      <c r="A22" s="44">
        <f>A21+1</f>
        <v>8</v>
      </c>
      <c r="B22" s="44">
        <v>86</v>
      </c>
      <c r="C22" s="44"/>
      <c r="D22" s="175">
        <f>'Rates PGA-1'!J53</f>
        <v>0.33217000000000002</v>
      </c>
      <c r="E22" s="175">
        <f>'Rates PGA-1'!J51</f>
        <v>0.26795999999999998</v>
      </c>
      <c r="F22" s="175"/>
      <c r="G22" s="271">
        <v>-1.6969999999999999E-2</v>
      </c>
      <c r="H22" s="271">
        <v>-5.8189999999999999E-2</v>
      </c>
      <c r="I22" s="111"/>
      <c r="J22" s="112">
        <f>E22-D22+H22-G22</f>
        <v>-0.10543000000000004</v>
      </c>
      <c r="K22" s="80"/>
      <c r="L22" s="177">
        <f>'Forecast PGA-3'!N12</f>
        <v>9331174</v>
      </c>
      <c r="M22" s="177">
        <f>ROUND('Forecast PGA-3'!N35,0)</f>
        <v>215</v>
      </c>
      <c r="N22" s="146"/>
      <c r="O22" s="113">
        <f>+L22*J22</f>
        <v>-983785.67482000031</v>
      </c>
      <c r="P22" s="79">
        <f>+O22/M22</f>
        <v>-4575.7473247441876</v>
      </c>
      <c r="Q22" s="79">
        <f>+P22/12</f>
        <v>-381.31227706201565</v>
      </c>
      <c r="S22" s="80"/>
      <c r="T22" s="80"/>
    </row>
    <row r="23" spans="1:20" x14ac:dyDescent="0.25">
      <c r="A23" s="44">
        <f>A22+1</f>
        <v>9</v>
      </c>
      <c r="B23" s="44">
        <v>87</v>
      </c>
      <c r="C23" s="44"/>
      <c r="D23" s="175">
        <f>'Rates PGA-1'!K53</f>
        <v>0.33071</v>
      </c>
      <c r="E23" s="175">
        <f>'Rates PGA-1'!K51</f>
        <v>0.27044000000000001</v>
      </c>
      <c r="F23" s="175"/>
      <c r="G23" s="271">
        <v>-1.6979999999999999E-2</v>
      </c>
      <c r="H23" s="271">
        <v>-5.8169999999999999E-2</v>
      </c>
      <c r="I23" s="111"/>
      <c r="J23" s="112">
        <f>E23-D23+H23-G23</f>
        <v>-0.10145999999999999</v>
      </c>
      <c r="K23" s="80"/>
      <c r="L23" s="177">
        <f>'Forecast PGA-3'!N13</f>
        <v>22142129</v>
      </c>
      <c r="M23" s="177">
        <f>ROUND('Forecast PGA-3'!N36,0)</f>
        <v>5</v>
      </c>
      <c r="N23" s="146"/>
      <c r="O23" s="113">
        <f>+L23*J23</f>
        <v>-2246540.4083400001</v>
      </c>
      <c r="P23" s="79">
        <f>+O23/M23</f>
        <v>-449308.08166800003</v>
      </c>
      <c r="Q23" s="79">
        <f>+P23/12</f>
        <v>-37442.340139</v>
      </c>
      <c r="S23" s="80"/>
      <c r="T23" s="80"/>
    </row>
    <row r="24" spans="1:20" x14ac:dyDescent="0.25">
      <c r="A24" s="44">
        <f>A23+1</f>
        <v>10</v>
      </c>
      <c r="B24" s="77" t="s">
        <v>109</v>
      </c>
      <c r="C24" s="17"/>
      <c r="D24" s="89"/>
      <c r="E24" s="89"/>
      <c r="F24" s="89"/>
      <c r="G24" s="89"/>
      <c r="H24" s="89"/>
      <c r="I24" s="80"/>
      <c r="J24" s="80"/>
      <c r="K24" s="80"/>
      <c r="L24" s="114">
        <f>SUM(L21:L23)</f>
        <v>47441019</v>
      </c>
      <c r="M24" s="93">
        <f>SUM(M21:M23)</f>
        <v>249</v>
      </c>
      <c r="N24" s="108"/>
      <c r="O24" s="115">
        <f>SUM(O21:O23)</f>
        <v>-4795960.6369599998</v>
      </c>
      <c r="P24" s="116">
        <f>O24/M24</f>
        <v>-19260.886092208835</v>
      </c>
      <c r="Q24" s="116">
        <f>P24/12</f>
        <v>-1605.0738410174029</v>
      </c>
    </row>
    <row r="25" spans="1:20" x14ac:dyDescent="0.25">
      <c r="A25" s="44">
        <f>A24+1</f>
        <v>11</v>
      </c>
      <c r="B25" s="77" t="s">
        <v>7</v>
      </c>
      <c r="C25" s="17"/>
      <c r="D25" s="89"/>
      <c r="E25" s="89"/>
      <c r="F25" s="89"/>
      <c r="G25" s="89"/>
      <c r="H25" s="89"/>
      <c r="I25" s="80"/>
      <c r="J25" s="80"/>
      <c r="K25" s="80"/>
      <c r="L25" s="114">
        <f>SUM(L13,L18,L24)</f>
        <v>982631156</v>
      </c>
      <c r="M25" s="93">
        <f>SUM(M13,M18,M24)</f>
        <v>837903</v>
      </c>
      <c r="N25" s="108"/>
      <c r="O25" s="115">
        <f>SUM(O13,O18,O24)</f>
        <v>-98386599.867949992</v>
      </c>
      <c r="P25" s="71"/>
      <c r="Q25" s="79"/>
    </row>
    <row r="26" spans="1:20" s="30" customFormat="1" x14ac:dyDescent="0.25">
      <c r="F26" s="89"/>
      <c r="G26" s="89"/>
      <c r="H26" s="84"/>
      <c r="J26" s="110"/>
      <c r="K26" s="107"/>
      <c r="L26" s="106"/>
    </row>
    <row r="27" spans="1:20" x14ac:dyDescent="0.25">
      <c r="A27" s="1" t="s">
        <v>113</v>
      </c>
      <c r="B27" s="77"/>
      <c r="C27" s="17"/>
      <c r="D27" s="89"/>
      <c r="E27" s="89"/>
      <c r="F27" s="89"/>
      <c r="G27" s="89"/>
      <c r="H27" s="89"/>
      <c r="I27" s="80"/>
      <c r="J27" s="80"/>
      <c r="K27" s="80"/>
      <c r="L27" s="136"/>
      <c r="M27" s="108"/>
      <c r="N27" s="108"/>
      <c r="O27" s="142"/>
      <c r="P27" s="71"/>
      <c r="Q27" s="79"/>
    </row>
    <row r="28" spans="1:20" ht="112.5" customHeight="1" x14ac:dyDescent="0.25">
      <c r="D28" s="30"/>
      <c r="E28" s="30"/>
      <c r="F28" s="30"/>
      <c r="G28" s="30"/>
      <c r="H28" s="30"/>
      <c r="J28" s="80"/>
      <c r="K28" s="80"/>
      <c r="L28" s="82"/>
      <c r="O28" s="78"/>
      <c r="P28" s="118"/>
      <c r="Q28" s="117"/>
      <c r="R28" s="211" t="s">
        <v>0</v>
      </c>
      <c r="S28" s="216" t="s">
        <v>62</v>
      </c>
      <c r="T28" s="226" t="s">
        <v>171</v>
      </c>
    </row>
    <row r="31" spans="1:20" x14ac:dyDescent="0.25">
      <c r="A31" s="244" t="s">
        <v>159</v>
      </c>
    </row>
  </sheetData>
  <phoneticPr fontId="5" type="noConversion"/>
  <printOptions horizontalCentered="1"/>
  <pageMargins left="0.5" right="0.5" top="1" bottom="1" header="0.5" footer="0.5"/>
  <pageSetup scale="78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3" workbookViewId="0">
      <selection activeCell="D23" sqref="D23"/>
    </sheetView>
  </sheetViews>
  <sheetFormatPr defaultRowHeight="13.2" x14ac:dyDescent="0.25"/>
  <cols>
    <col min="1" max="1" width="2" customWidth="1"/>
    <col min="2" max="2" width="31.88671875" customWidth="1"/>
    <col min="3" max="4" width="18" bestFit="1" customWidth="1"/>
    <col min="5" max="6" width="15" bestFit="1" customWidth="1"/>
    <col min="7" max="7" width="10.44140625" customWidth="1"/>
    <col min="8" max="8" width="14.21875" bestFit="1" customWidth="1"/>
    <col min="10" max="12" width="3.33203125" bestFit="1" customWidth="1"/>
    <col min="13" max="14" width="9.109375" style="125"/>
  </cols>
  <sheetData>
    <row r="1" spans="2:14" ht="15.6" x14ac:dyDescent="0.3">
      <c r="B1" s="151" t="s">
        <v>9</v>
      </c>
      <c r="C1" s="151"/>
      <c r="D1" s="151"/>
      <c r="E1" s="151"/>
      <c r="F1" s="151"/>
      <c r="G1" s="151"/>
      <c r="H1" s="151"/>
      <c r="I1" s="151"/>
      <c r="J1" s="213"/>
      <c r="K1" s="213"/>
      <c r="L1" s="213"/>
      <c r="M1" s="210"/>
      <c r="N1" s="210"/>
    </row>
    <row r="2" spans="2:14" ht="15.6" x14ac:dyDescent="0.3">
      <c r="B2" s="151" t="s">
        <v>167</v>
      </c>
      <c r="C2" s="65"/>
      <c r="D2" s="151"/>
      <c r="E2" s="65"/>
      <c r="F2" s="65"/>
      <c r="G2" s="65"/>
      <c r="H2" s="144"/>
      <c r="I2" s="65"/>
      <c r="J2" s="208"/>
      <c r="K2" s="208"/>
      <c r="L2" s="208"/>
      <c r="M2" s="208"/>
      <c r="N2" s="124"/>
    </row>
    <row r="3" spans="2:14" ht="15.6" x14ac:dyDescent="0.3">
      <c r="B3" s="65" t="s">
        <v>108</v>
      </c>
      <c r="C3" s="65"/>
      <c r="D3" s="151"/>
      <c r="E3" s="65"/>
      <c r="F3" s="65"/>
      <c r="G3" s="65"/>
      <c r="H3" s="144"/>
      <c r="I3" s="65"/>
      <c r="J3" s="208"/>
      <c r="K3" s="208"/>
      <c r="L3" s="208"/>
      <c r="M3" s="208"/>
      <c r="N3" s="124"/>
    </row>
    <row r="4" spans="2:14" x14ac:dyDescent="0.25">
      <c r="B4" s="165"/>
      <c r="E4" s="185"/>
      <c r="H4" s="7"/>
    </row>
    <row r="5" spans="2:14" x14ac:dyDescent="0.25">
      <c r="B5" s="165"/>
      <c r="E5" s="161"/>
      <c r="H5" s="7"/>
    </row>
    <row r="6" spans="2:14" x14ac:dyDescent="0.25">
      <c r="E6" s="161"/>
      <c r="H6" s="7"/>
    </row>
    <row r="7" spans="2:14" x14ac:dyDescent="0.25">
      <c r="C7" s="187" t="s">
        <v>53</v>
      </c>
      <c r="D7" s="228" t="s">
        <v>54</v>
      </c>
      <c r="E7" s="186" t="s">
        <v>123</v>
      </c>
      <c r="F7" s="186" t="s">
        <v>123</v>
      </c>
      <c r="G7" s="239" t="str">
        <f>'Rev Impact PGA-5'!G7</f>
        <v>2018 PGA</v>
      </c>
      <c r="H7" s="239" t="str">
        <f>'Rev Impact PGA-5'!H7</f>
        <v>2018 PGA</v>
      </c>
      <c r="I7" s="186"/>
    </row>
    <row r="8" spans="2:14" x14ac:dyDescent="0.25">
      <c r="C8" s="223" t="s">
        <v>140</v>
      </c>
      <c r="D8" s="223" t="s">
        <v>140</v>
      </c>
      <c r="E8" s="186" t="s">
        <v>124</v>
      </c>
      <c r="F8" s="186" t="s">
        <v>125</v>
      </c>
      <c r="G8" s="187" t="s">
        <v>90</v>
      </c>
      <c r="H8" s="187" t="s">
        <v>90</v>
      </c>
      <c r="I8" s="161" t="s">
        <v>91</v>
      </c>
    </row>
    <row r="9" spans="2:14" s="1" customFormat="1" x14ac:dyDescent="0.25">
      <c r="B9" s="11" t="s">
        <v>92</v>
      </c>
      <c r="C9" s="53" t="s">
        <v>22</v>
      </c>
      <c r="D9" s="250" t="s">
        <v>22</v>
      </c>
      <c r="E9" s="238" t="str">
        <f>'Rev Impact PGA-5'!E9</f>
        <v>Nov18 - Oct19</v>
      </c>
      <c r="F9" s="3" t="s">
        <v>141</v>
      </c>
      <c r="G9" s="53" t="s">
        <v>93</v>
      </c>
      <c r="H9" s="53" t="s">
        <v>94</v>
      </c>
      <c r="I9" s="53" t="s">
        <v>23</v>
      </c>
      <c r="M9" s="77"/>
      <c r="N9" s="77"/>
    </row>
    <row r="10" spans="2:14" x14ac:dyDescent="0.25">
      <c r="B10" s="188" t="s">
        <v>95</v>
      </c>
      <c r="C10" s="189" t="s">
        <v>96</v>
      </c>
      <c r="D10" s="189" t="s">
        <v>97</v>
      </c>
      <c r="E10" s="189" t="s">
        <v>137</v>
      </c>
      <c r="F10" s="189" t="s">
        <v>98</v>
      </c>
      <c r="G10" s="189" t="s">
        <v>99</v>
      </c>
      <c r="H10" s="189" t="s">
        <v>138</v>
      </c>
      <c r="I10" s="189" t="s">
        <v>139</v>
      </c>
    </row>
    <row r="11" spans="2:14" x14ac:dyDescent="0.25">
      <c r="B11" s="125" t="s">
        <v>106</v>
      </c>
      <c r="C11" s="190">
        <f>SUM('Combined Cust Impact PGA-6'!D11,'Combined Cust Impact PGA-6'!G11)</f>
        <v>0.36751999999999996</v>
      </c>
      <c r="D11" s="190">
        <f>SUM('Combined Cust Impact PGA-6'!E11,'Combined Cust Impact PGA-6'!H11)</f>
        <v>0.26837</v>
      </c>
      <c r="E11" s="207">
        <f>'Rev Impact PGA-5'!E11</f>
        <v>630397866</v>
      </c>
      <c r="F11" s="272">
        <v>642347672.64245129</v>
      </c>
      <c r="G11" s="235">
        <f>D11-C11</f>
        <v>-9.914999999999996E-2</v>
      </c>
      <c r="H11" s="191">
        <f>G11*E11</f>
        <v>-62503948.413899973</v>
      </c>
      <c r="I11" s="180">
        <f t="shared" ref="I11:I18" si="0">H11/F11</f>
        <v>-9.7305479689488064E-2</v>
      </c>
    </row>
    <row r="12" spans="2:14" x14ac:dyDescent="0.25">
      <c r="B12" s="125" t="s">
        <v>100</v>
      </c>
      <c r="C12" s="190">
        <f>SUM('Combined Cust Impact PGA-6'!D12,'Combined Cust Impact PGA-6'!G12)</f>
        <v>0.36751999999999996</v>
      </c>
      <c r="D12" s="190">
        <f>SUM('Combined Cust Impact PGA-6'!E12,'Combined Cust Impact PGA-6'!H12)</f>
        <v>0.26837</v>
      </c>
      <c r="E12" s="207">
        <f>'Rev Impact PGA-5'!E12</f>
        <v>9725</v>
      </c>
      <c r="F12" s="272">
        <v>8961.9588441384403</v>
      </c>
      <c r="G12" s="235">
        <f t="shared" ref="G12:G17" si="1">D12-C12</f>
        <v>-9.914999999999996E-2</v>
      </c>
      <c r="H12" s="191">
        <f t="shared" ref="H12:H17" si="2">G12*E12</f>
        <v>-964.23374999999965</v>
      </c>
      <c r="I12" s="180">
        <f t="shared" si="0"/>
        <v>-0.1075918520459013</v>
      </c>
    </row>
    <row r="13" spans="2:14" x14ac:dyDescent="0.25">
      <c r="B13" s="192" t="s">
        <v>111</v>
      </c>
      <c r="C13" s="190">
        <f>SUM('Combined Cust Impact PGA-6'!D16,'Combined Cust Impact PGA-6'!G16)</f>
        <v>0.36113000000000001</v>
      </c>
      <c r="D13" s="190">
        <f>SUM('Combined Cust Impact PGA-6'!E16,'Combined Cust Impact PGA-6'!H16)</f>
        <v>0.26046000000000002</v>
      </c>
      <c r="E13" s="207">
        <f>'Rev Impact PGA-5'!E13</f>
        <v>237120184</v>
      </c>
      <c r="F13" s="272">
        <v>195418824.27467138</v>
      </c>
      <c r="G13" s="235">
        <f t="shared" si="1"/>
        <v>-0.10066999999999998</v>
      </c>
      <c r="H13" s="191">
        <f t="shared" si="2"/>
        <v>-23870888.923279997</v>
      </c>
      <c r="I13" s="180">
        <f t="shared" si="0"/>
        <v>-0.12215245389936547</v>
      </c>
    </row>
    <row r="14" spans="2:14" x14ac:dyDescent="0.25">
      <c r="B14" s="125" t="s">
        <v>101</v>
      </c>
      <c r="C14" s="190">
        <f>SUM('Combined Cust Impact PGA-6'!D17,'Combined Cust Impact PGA-6'!G17)</f>
        <v>0.27552000000000004</v>
      </c>
      <c r="D14" s="190">
        <f>SUM('Combined Cust Impact PGA-6'!E17,'Combined Cust Impact PGA-6'!H17)</f>
        <v>0.16888999999999998</v>
      </c>
      <c r="E14" s="207">
        <f>'Rev Impact PGA-5'!E14</f>
        <v>67662362</v>
      </c>
      <c r="F14" s="272">
        <v>40886083.949597575</v>
      </c>
      <c r="G14" s="235">
        <f t="shared" si="1"/>
        <v>-0.10663000000000006</v>
      </c>
      <c r="H14" s="191">
        <f t="shared" si="2"/>
        <v>-7214837.6600600043</v>
      </c>
      <c r="I14" s="180">
        <f t="shared" si="0"/>
        <v>-0.17646193920048969</v>
      </c>
    </row>
    <row r="15" spans="2:14" x14ac:dyDescent="0.25">
      <c r="B15" s="125" t="s">
        <v>102</v>
      </c>
      <c r="C15" s="190">
        <f>SUM('Combined Cust Impact PGA-6'!D21,'Combined Cust Impact PGA-6'!G21)</f>
        <v>0.31006</v>
      </c>
      <c r="D15" s="190">
        <f>SUM('Combined Cust Impact PGA-6'!E21,'Combined Cust Impact PGA-6'!H21)</f>
        <v>0.21201</v>
      </c>
      <c r="E15" s="207">
        <f>'Rev Impact PGA-5'!E15</f>
        <v>15967716</v>
      </c>
      <c r="F15" s="272">
        <v>6979646.5880563883</v>
      </c>
      <c r="G15" s="235">
        <f t="shared" si="1"/>
        <v>-9.8049999999999998E-2</v>
      </c>
      <c r="H15" s="191">
        <f t="shared" si="2"/>
        <v>-1565634.5537999999</v>
      </c>
      <c r="I15" s="180">
        <f t="shared" si="0"/>
        <v>-0.22431430217098997</v>
      </c>
    </row>
    <row r="16" spans="2:14" x14ac:dyDescent="0.25">
      <c r="B16" s="125" t="s">
        <v>103</v>
      </c>
      <c r="C16" s="190">
        <f>SUM('Combined Cust Impact PGA-6'!D22,'Combined Cust Impact PGA-6'!G22)</f>
        <v>0.31520000000000004</v>
      </c>
      <c r="D16" s="190">
        <f>SUM('Combined Cust Impact PGA-6'!E22,'Combined Cust Impact PGA-6'!H22)</f>
        <v>0.20976999999999998</v>
      </c>
      <c r="E16" s="207">
        <f>'Rev Impact PGA-5'!E16</f>
        <v>9331174</v>
      </c>
      <c r="F16" s="272">
        <v>5431777.3842644747</v>
      </c>
      <c r="G16" s="235">
        <f t="shared" si="1"/>
        <v>-0.10543000000000005</v>
      </c>
      <c r="H16" s="191">
        <f t="shared" si="2"/>
        <v>-983785.67482000042</v>
      </c>
      <c r="I16" s="180">
        <f t="shared" si="0"/>
        <v>-0.18111671470004773</v>
      </c>
    </row>
    <row r="17" spans="2:14" x14ac:dyDescent="0.25">
      <c r="B17" s="193" t="s">
        <v>104</v>
      </c>
      <c r="C17" s="190">
        <f>SUM('Combined Cust Impact PGA-6'!D23,'Combined Cust Impact PGA-6'!G23)</f>
        <v>0.31373000000000001</v>
      </c>
      <c r="D17" s="190">
        <f>SUM('Combined Cust Impact PGA-6'!E23,'Combined Cust Impact PGA-6'!H23)</f>
        <v>0.21227000000000001</v>
      </c>
      <c r="E17" s="207">
        <f>'Rev Impact PGA-5'!E17</f>
        <v>22142129</v>
      </c>
      <c r="F17" s="272">
        <v>8441576.8987429943</v>
      </c>
      <c r="G17" s="235">
        <f t="shared" si="1"/>
        <v>-0.10145999999999999</v>
      </c>
      <c r="H17" s="191">
        <f t="shared" si="2"/>
        <v>-2246540.4083400001</v>
      </c>
      <c r="I17" s="194">
        <f t="shared" si="0"/>
        <v>-0.26612805110790672</v>
      </c>
    </row>
    <row r="18" spans="2:14" x14ac:dyDescent="0.25">
      <c r="B18" s="195" t="s">
        <v>7</v>
      </c>
      <c r="C18" s="197"/>
      <c r="D18" s="197"/>
      <c r="E18" s="198">
        <f>SUM(E11:E17)</f>
        <v>982631156</v>
      </c>
      <c r="F18" s="196">
        <f>SUM(F11:F17)</f>
        <v>899514543.69662833</v>
      </c>
      <c r="G18" s="32">
        <f>ROUND(H18/E18,5)</f>
        <v>-0.10013</v>
      </c>
      <c r="H18" s="196">
        <f>SUM(H11:H17)</f>
        <v>-98386599.867949992</v>
      </c>
      <c r="I18" s="199">
        <f t="shared" si="0"/>
        <v>-0.10937744204070592</v>
      </c>
    </row>
    <row r="19" spans="2:14" x14ac:dyDescent="0.25">
      <c r="B19" s="125"/>
      <c r="C19" s="7"/>
      <c r="D19" s="7"/>
      <c r="E19" s="201"/>
      <c r="F19" s="191"/>
      <c r="H19" s="191"/>
      <c r="I19" s="180"/>
    </row>
    <row r="20" spans="2:14" ht="12.75" customHeight="1" x14ac:dyDescent="0.25">
      <c r="B20" s="282" t="str">
        <f>'Rev Impact PGA-5'!B20:I20</f>
        <v>(1) Forecasted revenue at the rates in effect May 1, 2018 for the 12 months ended October 2019.</v>
      </c>
      <c r="C20" s="282"/>
      <c r="D20" s="282"/>
      <c r="E20" s="282"/>
      <c r="F20" s="282"/>
      <c r="G20" s="282"/>
      <c r="H20" s="282"/>
      <c r="I20" s="282"/>
    </row>
    <row r="21" spans="2:14" ht="12.75" customHeight="1" x14ac:dyDescent="0.25">
      <c r="B21" s="254"/>
      <c r="C21" s="254"/>
      <c r="D21" s="254"/>
      <c r="E21" s="254"/>
      <c r="F21" s="254"/>
      <c r="G21" s="254"/>
      <c r="H21" s="254"/>
      <c r="I21" s="254"/>
      <c r="M21"/>
      <c r="N21"/>
    </row>
    <row r="22" spans="2:14" x14ac:dyDescent="0.25">
      <c r="B22" s="254"/>
      <c r="C22" s="254"/>
      <c r="D22" s="254"/>
      <c r="E22" s="254"/>
      <c r="F22" s="254"/>
      <c r="G22" s="254"/>
      <c r="H22" s="254"/>
      <c r="I22" s="254"/>
      <c r="M22"/>
      <c r="N22"/>
    </row>
    <row r="23" spans="2:14" ht="105.75" customHeight="1" x14ac:dyDescent="0.25">
      <c r="E23" s="201"/>
      <c r="F23" s="191"/>
      <c r="H23" s="191"/>
      <c r="J23" s="211" t="s">
        <v>0</v>
      </c>
      <c r="K23" s="182" t="s">
        <v>63</v>
      </c>
      <c r="L23" s="226" t="s">
        <v>169</v>
      </c>
      <c r="M23"/>
      <c r="N23"/>
    </row>
    <row r="24" spans="2:14" x14ac:dyDescent="0.25">
      <c r="B24" s="125"/>
      <c r="C24" s="185"/>
      <c r="D24" s="185"/>
      <c r="E24" s="201"/>
      <c r="F24" s="191"/>
      <c r="H24" s="191"/>
      <c r="M24"/>
      <c r="N24"/>
    </row>
    <row r="25" spans="2:14" x14ac:dyDescent="0.25">
      <c r="B25" s="125"/>
      <c r="C25" s="185"/>
      <c r="D25" s="185"/>
      <c r="E25" s="185"/>
      <c r="F25" s="191"/>
      <c r="H25" s="191"/>
      <c r="M25"/>
      <c r="N25"/>
    </row>
    <row r="26" spans="2:14" x14ac:dyDescent="0.25">
      <c r="C26" s="185"/>
      <c r="D26" s="185"/>
      <c r="E26" s="200"/>
      <c r="F26" s="191"/>
      <c r="H26" s="191"/>
      <c r="M26"/>
      <c r="N26"/>
    </row>
    <row r="27" spans="2:14" x14ac:dyDescent="0.25">
      <c r="C27" s="185"/>
      <c r="D27" s="185"/>
      <c r="E27" s="202"/>
      <c r="H27" s="191"/>
      <c r="M27"/>
      <c r="N27"/>
    </row>
    <row r="28" spans="2:14" x14ac:dyDescent="0.25">
      <c r="C28" s="203"/>
      <c r="D28" s="203"/>
      <c r="E28" s="203"/>
      <c r="F28" s="7"/>
      <c r="G28" s="7"/>
      <c r="H28" s="191"/>
      <c r="I28" s="7"/>
      <c r="M28"/>
      <c r="N28"/>
    </row>
    <row r="29" spans="2:14" x14ac:dyDescent="0.25">
      <c r="C29" s="203"/>
      <c r="D29" s="203"/>
      <c r="E29" s="203"/>
      <c r="F29" s="7"/>
      <c r="G29" s="7"/>
      <c r="H29" s="7"/>
      <c r="I29" s="7"/>
      <c r="M29"/>
      <c r="N29"/>
    </row>
    <row r="30" spans="2:14" x14ac:dyDescent="0.25">
      <c r="B30" s="204"/>
      <c r="C30" s="7"/>
      <c r="D30" s="7"/>
      <c r="E30" s="7"/>
      <c r="F30" s="7"/>
      <c r="G30" s="7"/>
      <c r="H30" s="7"/>
      <c r="I30" s="7"/>
      <c r="M30"/>
      <c r="N30"/>
    </row>
    <row r="31" spans="2:14" x14ac:dyDescent="0.25">
      <c r="B31" s="205"/>
      <c r="C31" s="7"/>
      <c r="D31" s="7"/>
      <c r="E31" s="7"/>
      <c r="F31" s="7"/>
      <c r="G31" s="7"/>
      <c r="H31" s="7"/>
      <c r="I31" s="7"/>
      <c r="M31"/>
      <c r="N31"/>
    </row>
    <row r="32" spans="2:14" s="7" customFormat="1" x14ac:dyDescent="0.25">
      <c r="B32" s="206"/>
      <c r="M32" s="209"/>
      <c r="N32" s="209"/>
    </row>
  </sheetData>
  <mergeCells count="1">
    <mergeCell ref="B20:I20"/>
  </mergeCells>
  <phoneticPr fontId="5" type="noConversion"/>
  <printOptions horizontalCentered="1"/>
  <pageMargins left="0.75" right="0.75" top="1" bottom="1" header="0.5" footer="0.5"/>
  <pageSetup scale="86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9E4AE6-3529-49A7-9365-76EE8902DBE1}"/>
</file>

<file path=customXml/itemProps2.xml><?xml version="1.0" encoding="utf-8"?>
<ds:datastoreItem xmlns:ds="http://schemas.openxmlformats.org/officeDocument/2006/customXml" ds:itemID="{95487DFB-2A56-4FF7-BA7B-497C35A73596}"/>
</file>

<file path=customXml/itemProps3.xml><?xml version="1.0" encoding="utf-8"?>
<ds:datastoreItem xmlns:ds="http://schemas.openxmlformats.org/officeDocument/2006/customXml" ds:itemID="{F9482D58-5721-4AC6-B823-7F43347CC85C}"/>
</file>

<file path=customXml/itemProps4.xml><?xml version="1.0" encoding="utf-8"?>
<ds:datastoreItem xmlns:ds="http://schemas.openxmlformats.org/officeDocument/2006/customXml" ds:itemID="{75669896-57F3-455E-A985-F20DA9D42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Rates PGA-1</vt:lpstr>
      <vt:lpstr>Rate Change PGA-2</vt:lpstr>
      <vt:lpstr>Forecast PGA-3</vt:lpstr>
      <vt:lpstr>Cust Impact PGA-4</vt:lpstr>
      <vt:lpstr>Rev Impact PGA-5</vt:lpstr>
      <vt:lpstr>Combined Cust Impact PGA-6</vt:lpstr>
      <vt:lpstr>Combined Rev Impact PGA-7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Puget Sound Energy</cp:lastModifiedBy>
  <cp:lastPrinted>2018-09-17T19:05:19Z</cp:lastPrinted>
  <dcterms:created xsi:type="dcterms:W3CDTF">2003-08-13T16:19:50Z</dcterms:created>
  <dcterms:modified xsi:type="dcterms:W3CDTF">2018-09-17T19:09:57Z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