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1" i="3" l="1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3" i="5"/>
  <c r="G23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D47" i="10" s="1"/>
  <c r="G49" i="2"/>
  <c r="B49" i="2"/>
  <c r="B47" i="5"/>
  <c r="G49" i="5"/>
  <c r="B25" i="5"/>
  <c r="C49" i="5"/>
  <c r="H47" i="2" l="1"/>
  <c r="H49" i="2" s="1"/>
  <c r="D16" i="16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<sst xmlns="http://schemas.openxmlformats.org/spreadsheetml/2006/main" count="641" uniqueCount="277">
  <si>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</si>
  <si>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</si>
  <si>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</si>
  <si>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</si>
  <si>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</si>
  <si>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</si>
  <si>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</si>
  <si>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</si>
  <si>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</si>
  <si>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</si>
  <si>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</si>
  <si>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</si>
  <si>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</si>
  <si>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</si>
  <si>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</si>
  <si>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</si>
  <si>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</si>
  <si>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</si>
  <si>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</si>
  <si>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</si>
  <si>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</si>
  <si>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</si>
  <si>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</si>
  <si>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</si>
  <si>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</si>
  <si>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</si>
  <si>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</si>
  <si>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</si>
  <si>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</si>
  <si>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</si>
  <si>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</si>
  <si>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</si>
  <si>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</si>
  <si>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</si>
  <si>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</si>
  <si>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</si>
  <si>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</si>
  <si>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</si>
  <si>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</si>
  <si>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</si>
  <si>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</si>
  <si>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</si>
  <si>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</si>
  <si>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</si>
  <si>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</si>
  <si>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</si>
  <si>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</si>
  <si>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</si>
  <si>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</si>
  <si>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</si>
  <si>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</si>
  <si>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</si>
  <si>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</si>
  <si>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</si>
  <si>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</si>
  <si>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</si>
  <si>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</si>
  <si>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</si>
  <si>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</si>
  <si>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</si>
  <si>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</si>
  <si>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</si>
  <si>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</si>
  <si>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</si>
  <si>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</si>
  <si>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</si>
  <si>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</si>
  <si>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</si>
  <si>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</si>
  <si>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</si>
  <si>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</si>
  <si>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</si>
  <si>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</si>
  <si>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</si>
  <si>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</si>
  <si>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</si>
  <si>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</si>
  <si>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</si>
  <si>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</si>
  <si>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</si>
  <si>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</si>
  <si>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</si>
  <si>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</si>
  <si>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</si>
  <si>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</si>
  <si>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</si>
  <si>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</si>
  <si>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</si>
  <si>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</si>
  <si>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</si>
  <si>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</si>
  <si>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</si>
  <si>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</si>
  <si>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</si>
  <si>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</si>
  <si>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</si>
  <si>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</si>
  <si>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</si>
  <si>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</si>
  <si>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</si>
  <si>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</si>
  <si>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</si>
  <si>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</si>
  <si>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</si>
  <si>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</si>
  <si>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</si>
  <si>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</si>
  <si>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</si>
  <si>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</si>
  <si>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</si>
  <si>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</si>
  <si>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</si>
  <si>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</si>
  <si>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</si>
  <si>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</si>
  <si>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</si>
  <si>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</si>
  <si>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</si>
  <si>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</si>
  <si>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</si>
  <si>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</si>
  <si>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</si>
  <si>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</si>
  <si>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</si>
  <si>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</si>
  <si>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</si>
  <si>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</si>
  <si>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</si>
  <si>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</si>
  <si>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</si>
  <si>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</si>
  <si>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</si>
  <si>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</si>
  <si>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</si>
  <si>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</si>
  <si>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</si>
  <si>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</si>
  <si>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</si>
  <si>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</si>
  <si>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</si>
  <si>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</si>
  <si>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</si>
  <si>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</si>
  <si>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</si>
  <si>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</si>
  <si>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</si>
  <si>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</si>
  <si>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</si>
  <si>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</si>
  <si>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</si>
  <si>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</si>
  <si>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</si>
  <si>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</si>
  <si>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</si>
  <si>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</si>
  <si>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</si>
  <si>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</si>
  <si>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</si>
  <si>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</si>
  <si>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</si>
  <si>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</si>
  <si>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</si>
  <si>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</si>
  <si>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</si>
  <si>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</si>
  <si>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</si>
  <si>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</si>
  <si>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</si>
  <si>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</si>
  <si>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</si>
  <si>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</si>
  <si>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</si>
  <si>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</si>
  <si>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</si>
  <si>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</si>
  <si>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</si>
  <si>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</si>
  <si>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</si>
  <si>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</si>
  <si>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</si>
  <si>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</si>
  <si>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</si>
  <si>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</si>
  <si>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</si>
  <si>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</si>
  <si>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</si>
  <si>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</si>
  <si>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</si>
  <si>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</si>
  <si>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</si>
  <si>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</si>
  <si>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</si>
  <si>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</si>
  <si>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</si>
  <si>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</si>
  <si>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</si>
  <si>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</si>
  <si>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</si>
  <si>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</si>
  <si>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</si>
  <si>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</si>
  <si>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</si>
  <si>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</si>
  <si>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</si>
  <si>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</si>
  <si>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</si>
  <si>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</si>
  <si>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</si>
  <si>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</si>
  <si>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</si>
  <si>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</si>
  <si>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</si>
  <si>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</si>
  <si>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</si>
  <si>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</si>
  <si>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</si>
  <si>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</si>
  <si>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</si>
  <si>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</si>
  <si>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</si>
  <si>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</si>
  <si>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</si>
  <si>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</si>
  <si>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</si>
  <si>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</si>
  <si>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</si>
  <si>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</si>
  <si>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</si>
  <si>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</si>
  <si>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</si>
  <si>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</si>
  <si>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</si>
  <si>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</si>
  <si>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</si>
  <si>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</si>
  <si>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</si>
  <si>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</si>
  <si>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</si>
  <si>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</si>
  <si>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</si>
  <si>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</si>
  <si>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</si>
  <si>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</si>
  <si>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</si>
  <si>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</si>
  <si>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</si>
  <si>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</si>
  <si>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</si>
  <si>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</si>
  <si>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</si>
  <si>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</si>
  <si>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</si>
  <si>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</si>
  <si>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</si>
  <si>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</si>
  <si>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</si>
  <si>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</si>
  <si>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</si>
  <si>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</si>
  <si>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</si>
  <si>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</si>
  <si>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</si>
  <si>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</si>
  <si>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</si>
  <si>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</si>
  <si>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</si>
  <si>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</si>
  <si>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</si>
  <si>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</si>
  <si>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</si>
  <si>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</si>
  <si>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</si>
  <si>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PIONEER TELEPHONE COMPANY</t>
  </si>
  <si>
    <t>Line 48, column A Deferred FIT does not include excess Deferred FIT because for GAAP purposes</t>
  </si>
  <si>
    <t xml:space="preserve"> it was directly expensed.  Line 48, column B includes the excess Deferred FIT expense added </t>
  </si>
  <si>
    <t xml:space="preserve"> back to Deferred FIT for cost study purposes required by NECA/FCC for normalization. </t>
  </si>
  <si>
    <t>Ln 18, column B includes Excess Deferred FIT expense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</si>
</sst>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zoomScaleNormal="100" workbookViewId="0">
      <selection activeCell="A6" sqref="A6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E12" sqref="E12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PIONEER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80655</v>
      </c>
      <c r="E9" s="55">
        <v>79315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69872</v>
      </c>
      <c r="E11" s="52">
        <f>52132+125</f>
        <v>52257</v>
      </c>
    </row>
    <row r="12" spans="1:5" x14ac:dyDescent="0.25">
      <c r="A12" s="10" t="s">
        <v>176</v>
      </c>
      <c r="B12" s="17" t="s">
        <v>200</v>
      </c>
      <c r="C12" s="10"/>
      <c r="D12" s="52">
        <v>196688</v>
      </c>
      <c r="E12" s="52">
        <v>179217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5390</v>
      </c>
      <c r="E14" s="52">
        <v>13641</v>
      </c>
    </row>
    <row r="15" spans="1:5" x14ac:dyDescent="0.25">
      <c r="A15" s="10" t="s">
        <v>178</v>
      </c>
      <c r="B15" s="17" t="s">
        <v>142</v>
      </c>
      <c r="C15" s="10"/>
      <c r="D15" s="52">
        <v>344708</v>
      </c>
      <c r="E15" s="52">
        <v>201059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282096</v>
      </c>
      <c r="E16" s="52">
        <v>332</v>
      </c>
    </row>
    <row r="17" spans="1:5" x14ac:dyDescent="0.25">
      <c r="A17" s="10">
        <v>5</v>
      </c>
      <c r="B17" s="17" t="s">
        <v>270</v>
      </c>
      <c r="C17" s="10" t="s">
        <v>144</v>
      </c>
      <c r="D17" s="52">
        <v>266431</v>
      </c>
      <c r="E17" s="52">
        <v>861730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59183</v>
      </c>
      <c r="E18" s="52">
        <v>127155</v>
      </c>
    </row>
    <row r="19" spans="1:5" x14ac:dyDescent="0.25">
      <c r="A19" s="10">
        <v>7</v>
      </c>
      <c r="B19" s="17" t="s">
        <v>163</v>
      </c>
      <c r="C19" s="11"/>
      <c r="D19" s="53"/>
      <c r="E19" s="53"/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1305023</v>
      </c>
      <c r="E20" s="35">
        <f>E9+E11+E12+E14+E15+E16++E17+E18+E19</f>
        <v>1514706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1305023</v>
      </c>
      <c r="E21" s="37">
        <f>IncomeStmtSummary!D10</f>
        <v>1514706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zoomScaleNormal="100" workbookViewId="0">
      <selection activeCell="A6" sqref="A6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PIONEER TELEPHONE COMPANY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PIONEER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3224102</v>
      </c>
      <c r="D10" s="81">
        <f>C10</f>
        <v>3224102</v>
      </c>
    </row>
    <row r="11" spans="1:4" x14ac:dyDescent="0.25">
      <c r="A11" s="74">
        <v>2</v>
      </c>
      <c r="B11" s="78" t="s">
        <v>170</v>
      </c>
      <c r="C11" s="93">
        <f>'RateBase '!E15</f>
        <v>3895005</v>
      </c>
      <c r="D11" s="93">
        <f>C11</f>
        <v>3895005</v>
      </c>
    </row>
    <row r="12" spans="1:4" x14ac:dyDescent="0.25">
      <c r="A12" s="74">
        <v>3</v>
      </c>
      <c r="B12" s="89" t="s">
        <v>171</v>
      </c>
      <c r="C12" s="79">
        <f>(C10+C11)/2</f>
        <v>3559553.5</v>
      </c>
      <c r="D12" s="79">
        <f>(D10+D11)/2</f>
        <v>3559553.5</v>
      </c>
    </row>
    <row r="13" spans="1:4" x14ac:dyDescent="0.25">
      <c r="A13" s="74">
        <v>4</v>
      </c>
      <c r="B13" s="78" t="s">
        <v>172</v>
      </c>
      <c r="C13" s="58">
        <f>IncomeStmtSummary!D29</f>
        <v>235555</v>
      </c>
      <c r="D13" s="58">
        <f>C13</f>
        <v>235555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235555</v>
      </c>
      <c r="D15" s="79">
        <f>D13+D14</f>
        <v>235555</v>
      </c>
    </row>
    <row r="16" spans="1:4" x14ac:dyDescent="0.25">
      <c r="A16" s="74">
        <v>7</v>
      </c>
      <c r="B16" s="89" t="s">
        <v>173</v>
      </c>
      <c r="C16" s="80">
        <f>C15/C12</f>
        <v>6.6175434643698988E-2</v>
      </c>
      <c r="D16" s="80">
        <f>D15/D12</f>
        <v>6.6175434643698988E-2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23" zoomScaleNormal="100" workbookViewId="0">
      <selection activeCell="A6" sqref="A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v>1683133</v>
      </c>
      <c r="C10" s="54"/>
      <c r="D10" s="58">
        <f>SUM(B10:C10)</f>
        <v>1683133</v>
      </c>
      <c r="E10" s="17"/>
      <c r="F10" s="17" t="s">
        <v>77</v>
      </c>
      <c r="G10" s="52">
        <v>19696</v>
      </c>
      <c r="H10" s="54"/>
      <c r="I10" s="58">
        <f>SUM(G10:H10)</f>
        <v>19696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1069</v>
      </c>
      <c r="H13" s="54"/>
      <c r="I13" s="58">
        <f t="shared" si="0"/>
        <v>1069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27684</v>
      </c>
      <c r="C17" s="54"/>
      <c r="D17" s="58">
        <f>SUM(B17:C17)</f>
        <v>27684</v>
      </c>
      <c r="E17" s="18"/>
      <c r="F17" s="17" t="s">
        <v>85</v>
      </c>
      <c r="G17" s="52">
        <v>33893</v>
      </c>
      <c r="H17" s="54"/>
      <c r="I17" s="58">
        <f t="shared" si="0"/>
        <v>33893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52896</v>
      </c>
      <c r="H18" s="54"/>
      <c r="I18" s="58">
        <f t="shared" si="0"/>
        <v>52896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118384</v>
      </c>
      <c r="H19" s="111"/>
      <c r="I19" s="59">
        <f t="shared" si="0"/>
        <v>118384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225938</v>
      </c>
      <c r="H20" s="58">
        <f>SUM(H10:H19)</f>
        <v>0</v>
      </c>
      <c r="I20" s="58">
        <f t="shared" ref="I20" si="3">SUM(I10:I19)</f>
        <v>225938</v>
      </c>
    </row>
    <row r="21" spans="1:9" x14ac:dyDescent="0.25">
      <c r="A21" s="17" t="s">
        <v>48</v>
      </c>
      <c r="B21" s="52">
        <v>53983</v>
      </c>
      <c r="C21" s="54"/>
      <c r="D21" s="58">
        <f t="shared" si="2"/>
        <v>53983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>
        <v>3140</v>
      </c>
      <c r="C22" s="54"/>
      <c r="D22" s="58">
        <f t="shared" si="2"/>
        <v>3140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31098</v>
      </c>
      <c r="C23" s="54"/>
      <c r="D23" s="58">
        <f t="shared" si="2"/>
        <v>31098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453334</v>
      </c>
      <c r="C24" s="111"/>
      <c r="D24" s="59">
        <f t="shared" si="2"/>
        <v>453334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2252372</v>
      </c>
      <c r="C25" s="58">
        <f>C10+C11+C13+C14+C15+C17+C18+C19+C20+C21+C22+C23+C24</f>
        <v>0</v>
      </c>
      <c r="D25" s="58">
        <f t="shared" ref="D25" si="5">D10+D11+D13+D14+D15+D17+D18+D19+D20+D21+D22+D23+D24</f>
        <v>2252372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95631</v>
      </c>
      <c r="H30" s="54"/>
      <c r="I30" s="58">
        <f t="shared" si="6"/>
        <v>95631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95631</v>
      </c>
      <c r="H32" s="119">
        <f>SUM(H22:H31)</f>
        <v>0</v>
      </c>
      <c r="I32" s="119">
        <f>SUM(I22:I31)</f>
        <v>95631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>
        <v>35277</v>
      </c>
      <c r="C35" s="69">
        <f>-1*(C25+C30+C31+C33+C34+C36+C37+C38+C47)</f>
        <v>4128</v>
      </c>
      <c r="D35" s="58">
        <f t="shared" si="7"/>
        <v>39405</v>
      </c>
      <c r="E35" s="17"/>
      <c r="F35" s="18" t="s">
        <v>216</v>
      </c>
      <c r="G35" s="52">
        <v>516812</v>
      </c>
      <c r="H35" s="52">
        <v>-10502</v>
      </c>
      <c r="I35" s="58">
        <f>SUM(G35:H35)</f>
        <v>506310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516812</v>
      </c>
      <c r="H38" s="58">
        <f>SUM(H34:H37)</f>
        <v>-10502</v>
      </c>
      <c r="I38" s="58">
        <f>SUM(I34:I37)</f>
        <v>506310</v>
      </c>
    </row>
    <row r="39" spans="1:9" x14ac:dyDescent="0.25">
      <c r="A39" s="17" t="s">
        <v>64</v>
      </c>
      <c r="B39" s="58">
        <f>B30+B31+B33+B34+B35+B36+B37+B38</f>
        <v>35277</v>
      </c>
      <c r="C39" s="58">
        <f>C30+C31+C33+C34+C35+C36+C37+C38</f>
        <v>4128</v>
      </c>
      <c r="D39" s="58">
        <f>D30+D31+D33+D34+D35+D36+D37+D38</f>
        <v>39405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56052</v>
      </c>
      <c r="H40" s="22"/>
      <c r="I40" s="58">
        <f>SUM(G40:H40)</f>
        <v>56052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12627103</v>
      </c>
      <c r="C42" s="52">
        <v>-36282</v>
      </c>
      <c r="D42" s="58">
        <f>SUM(B42:C42)</f>
        <v>12590821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66466</v>
      </c>
      <c r="C44" s="52"/>
      <c r="D44" s="58">
        <f t="shared" si="10"/>
        <v>66466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-8946546</v>
      </c>
      <c r="C46" s="53">
        <v>32154</v>
      </c>
      <c r="D46" s="59">
        <f t="shared" si="10"/>
        <v>-8914392</v>
      </c>
      <c r="E46" s="17"/>
      <c r="F46" s="17" t="s">
        <v>223</v>
      </c>
      <c r="G46" s="53">
        <v>5140239</v>
      </c>
      <c r="H46" s="94">
        <f>-1*(H20+H32+H38)</f>
        <v>10502</v>
      </c>
      <c r="I46" s="59">
        <f t="shared" si="9"/>
        <v>5150741</v>
      </c>
    </row>
    <row r="47" spans="1:9" x14ac:dyDescent="0.25">
      <c r="A47" s="17" t="s">
        <v>70</v>
      </c>
      <c r="B47" s="58">
        <f>B42+B43+B44+B45+B46</f>
        <v>3747023</v>
      </c>
      <c r="C47" s="58">
        <f t="shared" ref="C47:D47" si="11">C42+C43+C44+C45+C46</f>
        <v>-4128</v>
      </c>
      <c r="D47" s="58">
        <f t="shared" si="11"/>
        <v>3742895</v>
      </c>
      <c r="E47" s="17"/>
      <c r="F47" s="17" t="s">
        <v>224</v>
      </c>
      <c r="G47" s="58">
        <f>SUM(G40:G46)</f>
        <v>5196291</v>
      </c>
      <c r="H47" s="61">
        <f t="shared" ref="H47:I47" si="12">SUM(H40:H46)</f>
        <v>10502</v>
      </c>
      <c r="I47" s="58">
        <f t="shared" si="12"/>
        <v>5206793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6034672</v>
      </c>
      <c r="C49" s="60">
        <f>C25+C39+C47</f>
        <v>0</v>
      </c>
      <c r="D49" s="60">
        <f>D25+D39+D47</f>
        <v>6034672</v>
      </c>
      <c r="E49" s="19"/>
      <c r="F49" s="82" t="s">
        <v>228</v>
      </c>
      <c r="G49" s="60">
        <f>G20+G32+G38+G47</f>
        <v>6034672</v>
      </c>
      <c r="H49" s="60">
        <f>H20+H32+H38+H47</f>
        <v>0</v>
      </c>
      <c r="I49" s="60">
        <f>I20+I32+I38+I47</f>
        <v>6034672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28" zoomScaleNormal="100" workbookViewId="0">
      <selection activeCell="A6" sqref="A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PIONEER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1367357</v>
      </c>
      <c r="C10" s="54"/>
      <c r="D10" s="58">
        <f>SUM(B10:C10)</f>
        <v>1367357</v>
      </c>
      <c r="E10" s="17"/>
      <c r="F10" s="17" t="s">
        <v>77</v>
      </c>
      <c r="G10" s="52">
        <v>41844</v>
      </c>
      <c r="H10" s="54"/>
      <c r="I10" s="58">
        <f>SUM(G10:H10)</f>
        <v>41844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>
        <v>300</v>
      </c>
      <c r="H13" s="54"/>
      <c r="I13" s="58">
        <f t="shared" si="0"/>
        <v>300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24869</v>
      </c>
      <c r="C17" s="54"/>
      <c r="D17" s="58">
        <f>SUM(B17:C17)</f>
        <v>24869</v>
      </c>
      <c r="E17" s="18"/>
      <c r="F17" s="17" t="s">
        <v>85</v>
      </c>
      <c r="G17" s="52">
        <v>2785</v>
      </c>
      <c r="H17" s="54"/>
      <c r="I17" s="58">
        <f t="shared" si="0"/>
        <v>2785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64556</v>
      </c>
      <c r="H18" s="54"/>
      <c r="I18" s="58">
        <f t="shared" si="0"/>
        <v>64556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161618</v>
      </c>
      <c r="H19" s="111"/>
      <c r="I19" s="59">
        <f t="shared" si="0"/>
        <v>161618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271103</v>
      </c>
      <c r="H20" s="58">
        <f>SUM(H10:H19)</f>
        <v>0</v>
      </c>
      <c r="I20" s="58">
        <f t="shared" ref="I20" si="3">SUM(I10:I19)</f>
        <v>271103</v>
      </c>
    </row>
    <row r="21" spans="1:9" x14ac:dyDescent="0.25">
      <c r="A21" s="17" t="s">
        <v>48</v>
      </c>
      <c r="B21" s="52">
        <v>208722</v>
      </c>
      <c r="C21" s="54"/>
      <c r="D21" s="58">
        <f t="shared" si="2"/>
        <v>208722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12186</v>
      </c>
      <c r="C23" s="54"/>
      <c r="D23" s="58">
        <f t="shared" si="2"/>
        <v>12186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510068</v>
      </c>
      <c r="C24" s="111"/>
      <c r="D24" s="59">
        <f t="shared" si="2"/>
        <v>510068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2123202</v>
      </c>
      <c r="C25" s="58">
        <f>C10+C11+C13+C14+C15+C17+C18+C19+C20+C21+C22+C23+C24</f>
        <v>0</v>
      </c>
      <c r="D25" s="58">
        <f t="shared" ref="D25" si="5">D10+D11+D13+D14+D15+D17+D18+D19+D20+D21+D22+D23+D24</f>
        <v>2123202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130055</v>
      </c>
      <c r="H30" s="54"/>
      <c r="I30" s="58">
        <f t="shared" si="6"/>
        <v>130055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130055</v>
      </c>
      <c r="H32" s="81">
        <f>SUM(H22:H31)</f>
        <v>0</v>
      </c>
      <c r="I32" s="58">
        <f>SUM(I22:I31)</f>
        <v>130055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35277</v>
      </c>
      <c r="C35" s="69">
        <f>-1*(C25+C30+C31+C33+C34+C36+C37+C38+C47)</f>
        <v>5134</v>
      </c>
      <c r="D35" s="58">
        <f t="shared" si="7"/>
        <v>40411</v>
      </c>
      <c r="E35" s="17"/>
      <c r="F35" s="18" t="s">
        <v>216</v>
      </c>
      <c r="G35" s="52">
        <v>390049</v>
      </c>
      <c r="H35" s="52">
        <v>217778</v>
      </c>
      <c r="I35" s="58">
        <f>SUM(G35:H35)</f>
        <v>607827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/>
      <c r="C37" s="54"/>
      <c r="D37" s="58">
        <f t="shared" si="7"/>
        <v>0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390049</v>
      </c>
      <c r="H38" s="58">
        <f>SUM(H34:H37)</f>
        <v>217778</v>
      </c>
      <c r="I38" s="58">
        <f>SUM(I34:I37)</f>
        <v>607827</v>
      </c>
    </row>
    <row r="39" spans="1:11" x14ac:dyDescent="0.25">
      <c r="A39" s="17" t="s">
        <v>64</v>
      </c>
      <c r="B39" s="58">
        <f>B30+B31+B33+B34+B35+B36+B37+B38</f>
        <v>35277</v>
      </c>
      <c r="C39" s="58">
        <f>C30+C31+C33+C34+C35+C36+C37+C38</f>
        <v>5134</v>
      </c>
      <c r="D39" s="58">
        <f t="shared" ref="D39" si="9">D30+D31+D33+D34+D35+D36+D37+D38</f>
        <v>40411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56052</v>
      </c>
      <c r="H40" s="22"/>
      <c r="I40" s="58">
        <f>SUM(G40:H40)</f>
        <v>56052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13709528</v>
      </c>
      <c r="C42" s="52">
        <v>-42139</v>
      </c>
      <c r="D42" s="58">
        <f>SUM(B42:C42)</f>
        <v>13667389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5218</v>
      </c>
      <c r="C44" s="52"/>
      <c r="D44" s="58">
        <f t="shared" si="11"/>
        <v>5218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-9410284</v>
      </c>
      <c r="C46" s="53">
        <v>37005</v>
      </c>
      <c r="D46" s="59">
        <f t="shared" si="11"/>
        <v>-9373279</v>
      </c>
      <c r="E46" s="17"/>
      <c r="F46" s="17" t="s">
        <v>223</v>
      </c>
      <c r="G46" s="53">
        <v>5615682</v>
      </c>
      <c r="H46" s="94">
        <f>-1*(H20+H32+H38)</f>
        <v>-217778</v>
      </c>
      <c r="I46" s="59">
        <f t="shared" si="10"/>
        <v>5397904</v>
      </c>
    </row>
    <row r="47" spans="1:11" x14ac:dyDescent="0.25">
      <c r="A47" s="17" t="s">
        <v>70</v>
      </c>
      <c r="B47" s="58">
        <f>B42+B43+B44+B45+B46</f>
        <v>4304462</v>
      </c>
      <c r="C47" s="58">
        <f t="shared" ref="C47:D47" si="12">C42+C43+C44+C45+C46</f>
        <v>-5134</v>
      </c>
      <c r="D47" s="58">
        <f t="shared" si="12"/>
        <v>4299328</v>
      </c>
      <c r="E47" s="17"/>
      <c r="F47" s="17" t="s">
        <v>224</v>
      </c>
      <c r="G47" s="58">
        <f>SUM(G40:G46)</f>
        <v>5671734</v>
      </c>
      <c r="H47" s="61">
        <f t="shared" ref="H47:I47" si="13">SUM(H40:H46)</f>
        <v>-217778</v>
      </c>
      <c r="I47" s="58">
        <f t="shared" si="13"/>
        <v>5453956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6462941</v>
      </c>
      <c r="C49" s="60">
        <f t="shared" ref="C49:D49" si="14">C25+C39+C47</f>
        <v>0</v>
      </c>
      <c r="D49" s="60">
        <f t="shared" si="14"/>
        <v>6462941</v>
      </c>
      <c r="E49" s="19"/>
      <c r="F49" s="82" t="s">
        <v>227</v>
      </c>
      <c r="G49" s="60">
        <f>G20+G32+G38+G47</f>
        <v>6462941</v>
      </c>
      <c r="H49" s="60">
        <f>H20+H32+H38+H47</f>
        <v>0</v>
      </c>
      <c r="I49" s="60">
        <f>I20+I32+I38+I47</f>
        <v>6462941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 t="s">
        <v>273</v>
      </c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 t="s">
        <v>274</v>
      </c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 t="s">
        <v>275</v>
      </c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6" sqref="A6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PIONEER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1683133</v>
      </c>
      <c r="C10" s="32">
        <f>'CurrentYearBalanceSheet '!D10</f>
        <v>1367357</v>
      </c>
      <c r="D10" s="17"/>
      <c r="E10" s="17" t="s">
        <v>77</v>
      </c>
      <c r="F10" s="32">
        <f>PriorYearBalanceSheet!I10</f>
        <v>19696</v>
      </c>
      <c r="G10" s="32">
        <f>'CurrentYearBalanceSheet '!I10</f>
        <v>41844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1069</v>
      </c>
      <c r="G13" s="32">
        <f>'CurrentYearBalanceSheet '!I13</f>
        <v>300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27684</v>
      </c>
      <c r="C17" s="32">
        <f>'CurrentYearBalanceSheet '!D17</f>
        <v>24869</v>
      </c>
      <c r="D17" s="17"/>
      <c r="E17" s="17" t="s">
        <v>85</v>
      </c>
      <c r="F17" s="32">
        <f>PriorYearBalanceSheet!I17</f>
        <v>33893</v>
      </c>
      <c r="G17" s="32">
        <f>'CurrentYearBalanceSheet '!I17</f>
        <v>2785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52896</v>
      </c>
      <c r="G18" s="32">
        <f>'CurrentYearBalanceSheet '!I18</f>
        <v>64556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118384</v>
      </c>
      <c r="G19" s="32">
        <f>'CurrentYearBalanceSheet '!I19</f>
        <v>161618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225938</v>
      </c>
      <c r="G20" s="35">
        <f>SUM(G10:G19)</f>
        <v>271103</v>
      </c>
    </row>
    <row r="21" spans="1:7" x14ac:dyDescent="0.25">
      <c r="A21" s="17" t="s">
        <v>48</v>
      </c>
      <c r="B21" s="32">
        <f>PriorYearBalanceSheet!D21</f>
        <v>53983</v>
      </c>
      <c r="C21" s="32">
        <f>'CurrentYearBalanceSheet '!D21</f>
        <v>208722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3140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31098</v>
      </c>
      <c r="C23" s="32">
        <f>'CurrentYearBalanceSheet '!D23</f>
        <v>12186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453334</v>
      </c>
      <c r="C24" s="33">
        <f>'CurrentYearBalanceSheet '!D24</f>
        <v>510068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2252372</v>
      </c>
      <c r="C25" s="32">
        <f>C10+C11+C13+C14+C15+C17+C18+C19+C20+C21+C22+C23+C24</f>
        <v>2123202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95631</v>
      </c>
      <c r="G30" s="32">
        <f>'CurrentYearBalanceSheet '!I30</f>
        <v>130055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95631</v>
      </c>
      <c r="G32" s="32">
        <f>SUM(G22:G31)</f>
        <v>130055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39405</v>
      </c>
      <c r="C35" s="32">
        <f>'CurrentYearBalanceSheet '!D35</f>
        <v>40411</v>
      </c>
      <c r="D35" s="17"/>
      <c r="E35" s="18" t="s">
        <v>216</v>
      </c>
      <c r="F35" s="32">
        <f>PriorYearBalanceSheet!I35</f>
        <v>506310</v>
      </c>
      <c r="G35" s="32">
        <f>'CurrentYearBalanceSheet '!I35</f>
        <v>607827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0</v>
      </c>
      <c r="C37" s="32">
        <f>'CurrentYearBalanceSheet '!D37</f>
        <v>0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506310</v>
      </c>
      <c r="G38" s="32">
        <f>SUM(G34:G37)</f>
        <v>607827</v>
      </c>
    </row>
    <row r="39" spans="1:7" x14ac:dyDescent="0.25">
      <c r="A39" s="17" t="s">
        <v>64</v>
      </c>
      <c r="B39" s="32">
        <f>B30+B31+B33+B34+B35+B36+B37+B38</f>
        <v>39405</v>
      </c>
      <c r="C39" s="32">
        <f>C30+C31+C33+C34+C35+C36+C37+C38</f>
        <v>40411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56052</v>
      </c>
      <c r="G40" s="32">
        <f>'CurrentYearBalanceSheet '!I40</f>
        <v>56052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12590821</v>
      </c>
      <c r="C42" s="32">
        <f>'CurrentYearBalanceSheet '!D42</f>
        <v>13667389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66466</v>
      </c>
      <c r="C44" s="32">
        <f>'CurrentYearBalanceSheet '!D44</f>
        <v>5218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-8914392</v>
      </c>
      <c r="C46" s="33">
        <f>'CurrentYearBalanceSheet '!D46</f>
        <v>-9373279</v>
      </c>
      <c r="D46" s="17"/>
      <c r="E46" s="17" t="s">
        <v>232</v>
      </c>
      <c r="F46" s="33">
        <f>PriorYearBalanceSheet!I46</f>
        <v>5150741</v>
      </c>
      <c r="G46" s="33">
        <f>'CurrentYearBalanceSheet '!I46</f>
        <v>5397904</v>
      </c>
    </row>
    <row r="47" spans="1:7" x14ac:dyDescent="0.25">
      <c r="A47" s="17" t="s">
        <v>70</v>
      </c>
      <c r="B47" s="32">
        <f>SUM(B42:B46)</f>
        <v>3742895</v>
      </c>
      <c r="C47" s="32">
        <f>SUM(C42:C46)</f>
        <v>4299328</v>
      </c>
      <c r="D47" s="17"/>
      <c r="E47" s="17" t="s">
        <v>224</v>
      </c>
      <c r="F47" s="32">
        <f>SUM(F40:F46)</f>
        <v>5206793</v>
      </c>
      <c r="G47" s="32">
        <f>SUM(G40:G46)</f>
        <v>5453956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6034672</v>
      </c>
      <c r="C49" s="34">
        <f>C25+C39+C47</f>
        <v>6462941</v>
      </c>
      <c r="D49" s="17"/>
      <c r="E49" s="21" t="s">
        <v>225</v>
      </c>
      <c r="F49" s="34">
        <f>F20+F32+F38+F47</f>
        <v>6034672</v>
      </c>
      <c r="G49" s="34">
        <f>G20+G32+G38+G47</f>
        <v>6462941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zoomScaleNormal="100" workbookViewId="0">
      <selection activeCell="A6" sqref="A6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12590821</v>
      </c>
      <c r="E10" s="58">
        <f>'BalanceSheet(Summary)'!C42</f>
        <v>13667389</v>
      </c>
      <c r="F10" s="58">
        <f>(D10+E10)/2</f>
        <v>13129105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-8914392</v>
      </c>
      <c r="E12" s="58">
        <f>'BalanceSheet(Summary)'!C46</f>
        <v>-9373279</v>
      </c>
      <c r="F12" s="58">
        <f t="shared" ref="F12:F15" si="0">(D12+E12)/2</f>
        <v>-9143835.5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53983</v>
      </c>
      <c r="E13" s="58">
        <f>'BalanceSheet(Summary)'!C21</f>
        <v>208722</v>
      </c>
      <c r="F13" s="58">
        <f t="shared" si="0"/>
        <v>131352.5</v>
      </c>
    </row>
    <row r="14" spans="1:6" x14ac:dyDescent="0.25">
      <c r="A14" s="10">
        <v>5</v>
      </c>
      <c r="B14" s="17" t="s">
        <v>257</v>
      </c>
      <c r="C14" s="11"/>
      <c r="D14" s="52">
        <v>-506310</v>
      </c>
      <c r="E14" s="52">
        <v>-607827</v>
      </c>
      <c r="F14" s="58">
        <f t="shared" si="0"/>
        <v>-557068.5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3224102</v>
      </c>
      <c r="E15" s="62">
        <f>SUM(E10:E14)</f>
        <v>3895005</v>
      </c>
      <c r="F15" s="63">
        <f t="shared" si="0"/>
        <v>3559553.5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>
      <selection activeCell="A6" sqref="A6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v>478</v>
      </c>
      <c r="D10" s="52">
        <v>472</v>
      </c>
      <c r="E10" s="32">
        <f>D10-C10</f>
        <v>-6</v>
      </c>
      <c r="F10" s="38">
        <f>E10/C10</f>
        <v>-1.2552301255230125E-2</v>
      </c>
    </row>
    <row r="11" spans="1:6" x14ac:dyDescent="0.25">
      <c r="A11" s="10">
        <v>2</v>
      </c>
      <c r="B11" s="19" t="s">
        <v>122</v>
      </c>
      <c r="C11" s="52">
        <v>169</v>
      </c>
      <c r="D11" s="52">
        <v>166</v>
      </c>
      <c r="E11" s="32">
        <f>D11-C11</f>
        <v>-3</v>
      </c>
      <c r="F11" s="38">
        <f t="shared" ref="F11:F12" si="0">E11/C11</f>
        <v>-1.7751479289940829E-2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647</v>
      </c>
      <c r="D12" s="34">
        <f t="shared" ref="D12:E12" si="1">SUM(D10:D11)</f>
        <v>638</v>
      </c>
      <c r="E12" s="34">
        <f t="shared" si="1"/>
        <v>-9</v>
      </c>
      <c r="F12" s="39">
        <f t="shared" si="0"/>
        <v>-1.3910355486862442E-2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151205</v>
      </c>
      <c r="D9" s="52"/>
      <c r="E9" s="58">
        <f>SUM(C9:D9)</f>
        <v>151205</v>
      </c>
    </row>
    <row r="10" spans="1:6" x14ac:dyDescent="0.25">
      <c r="A10" s="10">
        <v>2</v>
      </c>
      <c r="B10" s="14" t="s">
        <v>2</v>
      </c>
      <c r="C10" s="52">
        <v>1305023</v>
      </c>
      <c r="D10" s="52"/>
      <c r="E10" s="58">
        <f t="shared" ref="E10:E14" si="0">SUM(C10:D10)</f>
        <v>1305023</v>
      </c>
    </row>
    <row r="11" spans="1:6" x14ac:dyDescent="0.25">
      <c r="A11" s="10">
        <v>3</v>
      </c>
      <c r="B11" s="14" t="s">
        <v>3</v>
      </c>
      <c r="C11" s="52">
        <v>41522</v>
      </c>
      <c r="D11" s="52"/>
      <c r="E11" s="58">
        <f t="shared" si="0"/>
        <v>41522</v>
      </c>
    </row>
    <row r="12" spans="1:6" x14ac:dyDescent="0.25">
      <c r="A12" s="10">
        <v>4</v>
      </c>
      <c r="B12" s="14" t="s">
        <v>4</v>
      </c>
      <c r="C12" s="52">
        <v>1800</v>
      </c>
      <c r="D12" s="52"/>
      <c r="E12" s="58">
        <f t="shared" si="0"/>
        <v>1800</v>
      </c>
    </row>
    <row r="13" spans="1:6" x14ac:dyDescent="0.25">
      <c r="A13" s="10">
        <v>5</v>
      </c>
      <c r="B13" s="14" t="s">
        <v>5</v>
      </c>
      <c r="C13" s="52">
        <v>10415</v>
      </c>
      <c r="D13" s="52"/>
      <c r="E13" s="58">
        <f t="shared" si="0"/>
        <v>10415</v>
      </c>
    </row>
    <row r="14" spans="1:6" x14ac:dyDescent="0.25">
      <c r="A14" s="10">
        <v>6</v>
      </c>
      <c r="B14" s="14" t="s">
        <v>133</v>
      </c>
      <c r="C14" s="52">
        <v>-492</v>
      </c>
      <c r="D14" s="52"/>
      <c r="E14" s="58">
        <f t="shared" si="0"/>
        <v>-492</v>
      </c>
    </row>
    <row r="15" spans="1:6" x14ac:dyDescent="0.25">
      <c r="A15" s="10">
        <v>7</v>
      </c>
      <c r="B15" s="88" t="s">
        <v>132</v>
      </c>
      <c r="C15" s="96">
        <f>SUM(C9:C14)</f>
        <v>1509473</v>
      </c>
      <c r="D15" s="96">
        <f t="shared" ref="D15:E15" si="1">SUM(D9:D14)</f>
        <v>0</v>
      </c>
      <c r="E15" s="96">
        <f t="shared" si="1"/>
        <v>1509473</v>
      </c>
      <c r="F15" s="1"/>
    </row>
    <row r="16" spans="1:6" x14ac:dyDescent="0.25">
      <c r="A16" s="10">
        <v>8</v>
      </c>
      <c r="B16" s="14" t="s">
        <v>6</v>
      </c>
      <c r="C16" s="52">
        <v>349684</v>
      </c>
      <c r="D16" s="52">
        <v>-17312</v>
      </c>
      <c r="E16" s="41">
        <f>SUM(C16:D16)</f>
        <v>332372</v>
      </c>
    </row>
    <row r="17" spans="1:6" x14ac:dyDescent="0.25">
      <c r="A17" s="10">
        <v>9</v>
      </c>
      <c r="B17" s="14" t="s">
        <v>39</v>
      </c>
      <c r="C17" s="52">
        <v>60084</v>
      </c>
      <c r="D17" s="52">
        <v>-940</v>
      </c>
      <c r="E17" s="41">
        <f t="shared" ref="E17:E21" si="2">SUM(C17:D17)</f>
        <v>59144</v>
      </c>
    </row>
    <row r="18" spans="1:6" x14ac:dyDescent="0.25">
      <c r="A18" s="10">
        <v>10</v>
      </c>
      <c r="B18" s="14" t="s">
        <v>7</v>
      </c>
      <c r="C18" s="52">
        <v>531909</v>
      </c>
      <c r="D18" s="52">
        <v>-1228</v>
      </c>
      <c r="E18" s="41">
        <f t="shared" si="2"/>
        <v>530681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120818</v>
      </c>
      <c r="D20" s="52">
        <v>-4189</v>
      </c>
      <c r="E20" s="41">
        <f t="shared" si="2"/>
        <v>116629</v>
      </c>
    </row>
    <row r="21" spans="1:6" x14ac:dyDescent="0.25">
      <c r="A21" s="10">
        <v>13</v>
      </c>
      <c r="B21" s="14" t="s">
        <v>10</v>
      </c>
      <c r="C21" s="52">
        <v>351650</v>
      </c>
      <c r="D21" s="52">
        <v>-15814</v>
      </c>
      <c r="E21" s="41">
        <f t="shared" si="2"/>
        <v>335836</v>
      </c>
    </row>
    <row r="22" spans="1:6" x14ac:dyDescent="0.25">
      <c r="A22" s="10">
        <v>14</v>
      </c>
      <c r="B22" s="83" t="s">
        <v>237</v>
      </c>
      <c r="C22" s="96">
        <f>C16+C17+C18+C19+C20+C21</f>
        <v>1414145</v>
      </c>
      <c r="D22" s="96">
        <f>D16+D17+D18+D19+D20+D21</f>
        <v>-39483</v>
      </c>
      <c r="E22" s="97">
        <f>E16+E17+E18+E19+E20+E21</f>
        <v>1374662</v>
      </c>
      <c r="F22" s="1"/>
    </row>
    <row r="23" spans="1:6" x14ac:dyDescent="0.25">
      <c r="A23" s="10">
        <v>15</v>
      </c>
      <c r="B23" s="14" t="s">
        <v>14</v>
      </c>
      <c r="C23" s="58">
        <f>C15-C22</f>
        <v>95328</v>
      </c>
      <c r="D23" s="58">
        <f>D15-D22</f>
        <v>39483</v>
      </c>
      <c r="E23" s="58">
        <f>E15-E22</f>
        <v>134811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48884</v>
      </c>
      <c r="D25" s="112">
        <v>-221</v>
      </c>
      <c r="E25" s="58">
        <f t="shared" ref="E25:E27" si="3">SUM(C25:D25)</f>
        <v>48663</v>
      </c>
    </row>
    <row r="26" spans="1:6" x14ac:dyDescent="0.25">
      <c r="A26" s="10">
        <v>18</v>
      </c>
      <c r="B26" s="14" t="s">
        <v>191</v>
      </c>
      <c r="C26" s="52">
        <v>15892</v>
      </c>
      <c r="D26" s="54">
        <v>-1996</v>
      </c>
      <c r="E26" s="58">
        <f t="shared" si="3"/>
        <v>13896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64776</v>
      </c>
      <c r="D28" s="79">
        <f t="shared" ref="D28:E28" si="4">SUM(D25:D27)</f>
        <v>-2217</v>
      </c>
      <c r="E28" s="98">
        <f t="shared" si="4"/>
        <v>62559</v>
      </c>
    </row>
    <row r="29" spans="1:6" x14ac:dyDescent="0.25">
      <c r="A29" s="10">
        <v>21</v>
      </c>
      <c r="B29" s="88" t="s">
        <v>22</v>
      </c>
      <c r="C29" s="79">
        <f>C23+C24-C28</f>
        <v>30552</v>
      </c>
      <c r="D29" s="79">
        <f>D23+D24-D28</f>
        <v>41700</v>
      </c>
      <c r="E29" s="98">
        <f>E23+E24-E28</f>
        <v>72252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52">
        <v>10014</v>
      </c>
      <c r="D35" s="54"/>
      <c r="E35" s="32">
        <f>SUM(C35:D35)</f>
        <v>10014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v>20099</v>
      </c>
      <c r="D38" s="69">
        <f>-1*(D29-D34)</f>
        <v>-41700</v>
      </c>
      <c r="E38" s="32">
        <f t="shared" si="7"/>
        <v>-21601</v>
      </c>
    </row>
    <row r="39" spans="1:10" x14ac:dyDescent="0.25">
      <c r="A39" s="10">
        <v>31</v>
      </c>
      <c r="B39" s="88" t="s">
        <v>21</v>
      </c>
      <c r="C39" s="79">
        <f>C29-C34+C35+C36+C37+C38</f>
        <v>60665</v>
      </c>
      <c r="D39" s="79">
        <f t="shared" ref="D39:E39" si="8">D29-D34+D35+D36+D37+D38</f>
        <v>0</v>
      </c>
      <c r="E39" s="79">
        <f t="shared" si="8"/>
        <v>60665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5312178</v>
      </c>
      <c r="D41" s="54"/>
      <c r="E41" s="58">
        <f t="shared" ref="E41:E46" si="9">SUM(C41:D41)</f>
        <v>5312178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>
        <v>248000</v>
      </c>
      <c r="D43" s="54"/>
      <c r="E43" s="58">
        <f t="shared" si="9"/>
        <v>248000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>
        <v>-15396</v>
      </c>
      <c r="D45" s="54"/>
      <c r="E45" s="58">
        <f t="shared" si="9"/>
        <v>-15396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5140239</v>
      </c>
      <c r="D47" s="99">
        <f t="shared" ref="D47:E47" si="10">(D39+D41+D42)-(D43+D44+D45+D46)</f>
        <v>0</v>
      </c>
      <c r="E47" s="98">
        <f t="shared" si="10"/>
        <v>5140239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/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0.62737922440480887</v>
      </c>
      <c r="D53" s="102" t="e">
        <f>((D22+D28-D18-D19)/D15)</f>
        <v>#DIV/0!</v>
      </c>
      <c r="E53" s="102">
        <f>((E22+E28-E18-E19)/E15)</f>
        <v>0.60056721783032885</v>
      </c>
    </row>
    <row r="54" spans="1:7" x14ac:dyDescent="0.25">
      <c r="A54" s="10">
        <v>46</v>
      </c>
      <c r="B54" s="14" t="s">
        <v>36</v>
      </c>
      <c r="C54" s="102">
        <f>((C22+C28+C34)/C15)</f>
        <v>0.97975982346156576</v>
      </c>
      <c r="D54" s="102" t="e">
        <f>((D22+D28+D34)/D15)</f>
        <v>#DIV/0!</v>
      </c>
      <c r="E54" s="102">
        <f>((E22+E28+E34)/E15)</f>
        <v>0.95213428792697852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topLeftCell="A19"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PIONEER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151899</v>
      </c>
      <c r="D9" s="52"/>
      <c r="E9" s="32">
        <f>SUM(C9:D9)</f>
        <v>151899</v>
      </c>
    </row>
    <row r="10" spans="1:6" x14ac:dyDescent="0.25">
      <c r="A10" s="10">
        <v>2</v>
      </c>
      <c r="B10" s="17" t="s">
        <v>2</v>
      </c>
      <c r="C10" s="52">
        <v>1514706</v>
      </c>
      <c r="D10" s="52"/>
      <c r="E10" s="32">
        <f t="shared" ref="E10:E14" si="0">SUM(C10:D10)</f>
        <v>1514706</v>
      </c>
    </row>
    <row r="11" spans="1:6" x14ac:dyDescent="0.25">
      <c r="A11" s="10">
        <v>3</v>
      </c>
      <c r="B11" s="17" t="s">
        <v>3</v>
      </c>
      <c r="C11" s="52">
        <v>36105</v>
      </c>
      <c r="D11" s="52"/>
      <c r="E11" s="32">
        <f t="shared" si="0"/>
        <v>36105</v>
      </c>
    </row>
    <row r="12" spans="1:6" x14ac:dyDescent="0.25">
      <c r="A12" s="10">
        <v>4</v>
      </c>
      <c r="B12" s="17" t="s">
        <v>4</v>
      </c>
      <c r="C12" s="52">
        <v>1800</v>
      </c>
      <c r="D12" s="52"/>
      <c r="E12" s="32">
        <f t="shared" si="0"/>
        <v>1800</v>
      </c>
    </row>
    <row r="13" spans="1:6" x14ac:dyDescent="0.25">
      <c r="A13" s="10">
        <v>5</v>
      </c>
      <c r="B13" s="17" t="s">
        <v>5</v>
      </c>
      <c r="C13" s="52">
        <v>11472</v>
      </c>
      <c r="D13" s="52"/>
      <c r="E13" s="32">
        <f t="shared" si="0"/>
        <v>11472</v>
      </c>
    </row>
    <row r="14" spans="1:6" x14ac:dyDescent="0.25">
      <c r="A14" s="10">
        <v>6</v>
      </c>
      <c r="B14" s="17" t="s">
        <v>133</v>
      </c>
      <c r="C14" s="52">
        <v>91</v>
      </c>
      <c r="D14" s="52"/>
      <c r="E14" s="32">
        <f t="shared" si="0"/>
        <v>91</v>
      </c>
    </row>
    <row r="15" spans="1:6" x14ac:dyDescent="0.25">
      <c r="A15" s="10">
        <v>7</v>
      </c>
      <c r="B15" s="83" t="s">
        <v>132</v>
      </c>
      <c r="C15" s="40">
        <f>SUM(C9:C14)</f>
        <v>1716073</v>
      </c>
      <c r="D15" s="40">
        <f t="shared" ref="D15:E15" si="1">SUM(D9:D14)</f>
        <v>0</v>
      </c>
      <c r="E15" s="40">
        <f t="shared" si="1"/>
        <v>1716073</v>
      </c>
      <c r="F15" s="1"/>
    </row>
    <row r="16" spans="1:6" x14ac:dyDescent="0.25">
      <c r="A16" s="10">
        <v>8</v>
      </c>
      <c r="B16" s="17" t="s">
        <v>6</v>
      </c>
      <c r="C16" s="52">
        <v>315194</v>
      </c>
      <c r="D16" s="52">
        <v>-37156</v>
      </c>
      <c r="E16" s="41">
        <f>SUM(C16:D16)</f>
        <v>278038</v>
      </c>
    </row>
    <row r="17" spans="1:6" x14ac:dyDescent="0.25">
      <c r="A17" s="10">
        <v>9</v>
      </c>
      <c r="B17" s="17" t="s">
        <v>39</v>
      </c>
      <c r="C17" s="52">
        <v>43184</v>
      </c>
      <c r="D17" s="52">
        <v>12945</v>
      </c>
      <c r="E17" s="41">
        <f t="shared" ref="E17:E21" si="2">SUM(C17:D17)</f>
        <v>56129</v>
      </c>
    </row>
    <row r="18" spans="1:6" x14ac:dyDescent="0.25">
      <c r="A18" s="10">
        <v>10</v>
      </c>
      <c r="B18" s="17" t="s">
        <v>7</v>
      </c>
      <c r="C18" s="52">
        <v>530118</v>
      </c>
      <c r="D18" s="52">
        <v>-1669</v>
      </c>
      <c r="E18" s="41">
        <f t="shared" si="2"/>
        <v>528449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136232</v>
      </c>
      <c r="D20" s="52">
        <v>-6147</v>
      </c>
      <c r="E20" s="41">
        <f t="shared" si="2"/>
        <v>130085</v>
      </c>
    </row>
    <row r="21" spans="1:6" x14ac:dyDescent="0.25">
      <c r="A21" s="10">
        <v>13</v>
      </c>
      <c r="B21" s="17" t="s">
        <v>10</v>
      </c>
      <c r="C21" s="52">
        <v>367005</v>
      </c>
      <c r="D21" s="52">
        <v>-20941</v>
      </c>
      <c r="E21" s="41">
        <f t="shared" si="2"/>
        <v>346064</v>
      </c>
    </row>
    <row r="22" spans="1:6" x14ac:dyDescent="0.25">
      <c r="A22" s="10">
        <v>14</v>
      </c>
      <c r="B22" s="83" t="s">
        <v>237</v>
      </c>
      <c r="C22" s="40">
        <f>C16+C17+C18+C19+C20+C21</f>
        <v>1391733</v>
      </c>
      <c r="D22" s="40">
        <f>D16+D17+D18+D19+D20+D21</f>
        <v>-52968</v>
      </c>
      <c r="E22" s="42">
        <f>E16+E17+E18+E19+E20+E21</f>
        <v>1338765</v>
      </c>
      <c r="F22" s="1"/>
    </row>
    <row r="23" spans="1:6" x14ac:dyDescent="0.25">
      <c r="A23" s="10">
        <v>15</v>
      </c>
      <c r="B23" s="17" t="s">
        <v>14</v>
      </c>
      <c r="C23" s="32">
        <f>C15-C22</f>
        <v>324340</v>
      </c>
      <c r="D23" s="32">
        <f>D15-D22</f>
        <v>52968</v>
      </c>
      <c r="E23" s="32">
        <f>E15-E22</f>
        <v>377308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48182</v>
      </c>
      <c r="D25" s="112">
        <v>-990</v>
      </c>
      <c r="E25" s="32">
        <f t="shared" ref="E25:E27" si="3">SUM(C25:D25)</f>
        <v>47192</v>
      </c>
    </row>
    <row r="26" spans="1:6" x14ac:dyDescent="0.25">
      <c r="A26" s="10">
        <v>18</v>
      </c>
      <c r="B26" s="17" t="s">
        <v>191</v>
      </c>
      <c r="C26" s="52">
        <v>-139051</v>
      </c>
      <c r="D26" s="54">
        <v>233612</v>
      </c>
      <c r="E26" s="32">
        <f t="shared" si="3"/>
        <v>94561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-90869</v>
      </c>
      <c r="D28" s="37">
        <f t="shared" ref="D28:E28" si="4">SUM(D25:D27)</f>
        <v>232622</v>
      </c>
      <c r="E28" s="43">
        <f t="shared" si="4"/>
        <v>141753</v>
      </c>
    </row>
    <row r="29" spans="1:6" x14ac:dyDescent="0.25">
      <c r="A29" s="10">
        <v>21</v>
      </c>
      <c r="B29" s="83" t="s">
        <v>22</v>
      </c>
      <c r="C29" s="37">
        <f>C23+C24-C28</f>
        <v>415209</v>
      </c>
      <c r="D29" s="37">
        <f>D23+D24-D28</f>
        <v>-179654</v>
      </c>
      <c r="E29" s="43">
        <f>E23+E24-E28</f>
        <v>235555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52">
        <v>15702</v>
      </c>
      <c r="D35" s="54"/>
      <c r="E35" s="32">
        <f>SUM(C35:D35)</f>
        <v>15702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v>12640</v>
      </c>
      <c r="D38" s="69">
        <f>-1*(D29-D34)</f>
        <v>179654</v>
      </c>
      <c r="E38" s="32">
        <f t="shared" si="7"/>
        <v>192294</v>
      </c>
    </row>
    <row r="39" spans="1:5" x14ac:dyDescent="0.25">
      <c r="A39" s="10">
        <v>31</v>
      </c>
      <c r="B39" s="83" t="s">
        <v>21</v>
      </c>
      <c r="C39" s="37">
        <f>C29-C34+C35+C36+C37+C38</f>
        <v>443551</v>
      </c>
      <c r="D39" s="37">
        <f t="shared" ref="D39:E39" si="8">D29-D34+D35+D36+D37+D38</f>
        <v>0</v>
      </c>
      <c r="E39" s="37">
        <f t="shared" si="8"/>
        <v>443551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5140239</v>
      </c>
      <c r="D41" s="54"/>
      <c r="E41" s="32">
        <f t="shared" ref="E41:E46" si="9">SUM(C41:D41)</f>
        <v>5140239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>
        <v>-31892</v>
      </c>
      <c r="D45" s="54"/>
      <c r="E45" s="32">
        <f t="shared" si="9"/>
        <v>-31892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5615682</v>
      </c>
      <c r="D47" s="64">
        <f t="shared" ref="D47:E47" si="10">(D39+D41+D42)-(D43+D44+D45+D46)</f>
        <v>0</v>
      </c>
      <c r="E47" s="43">
        <f t="shared" si="10"/>
        <v>5615682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0.44913357415447946</v>
      </c>
      <c r="D53" s="46" t="e">
        <f>((D22+D28-D18-D19)/D15)</f>
        <v>#DIV/0!</v>
      </c>
      <c r="E53" s="46">
        <f>((E22+E28-E18-E19)/E15)</f>
        <v>0.55479516314282662</v>
      </c>
    </row>
    <row r="54" spans="1:7" x14ac:dyDescent="0.25">
      <c r="A54" s="10">
        <v>46</v>
      </c>
      <c r="B54" s="17" t="s">
        <v>36</v>
      </c>
      <c r="C54" s="46">
        <f>((C22+C28+C34)/C15)</f>
        <v>0.75804700615882892</v>
      </c>
      <c r="D54" s="46" t="e">
        <f>((D22+D28+D34)/D15)</f>
        <v>#DIV/0!</v>
      </c>
      <c r="E54" s="46">
        <f>((E22+E28+E34)/E15)</f>
        <v>0.86273602579843633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 t="s">
        <v>276</v>
      </c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topLeftCell="A16" zoomScaleNormal="100" workbookViewId="0">
      <selection activeCell="A6" sqref="A6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PIONEER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151205</v>
      </c>
      <c r="D9" s="41">
        <f>'CurrentYearIncomeStmt '!E9</f>
        <v>151899</v>
      </c>
    </row>
    <row r="10" spans="1:5" x14ac:dyDescent="0.25">
      <c r="A10" s="10">
        <v>2</v>
      </c>
      <c r="B10" s="17" t="s">
        <v>2</v>
      </c>
      <c r="C10" s="32">
        <f>PriorYearIncomeStmt!E10</f>
        <v>1305023</v>
      </c>
      <c r="D10" s="41">
        <f>'CurrentYearIncomeStmt '!E10</f>
        <v>1514706</v>
      </c>
    </row>
    <row r="11" spans="1:5" x14ac:dyDescent="0.25">
      <c r="A11" s="10">
        <v>3</v>
      </c>
      <c r="B11" s="17" t="s">
        <v>3</v>
      </c>
      <c r="C11" s="32">
        <f>PriorYearIncomeStmt!E11</f>
        <v>41522</v>
      </c>
      <c r="D11" s="41">
        <f>'CurrentYearIncomeStmt '!E11</f>
        <v>36105</v>
      </c>
    </row>
    <row r="12" spans="1:5" x14ac:dyDescent="0.25">
      <c r="A12" s="10">
        <v>4</v>
      </c>
      <c r="B12" s="17" t="s">
        <v>4</v>
      </c>
      <c r="C12" s="32">
        <f>PriorYearIncomeStmt!E12</f>
        <v>1800</v>
      </c>
      <c r="D12" s="41">
        <f>'CurrentYearIncomeStmt '!E12</f>
        <v>1800</v>
      </c>
    </row>
    <row r="13" spans="1:5" x14ac:dyDescent="0.25">
      <c r="A13" s="10">
        <v>5</v>
      </c>
      <c r="B13" s="17" t="s">
        <v>5</v>
      </c>
      <c r="C13" s="32">
        <f>PriorYearIncomeStmt!E13</f>
        <v>10415</v>
      </c>
      <c r="D13" s="41">
        <f>'CurrentYearIncomeStmt '!E13</f>
        <v>11472</v>
      </c>
    </row>
    <row r="14" spans="1:5" x14ac:dyDescent="0.25">
      <c r="A14" s="10">
        <v>6</v>
      </c>
      <c r="B14" s="17" t="s">
        <v>133</v>
      </c>
      <c r="C14" s="32">
        <f>PriorYearIncomeStmt!E14</f>
        <v>-492</v>
      </c>
      <c r="D14" s="41">
        <f>'CurrentYearIncomeStmt '!E14</f>
        <v>91</v>
      </c>
    </row>
    <row r="15" spans="1:5" x14ac:dyDescent="0.25">
      <c r="A15" s="10">
        <v>7</v>
      </c>
      <c r="B15" s="83" t="s">
        <v>132</v>
      </c>
      <c r="C15" s="40">
        <f>SUM(C9:C14)</f>
        <v>1509473</v>
      </c>
      <c r="D15" s="42">
        <f t="shared" ref="D15" si="0">SUM(D9:D14)</f>
        <v>1716073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332372</v>
      </c>
      <c r="D16" s="41">
        <f>'CurrentYearIncomeStmt '!E16</f>
        <v>278038</v>
      </c>
    </row>
    <row r="17" spans="1:5" x14ac:dyDescent="0.25">
      <c r="A17" s="10">
        <v>9</v>
      </c>
      <c r="B17" s="17" t="s">
        <v>39</v>
      </c>
      <c r="C17" s="32">
        <f>PriorYearIncomeStmt!E17</f>
        <v>59144</v>
      </c>
      <c r="D17" s="41">
        <f>'CurrentYearIncomeStmt '!E17</f>
        <v>56129</v>
      </c>
    </row>
    <row r="18" spans="1:5" x14ac:dyDescent="0.25">
      <c r="A18" s="10">
        <v>10</v>
      </c>
      <c r="B18" s="17" t="s">
        <v>7</v>
      </c>
      <c r="C18" s="32">
        <f>PriorYearIncomeStmt!E18</f>
        <v>530681</v>
      </c>
      <c r="D18" s="41">
        <f>'CurrentYearIncomeStmt '!E18</f>
        <v>528449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116629</v>
      </c>
      <c r="D20" s="41">
        <f>'CurrentYearIncomeStmt '!E20</f>
        <v>130085</v>
      </c>
    </row>
    <row r="21" spans="1:5" x14ac:dyDescent="0.25">
      <c r="A21" s="10">
        <v>13</v>
      </c>
      <c r="B21" s="17" t="s">
        <v>10</v>
      </c>
      <c r="C21" s="32">
        <f>PriorYearIncomeStmt!E21</f>
        <v>335836</v>
      </c>
      <c r="D21" s="41">
        <f>'CurrentYearIncomeStmt '!E21</f>
        <v>346064</v>
      </c>
    </row>
    <row r="22" spans="1:5" x14ac:dyDescent="0.25">
      <c r="A22" s="10">
        <v>14</v>
      </c>
      <c r="B22" s="83" t="s">
        <v>237</v>
      </c>
      <c r="C22" s="40">
        <f>C16+C17+C18+C19+C20+C21</f>
        <v>1374662</v>
      </c>
      <c r="D22" s="42">
        <f>D16+D17+D18+D19+D20+D21</f>
        <v>1338765</v>
      </c>
      <c r="E22" s="1"/>
    </row>
    <row r="23" spans="1:5" x14ac:dyDescent="0.25">
      <c r="A23" s="10">
        <v>15</v>
      </c>
      <c r="B23" s="17" t="s">
        <v>14</v>
      </c>
      <c r="C23" s="32">
        <f>C15-C22</f>
        <v>134811</v>
      </c>
      <c r="D23" s="41">
        <f>D15-D22</f>
        <v>377308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48663</v>
      </c>
      <c r="D25" s="41">
        <f>'CurrentYearIncomeStmt '!E25</f>
        <v>47192</v>
      </c>
    </row>
    <row r="26" spans="1:5" x14ac:dyDescent="0.25">
      <c r="A26" s="10">
        <v>18</v>
      </c>
      <c r="B26" s="17" t="s">
        <v>181</v>
      </c>
      <c r="C26" s="32">
        <f>PriorYearIncomeStmt!E26</f>
        <v>13896</v>
      </c>
      <c r="D26" s="41">
        <f>'CurrentYearIncomeStmt '!E26</f>
        <v>94561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62559</v>
      </c>
      <c r="D28" s="43">
        <f t="shared" ref="D28" si="1">SUM(D25:D27)</f>
        <v>141753</v>
      </c>
    </row>
    <row r="29" spans="1:5" x14ac:dyDescent="0.25">
      <c r="A29" s="10">
        <v>21</v>
      </c>
      <c r="B29" s="83" t="s">
        <v>22</v>
      </c>
      <c r="C29" s="37">
        <f>C23+C24-C28</f>
        <v>72252</v>
      </c>
      <c r="D29" s="43">
        <f>D23+D24-D28</f>
        <v>235555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10014</v>
      </c>
      <c r="D35" s="41">
        <f>'CurrentYearIncomeStmt '!E35</f>
        <v>15702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-21601</v>
      </c>
      <c r="D38" s="41">
        <f>'CurrentYearIncomeStmt '!E38</f>
        <v>192294</v>
      </c>
    </row>
    <row r="39" spans="1:4" x14ac:dyDescent="0.25">
      <c r="A39" s="10">
        <v>31</v>
      </c>
      <c r="B39" s="83" t="s">
        <v>21</v>
      </c>
      <c r="C39" s="37">
        <f>C29-C34+C35+C36+C37+C38</f>
        <v>60665</v>
      </c>
      <c r="D39" s="43">
        <f t="shared" ref="D39" si="3">D29-D34+D35+D36+D37+D38</f>
        <v>443551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5312178</v>
      </c>
      <c r="D41" s="41">
        <f>'CurrentYearIncomeStmt '!E41</f>
        <v>5140239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248000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-15396</v>
      </c>
      <c r="D45" s="41">
        <f>'CurrentYearIncomeStmt '!E45</f>
        <v>-31892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5140239</v>
      </c>
      <c r="D47" s="43">
        <f t="shared" ref="D47" si="4">(D39+D41+D42)-(D43+D44+D45+D46)</f>
        <v>5615682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0.60056721783032885</v>
      </c>
      <c r="D53" s="49">
        <f>((D22+D28-D18-D19)/D15)</f>
        <v>0.55479516314282662</v>
      </c>
    </row>
    <row r="54" spans="1:8" x14ac:dyDescent="0.25">
      <c r="A54" s="10">
        <v>46</v>
      </c>
      <c r="B54" s="17" t="s">
        <v>36</v>
      </c>
      <c r="C54" s="49">
        <f>((C22+C28+C34)/C15)</f>
        <v>0.95213428792697852</v>
      </c>
      <c r="D54" s="49">
        <f>((D22+D28+D34)/D15)</f>
        <v>0.86273602579843633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BACE2423FD7E43B7920CCA8CD14C63" ma:contentTypeVersion="68" ma:contentTypeDescription="" ma:contentTypeScope="" ma:versionID="3f24402955afcf95b66558dadb36136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2018-07-30T07:00:00+00:00</OpenedDate>
    <SignificantOrder xmlns="dc463f71-b30c-4ab2-9473-d307f9d35888">false</SignificantOrder>
    <Date1 xmlns="dc463f71-b30c-4ab2-9473-d307f9d35888">2018-07-30T07:00:00+00:00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180649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E39D44-9241-4B98-A758-ED5B02701CF9}"/>
</file>

<file path=customXml/itemProps2.xml><?xml version="1.0" encoding="utf-8"?>
<ds:datastoreItem xmlns:ds="http://schemas.openxmlformats.org/officeDocument/2006/customXml" ds:itemID="{80E79C02-3B5C-40EE-B61E-7145FC8D2142}"/>
</file>

<file path=customXml/itemProps3.xml><?xml version="1.0" encoding="utf-8"?>
<ds:datastoreItem xmlns:ds="http://schemas.openxmlformats.org/officeDocument/2006/customXml" ds:itemID="{19380BED-C6ED-407E-ADC3-914FE43D3B70}"/>
</file>

<file path=customXml/itemProps4.xml><?xml version="1.0" encoding="utf-8"?>
<ds:datastoreItem xmlns:ds="http://schemas.openxmlformats.org/officeDocument/2006/customXml" ds:itemID="{976F7F4D-01EE-48FD-8249-E9B3D892CF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Steve</cp:lastModifiedBy>
  <cp:lastPrinted>2018-07-16T22:44:26Z</cp:lastPrinted>
  <dcterms:created xsi:type="dcterms:W3CDTF">2014-05-21T17:51:51Z</dcterms:created>
  <dcterms:modified xsi:type="dcterms:W3CDTF">2018-07-30T18:23:12Z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0x0101006E56B4D1795A2E4DB2F0B01679ED314A00F8BACE2423FD7E43B7920CCA8CD14C63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