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externalLinks/externalLink8.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0" yWindow="450" windowWidth="15165" windowHeight="9720"/>
  </bookViews>
  <sheets>
    <sheet name="Budget Summary 2017-2019" sheetId="1" r:id="rId1"/>
    <sheet name="Admin Time " sheetId="3" r:id="rId2"/>
    <sheet name="Impact on Recycling" sheetId="4" r:id="rId3"/>
    <sheet name="Cost summary 2017-2018" sheetId="5" r:id="rId4"/>
    <sheet name="SF 13-14" sheetId="6" state="hidden" r:id="rId5"/>
    <sheet name="MF" sheetId="7" state="hidden" r:id="rId6"/>
    <sheet name="SF 14-15" sheetId="8" state="hidden" r:id="rId7"/>
    <sheet name="MF 14-15" sheetId="9"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3">'Cost summary 2017-2018'!$A$1:$G$63</definedName>
    <definedName name="_xlnm.Print_Area" localSheetId="2">'Impact on Recycling'!$A$1:$K$54</definedName>
  </definedNames>
  <calcPr calcId="145621"/>
</workbook>
</file>

<file path=xl/calcChain.xml><?xml version="1.0" encoding="utf-8"?>
<calcChain xmlns="http://schemas.openxmlformats.org/spreadsheetml/2006/main">
  <c r="D20" i="5" l="1"/>
  <c r="B20" i="5"/>
  <c r="D18" i="5"/>
  <c r="B18" i="5"/>
  <c r="D39" i="3" l="1"/>
  <c r="I39" i="3" s="1"/>
  <c r="E39" i="3"/>
  <c r="F39" i="3"/>
  <c r="G39" i="3"/>
  <c r="C39" i="3"/>
  <c r="D52" i="5" l="1"/>
  <c r="J46" i="4" l="1"/>
  <c r="J45" i="4"/>
  <c r="D46" i="4"/>
  <c r="C46" i="4"/>
  <c r="E46" i="4" l="1"/>
  <c r="J31" i="4"/>
  <c r="J17" i="4"/>
  <c r="H17" i="4"/>
  <c r="I17" i="4" s="1"/>
  <c r="G17" i="4"/>
  <c r="A17" i="1" l="1"/>
  <c r="I25" i="3"/>
  <c r="I26" i="3"/>
  <c r="I27" i="3"/>
  <c r="I28" i="3"/>
  <c r="I29" i="3"/>
  <c r="I30" i="3"/>
  <c r="I31" i="3"/>
  <c r="I32" i="3"/>
  <c r="I33" i="3"/>
  <c r="I34" i="3"/>
  <c r="I35" i="3"/>
  <c r="I36" i="3"/>
  <c r="I37" i="3"/>
  <c r="I38" i="3"/>
  <c r="I24" i="3"/>
  <c r="J12" i="4" l="1"/>
  <c r="J26" i="4"/>
  <c r="E45" i="4"/>
  <c r="D45" i="4"/>
  <c r="C45" i="4"/>
  <c r="J30" i="4"/>
  <c r="J16" i="4"/>
  <c r="G16" i="4"/>
  <c r="H16" i="4"/>
  <c r="I16" i="4" l="1"/>
  <c r="D54" i="5"/>
  <c r="E54" i="5" s="1"/>
  <c r="F20" i="5" l="1"/>
  <c r="B10" i="1" l="1"/>
  <c r="D10" i="1" s="1"/>
  <c r="B12" i="1" l="1"/>
  <c r="D12" i="1" s="1"/>
  <c r="H39" i="3" l="1"/>
  <c r="H41" i="3" s="1"/>
  <c r="G41" i="3"/>
  <c r="F41" i="3"/>
  <c r="D41" i="3"/>
  <c r="C41" i="3"/>
  <c r="I19" i="3"/>
  <c r="G16" i="3"/>
  <c r="G18" i="3" s="1"/>
  <c r="F16" i="3"/>
  <c r="F18" i="3" s="1"/>
  <c r="E16" i="3"/>
  <c r="E18" i="3" s="1"/>
  <c r="D16" i="3"/>
  <c r="D18" i="3" s="1"/>
  <c r="C16" i="3"/>
  <c r="C18" i="3" s="1"/>
  <c r="H14" i="3"/>
  <c r="H13" i="3"/>
  <c r="H12" i="3"/>
  <c r="H11" i="3"/>
  <c r="H10" i="3"/>
  <c r="H9" i="3"/>
  <c r="H8" i="3"/>
  <c r="H7" i="3"/>
  <c r="H6" i="3"/>
  <c r="H5" i="3"/>
  <c r="H4" i="3"/>
  <c r="H3" i="3"/>
  <c r="I41" i="3" l="1"/>
  <c r="E41" i="3"/>
  <c r="H16" i="3"/>
  <c r="H18" i="3"/>
  <c r="J42" i="3" l="1"/>
  <c r="J41" i="3"/>
  <c r="C28" i="4"/>
  <c r="D28" i="4"/>
  <c r="E28" i="4"/>
  <c r="F14" i="4"/>
  <c r="E14" i="4"/>
  <c r="D14" i="4"/>
  <c r="D43" i="4" s="1"/>
  <c r="C14" i="4"/>
  <c r="J28" i="4" l="1"/>
  <c r="J14" i="4"/>
  <c r="E43" i="4"/>
  <c r="C43" i="4"/>
  <c r="J43" i="4" s="1"/>
  <c r="G14" i="4"/>
  <c r="H14" i="4"/>
  <c r="I14" i="4" l="1"/>
  <c r="E27" i="4" l="1"/>
  <c r="C27" i="4"/>
  <c r="S4" i="9"/>
  <c r="R4" i="9"/>
  <c r="Q4" i="9"/>
  <c r="O4" i="9"/>
  <c r="O5" i="9"/>
  <c r="O6" i="9"/>
  <c r="O7" i="9"/>
  <c r="O8" i="9"/>
  <c r="O9" i="9"/>
  <c r="O10" i="9"/>
  <c r="O11" i="9"/>
  <c r="O12" i="9"/>
  <c r="O13" i="9"/>
  <c r="O14" i="9"/>
  <c r="O15" i="9"/>
  <c r="O16" i="9"/>
  <c r="O17" i="9"/>
  <c r="O18" i="9"/>
  <c r="O19" i="9"/>
  <c r="O20" i="9"/>
  <c r="O21" i="9"/>
  <c r="O3" i="9"/>
  <c r="G12" i="4"/>
  <c r="F13" i="4"/>
  <c r="E13" i="4"/>
  <c r="D13" i="4"/>
  <c r="D42" i="4" s="1"/>
  <c r="C13" i="4"/>
  <c r="J13" i="4" s="1"/>
  <c r="T5" i="8"/>
  <c r="S5" i="8"/>
  <c r="R5" i="8"/>
  <c r="Q5"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9" i="8"/>
  <c r="P40" i="8"/>
  <c r="P41" i="8"/>
  <c r="P42" i="8"/>
  <c r="P43" i="8"/>
  <c r="P44" i="8"/>
  <c r="P47" i="8"/>
  <c r="P48" i="8"/>
  <c r="P49" i="8"/>
  <c r="P50" i="8"/>
  <c r="P51" i="8"/>
  <c r="P52" i="8"/>
  <c r="P55" i="8"/>
  <c r="P56" i="8"/>
  <c r="P57" i="8"/>
  <c r="P58" i="8"/>
  <c r="P59" i="8"/>
  <c r="P60" i="8"/>
  <c r="P63" i="8"/>
  <c r="P64" i="8"/>
  <c r="P65" i="8"/>
  <c r="P66" i="8"/>
  <c r="E42" i="4" l="1"/>
  <c r="H13" i="4"/>
  <c r="J27" i="4"/>
  <c r="C42" i="4"/>
  <c r="G13" i="4"/>
  <c r="B21" i="1"/>
  <c r="B20" i="1"/>
  <c r="I13" i="4" l="1"/>
  <c r="J42" i="4"/>
  <c r="O11" i="6"/>
  <c r="A7" i="1" l="1"/>
  <c r="F18" i="5" l="1"/>
  <c r="B22" i="5"/>
  <c r="F22" i="5" l="1"/>
  <c r="D57" i="5" s="1"/>
  <c r="D22" i="5"/>
  <c r="C17" i="5" s="1"/>
  <c r="F17" i="5" l="1"/>
  <c r="D59" i="5"/>
  <c r="E59" i="5" s="1"/>
  <c r="E57" i="5"/>
  <c r="D61" i="5" l="1"/>
  <c r="E61" i="5" s="1"/>
  <c r="F12" i="1"/>
  <c r="E41" i="4"/>
  <c r="D41" i="4"/>
  <c r="C41" i="4"/>
  <c r="J41" i="4" s="1"/>
  <c r="R33" i="7"/>
  <c r="O21" i="7"/>
  <c r="O22" i="7"/>
  <c r="O23" i="7"/>
  <c r="O24" i="7"/>
  <c r="O25" i="7"/>
  <c r="O26" i="7"/>
  <c r="O27" i="7"/>
  <c r="O28" i="7"/>
  <c r="O29" i="7"/>
  <c r="O30" i="7"/>
  <c r="O31" i="7"/>
  <c r="O20" i="7"/>
  <c r="F10" i="1" l="1"/>
  <c r="F14" i="1" s="1"/>
  <c r="R18" i="7" l="1"/>
  <c r="O4" i="7"/>
  <c r="O5" i="7"/>
  <c r="O6" i="7"/>
  <c r="O7" i="7"/>
  <c r="O8" i="7"/>
  <c r="O9" i="7"/>
  <c r="O10" i="7"/>
  <c r="O11" i="7"/>
  <c r="O12" i="7"/>
  <c r="O13" i="7"/>
  <c r="O14" i="7"/>
  <c r="O3" i="7"/>
  <c r="H12" i="4" l="1"/>
  <c r="I12" i="4" l="1"/>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3" i="6"/>
  <c r="M83" i="6"/>
  <c r="N83" i="6"/>
  <c r="O83" i="6"/>
  <c r="M84" i="6"/>
  <c r="N84" i="6"/>
  <c r="O84" i="6"/>
  <c r="M85" i="6"/>
  <c r="N85" i="6"/>
  <c r="O85" i="6"/>
  <c r="M86" i="6"/>
  <c r="N86" i="6"/>
  <c r="O86" i="6"/>
  <c r="M87" i="6"/>
  <c r="N87" i="6"/>
  <c r="O87" i="6"/>
  <c r="M88" i="6"/>
  <c r="N88" i="6"/>
  <c r="O88" i="6"/>
  <c r="M89" i="6"/>
  <c r="N89" i="6"/>
  <c r="O89" i="6"/>
  <c r="M90" i="6"/>
  <c r="N90" i="6"/>
  <c r="O90" i="6"/>
  <c r="L84" i="6"/>
  <c r="L85" i="6"/>
  <c r="L86" i="6"/>
  <c r="L87" i="6"/>
  <c r="L88" i="6"/>
  <c r="L89" i="6"/>
  <c r="L90" i="6"/>
  <c r="L83" i="6"/>
  <c r="M81" i="6"/>
  <c r="N81" i="6"/>
  <c r="O81" i="6"/>
  <c r="M82" i="6"/>
  <c r="N82" i="6"/>
  <c r="O82" i="6"/>
  <c r="L82" i="6"/>
  <c r="M75" i="6"/>
  <c r="N75" i="6"/>
  <c r="O75" i="6"/>
  <c r="M76" i="6"/>
  <c r="N76" i="6"/>
  <c r="O76" i="6"/>
  <c r="M77" i="6"/>
  <c r="N77" i="6"/>
  <c r="O77" i="6"/>
  <c r="M78" i="6"/>
  <c r="N78" i="6"/>
  <c r="O78" i="6"/>
  <c r="M79" i="6"/>
  <c r="N79" i="6"/>
  <c r="O79" i="6"/>
  <c r="M80" i="6"/>
  <c r="N80" i="6"/>
  <c r="O80" i="6"/>
  <c r="L76" i="6"/>
  <c r="L77" i="6"/>
  <c r="L78" i="6"/>
  <c r="L79" i="6"/>
  <c r="L80" i="6"/>
  <c r="L81" i="6"/>
  <c r="L75" i="6"/>
  <c r="M67" i="6"/>
  <c r="N67" i="6"/>
  <c r="O67" i="6"/>
  <c r="M68" i="6"/>
  <c r="N68" i="6"/>
  <c r="O68" i="6"/>
  <c r="M69" i="6"/>
  <c r="N69" i="6"/>
  <c r="O69" i="6"/>
  <c r="M70" i="6"/>
  <c r="N70" i="6"/>
  <c r="O70" i="6"/>
  <c r="M71" i="6"/>
  <c r="N71" i="6"/>
  <c r="O71" i="6"/>
  <c r="M72" i="6"/>
  <c r="N72" i="6"/>
  <c r="O72" i="6"/>
  <c r="M73" i="6"/>
  <c r="N73" i="6"/>
  <c r="O73" i="6"/>
  <c r="M74" i="6"/>
  <c r="N74" i="6"/>
  <c r="O74" i="6"/>
  <c r="L68" i="6"/>
  <c r="L69" i="6"/>
  <c r="L70" i="6"/>
  <c r="L71" i="6"/>
  <c r="L72" i="6"/>
  <c r="L73" i="6"/>
  <c r="L74" i="6"/>
  <c r="L67" i="6"/>
  <c r="M59" i="6"/>
  <c r="N59" i="6"/>
  <c r="O59" i="6"/>
  <c r="M60" i="6"/>
  <c r="N60" i="6"/>
  <c r="O60" i="6"/>
  <c r="M61" i="6"/>
  <c r="N61" i="6"/>
  <c r="O61" i="6"/>
  <c r="M62" i="6"/>
  <c r="N62" i="6"/>
  <c r="O62" i="6"/>
  <c r="M63" i="6"/>
  <c r="N63" i="6"/>
  <c r="O63" i="6"/>
  <c r="M64" i="6"/>
  <c r="N64" i="6"/>
  <c r="O64" i="6"/>
  <c r="M65" i="6"/>
  <c r="N65" i="6"/>
  <c r="O65" i="6"/>
  <c r="M66" i="6"/>
  <c r="N66" i="6"/>
  <c r="O66" i="6"/>
  <c r="L60" i="6"/>
  <c r="L61" i="6"/>
  <c r="L62" i="6"/>
  <c r="L63" i="6"/>
  <c r="L64" i="6"/>
  <c r="L65" i="6"/>
  <c r="L66" i="6"/>
  <c r="L59" i="6"/>
  <c r="M51" i="6"/>
  <c r="N51" i="6"/>
  <c r="O51" i="6"/>
  <c r="M52" i="6"/>
  <c r="N52" i="6"/>
  <c r="O52" i="6"/>
  <c r="M53" i="6"/>
  <c r="N53" i="6"/>
  <c r="O53" i="6"/>
  <c r="M54" i="6"/>
  <c r="N54" i="6"/>
  <c r="O54" i="6"/>
  <c r="M55" i="6"/>
  <c r="N55" i="6"/>
  <c r="O55" i="6"/>
  <c r="M56" i="6"/>
  <c r="N56" i="6"/>
  <c r="O56" i="6"/>
  <c r="M57" i="6"/>
  <c r="N57" i="6"/>
  <c r="O57" i="6"/>
  <c r="M58" i="6"/>
  <c r="N58" i="6"/>
  <c r="O58" i="6"/>
  <c r="L52" i="6"/>
  <c r="L53" i="6"/>
  <c r="L54" i="6"/>
  <c r="L55" i="6"/>
  <c r="L56" i="6"/>
  <c r="L57" i="6"/>
  <c r="L58" i="6"/>
  <c r="L51" i="6"/>
  <c r="M43" i="6"/>
  <c r="N43" i="6"/>
  <c r="O43" i="6"/>
  <c r="M44" i="6"/>
  <c r="N44" i="6"/>
  <c r="O44" i="6"/>
  <c r="M45" i="6"/>
  <c r="N45" i="6"/>
  <c r="O45" i="6"/>
  <c r="M46" i="6"/>
  <c r="N46" i="6"/>
  <c r="O46" i="6"/>
  <c r="M47" i="6"/>
  <c r="N47" i="6"/>
  <c r="O47" i="6"/>
  <c r="M48" i="6"/>
  <c r="N48" i="6"/>
  <c r="O48" i="6"/>
  <c r="M49" i="6"/>
  <c r="N49" i="6"/>
  <c r="O49" i="6"/>
  <c r="M50" i="6"/>
  <c r="N50" i="6"/>
  <c r="O50" i="6"/>
  <c r="L44" i="6"/>
  <c r="L45" i="6"/>
  <c r="L46" i="6"/>
  <c r="L47" i="6"/>
  <c r="L48" i="6"/>
  <c r="L49" i="6"/>
  <c r="L50" i="6"/>
  <c r="L43" i="6"/>
  <c r="M35" i="6"/>
  <c r="N35" i="6"/>
  <c r="O35" i="6"/>
  <c r="M37" i="6"/>
  <c r="N37" i="6"/>
  <c r="O37" i="6"/>
  <c r="M38" i="6"/>
  <c r="N38" i="6"/>
  <c r="O38" i="6"/>
  <c r="M39" i="6"/>
  <c r="N39" i="6"/>
  <c r="O39" i="6"/>
  <c r="M40" i="6"/>
  <c r="N40" i="6"/>
  <c r="O40" i="6"/>
  <c r="M41" i="6"/>
  <c r="N41" i="6"/>
  <c r="O41" i="6"/>
  <c r="M42" i="6"/>
  <c r="N42" i="6"/>
  <c r="O42" i="6"/>
  <c r="L37" i="6"/>
  <c r="L38" i="6"/>
  <c r="L39" i="6"/>
  <c r="L40" i="6"/>
  <c r="L41" i="6"/>
  <c r="L42" i="6"/>
  <c r="L35" i="6"/>
  <c r="M27" i="6"/>
  <c r="N27" i="6"/>
  <c r="O27" i="6"/>
  <c r="M28" i="6"/>
  <c r="N28" i="6"/>
  <c r="O28" i="6"/>
  <c r="M29" i="6"/>
  <c r="N29" i="6"/>
  <c r="O29" i="6"/>
  <c r="M30" i="6"/>
  <c r="N30" i="6"/>
  <c r="O30" i="6"/>
  <c r="M31" i="6"/>
  <c r="N31" i="6"/>
  <c r="O31" i="6"/>
  <c r="M32" i="6"/>
  <c r="N32" i="6"/>
  <c r="O32" i="6"/>
  <c r="M33" i="6"/>
  <c r="N33" i="6"/>
  <c r="O33" i="6"/>
  <c r="M34" i="6"/>
  <c r="N34" i="6"/>
  <c r="O34" i="6"/>
  <c r="L28" i="6"/>
  <c r="L29" i="6"/>
  <c r="L30" i="6"/>
  <c r="L31" i="6"/>
  <c r="L32" i="6"/>
  <c r="L33" i="6"/>
  <c r="L34" i="6"/>
  <c r="L27" i="6"/>
  <c r="M19" i="6"/>
  <c r="N19" i="6"/>
  <c r="O19" i="6"/>
  <c r="M20" i="6"/>
  <c r="N20" i="6"/>
  <c r="O20" i="6"/>
  <c r="M21" i="6"/>
  <c r="N21" i="6"/>
  <c r="O21" i="6"/>
  <c r="M22" i="6"/>
  <c r="N22" i="6"/>
  <c r="O22" i="6"/>
  <c r="M23" i="6"/>
  <c r="N23" i="6"/>
  <c r="O23" i="6"/>
  <c r="M24" i="6"/>
  <c r="N24" i="6"/>
  <c r="O24" i="6"/>
  <c r="M25" i="6"/>
  <c r="N25" i="6"/>
  <c r="O25" i="6"/>
  <c r="M26" i="6"/>
  <c r="N26" i="6"/>
  <c r="O26" i="6"/>
  <c r="L20" i="6"/>
  <c r="L21" i="6"/>
  <c r="L22" i="6"/>
  <c r="L23" i="6"/>
  <c r="L24" i="6"/>
  <c r="L25" i="6"/>
  <c r="L26" i="6"/>
  <c r="L19" i="6"/>
  <c r="M11" i="6"/>
  <c r="N11" i="6"/>
  <c r="M12" i="6"/>
  <c r="N12" i="6"/>
  <c r="O12" i="6"/>
  <c r="M13" i="6"/>
  <c r="N13" i="6"/>
  <c r="O13" i="6"/>
  <c r="M14" i="6"/>
  <c r="N14" i="6"/>
  <c r="O14" i="6"/>
  <c r="M15" i="6"/>
  <c r="N15" i="6"/>
  <c r="O15" i="6"/>
  <c r="M16" i="6"/>
  <c r="N16" i="6"/>
  <c r="O16" i="6"/>
  <c r="M17" i="6"/>
  <c r="N17" i="6"/>
  <c r="O17" i="6"/>
  <c r="M18" i="6"/>
  <c r="N18" i="6"/>
  <c r="O18" i="6"/>
  <c r="L12" i="6"/>
  <c r="L13" i="6"/>
  <c r="L14" i="6"/>
  <c r="L15" i="6"/>
  <c r="L16" i="6"/>
  <c r="L17" i="6"/>
  <c r="L18" i="6"/>
  <c r="L11" i="6"/>
  <c r="M3" i="6"/>
  <c r="N3" i="6"/>
  <c r="O3" i="6"/>
  <c r="M4" i="6"/>
  <c r="N4" i="6"/>
  <c r="O4" i="6"/>
  <c r="M5" i="6"/>
  <c r="N5" i="6"/>
  <c r="O5" i="6"/>
  <c r="M6" i="6"/>
  <c r="N6" i="6"/>
  <c r="O6" i="6"/>
  <c r="M8" i="6"/>
  <c r="N8" i="6"/>
  <c r="O8" i="6"/>
  <c r="M9" i="6"/>
  <c r="N9" i="6"/>
  <c r="O9" i="6"/>
  <c r="M10" i="6"/>
  <c r="N10" i="6"/>
  <c r="O10" i="6"/>
  <c r="L4" i="6"/>
  <c r="L5" i="6"/>
  <c r="L6" i="6"/>
  <c r="L8" i="6"/>
  <c r="L9" i="6"/>
  <c r="L10" i="6"/>
  <c r="L3" i="6"/>
  <c r="Z64" i="6" l="1"/>
  <c r="Z8" i="6"/>
  <c r="AA8" i="6"/>
  <c r="AA48" i="6"/>
  <c r="AA56" i="6"/>
  <c r="AA64" i="6"/>
  <c r="AC40" i="6"/>
  <c r="AC8" i="6"/>
  <c r="AB40" i="6"/>
  <c r="AC48" i="6"/>
  <c r="AC56" i="6"/>
  <c r="AC64" i="6"/>
  <c r="AB8" i="6"/>
  <c r="Z40" i="6"/>
  <c r="AA40" i="6"/>
  <c r="Z48" i="6"/>
  <c r="AB48" i="6"/>
  <c r="Z56" i="6"/>
  <c r="AB56" i="6"/>
  <c r="AB64" i="6"/>
  <c r="V3" i="6"/>
  <c r="E83" i="6"/>
  <c r="F83" i="6"/>
  <c r="G83" i="6"/>
  <c r="H83" i="6"/>
  <c r="I83" i="6"/>
  <c r="J83" i="6"/>
  <c r="K83" i="6"/>
  <c r="E84" i="6"/>
  <c r="F84" i="6"/>
  <c r="G84" i="6"/>
  <c r="H84" i="6"/>
  <c r="I84" i="6"/>
  <c r="J84" i="6"/>
  <c r="K84" i="6"/>
  <c r="E85" i="6"/>
  <c r="F85" i="6"/>
  <c r="G85" i="6"/>
  <c r="H85" i="6"/>
  <c r="I85" i="6"/>
  <c r="J85" i="6"/>
  <c r="K85" i="6"/>
  <c r="E86" i="6"/>
  <c r="F86" i="6"/>
  <c r="G86" i="6"/>
  <c r="H86" i="6"/>
  <c r="I86" i="6"/>
  <c r="J86" i="6"/>
  <c r="K86" i="6"/>
  <c r="E87" i="6"/>
  <c r="F87" i="6"/>
  <c r="G87" i="6"/>
  <c r="H87" i="6"/>
  <c r="I87" i="6"/>
  <c r="J87" i="6"/>
  <c r="K87" i="6"/>
  <c r="E88" i="6"/>
  <c r="F88" i="6"/>
  <c r="G88" i="6"/>
  <c r="H88" i="6"/>
  <c r="I88" i="6"/>
  <c r="J88" i="6"/>
  <c r="K88" i="6"/>
  <c r="E89" i="6"/>
  <c r="F89" i="6"/>
  <c r="G89" i="6"/>
  <c r="H89" i="6"/>
  <c r="I89" i="6"/>
  <c r="J89" i="6"/>
  <c r="K89" i="6"/>
  <c r="E90" i="6"/>
  <c r="F90" i="6"/>
  <c r="G90" i="6"/>
  <c r="H90" i="6"/>
  <c r="I90" i="6"/>
  <c r="J90" i="6"/>
  <c r="K90" i="6"/>
  <c r="D84" i="6"/>
  <c r="D85" i="6"/>
  <c r="D86" i="6"/>
  <c r="D87" i="6"/>
  <c r="D88" i="6"/>
  <c r="D89" i="6"/>
  <c r="D90" i="6"/>
  <c r="D83" i="6"/>
  <c r="E75" i="6"/>
  <c r="F75" i="6"/>
  <c r="G75" i="6"/>
  <c r="H75" i="6"/>
  <c r="I75" i="6"/>
  <c r="J75" i="6"/>
  <c r="K75" i="6"/>
  <c r="E76" i="6"/>
  <c r="F76" i="6"/>
  <c r="G76" i="6"/>
  <c r="H76" i="6"/>
  <c r="I76" i="6"/>
  <c r="J76" i="6"/>
  <c r="K76" i="6"/>
  <c r="E77" i="6"/>
  <c r="F77" i="6"/>
  <c r="G77" i="6"/>
  <c r="H77" i="6"/>
  <c r="I77" i="6"/>
  <c r="J77" i="6"/>
  <c r="K77" i="6"/>
  <c r="E78" i="6"/>
  <c r="F78" i="6"/>
  <c r="G78" i="6"/>
  <c r="H78" i="6"/>
  <c r="I78" i="6"/>
  <c r="J78" i="6"/>
  <c r="K78" i="6"/>
  <c r="E79" i="6"/>
  <c r="F79" i="6"/>
  <c r="G79" i="6"/>
  <c r="H79" i="6"/>
  <c r="I79" i="6"/>
  <c r="J79" i="6"/>
  <c r="K79" i="6"/>
  <c r="E80" i="6"/>
  <c r="F80" i="6"/>
  <c r="G80" i="6"/>
  <c r="H80" i="6"/>
  <c r="I80" i="6"/>
  <c r="J80" i="6"/>
  <c r="K80" i="6"/>
  <c r="E81" i="6"/>
  <c r="F81" i="6"/>
  <c r="G81" i="6"/>
  <c r="H81" i="6"/>
  <c r="I81" i="6"/>
  <c r="J81" i="6"/>
  <c r="K81" i="6"/>
  <c r="E82" i="6"/>
  <c r="F82" i="6"/>
  <c r="G82" i="6"/>
  <c r="H82" i="6"/>
  <c r="I82" i="6"/>
  <c r="J82" i="6"/>
  <c r="K82" i="6"/>
  <c r="D76" i="6"/>
  <c r="D77" i="6"/>
  <c r="D78" i="6"/>
  <c r="D79" i="6"/>
  <c r="D80" i="6"/>
  <c r="D81" i="6"/>
  <c r="D82" i="6"/>
  <c r="D75" i="6"/>
  <c r="E67" i="6"/>
  <c r="F67" i="6"/>
  <c r="G67" i="6"/>
  <c r="H67" i="6"/>
  <c r="I67" i="6"/>
  <c r="J67" i="6"/>
  <c r="K67" i="6"/>
  <c r="E68" i="6"/>
  <c r="F68" i="6"/>
  <c r="G68" i="6"/>
  <c r="H68" i="6"/>
  <c r="I68" i="6"/>
  <c r="J68" i="6"/>
  <c r="K68" i="6"/>
  <c r="E69" i="6"/>
  <c r="F69" i="6"/>
  <c r="G69" i="6"/>
  <c r="H69" i="6"/>
  <c r="I69" i="6"/>
  <c r="J69" i="6"/>
  <c r="K69" i="6"/>
  <c r="E70" i="6"/>
  <c r="F70" i="6"/>
  <c r="G70" i="6"/>
  <c r="H70" i="6"/>
  <c r="I70" i="6"/>
  <c r="J70" i="6"/>
  <c r="K70" i="6"/>
  <c r="E71" i="6"/>
  <c r="F71" i="6"/>
  <c r="G71" i="6"/>
  <c r="H71" i="6"/>
  <c r="I71" i="6"/>
  <c r="J71" i="6"/>
  <c r="K71" i="6"/>
  <c r="E72" i="6"/>
  <c r="F72" i="6"/>
  <c r="G72" i="6"/>
  <c r="H72" i="6"/>
  <c r="I72" i="6"/>
  <c r="J72" i="6"/>
  <c r="K72" i="6"/>
  <c r="E73" i="6"/>
  <c r="F73" i="6"/>
  <c r="G73" i="6"/>
  <c r="H73" i="6"/>
  <c r="I73" i="6"/>
  <c r="J73" i="6"/>
  <c r="K73" i="6"/>
  <c r="E74" i="6"/>
  <c r="F74" i="6"/>
  <c r="G74" i="6"/>
  <c r="H74" i="6"/>
  <c r="I74" i="6"/>
  <c r="J74" i="6"/>
  <c r="K74" i="6"/>
  <c r="D68" i="6"/>
  <c r="D69" i="6"/>
  <c r="D70" i="6"/>
  <c r="D71" i="6"/>
  <c r="D72" i="6"/>
  <c r="D73" i="6"/>
  <c r="D74" i="6"/>
  <c r="D67" i="6"/>
  <c r="E59" i="6"/>
  <c r="F59" i="6"/>
  <c r="G59" i="6"/>
  <c r="H59" i="6"/>
  <c r="I59" i="6"/>
  <c r="J59" i="6"/>
  <c r="K59" i="6"/>
  <c r="E60" i="6"/>
  <c r="F60" i="6"/>
  <c r="G60" i="6"/>
  <c r="H60" i="6"/>
  <c r="I60" i="6"/>
  <c r="J60" i="6"/>
  <c r="K60" i="6"/>
  <c r="E61" i="6"/>
  <c r="F61" i="6"/>
  <c r="G61" i="6"/>
  <c r="H61" i="6"/>
  <c r="I61" i="6"/>
  <c r="J61" i="6"/>
  <c r="K61" i="6"/>
  <c r="E62" i="6"/>
  <c r="F62" i="6"/>
  <c r="G62" i="6"/>
  <c r="H62" i="6"/>
  <c r="I62" i="6"/>
  <c r="J62" i="6"/>
  <c r="K62" i="6"/>
  <c r="E63" i="6"/>
  <c r="F63" i="6"/>
  <c r="G63" i="6"/>
  <c r="H63" i="6"/>
  <c r="I63" i="6"/>
  <c r="J63" i="6"/>
  <c r="K63" i="6"/>
  <c r="E64" i="6"/>
  <c r="S64" i="6" s="1"/>
  <c r="F64" i="6"/>
  <c r="G64" i="6"/>
  <c r="H64" i="6"/>
  <c r="I64" i="6"/>
  <c r="W64" i="6" s="1"/>
  <c r="J64" i="6"/>
  <c r="K64" i="6"/>
  <c r="E65" i="6"/>
  <c r="F65" i="6"/>
  <c r="G65" i="6"/>
  <c r="H65" i="6"/>
  <c r="I65" i="6"/>
  <c r="J65" i="6"/>
  <c r="K65" i="6"/>
  <c r="E66" i="6"/>
  <c r="F66" i="6"/>
  <c r="G66" i="6"/>
  <c r="H66" i="6"/>
  <c r="I66" i="6"/>
  <c r="J66" i="6"/>
  <c r="K66" i="6"/>
  <c r="D60" i="6"/>
  <c r="D61" i="6"/>
  <c r="D62" i="6"/>
  <c r="D63" i="6"/>
  <c r="D64" i="6"/>
  <c r="D65" i="6"/>
  <c r="D66" i="6"/>
  <c r="D59" i="6"/>
  <c r="E51" i="6"/>
  <c r="F51" i="6"/>
  <c r="G51" i="6"/>
  <c r="H51" i="6"/>
  <c r="I51" i="6"/>
  <c r="J51" i="6"/>
  <c r="K51" i="6"/>
  <c r="E52" i="6"/>
  <c r="F52" i="6"/>
  <c r="G52" i="6"/>
  <c r="H52" i="6"/>
  <c r="I52" i="6"/>
  <c r="J52" i="6"/>
  <c r="K52" i="6"/>
  <c r="E53" i="6"/>
  <c r="F53" i="6"/>
  <c r="G53" i="6"/>
  <c r="H53" i="6"/>
  <c r="I53" i="6"/>
  <c r="J53" i="6"/>
  <c r="K53" i="6"/>
  <c r="E54" i="6"/>
  <c r="F54" i="6"/>
  <c r="G54" i="6"/>
  <c r="H54" i="6"/>
  <c r="I54" i="6"/>
  <c r="J54" i="6"/>
  <c r="K54" i="6"/>
  <c r="E55" i="6"/>
  <c r="F55" i="6"/>
  <c r="G55" i="6"/>
  <c r="H55" i="6"/>
  <c r="I55" i="6"/>
  <c r="J55" i="6"/>
  <c r="K55" i="6"/>
  <c r="E56" i="6"/>
  <c r="S56" i="6" s="1"/>
  <c r="F56" i="6"/>
  <c r="G56" i="6"/>
  <c r="H56" i="6"/>
  <c r="I56" i="6"/>
  <c r="W56" i="6" s="1"/>
  <c r="J56" i="6"/>
  <c r="K56" i="6"/>
  <c r="E57" i="6"/>
  <c r="F57" i="6"/>
  <c r="G57" i="6"/>
  <c r="H57" i="6"/>
  <c r="I57" i="6"/>
  <c r="J57" i="6"/>
  <c r="K57" i="6"/>
  <c r="E58" i="6"/>
  <c r="F58" i="6"/>
  <c r="G58" i="6"/>
  <c r="H58" i="6"/>
  <c r="I58" i="6"/>
  <c r="J58" i="6"/>
  <c r="K58" i="6"/>
  <c r="D52" i="6"/>
  <c r="D53" i="6"/>
  <c r="D54" i="6"/>
  <c r="D55" i="6"/>
  <c r="D56" i="6"/>
  <c r="D57" i="6"/>
  <c r="D58" i="6"/>
  <c r="D51" i="6"/>
  <c r="E43" i="6"/>
  <c r="F43" i="6"/>
  <c r="G43" i="6"/>
  <c r="H43" i="6"/>
  <c r="I43" i="6"/>
  <c r="J43" i="6"/>
  <c r="K43" i="6"/>
  <c r="E44" i="6"/>
  <c r="F44" i="6"/>
  <c r="G44" i="6"/>
  <c r="H44" i="6"/>
  <c r="I44" i="6"/>
  <c r="J44" i="6"/>
  <c r="K44" i="6"/>
  <c r="E45" i="6"/>
  <c r="F45" i="6"/>
  <c r="G45" i="6"/>
  <c r="H45" i="6"/>
  <c r="I45" i="6"/>
  <c r="J45" i="6"/>
  <c r="K45" i="6"/>
  <c r="E46" i="6"/>
  <c r="F46" i="6"/>
  <c r="G46" i="6"/>
  <c r="H46" i="6"/>
  <c r="I46" i="6"/>
  <c r="J46" i="6"/>
  <c r="K46" i="6"/>
  <c r="E47" i="6"/>
  <c r="F47" i="6"/>
  <c r="G47" i="6"/>
  <c r="H47" i="6"/>
  <c r="I47" i="6"/>
  <c r="J47" i="6"/>
  <c r="K47" i="6"/>
  <c r="E48" i="6"/>
  <c r="S48" i="6" s="1"/>
  <c r="F48" i="6"/>
  <c r="G48" i="6"/>
  <c r="H48" i="6"/>
  <c r="I48" i="6"/>
  <c r="W48" i="6" s="1"/>
  <c r="J48" i="6"/>
  <c r="K48" i="6"/>
  <c r="E49" i="6"/>
  <c r="F49" i="6"/>
  <c r="G49" i="6"/>
  <c r="H49" i="6"/>
  <c r="I49" i="6"/>
  <c r="J49" i="6"/>
  <c r="K49" i="6"/>
  <c r="E50" i="6"/>
  <c r="F50" i="6"/>
  <c r="G50" i="6"/>
  <c r="H50" i="6"/>
  <c r="I50" i="6"/>
  <c r="J50" i="6"/>
  <c r="K50" i="6"/>
  <c r="D44" i="6"/>
  <c r="D45" i="6"/>
  <c r="D46" i="6"/>
  <c r="D47" i="6"/>
  <c r="D48" i="6"/>
  <c r="D49" i="6"/>
  <c r="D50" i="6"/>
  <c r="D43" i="6"/>
  <c r="E35" i="6"/>
  <c r="F35" i="6"/>
  <c r="G35" i="6"/>
  <c r="H35" i="6"/>
  <c r="I35" i="6"/>
  <c r="J35" i="6"/>
  <c r="K35" i="6"/>
  <c r="E37" i="6"/>
  <c r="F37" i="6"/>
  <c r="G37" i="6"/>
  <c r="H37" i="6"/>
  <c r="I37" i="6"/>
  <c r="J37" i="6"/>
  <c r="K37" i="6"/>
  <c r="E38" i="6"/>
  <c r="F38" i="6"/>
  <c r="G38" i="6"/>
  <c r="H38" i="6"/>
  <c r="I38" i="6"/>
  <c r="J38" i="6"/>
  <c r="K38" i="6"/>
  <c r="E39" i="6"/>
  <c r="F39" i="6"/>
  <c r="G39" i="6"/>
  <c r="H39" i="6"/>
  <c r="I39" i="6"/>
  <c r="J39" i="6"/>
  <c r="K39" i="6"/>
  <c r="E40" i="6"/>
  <c r="F40" i="6"/>
  <c r="G40" i="6"/>
  <c r="H40" i="6"/>
  <c r="V40" i="6" s="1"/>
  <c r="I40" i="6"/>
  <c r="J40" i="6"/>
  <c r="K40" i="6"/>
  <c r="E41" i="6"/>
  <c r="F41" i="6"/>
  <c r="G41" i="6"/>
  <c r="H41" i="6"/>
  <c r="I41" i="6"/>
  <c r="J41" i="6"/>
  <c r="K41" i="6"/>
  <c r="E42" i="6"/>
  <c r="F42" i="6"/>
  <c r="G42" i="6"/>
  <c r="H42" i="6"/>
  <c r="I42" i="6"/>
  <c r="J42" i="6"/>
  <c r="K42" i="6"/>
  <c r="D37" i="6"/>
  <c r="D38" i="6"/>
  <c r="D39" i="6"/>
  <c r="D40" i="6"/>
  <c r="D41" i="6"/>
  <c r="D42" i="6"/>
  <c r="D35" i="6"/>
  <c r="E27" i="6"/>
  <c r="F27" i="6"/>
  <c r="G27" i="6"/>
  <c r="H27" i="6"/>
  <c r="I27" i="6"/>
  <c r="J27" i="6"/>
  <c r="K27" i="6"/>
  <c r="E28" i="6"/>
  <c r="F28" i="6"/>
  <c r="G28" i="6"/>
  <c r="H28" i="6"/>
  <c r="I28" i="6"/>
  <c r="J28" i="6"/>
  <c r="K28" i="6"/>
  <c r="E29" i="6"/>
  <c r="F29" i="6"/>
  <c r="G29" i="6"/>
  <c r="H29" i="6"/>
  <c r="I29" i="6"/>
  <c r="J29" i="6"/>
  <c r="K29" i="6"/>
  <c r="E30" i="6"/>
  <c r="F30" i="6"/>
  <c r="G30" i="6"/>
  <c r="H30" i="6"/>
  <c r="I30" i="6"/>
  <c r="J30" i="6"/>
  <c r="K30" i="6"/>
  <c r="E31" i="6"/>
  <c r="F31" i="6"/>
  <c r="G31" i="6"/>
  <c r="H31" i="6"/>
  <c r="I31" i="6"/>
  <c r="J31" i="6"/>
  <c r="K31" i="6"/>
  <c r="E32" i="6"/>
  <c r="F32" i="6"/>
  <c r="G32" i="6"/>
  <c r="H32" i="6"/>
  <c r="I32" i="6"/>
  <c r="J32" i="6"/>
  <c r="K32" i="6"/>
  <c r="E33" i="6"/>
  <c r="F33" i="6"/>
  <c r="G33" i="6"/>
  <c r="H33" i="6"/>
  <c r="I33" i="6"/>
  <c r="J33" i="6"/>
  <c r="K33" i="6"/>
  <c r="E34" i="6"/>
  <c r="F34" i="6"/>
  <c r="G34" i="6"/>
  <c r="H34" i="6"/>
  <c r="I34" i="6"/>
  <c r="J34" i="6"/>
  <c r="K34" i="6"/>
  <c r="D28" i="6"/>
  <c r="D29" i="6"/>
  <c r="D30" i="6"/>
  <c r="D31" i="6"/>
  <c r="D32" i="6"/>
  <c r="D33" i="6"/>
  <c r="D34" i="6"/>
  <c r="D27" i="6"/>
  <c r="E19" i="6"/>
  <c r="F19" i="6"/>
  <c r="G19" i="6"/>
  <c r="H19" i="6"/>
  <c r="I19" i="6"/>
  <c r="J19" i="6"/>
  <c r="K19" i="6"/>
  <c r="E20" i="6"/>
  <c r="F20" i="6"/>
  <c r="G20" i="6"/>
  <c r="H20" i="6"/>
  <c r="I20" i="6"/>
  <c r="J20" i="6"/>
  <c r="K20" i="6"/>
  <c r="E21" i="6"/>
  <c r="F21" i="6"/>
  <c r="G21" i="6"/>
  <c r="H21" i="6"/>
  <c r="I21" i="6"/>
  <c r="J21" i="6"/>
  <c r="K21" i="6"/>
  <c r="E22" i="6"/>
  <c r="F22" i="6"/>
  <c r="G22" i="6"/>
  <c r="H22" i="6"/>
  <c r="I22" i="6"/>
  <c r="J22" i="6"/>
  <c r="K22" i="6"/>
  <c r="E23" i="6"/>
  <c r="F23" i="6"/>
  <c r="G23" i="6"/>
  <c r="H23" i="6"/>
  <c r="I23" i="6"/>
  <c r="J23" i="6"/>
  <c r="K23" i="6"/>
  <c r="E24" i="6"/>
  <c r="F24" i="6"/>
  <c r="G24" i="6"/>
  <c r="H24" i="6"/>
  <c r="I24" i="6"/>
  <c r="J24" i="6"/>
  <c r="K24" i="6"/>
  <c r="E25" i="6"/>
  <c r="F25" i="6"/>
  <c r="G25" i="6"/>
  <c r="H25" i="6"/>
  <c r="I25" i="6"/>
  <c r="J25" i="6"/>
  <c r="K25" i="6"/>
  <c r="E26" i="6"/>
  <c r="F26" i="6"/>
  <c r="G26" i="6"/>
  <c r="H26" i="6"/>
  <c r="I26" i="6"/>
  <c r="J26" i="6"/>
  <c r="K26" i="6"/>
  <c r="D20" i="6"/>
  <c r="D21" i="6"/>
  <c r="D22" i="6"/>
  <c r="D23" i="6"/>
  <c r="D24" i="6"/>
  <c r="D25" i="6"/>
  <c r="D26" i="6"/>
  <c r="D19" i="6"/>
  <c r="E11" i="6"/>
  <c r="F11" i="6"/>
  <c r="G11" i="6"/>
  <c r="H11" i="6"/>
  <c r="I11" i="6"/>
  <c r="J11" i="6"/>
  <c r="K11" i="6"/>
  <c r="E12" i="6"/>
  <c r="F12" i="6"/>
  <c r="G12" i="6"/>
  <c r="H12" i="6"/>
  <c r="I12" i="6"/>
  <c r="J12" i="6"/>
  <c r="K12" i="6"/>
  <c r="E13" i="6"/>
  <c r="F13" i="6"/>
  <c r="G13" i="6"/>
  <c r="H13" i="6"/>
  <c r="I13" i="6"/>
  <c r="J13" i="6"/>
  <c r="K13" i="6"/>
  <c r="E14" i="6"/>
  <c r="F14" i="6"/>
  <c r="G14" i="6"/>
  <c r="H14" i="6"/>
  <c r="I14" i="6"/>
  <c r="J14" i="6"/>
  <c r="K14" i="6"/>
  <c r="E15" i="6"/>
  <c r="F15" i="6"/>
  <c r="G15" i="6"/>
  <c r="H15" i="6"/>
  <c r="I15" i="6"/>
  <c r="J15" i="6"/>
  <c r="K15" i="6"/>
  <c r="E16" i="6"/>
  <c r="F16" i="6"/>
  <c r="G16" i="6"/>
  <c r="H16" i="6"/>
  <c r="I16" i="6"/>
  <c r="J16" i="6"/>
  <c r="K16" i="6"/>
  <c r="E17" i="6"/>
  <c r="F17" i="6"/>
  <c r="G17" i="6"/>
  <c r="H17" i="6"/>
  <c r="I17" i="6"/>
  <c r="J17" i="6"/>
  <c r="K17" i="6"/>
  <c r="E18" i="6"/>
  <c r="F18" i="6"/>
  <c r="G18" i="6"/>
  <c r="H18" i="6"/>
  <c r="I18" i="6"/>
  <c r="J18" i="6"/>
  <c r="K18" i="6"/>
  <c r="D12" i="6"/>
  <c r="D13" i="6"/>
  <c r="D14" i="6"/>
  <c r="D15" i="6"/>
  <c r="D16" i="6"/>
  <c r="D17" i="6"/>
  <c r="D18" i="6"/>
  <c r="D11" i="6"/>
  <c r="E3" i="6"/>
  <c r="F3" i="6"/>
  <c r="G3" i="6"/>
  <c r="H3" i="6"/>
  <c r="I3" i="6"/>
  <c r="J3" i="6"/>
  <c r="K3" i="6"/>
  <c r="E4" i="6"/>
  <c r="F4" i="6"/>
  <c r="G4" i="6"/>
  <c r="H4" i="6"/>
  <c r="I4" i="6"/>
  <c r="J4" i="6"/>
  <c r="K4" i="6"/>
  <c r="E5" i="6"/>
  <c r="F5" i="6"/>
  <c r="G5" i="6"/>
  <c r="H5" i="6"/>
  <c r="I5" i="6"/>
  <c r="J5" i="6"/>
  <c r="K5" i="6"/>
  <c r="E6" i="6"/>
  <c r="F6" i="6"/>
  <c r="G6" i="6"/>
  <c r="H6" i="6"/>
  <c r="I6" i="6"/>
  <c r="J6" i="6"/>
  <c r="K6" i="6"/>
  <c r="E8" i="6"/>
  <c r="F8" i="6"/>
  <c r="G8" i="6"/>
  <c r="H8" i="6"/>
  <c r="V8" i="6" s="1"/>
  <c r="I8" i="6"/>
  <c r="J8" i="6"/>
  <c r="K8" i="6"/>
  <c r="E9" i="6"/>
  <c r="F9" i="6"/>
  <c r="G9" i="6"/>
  <c r="H9" i="6"/>
  <c r="I9" i="6"/>
  <c r="J9" i="6"/>
  <c r="K9" i="6"/>
  <c r="E10" i="6"/>
  <c r="F10" i="6"/>
  <c r="G10" i="6"/>
  <c r="H10" i="6"/>
  <c r="I10" i="6"/>
  <c r="J10" i="6"/>
  <c r="K10" i="6"/>
  <c r="D10" i="6"/>
  <c r="D4" i="6"/>
  <c r="D5" i="6"/>
  <c r="D6" i="6"/>
  <c r="D8" i="6"/>
  <c r="R8" i="6" s="1"/>
  <c r="D9" i="6"/>
  <c r="D3" i="6"/>
  <c r="Y8" i="6" l="1"/>
  <c r="U8" i="6"/>
  <c r="Y40" i="6"/>
  <c r="U40" i="6"/>
  <c r="V48" i="6"/>
  <c r="V56" i="6"/>
  <c r="V64" i="6"/>
  <c r="Q56" i="6"/>
  <c r="X8" i="6"/>
  <c r="T8" i="6"/>
  <c r="X40" i="6"/>
  <c r="T40" i="6"/>
  <c r="Y48" i="6"/>
  <c r="U48" i="6"/>
  <c r="Y56" i="6"/>
  <c r="U56" i="6"/>
  <c r="Y64" i="6"/>
  <c r="U64" i="6"/>
  <c r="W8" i="6"/>
  <c r="S8" i="6"/>
  <c r="R40" i="6"/>
  <c r="AC41" i="6" s="1"/>
  <c r="W40" i="6"/>
  <c r="S40" i="6"/>
  <c r="R48" i="6"/>
  <c r="AC49" i="6" s="1"/>
  <c r="X48" i="6"/>
  <c r="T48" i="6"/>
  <c r="R56" i="6"/>
  <c r="AC57" i="6" s="1"/>
  <c r="X56" i="6"/>
  <c r="T56" i="6"/>
  <c r="R64" i="6"/>
  <c r="AC65" i="6" s="1"/>
  <c r="X64" i="6"/>
  <c r="T64" i="6"/>
  <c r="Q3" i="6"/>
  <c r="Q7" i="6"/>
  <c r="Q10" i="6"/>
  <c r="Q16" i="6"/>
  <c r="Q12" i="6"/>
  <c r="Q24" i="6"/>
  <c r="Q20" i="6"/>
  <c r="Q32" i="6"/>
  <c r="Q28" i="6"/>
  <c r="Q40" i="6"/>
  <c r="T44" i="6" s="1"/>
  <c r="Q36" i="6"/>
  <c r="Q48" i="6"/>
  <c r="Q44" i="6"/>
  <c r="Q52" i="6"/>
  <c r="Q64" i="6"/>
  <c r="Q60" i="6"/>
  <c r="Q72" i="6"/>
  <c r="Q68" i="6"/>
  <c r="Q80" i="6"/>
  <c r="Q76" i="6"/>
  <c r="Q88" i="6"/>
  <c r="Q84" i="6"/>
  <c r="Q6" i="6"/>
  <c r="Q11" i="6"/>
  <c r="Q15" i="6"/>
  <c r="Q19" i="6"/>
  <c r="Q23" i="6"/>
  <c r="Q27" i="6"/>
  <c r="Q31" i="6"/>
  <c r="Q35" i="6"/>
  <c r="AD41" i="6" s="1"/>
  <c r="Q39" i="6"/>
  <c r="Q43" i="6"/>
  <c r="AD49" i="6" s="1"/>
  <c r="Q47" i="6"/>
  <c r="Q51" i="6"/>
  <c r="AD57" i="6" s="1"/>
  <c r="Q55" i="6"/>
  <c r="Q59" i="6"/>
  <c r="AD65" i="6" s="1"/>
  <c r="Q63" i="6"/>
  <c r="Q67" i="6"/>
  <c r="Q71" i="6"/>
  <c r="Q75" i="6"/>
  <c r="Q79" i="6"/>
  <c r="Q83" i="6"/>
  <c r="Q87" i="6"/>
  <c r="Q9" i="6"/>
  <c r="Q5" i="6"/>
  <c r="AD9" i="6" s="1"/>
  <c r="Q18" i="6"/>
  <c r="Q14" i="6"/>
  <c r="Q26" i="6"/>
  <c r="Q22" i="6"/>
  <c r="Q34" i="6"/>
  <c r="Q30" i="6"/>
  <c r="Q42" i="6"/>
  <c r="Q38" i="6"/>
  <c r="Q50" i="6"/>
  <c r="Q46" i="6"/>
  <c r="Q58" i="6"/>
  <c r="Q54" i="6"/>
  <c r="Q66" i="6"/>
  <c r="Q62" i="6"/>
  <c r="Q74" i="6"/>
  <c r="Q70" i="6"/>
  <c r="Q82" i="6"/>
  <c r="Q78" i="6"/>
  <c r="Q90" i="6"/>
  <c r="Q86" i="6"/>
  <c r="Q8" i="6"/>
  <c r="Q4" i="6"/>
  <c r="Q17" i="6"/>
  <c r="Q13" i="6"/>
  <c r="Q25" i="6"/>
  <c r="Q21" i="6"/>
  <c r="Q33" i="6"/>
  <c r="Q29" i="6"/>
  <c r="Q41" i="6"/>
  <c r="Q37" i="6"/>
  <c r="Q49" i="6"/>
  <c r="Q45" i="6"/>
  <c r="Q57" i="6"/>
  <c r="Q53" i="6"/>
  <c r="Q65" i="6"/>
  <c r="Q61" i="6"/>
  <c r="Q73" i="6"/>
  <c r="Q69" i="6"/>
  <c r="Q81" i="6"/>
  <c r="Q77" i="6"/>
  <c r="Q89" i="6"/>
  <c r="Q85" i="6"/>
  <c r="C36" i="4"/>
  <c r="E25" i="4"/>
  <c r="C25" i="4"/>
  <c r="B25" i="4"/>
  <c r="B40" i="4" s="1"/>
  <c r="E24" i="4"/>
  <c r="C24" i="4"/>
  <c r="B24" i="4"/>
  <c r="B39" i="4" s="1"/>
  <c r="B29" i="4"/>
  <c r="B44" i="4" s="1"/>
  <c r="E23" i="4"/>
  <c r="C23" i="4"/>
  <c r="B23" i="4"/>
  <c r="B38" i="4" s="1"/>
  <c r="E22" i="4"/>
  <c r="C22" i="4"/>
  <c r="J22" i="4" s="1"/>
  <c r="B22" i="4"/>
  <c r="B37" i="4" s="1"/>
  <c r="E21" i="4"/>
  <c r="C21" i="4"/>
  <c r="J21" i="4" s="1"/>
  <c r="B21" i="4"/>
  <c r="B36" i="4" s="1"/>
  <c r="E11" i="4"/>
  <c r="D11" i="4"/>
  <c r="D40" i="4" s="1"/>
  <c r="C11" i="4"/>
  <c r="F10" i="4"/>
  <c r="E10" i="4"/>
  <c r="D10" i="4"/>
  <c r="D39" i="4" s="1"/>
  <c r="C10" i="4"/>
  <c r="G9" i="4"/>
  <c r="E9" i="4"/>
  <c r="D9" i="4"/>
  <c r="H9" i="4" s="1"/>
  <c r="C9" i="4"/>
  <c r="E8" i="4"/>
  <c r="D8" i="4"/>
  <c r="H8" i="4" s="1"/>
  <c r="C8" i="4"/>
  <c r="H7" i="4"/>
  <c r="G7" i="4"/>
  <c r="E7" i="4"/>
  <c r="J7" i="4" s="1"/>
  <c r="D7" i="4"/>
  <c r="D36" i="4" s="1"/>
  <c r="C38" i="4" l="1"/>
  <c r="J38" i="4" s="1"/>
  <c r="J9" i="4"/>
  <c r="E38" i="4"/>
  <c r="J23" i="4"/>
  <c r="J24" i="4"/>
  <c r="J10" i="4"/>
  <c r="J11" i="4"/>
  <c r="G8" i="4"/>
  <c r="I8" i="4" s="1"/>
  <c r="J8" i="4"/>
  <c r="J25" i="4"/>
  <c r="AE41" i="6"/>
  <c r="V4" i="6"/>
  <c r="AE57" i="6"/>
  <c r="AE65" i="6"/>
  <c r="AE49" i="6"/>
  <c r="R3" i="6"/>
  <c r="C40" i="4"/>
  <c r="D38" i="4"/>
  <c r="I9" i="4"/>
  <c r="T3" i="6"/>
  <c r="S3" i="6"/>
  <c r="E39" i="4"/>
  <c r="C37" i="4"/>
  <c r="G11" i="4"/>
  <c r="E40" i="4"/>
  <c r="I7" i="4"/>
  <c r="C39" i="4"/>
  <c r="J39" i="4" s="1"/>
  <c r="E37" i="4"/>
  <c r="H11" i="4"/>
  <c r="E36" i="4"/>
  <c r="J36" i="4" s="1"/>
  <c r="D37" i="4"/>
  <c r="G10" i="4"/>
  <c r="H10" i="4"/>
  <c r="J37" i="4" l="1"/>
  <c r="J40" i="4"/>
  <c r="AH50" i="6"/>
  <c r="I11" i="4"/>
  <c r="I10" i="4"/>
  <c r="B35" i="1" l="1"/>
  <c r="B37" i="1" s="1"/>
  <c r="B39" i="1" s="1"/>
  <c r="D14" i="1"/>
  <c r="B14" i="1"/>
  <c r="C39" i="1" l="1"/>
  <c r="B41" i="1"/>
  <c r="C41" i="1" s="1"/>
  <c r="D9" i="1"/>
  <c r="F9" i="1"/>
</calcChain>
</file>

<file path=xl/comments1.xml><?xml version="1.0" encoding="utf-8"?>
<comments xmlns="http://schemas.openxmlformats.org/spreadsheetml/2006/main">
  <authors>
    <author>Jody Reid</author>
  </authors>
  <commentList>
    <comment ref="B10" authorId="0">
      <text>
        <r>
          <rPr>
            <sz val="8"/>
            <color indexed="81"/>
            <rFont val="Tahoma"/>
            <family val="2"/>
          </rPr>
          <t>TTM Commodity value per customer x # of Customers x 12 months</t>
        </r>
      </text>
    </comment>
    <comment ref="D10" authorId="0">
      <text>
        <r>
          <rPr>
            <sz val="8"/>
            <color indexed="81"/>
            <rFont val="Tahoma"/>
            <family val="2"/>
          </rPr>
          <t xml:space="preserve">Customer Count Today x 12 months x Base Pass Back Rate
Multiplied value by 2 for a two year agreement
</t>
        </r>
      </text>
    </comment>
    <comment ref="B12" authorId="0">
      <text>
        <r>
          <rPr>
            <sz val="8"/>
            <color indexed="81"/>
            <rFont val="Tahoma"/>
            <family val="2"/>
          </rPr>
          <t>TTM Commodity value per MF Yard x # of MF Yards x 12 months</t>
        </r>
      </text>
    </comment>
    <comment ref="D12" authorId="0">
      <text>
        <r>
          <rPr>
            <sz val="8"/>
            <color indexed="81"/>
            <rFont val="Tahoma"/>
            <family val="2"/>
          </rPr>
          <t xml:space="preserve">Customer MF Yards today x 12 months x Base Pass Back Rate
Multiplied value by 2 for a two year agreement
</t>
        </r>
      </text>
    </comment>
  </commentList>
</comments>
</file>

<file path=xl/comments2.xml><?xml version="1.0" encoding="utf-8"?>
<comments xmlns="http://schemas.openxmlformats.org/spreadsheetml/2006/main">
  <authors>
    <author>Christensen, Abby Rose</author>
  </authors>
  <commentList>
    <comment ref="X48" authorId="0">
      <text>
        <r>
          <rPr>
            <b/>
            <sz val="9"/>
            <color indexed="81"/>
            <rFont val="Tahoma"/>
            <family val="2"/>
          </rPr>
          <t>Christensen, Abby Rose:</t>
        </r>
        <r>
          <rPr>
            <sz val="9"/>
            <color indexed="81"/>
            <rFont val="Tahoma"/>
            <family val="2"/>
          </rPr>
          <t xml:space="preserve">
Very low REC tonnage in Nov.  MSW stayed consistent from Nov to Dec.  </t>
        </r>
      </text>
    </comment>
    <comment ref="AA48" authorId="0">
      <text>
        <r>
          <rPr>
            <b/>
            <sz val="9"/>
            <color indexed="81"/>
            <rFont val="Tahoma"/>
            <family val="2"/>
          </rPr>
          <t>Christensen, Abby Rose:</t>
        </r>
        <r>
          <rPr>
            <sz val="9"/>
            <color indexed="81"/>
            <rFont val="Tahoma"/>
            <family val="2"/>
          </rPr>
          <t xml:space="preserve">
Huge fluctuation in a decrease of recycle.  MSW tonnage stayed consistent.  
</t>
        </r>
      </text>
    </comment>
  </commentList>
</comments>
</file>

<file path=xl/sharedStrings.xml><?xml version="1.0" encoding="utf-8"?>
<sst xmlns="http://schemas.openxmlformats.org/spreadsheetml/2006/main" count="636" uniqueCount="150">
  <si>
    <t>Republic Services (RS of Lynnwood)</t>
  </si>
  <si>
    <t>WUTC Snohomish County</t>
  </si>
  <si>
    <t>Revenue Sharing Summary</t>
  </si>
  <si>
    <t>Total</t>
  </si>
  <si>
    <t>Total Revenue Retained</t>
  </si>
  <si>
    <t>Task 1: Staffing Costs</t>
  </si>
  <si>
    <t>Revenue Share Agreement Manager (30%)</t>
  </si>
  <si>
    <t>Project Management/Administration and Coordination (30%)</t>
  </si>
  <si>
    <t>Task 2: Monthly Reporting</t>
  </si>
  <si>
    <t>Program Expenditures</t>
  </si>
  <si>
    <t>Program Incentive on Incurred Expenditures</t>
  </si>
  <si>
    <t>Total Budgeted Expenditure</t>
  </si>
  <si>
    <t>Months</t>
  </si>
  <si>
    <t>John L</t>
  </si>
  <si>
    <t>Dennis M</t>
  </si>
  <si>
    <t>Jeff B</t>
  </si>
  <si>
    <t>Jim H</t>
  </si>
  <si>
    <t>TOTAL</t>
  </si>
  <si>
    <t>Allocation - $/hr</t>
  </si>
  <si>
    <t>Total Admin Cost</t>
  </si>
  <si>
    <t>Snohomish Co.</t>
  </si>
  <si>
    <t xml:space="preserve">King Co. </t>
  </si>
  <si>
    <t>Task 3: Annual Mailer</t>
  </si>
  <si>
    <t xml:space="preserve">Task 6: School Recycling Education </t>
  </si>
  <si>
    <t>Period</t>
  </si>
  <si>
    <t>Recycle Tons</t>
  </si>
  <si>
    <t>YW Tons</t>
  </si>
  <si>
    <t>MSW Tons</t>
  </si>
  <si>
    <t>Customers</t>
  </si>
  <si>
    <t>Recyle Lbs/Customer</t>
  </si>
  <si>
    <t>YW Lbs/Customer</t>
  </si>
  <si>
    <t>Total Diversion</t>
  </si>
  <si>
    <t>Diversion %</t>
  </si>
  <si>
    <t>Single Family</t>
  </si>
  <si>
    <t>1/1/2011 - 12/31/2011</t>
  </si>
  <si>
    <t>1/1/2012 - 12/31/2012</t>
  </si>
  <si>
    <t>- - -</t>
  </si>
  <si>
    <t>Multi-Family</t>
  </si>
  <si>
    <t>n/a</t>
  </si>
  <si>
    <t>Combined</t>
  </si>
  <si>
    <t>5/1/2013 - 4/30/2014</t>
  </si>
  <si>
    <t xml:space="preserve">1/1/2012 - 07/31/2012 </t>
  </si>
  <si>
    <t xml:space="preserve">5/1/2011 - 4/30/2012 </t>
  </si>
  <si>
    <t xml:space="preserve">5/1/2012 - 4/30/2013 </t>
  </si>
  <si>
    <t>East County</t>
  </si>
  <si>
    <t>Gold Bar</t>
  </si>
  <si>
    <t>Lk Stevens</t>
  </si>
  <si>
    <t>Anacortes</t>
  </si>
  <si>
    <t>Edmonds</t>
  </si>
  <si>
    <t>County</t>
  </si>
  <si>
    <t>Woodway</t>
  </si>
  <si>
    <t>Lynnwood</t>
  </si>
  <si>
    <t>Monroe</t>
  </si>
  <si>
    <t>Sultan</t>
  </si>
  <si>
    <t xml:space="preserve">Snohomish </t>
  </si>
  <si>
    <t>R</t>
  </si>
  <si>
    <t>NR</t>
  </si>
  <si>
    <t>Total MSW Customers</t>
  </si>
  <si>
    <t>Total Recycle Customers</t>
  </si>
  <si>
    <t>Total Yardwaste Customers</t>
  </si>
  <si>
    <t>Total Recycle Tonnage</t>
  </si>
  <si>
    <t>Total Yardwaste Tonnage</t>
  </si>
  <si>
    <t>Total Residential MSW Tonnage</t>
  </si>
  <si>
    <t xml:space="preserve">May </t>
  </si>
  <si>
    <t xml:space="preserve">June </t>
  </si>
  <si>
    <t>July</t>
  </si>
  <si>
    <t>August</t>
  </si>
  <si>
    <t>September</t>
  </si>
  <si>
    <t>October</t>
  </si>
  <si>
    <t>November</t>
  </si>
  <si>
    <t>December</t>
  </si>
  <si>
    <t>January</t>
  </si>
  <si>
    <t>February</t>
  </si>
  <si>
    <t>March</t>
  </si>
  <si>
    <t>April</t>
  </si>
  <si>
    <t>total</t>
  </si>
  <si>
    <t>REC tons</t>
  </si>
  <si>
    <t>YW tons</t>
  </si>
  <si>
    <t>MSW tons</t>
  </si>
  <si>
    <t>cust</t>
  </si>
  <si>
    <t>Lake Stevens</t>
  </si>
  <si>
    <t>Out of Area</t>
  </si>
  <si>
    <t>Snohomish</t>
  </si>
  <si>
    <t>May</t>
  </si>
  <si>
    <t>June</t>
  </si>
  <si>
    <t xml:space="preserve">Total </t>
  </si>
  <si>
    <t>Single-Family Value (estimated)</t>
  </si>
  <si>
    <t>Multi-Family Value (estimated)</t>
  </si>
  <si>
    <t>The program costs listed below are not also covered in the rate charged to the customer.  There are a number of ways that we allocate our costs between regulated collection and non-regulated and other activities within our rate case filings. We ensure that the activities related to the revenue sharing agreement are not also counted in a rate case by excluding them from our regulated allocation base, whether it's revenue or labor hours or another allocation method. For example, for costs that are allocated based on revenue, the revenue retained from the revenue sharing agreement is excluded from total regulated revenue, which has the effect of reducing the regulated allocation percentage and thus the amount of costs allocated to regulated activities.  We are willing and able to demonstrate this to the County.</t>
  </si>
  <si>
    <t>Program Costs</t>
  </si>
  <si>
    <t>Program</t>
  </si>
  <si>
    <t>Total Cost</t>
  </si>
  <si>
    <t>Staffing</t>
  </si>
  <si>
    <t>Revenue Share Agreement Administrator</t>
  </si>
  <si>
    <t>School Recycling Education &amp; Outreach</t>
  </si>
  <si>
    <t>Total Program Costs</t>
  </si>
  <si>
    <t>Program Incentive</t>
  </si>
  <si>
    <t xml:space="preserve">Monthly Data Reporting </t>
  </si>
  <si>
    <t>Annual Mailer</t>
  </si>
  <si>
    <t xml:space="preserve">Graphic design updates </t>
  </si>
  <si>
    <t xml:space="preserve">Multi-Family Value </t>
  </si>
  <si>
    <t xml:space="preserve">Single-Family Value </t>
  </si>
  <si>
    <t>For Reporting Period Incentive:</t>
  </si>
  <si>
    <t xml:space="preserve">Revenue </t>
  </si>
  <si>
    <t xml:space="preserve">Total Revenue Retained for Program </t>
  </si>
  <si>
    <t xml:space="preserve">Revenues that have been Returned to the Customer </t>
  </si>
  <si>
    <t>Revenues which will be Returned to the Customer</t>
  </si>
  <si>
    <t xml:space="preserve">Proposed Budget </t>
  </si>
  <si>
    <t xml:space="preserve">Cost Summary </t>
  </si>
  <si>
    <t xml:space="preserve">Revenue Sharing Summary </t>
  </si>
  <si>
    <t>% Change</t>
  </si>
  <si>
    <t>Nov</t>
  </si>
  <si>
    <t>Dec</t>
  </si>
  <si>
    <t>Jan</t>
  </si>
  <si>
    <t>Feb</t>
  </si>
  <si>
    <t>Sep</t>
  </si>
  <si>
    <t>Aug</t>
  </si>
  <si>
    <t>Task 5: Multifamily Outreach</t>
  </si>
  <si>
    <t>5/1/2014 - 4/30/2015</t>
  </si>
  <si>
    <t>customers</t>
  </si>
  <si>
    <t>MSW</t>
  </si>
  <si>
    <t>REC</t>
  </si>
  <si>
    <t>YW</t>
  </si>
  <si>
    <t>5/1/2015 - 4/30/2016</t>
  </si>
  <si>
    <r>
      <t xml:space="preserve">2012 - 2013 Plan Year Management &amp; Administrative Costs </t>
    </r>
    <r>
      <rPr>
        <b/>
        <i/>
        <sz val="11"/>
        <color theme="1"/>
        <rFont val="Calibri"/>
        <family val="2"/>
        <scheme val="minor"/>
      </rPr>
      <t>(body of table is average hours / week)</t>
    </r>
  </si>
  <si>
    <t>Anne L</t>
  </si>
  <si>
    <t>King Co.</t>
  </si>
  <si>
    <t>5/1/2016 - 4/30/2017</t>
  </si>
  <si>
    <t>Task 4: Single Family Residences- Continuing Recycling Education</t>
  </si>
  <si>
    <t>Task 7: WSU Extension Education &amp; Outreach</t>
  </si>
  <si>
    <t>Accounting</t>
  </si>
  <si>
    <t>GMs</t>
  </si>
  <si>
    <t>Operations</t>
  </si>
  <si>
    <t>Training</t>
  </si>
  <si>
    <t>Managers</t>
  </si>
  <si>
    <t>5/1/2017 - 4/30/2018</t>
  </si>
  <si>
    <t>August 1, 2018 Through July 31, 2019</t>
  </si>
  <si>
    <t>May 1, 2017 Through April 30, 2018</t>
  </si>
  <si>
    <t xml:space="preserve">Project Management/Administration and Coordination </t>
  </si>
  <si>
    <t>Multifamily Outreach</t>
  </si>
  <si>
    <t>Single Family Residences - Education in Recycling &amp; Composting</t>
  </si>
  <si>
    <t>Technical Assistance &amp; Educational Presentations</t>
  </si>
  <si>
    <t>Collateral development and property screening/selection</t>
  </si>
  <si>
    <t>Website review for property manager &amp; tenant resources</t>
  </si>
  <si>
    <t>Recycle cart tag revision</t>
  </si>
  <si>
    <t>Cart tag project planning</t>
  </si>
  <si>
    <t>WSU Sustainability Program</t>
  </si>
  <si>
    <t>Polystyrene Collection Events</t>
  </si>
  <si>
    <t>2017-2018 Plan Year Management &amp; Administrative Costs (body of table is average hours/month)</t>
  </si>
  <si>
    <t>Unspent Revenues-Unspent amounts carried forward in year 2 of 2 year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</si>
</sst>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quot;$&quot;* #,##0.0000_);_(&quot;$&quot;* \(#,##0.0000\);_(&quot;$&quot;* &quot;-&quot;??_);_(@_)"/>
    <numFmt numFmtId="168" formatCode="0.0"/>
    <numFmt numFmtId="169" formatCode="_(* #,##0.0_);_(* \(#,##0.0\);_(* &quot;-&quot;??_);_(@_)"/>
    <numFmt numFmtId="170" formatCode="[$-409]mmm\-yy;@"/>
    <numFmt numFmtId="171" formatCode="0.0000000000000000%"/>
    <numFmt numFmtId="172" formatCode="0.00000000000000000%"/>
    <numFmt numFmtId="173" formatCode="0.000000000000000000%"/>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sz val="12"/>
      <name val="Arial"/>
      <family val="2"/>
    </font>
    <font>
      <sz val="10"/>
      <color indexed="23"/>
      <name val="Arial"/>
      <family val="2"/>
    </font>
    <font>
      <b/>
      <sz val="10"/>
      <name val="Arial"/>
      <family val="2"/>
    </font>
    <font>
      <sz val="10"/>
      <name val="MS Sans Serif"/>
      <family val="2"/>
    </font>
    <font>
      <sz val="8"/>
      <color indexed="12"/>
      <name val="Arial"/>
      <family val="2"/>
    </font>
    <font>
      <sz val="10"/>
      <name val="Tahoma"/>
      <family val="2"/>
    </font>
    <font>
      <sz val="9"/>
      <color indexed="8"/>
      <name val="Arial"/>
      <family val="2"/>
    </font>
    <font>
      <i/>
      <sz val="11"/>
      <color theme="1"/>
      <name val="Calibri"/>
      <family val="2"/>
      <scheme val="minor"/>
    </font>
    <font>
      <sz val="8"/>
      <color indexed="81"/>
      <name val="Tahoma"/>
      <family val="2"/>
    </font>
    <font>
      <sz val="11"/>
      <color theme="1"/>
      <name val="Calibri"/>
      <family val="2"/>
    </font>
    <font>
      <b/>
      <sz val="11"/>
      <color theme="1"/>
      <name val="Calibri"/>
      <family val="2"/>
    </font>
    <font>
      <i/>
      <sz val="11"/>
      <color theme="0" tint="-0.34998626667073579"/>
      <name val="Calibri"/>
      <family val="2"/>
    </font>
    <font>
      <sz val="11"/>
      <color theme="0" tint="-0.34998626667073579"/>
      <name val="Calibri"/>
      <family val="2"/>
    </font>
    <font>
      <b/>
      <sz val="14"/>
      <color theme="1"/>
      <name val="Calibri"/>
      <family val="2"/>
    </font>
    <font>
      <sz val="11"/>
      <name val="Calibri"/>
      <family val="2"/>
    </font>
    <font>
      <i/>
      <sz val="11"/>
      <name val="Calibri"/>
      <family val="2"/>
    </font>
    <font>
      <b/>
      <sz val="10"/>
      <color theme="1"/>
      <name val="Arial"/>
      <family val="2"/>
    </font>
    <font>
      <sz val="8"/>
      <name val="Arial"/>
      <family val="2"/>
    </font>
    <font>
      <i/>
      <sz val="9"/>
      <color rgb="FF0070C0"/>
      <name val="Arial"/>
      <family val="2"/>
    </font>
    <font>
      <sz val="10"/>
      <color rgb="FFFF0000"/>
      <name val="Arial"/>
      <family val="2"/>
    </font>
    <font>
      <sz val="10"/>
      <name val="Symbol"/>
      <family val="1"/>
      <charset val="2"/>
    </font>
    <font>
      <i/>
      <sz val="8"/>
      <name val="Arial"/>
      <family val="2"/>
    </font>
    <font>
      <sz val="9"/>
      <name val="Arial"/>
      <family val="2"/>
    </font>
    <font>
      <i/>
      <sz val="10"/>
      <name val="Arial"/>
      <family val="2"/>
    </font>
    <font>
      <i/>
      <sz val="9"/>
      <color theme="4"/>
      <name val="Arial"/>
      <family val="2"/>
    </font>
    <font>
      <i/>
      <sz val="10"/>
      <color theme="4"/>
      <name val="Arial"/>
      <family val="2"/>
    </font>
    <font>
      <sz val="11"/>
      <name val="Arial"/>
      <family val="2"/>
    </font>
    <font>
      <sz val="10"/>
      <color indexed="8"/>
      <name val="Arial"/>
      <family val="2"/>
    </font>
    <font>
      <b/>
      <sz val="10"/>
      <color indexed="8"/>
      <name val="Arial"/>
      <family val="2"/>
    </font>
    <font>
      <sz val="12"/>
      <color theme="1"/>
      <name val="Arial"/>
      <family val="2"/>
    </font>
    <font>
      <sz val="9"/>
      <color indexed="81"/>
      <name val="Tahoma"/>
      <family val="2"/>
    </font>
    <font>
      <b/>
      <sz val="9"/>
      <color indexed="81"/>
      <name val="Tahoma"/>
      <family val="2"/>
    </font>
    <font>
      <sz val="11"/>
      <color rgb="FFFF0000"/>
      <name val="Calibri"/>
      <family val="2"/>
      <scheme val="minor"/>
    </font>
    <font>
      <b/>
      <i/>
      <sz val="11"/>
      <color theme="1"/>
      <name val="Calibri"/>
      <family val="2"/>
      <scheme val="minor"/>
    </font>
  </fonts>
  <fills count="11">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auto="1"/>
        <bgColor auto="1"/>
      </patternFill>
    </fill>
    <fill>
      <patternFill patternType="gray0625">
        <bgColor theme="0" tint="-0.14996795556505021"/>
      </patternFill>
    </fill>
    <fill>
      <patternFill patternType="gray06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4" fillId="0" borderId="0"/>
    <xf numFmtId="44" fontId="4" fillId="0" borderId="0" applyFont="0" applyFill="0" applyBorder="0" applyAlignment="0" applyProtection="0"/>
    <xf numFmtId="0" fontId="11" fillId="0" borderId="0"/>
    <xf numFmtId="0" fontId="13"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2" fillId="0" borderId="0"/>
    <xf numFmtId="0" fontId="2" fillId="0" borderId="0"/>
    <xf numFmtId="0" fontId="6" fillId="0" borderId="0"/>
    <xf numFmtId="43" fontId="6" fillId="0" borderId="0" applyFont="0" applyFill="0" applyBorder="0" applyAlignment="0" applyProtection="0"/>
    <xf numFmtId="44" fontId="6" fillId="0" borderId="0" applyFont="0" applyFill="0" applyBorder="0" applyAlignment="0" applyProtection="0"/>
  </cellStyleXfs>
  <cellXfs count="302">
    <xf numFmtId="0" fontId="0" fillId="0" borderId="0" xfId="0"/>
    <xf numFmtId="0" fontId="7" fillId="0" borderId="0" xfId="0" applyFont="1" applyAlignment="1"/>
    <xf numFmtId="164" fontId="7" fillId="0" borderId="0" xfId="0" applyNumberFormat="1" applyFont="1" applyAlignment="1"/>
    <xf numFmtId="164" fontId="7" fillId="0" borderId="0" xfId="2" applyNumberFormat="1" applyFont="1" applyAlignment="1"/>
    <xf numFmtId="0" fontId="8" fillId="0" borderId="0" xfId="0" applyFont="1" applyAlignment="1"/>
    <xf numFmtId="164" fontId="8" fillId="0" borderId="0" xfId="0" applyNumberFormat="1" applyFont="1" applyAlignment="1"/>
    <xf numFmtId="0" fontId="0" fillId="0" borderId="0" xfId="0" applyAlignment="1"/>
    <xf numFmtId="164" fontId="0" fillId="0" borderId="0" xfId="0" applyNumberFormat="1" applyAlignment="1"/>
    <xf numFmtId="164" fontId="6" fillId="0" borderId="0" xfId="2" applyNumberFormat="1" applyFont="1" applyAlignment="1"/>
    <xf numFmtId="0" fontId="8" fillId="0" borderId="0" xfId="0" quotePrefix="1" applyFont="1" applyFill="1" applyAlignment="1">
      <alignment horizontal="left"/>
    </xf>
    <xf numFmtId="164" fontId="0" fillId="0" borderId="0" xfId="0" applyNumberFormat="1" applyAlignment="1">
      <alignment horizontal="center"/>
    </xf>
    <xf numFmtId="43" fontId="6" fillId="0" borderId="0" xfId="1" applyFont="1"/>
    <xf numFmtId="164" fontId="9" fillId="0" borderId="0" xfId="1" applyNumberFormat="1" applyFont="1"/>
    <xf numFmtId="164" fontId="9" fillId="0" borderId="0" xfId="2" applyNumberFormat="1" applyFont="1"/>
    <xf numFmtId="0" fontId="0" fillId="0" borderId="0" xfId="0" applyAlignment="1">
      <alignment horizontal="center"/>
    </xf>
    <xf numFmtId="0" fontId="7" fillId="2" borderId="1" xfId="4" applyFont="1" applyFill="1" applyBorder="1"/>
    <xf numFmtId="164" fontId="6" fillId="2" borderId="2" xfId="4" applyNumberFormat="1" applyFont="1" applyFill="1" applyBorder="1"/>
    <xf numFmtId="0" fontId="6" fillId="2" borderId="2" xfId="4" applyFont="1" applyFill="1" applyBorder="1"/>
    <xf numFmtId="164" fontId="6" fillId="2" borderId="3" xfId="5" applyNumberFormat="1" applyFont="1" applyFill="1" applyBorder="1"/>
    <xf numFmtId="0" fontId="6" fillId="0" borderId="0" xfId="4" applyFont="1"/>
    <xf numFmtId="0" fontId="7" fillId="0" borderId="0" xfId="4" applyFont="1" applyFill="1" applyBorder="1" applyAlignment="1">
      <alignment horizontal="center"/>
    </xf>
    <xf numFmtId="164" fontId="6" fillId="0" borderId="0" xfId="4" applyNumberFormat="1" applyFont="1"/>
    <xf numFmtId="164" fontId="6" fillId="0" borderId="0" xfId="5" applyNumberFormat="1" applyFont="1"/>
    <xf numFmtId="0" fontId="6" fillId="0" borderId="0" xfId="4" applyFont="1" applyFill="1" applyBorder="1"/>
    <xf numFmtId="164" fontId="6" fillId="0" borderId="4" xfId="0" applyNumberFormat="1" applyFont="1" applyBorder="1" applyAlignment="1">
      <alignment horizontal="center"/>
    </xf>
    <xf numFmtId="0" fontId="6" fillId="0" borderId="0" xfId="0" applyFont="1"/>
    <xf numFmtId="164" fontId="6" fillId="0" borderId="4" xfId="0" applyNumberFormat="1" applyFont="1" applyBorder="1" applyAlignment="1"/>
    <xf numFmtId="164" fontId="6" fillId="0" borderId="4" xfId="2" applyNumberFormat="1" applyFont="1" applyBorder="1" applyAlignment="1">
      <alignment horizontal="center"/>
    </xf>
    <xf numFmtId="164" fontId="6" fillId="0" borderId="0" xfId="5" applyNumberFormat="1" applyFont="1" applyFill="1" applyBorder="1" applyAlignment="1">
      <alignment horizontal="center"/>
    </xf>
    <xf numFmtId="164" fontId="6" fillId="0" borderId="0" xfId="0" applyNumberFormat="1" applyFont="1" applyFill="1"/>
    <xf numFmtId="164" fontId="6" fillId="0" borderId="0" xfId="0" applyNumberFormat="1" applyFont="1"/>
    <xf numFmtId="164" fontId="6" fillId="0" borderId="0" xfId="5" applyNumberFormat="1" applyFont="1" applyFill="1" applyBorder="1"/>
    <xf numFmtId="164" fontId="6" fillId="0" borderId="0" xfId="2" applyNumberFormat="1" applyFont="1" applyBorder="1"/>
    <xf numFmtId="0" fontId="10" fillId="0" borderId="0" xfId="4" applyFont="1" applyAlignment="1">
      <alignment horizontal="left"/>
    </xf>
    <xf numFmtId="164" fontId="10" fillId="0" borderId="5" xfId="2" applyNumberFormat="1" applyFont="1" applyBorder="1"/>
    <xf numFmtId="0" fontId="6" fillId="0" borderId="0" xfId="0" applyFont="1" applyAlignment="1">
      <alignment horizontal="right"/>
    </xf>
    <xf numFmtId="41" fontId="12" fillId="0" borderId="0" xfId="6" applyNumberFormat="1" applyFont="1"/>
    <xf numFmtId="0" fontId="6" fillId="0" borderId="6" xfId="4" applyFont="1" applyBorder="1"/>
    <xf numFmtId="164" fontId="6" fillId="0" borderId="6" xfId="4" applyNumberFormat="1" applyFont="1" applyBorder="1"/>
    <xf numFmtId="164" fontId="6" fillId="0" borderId="6" xfId="5" applyNumberFormat="1" applyFont="1" applyBorder="1"/>
    <xf numFmtId="0" fontId="7" fillId="0" borderId="0" xfId="4" applyFont="1" applyFill="1" applyBorder="1"/>
    <xf numFmtId="164" fontId="6" fillId="0" borderId="0" xfId="4" applyNumberFormat="1" applyFont="1" applyFill="1" applyBorder="1"/>
    <xf numFmtId="0" fontId="6" fillId="0" borderId="0" xfId="4" applyFont="1" applyFill="1"/>
    <xf numFmtId="0" fontId="10" fillId="0" borderId="0" xfId="4" applyFont="1" applyAlignment="1">
      <alignment vertical="center"/>
    </xf>
    <xf numFmtId="44" fontId="6" fillId="0" borderId="0" xfId="5" applyFont="1" applyAlignment="1">
      <alignment vertical="center"/>
    </xf>
    <xf numFmtId="0" fontId="4" fillId="0" borderId="0" xfId="4" applyAlignment="1">
      <alignment vertical="center" wrapText="1"/>
    </xf>
    <xf numFmtId="0" fontId="4" fillId="0" borderId="0" xfId="4"/>
    <xf numFmtId="0" fontId="4" fillId="0" borderId="0" xfId="4" applyFont="1"/>
    <xf numFmtId="164" fontId="14" fillId="0" borderId="0" xfId="7" applyNumberFormat="1" applyFont="1" applyFill="1" applyBorder="1" applyAlignment="1">
      <alignment horizontal="left" vertical="top" indent="1"/>
    </xf>
    <xf numFmtId="164" fontId="14" fillId="0" borderId="0" xfId="5" applyNumberFormat="1" applyFont="1" applyFill="1" applyBorder="1" applyAlignment="1">
      <alignment vertical="top"/>
    </xf>
    <xf numFmtId="0" fontId="6" fillId="0" borderId="0" xfId="4" applyFont="1" applyBorder="1"/>
    <xf numFmtId="164" fontId="10" fillId="0" borderId="0" xfId="4" applyNumberFormat="1" applyFont="1" applyBorder="1" applyAlignment="1">
      <alignment horizontal="center"/>
    </xf>
    <xf numFmtId="44" fontId="6" fillId="0" borderId="0" xfId="5" applyFont="1" applyAlignment="1">
      <alignment vertical="center" wrapText="1"/>
    </xf>
    <xf numFmtId="165" fontId="6" fillId="0" borderId="0" xfId="8" applyNumberFormat="1" applyFont="1" applyAlignment="1">
      <alignment vertical="center"/>
    </xf>
    <xf numFmtId="0" fontId="4" fillId="0" borderId="0" xfId="4" applyAlignment="1">
      <alignment vertical="center"/>
    </xf>
    <xf numFmtId="9" fontId="4" fillId="0" borderId="0" xfId="4" applyNumberFormat="1"/>
    <xf numFmtId="10" fontId="4" fillId="0" borderId="0" xfId="4" applyNumberFormat="1"/>
    <xf numFmtId="164" fontId="4" fillId="0" borderId="0" xfId="4" applyNumberFormat="1"/>
    <xf numFmtId="9" fontId="0" fillId="0" borderId="0" xfId="9" applyFont="1"/>
    <xf numFmtId="0" fontId="15" fillId="0" borderId="0" xfId="4" applyFont="1"/>
    <xf numFmtId="44" fontId="15" fillId="0" borderId="0" xfId="4" applyNumberFormat="1" applyFont="1"/>
    <xf numFmtId="166" fontId="6" fillId="0" borderId="0" xfId="9" applyNumberFormat="1" applyFont="1"/>
    <xf numFmtId="0" fontId="4" fillId="0" borderId="0" xfId="10"/>
    <xf numFmtId="0" fontId="4" fillId="0" borderId="0" xfId="10" applyAlignment="1">
      <alignment wrapText="1"/>
    </xf>
    <xf numFmtId="0" fontId="4" fillId="0" borderId="0" xfId="10" applyAlignment="1">
      <alignment horizontal="center" wrapText="1"/>
    </xf>
    <xf numFmtId="0" fontId="4" fillId="0" borderId="0" xfId="13"/>
    <xf numFmtId="0" fontId="4" fillId="0" borderId="0" xfId="13" applyAlignment="1">
      <alignment wrapText="1"/>
    </xf>
    <xf numFmtId="0" fontId="4" fillId="0" borderId="0" xfId="13" applyAlignment="1">
      <alignment horizontal="center" wrapText="1"/>
    </xf>
    <xf numFmtId="0" fontId="4" fillId="0" borderId="0" xfId="13" applyFill="1" applyBorder="1"/>
    <xf numFmtId="0" fontId="4" fillId="0" borderId="0" xfId="13" applyAlignment="1"/>
    <xf numFmtId="44" fontId="4" fillId="0" borderId="0" xfId="13" applyNumberFormat="1"/>
    <xf numFmtId="0" fontId="4" fillId="0" borderId="0" xfId="13" applyFill="1" applyBorder="1" applyAlignment="1">
      <alignment horizontal="right"/>
    </xf>
    <xf numFmtId="43" fontId="0" fillId="0" borderId="0" xfId="11" applyFont="1" applyFill="1" applyBorder="1" applyAlignment="1">
      <alignment horizontal="center"/>
    </xf>
    <xf numFmtId="0" fontId="24" fillId="0" borderId="0" xfId="4" applyFont="1"/>
    <xf numFmtId="164" fontId="10" fillId="0" borderId="0" xfId="0" applyNumberFormat="1" applyFont="1" applyAlignment="1"/>
    <xf numFmtId="0" fontId="10" fillId="0" borderId="0" xfId="0" applyFont="1" applyAlignment="1"/>
    <xf numFmtId="164" fontId="10" fillId="0" borderId="0" xfId="2" applyNumberFormat="1" applyFont="1" applyAlignment="1"/>
    <xf numFmtId="164" fontId="6" fillId="0" borderId="0" xfId="0" applyNumberFormat="1" applyFont="1" applyAlignment="1"/>
    <xf numFmtId="0" fontId="6" fillId="0" borderId="0" xfId="0" applyFont="1" applyAlignment="1"/>
    <xf numFmtId="0" fontId="8" fillId="0" borderId="0" xfId="0" quotePrefix="1" applyFont="1" applyAlignment="1">
      <alignment horizontal="left"/>
    </xf>
    <xf numFmtId="164" fontId="6" fillId="0" borderId="0" xfId="0" applyNumberFormat="1" applyFont="1" applyAlignment="1">
      <alignment horizontal="center"/>
    </xf>
    <xf numFmtId="0" fontId="0" fillId="0" borderId="2" xfId="0" applyBorder="1" applyAlignment="1">
      <alignment horizontal="center" vertical="center" wrapText="1"/>
    </xf>
    <xf numFmtId="0" fontId="0" fillId="0" borderId="0" xfId="0" applyAlignment="1">
      <alignment vertical="center"/>
    </xf>
    <xf numFmtId="0" fontId="0" fillId="0" borderId="0" xfId="0" quotePrefix="1"/>
    <xf numFmtId="169" fontId="6" fillId="0" borderId="0" xfId="1" applyNumberFormat="1"/>
    <xf numFmtId="165" fontId="6" fillId="0" borderId="0" xfId="1" applyNumberFormat="1"/>
    <xf numFmtId="169" fontId="0" fillId="0" borderId="0" xfId="0" applyNumberFormat="1"/>
    <xf numFmtId="166" fontId="6" fillId="0" borderId="0" xfId="3" applyNumberFormat="1"/>
    <xf numFmtId="43" fontId="0" fillId="0" borderId="0" xfId="0" applyNumberFormat="1"/>
    <xf numFmtId="0" fontId="26" fillId="0" borderId="0" xfId="0" quotePrefix="1" applyFont="1"/>
    <xf numFmtId="169" fontId="26" fillId="0" borderId="0" xfId="1" quotePrefix="1" applyNumberFormat="1" applyFont="1" applyAlignment="1">
      <alignment horizontal="right"/>
    </xf>
    <xf numFmtId="169" fontId="26" fillId="0" borderId="0" xfId="1" applyNumberFormat="1" applyFont="1"/>
    <xf numFmtId="165" fontId="26" fillId="0" borderId="0" xfId="1" applyNumberFormat="1" applyFont="1" applyFill="1"/>
    <xf numFmtId="169" fontId="26" fillId="0" borderId="0" xfId="0" applyNumberFormat="1" applyFont="1"/>
    <xf numFmtId="166" fontId="26" fillId="0" borderId="0" xfId="3" applyNumberFormat="1" applyFont="1"/>
    <xf numFmtId="0" fontId="27" fillId="0" borderId="0" xfId="0" applyFont="1"/>
    <xf numFmtId="0" fontId="0" fillId="0" borderId="2" xfId="0" applyBorder="1"/>
    <xf numFmtId="0" fontId="0" fillId="0" borderId="2" xfId="0" applyBorder="1" applyAlignment="1">
      <alignment horizontal="center" wrapText="1"/>
    </xf>
    <xf numFmtId="169" fontId="6" fillId="0" borderId="0" xfId="1" applyNumberFormat="1" applyAlignment="1">
      <alignment horizontal="center"/>
    </xf>
    <xf numFmtId="169" fontId="6" fillId="0" borderId="0" xfId="1" applyNumberFormat="1" applyFont="1" applyAlignment="1">
      <alignment horizontal="center"/>
    </xf>
    <xf numFmtId="0" fontId="29" fillId="0" borderId="0" xfId="0" applyFont="1"/>
    <xf numFmtId="0" fontId="30" fillId="0" borderId="0" xfId="0" quotePrefix="1" applyFont="1"/>
    <xf numFmtId="169" fontId="30" fillId="0" borderId="0" xfId="1" applyNumberFormat="1" applyFont="1"/>
    <xf numFmtId="165" fontId="30" fillId="0" borderId="0" xfId="1" applyNumberFormat="1" applyFont="1" applyFill="1"/>
    <xf numFmtId="169" fontId="30" fillId="0" borderId="0" xfId="0" applyNumberFormat="1" applyFont="1"/>
    <xf numFmtId="0" fontId="6" fillId="0" borderId="0" xfId="0" applyFont="1" applyBorder="1"/>
    <xf numFmtId="2" fontId="6" fillId="0" borderId="0" xfId="0" applyNumberFormat="1" applyFont="1" applyBorder="1"/>
    <xf numFmtId="0" fontId="0" fillId="0" borderId="0" xfId="0" applyFont="1"/>
    <xf numFmtId="0" fontId="31" fillId="0" borderId="0" xfId="0" applyFont="1"/>
    <xf numFmtId="0" fontId="32" fillId="0" borderId="0" xfId="0" applyFont="1"/>
    <xf numFmtId="0" fontId="33" fillId="0" borderId="0" xfId="0" applyFont="1"/>
    <xf numFmtId="3" fontId="33" fillId="0" borderId="0" xfId="0" applyNumberFormat="1" applyFont="1"/>
    <xf numFmtId="169" fontId="32" fillId="0" borderId="0" xfId="1" applyNumberFormat="1" applyFont="1"/>
    <xf numFmtId="166" fontId="32" fillId="0" borderId="0" xfId="3" applyNumberFormat="1" applyFont="1"/>
    <xf numFmtId="4" fontId="33" fillId="0" borderId="0" xfId="0" applyNumberFormat="1" applyFont="1"/>
    <xf numFmtId="0" fontId="34" fillId="0" borderId="0" xfId="0" applyFont="1" applyFill="1" applyBorder="1"/>
    <xf numFmtId="43" fontId="34" fillId="0" borderId="0" xfId="1" applyFont="1"/>
    <xf numFmtId="0" fontId="0" fillId="3" borderId="0" xfId="0" applyFill="1"/>
    <xf numFmtId="0" fontId="34" fillId="3" borderId="0" xfId="0" applyFont="1" applyFill="1" applyBorder="1"/>
    <xf numFmtId="43" fontId="34" fillId="3" borderId="0" xfId="1" applyFont="1" applyFill="1"/>
    <xf numFmtId="0" fontId="34" fillId="3" borderId="0" xfId="0" applyFont="1" applyFill="1"/>
    <xf numFmtId="165" fontId="30" fillId="0" borderId="0" xfId="1" applyNumberFormat="1" applyFont="1" applyAlignment="1">
      <alignment horizontal="center"/>
    </xf>
    <xf numFmtId="43" fontId="0" fillId="3" borderId="0" xfId="0" applyNumberFormat="1" applyFill="1"/>
    <xf numFmtId="0" fontId="0" fillId="0" borderId="0" xfId="4" applyFont="1"/>
    <xf numFmtId="164" fontId="6" fillId="0" borderId="0" xfId="2" applyNumberFormat="1" applyFont="1"/>
    <xf numFmtId="0" fontId="31" fillId="0" borderId="0" xfId="0" applyFont="1" applyBorder="1" applyAlignment="1">
      <alignment vertical="center"/>
    </xf>
    <xf numFmtId="0" fontId="7" fillId="2" borderId="1" xfId="0" applyFont="1" applyFill="1" applyBorder="1"/>
    <xf numFmtId="164" fontId="6" fillId="2" borderId="2" xfId="0" applyNumberFormat="1" applyFont="1" applyFill="1" applyBorder="1"/>
    <xf numFmtId="0" fontId="6" fillId="2" borderId="2" xfId="0" applyFont="1" applyFill="1" applyBorder="1"/>
    <xf numFmtId="164" fontId="6" fillId="2" borderId="3" xfId="2" applyNumberFormat="1" applyFont="1" applyFill="1" applyBorder="1"/>
    <xf numFmtId="0" fontId="7" fillId="0" borderId="0" xfId="0" applyFont="1" applyFill="1" applyBorder="1" applyAlignment="1">
      <alignment horizontal="center"/>
    </xf>
    <xf numFmtId="0" fontId="6" fillId="0" borderId="0" xfId="0" applyFont="1" applyFill="1" applyBorder="1"/>
    <xf numFmtId="164" fontId="6" fillId="0" borderId="0" xfId="2" applyNumberFormat="1" applyFont="1" applyFill="1" applyBorder="1" applyAlignment="1">
      <alignment horizontal="center"/>
    </xf>
    <xf numFmtId="164" fontId="6" fillId="0" borderId="0" xfId="2" applyNumberFormat="1" applyFont="1" applyFill="1" applyBorder="1"/>
    <xf numFmtId="44" fontId="6" fillId="0" borderId="0" xfId="0" applyNumberFormat="1" applyFont="1"/>
    <xf numFmtId="0" fontId="10" fillId="0" borderId="0" xfId="0" applyFont="1" applyAlignment="1">
      <alignment horizontal="left"/>
    </xf>
    <xf numFmtId="164" fontId="10" fillId="0" borderId="0" xfId="2" applyNumberFormat="1" applyFont="1" applyFill="1" applyBorder="1"/>
    <xf numFmtId="0" fontId="6" fillId="0" borderId="6" xfId="0" applyFont="1" applyBorder="1"/>
    <xf numFmtId="164" fontId="6" fillId="0" borderId="6" xfId="0" applyNumberFormat="1" applyFont="1" applyBorder="1"/>
    <xf numFmtId="164" fontId="6" fillId="0" borderId="6" xfId="2" applyNumberFormat="1" applyFont="1" applyBorder="1"/>
    <xf numFmtId="0" fontId="10" fillId="0" borderId="6" xfId="0" applyFont="1" applyBorder="1"/>
    <xf numFmtId="164" fontId="10" fillId="0" borderId="6" xfId="0" applyNumberFormat="1" applyFont="1" applyBorder="1" applyAlignment="1">
      <alignment horizontal="center"/>
    </xf>
    <xf numFmtId="0" fontId="10" fillId="0" borderId="0" xfId="0" applyFont="1" applyBorder="1"/>
    <xf numFmtId="164" fontId="10" fillId="0" borderId="0" xfId="0" applyNumberFormat="1" applyFont="1" applyBorder="1" applyAlignment="1">
      <alignment horizontal="center"/>
    </xf>
    <xf numFmtId="0" fontId="30" fillId="0" borderId="0" xfId="0" applyFont="1"/>
    <xf numFmtId="164" fontId="14" fillId="0" borderId="0" xfId="2" applyNumberFormat="1" applyFont="1" applyFill="1" applyBorder="1" applyAlignment="1">
      <alignment vertical="top"/>
    </xf>
    <xf numFmtId="164" fontId="14" fillId="0" borderId="0" xfId="2" applyNumberFormat="1" applyFont="1" applyFill="1" applyBorder="1" applyAlignment="1">
      <alignment horizontal="right" vertical="top"/>
    </xf>
    <xf numFmtId="165" fontId="14" fillId="0" borderId="0" xfId="1" applyNumberFormat="1" applyFont="1" applyFill="1" applyBorder="1" applyAlignment="1">
      <alignment horizontal="left" vertical="top"/>
    </xf>
    <xf numFmtId="0" fontId="35" fillId="0" borderId="0" xfId="7" applyNumberFormat="1" applyFont="1" applyFill="1" applyBorder="1" applyAlignment="1">
      <alignment horizontal="left" vertical="top"/>
    </xf>
    <xf numFmtId="164" fontId="30" fillId="0" borderId="0" xfId="0" applyNumberFormat="1" applyFont="1" applyAlignment="1"/>
    <xf numFmtId="164" fontId="35" fillId="0" borderId="0" xfId="2" applyNumberFormat="1" applyFont="1" applyFill="1" applyBorder="1" applyAlignment="1">
      <alignment horizontal="right" vertical="top"/>
    </xf>
    <xf numFmtId="164" fontId="6" fillId="0" borderId="0" xfId="0" applyNumberFormat="1" applyFont="1" applyBorder="1"/>
    <xf numFmtId="164" fontId="10" fillId="0" borderId="0" xfId="2" applyNumberFormat="1" applyFont="1" applyBorder="1"/>
    <xf numFmtId="10" fontId="6" fillId="0" borderId="0" xfId="3" applyNumberFormat="1" applyFont="1"/>
    <xf numFmtId="9" fontId="6" fillId="0" borderId="0" xfId="3" applyFont="1"/>
    <xf numFmtId="164" fontId="31" fillId="0" borderId="0" xfId="0" applyNumberFormat="1" applyFont="1"/>
    <xf numFmtId="166" fontId="6" fillId="0" borderId="0" xfId="3" applyNumberFormat="1" applyFont="1"/>
    <xf numFmtId="0" fontId="0" fillId="0" borderId="0" xfId="0" applyFont="1" applyAlignment="1">
      <alignment horizontal="right"/>
    </xf>
    <xf numFmtId="164" fontId="36" fillId="0" borderId="0" xfId="7" applyNumberFormat="1" applyFont="1" applyFill="1" applyBorder="1" applyAlignment="1">
      <alignment vertical="top"/>
    </xf>
    <xf numFmtId="0" fontId="10" fillId="0" borderId="0" xfId="0" applyFont="1"/>
    <xf numFmtId="164" fontId="10" fillId="0" borderId="0" xfId="0" applyNumberFormat="1" applyFont="1"/>
    <xf numFmtId="164" fontId="0" fillId="0" borderId="8" xfId="0" applyNumberFormat="1" applyFont="1" applyBorder="1"/>
    <xf numFmtId="0" fontId="3" fillId="0" borderId="0" xfId="4" applyFont="1"/>
    <xf numFmtId="0" fontId="37" fillId="0" borderId="0" xfId="4" applyFont="1"/>
    <xf numFmtId="0" fontId="8" fillId="0" borderId="0" xfId="0" applyFont="1"/>
    <xf numFmtId="0" fontId="0" fillId="4" borderId="0" xfId="0" applyFill="1"/>
    <xf numFmtId="9" fontId="0" fillId="0" borderId="0" xfId="3" applyFont="1"/>
    <xf numFmtId="9" fontId="0" fillId="0" borderId="0" xfId="0" applyNumberFormat="1"/>
    <xf numFmtId="171" fontId="0" fillId="0" borderId="0" xfId="0" applyNumberFormat="1"/>
    <xf numFmtId="172" fontId="0" fillId="0" borderId="0" xfId="0" applyNumberFormat="1"/>
    <xf numFmtId="173" fontId="0" fillId="0" borderId="0" xfId="0" applyNumberFormat="1"/>
    <xf numFmtId="9" fontId="0" fillId="5" borderId="0" xfId="3" applyFont="1" applyFill="1"/>
    <xf numFmtId="9" fontId="0" fillId="6" borderId="0" xfId="3" applyFont="1" applyFill="1"/>
    <xf numFmtId="44" fontId="6" fillId="0" borderId="0" xfId="5" applyFont="1" applyFill="1" applyAlignment="1">
      <alignment vertical="center" wrapText="1"/>
    </xf>
    <xf numFmtId="164" fontId="10" fillId="0" borderId="7" xfId="5" applyNumberFormat="1" applyFont="1" applyFill="1" applyBorder="1" applyAlignment="1">
      <alignment vertical="center"/>
    </xf>
    <xf numFmtId="166" fontId="6" fillId="0" borderId="0" xfId="9" applyNumberFormat="1" applyFont="1" applyFill="1" applyAlignment="1">
      <alignment vertical="center"/>
    </xf>
    <xf numFmtId="164" fontId="6" fillId="0" borderId="0" xfId="5" applyNumberFormat="1" applyFont="1" applyFill="1"/>
    <xf numFmtId="0" fontId="4" fillId="0" borderId="0" xfId="4" applyFill="1"/>
    <xf numFmtId="164" fontId="5" fillId="0" borderId="7" xfId="4" applyNumberFormat="1" applyFont="1" applyFill="1" applyBorder="1"/>
    <xf numFmtId="164" fontId="4" fillId="0" borderId="0" xfId="4" applyNumberFormat="1" applyFill="1"/>
    <xf numFmtId="165" fontId="6" fillId="0" borderId="0" xfId="1" applyNumberFormat="1" applyFont="1"/>
    <xf numFmtId="165" fontId="6" fillId="0" borderId="0" xfId="1" applyNumberFormat="1" applyFont="1" applyFill="1"/>
    <xf numFmtId="43" fontId="6" fillId="0" borderId="0" xfId="1" applyFont="1" applyFill="1"/>
    <xf numFmtId="165" fontId="0" fillId="0" borderId="0" xfId="0" applyNumberFormat="1"/>
    <xf numFmtId="0" fontId="0" fillId="0" borderId="0" xfId="0" applyBorder="1"/>
    <xf numFmtId="0" fontId="0" fillId="0" borderId="0" xfId="0" applyBorder="1" applyAlignment="1">
      <alignment horizontal="center"/>
    </xf>
    <xf numFmtId="0" fontId="0" fillId="0" borderId="0" xfId="0" applyBorder="1" applyAlignment="1">
      <alignment horizontal="right"/>
    </xf>
    <xf numFmtId="165" fontId="6" fillId="0" borderId="0" xfId="1" applyNumberFormat="1" applyBorder="1"/>
    <xf numFmtId="170" fontId="0" fillId="0" borderId="0" xfId="0" applyNumberFormat="1" applyBorder="1"/>
    <xf numFmtId="0" fontId="28" fillId="0" borderId="0" xfId="0" applyFont="1" applyBorder="1" applyAlignment="1">
      <alignment horizontal="right"/>
    </xf>
    <xf numFmtId="165" fontId="0" fillId="0" borderId="0" xfId="0" applyNumberFormat="1" applyBorder="1"/>
    <xf numFmtId="0" fontId="29" fillId="0" borderId="0" xfId="0" applyFont="1" applyBorder="1"/>
    <xf numFmtId="164" fontId="0" fillId="0" borderId="0" xfId="0" applyNumberFormat="1" applyFont="1"/>
    <xf numFmtId="44" fontId="0" fillId="7" borderId="0" xfId="5" applyFont="1" applyFill="1" applyAlignment="1">
      <alignment vertical="center" wrapText="1"/>
    </xf>
    <xf numFmtId="0" fontId="2" fillId="0" borderId="0" xfId="15"/>
    <xf numFmtId="0" fontId="2" fillId="0" borderId="0" xfId="16"/>
    <xf numFmtId="0" fontId="17" fillId="0" borderId="4" xfId="17" applyFont="1" applyBorder="1" applyAlignment="1">
      <alignment vertical="center" wrapText="1"/>
    </xf>
    <xf numFmtId="0" fontId="17" fillId="0" borderId="4" xfId="17" applyFont="1" applyBorder="1" applyAlignment="1">
      <alignment horizontal="center" vertical="center" wrapText="1"/>
    </xf>
    <xf numFmtId="0" fontId="18" fillId="0" borderId="4" xfId="17" applyFont="1" applyBorder="1" applyAlignment="1">
      <alignment horizontal="center" vertical="center" wrapText="1"/>
    </xf>
    <xf numFmtId="17" fontId="22" fillId="0" borderId="0" xfId="16" applyNumberFormat="1" applyFont="1" applyBorder="1" applyAlignment="1">
      <alignment vertical="center" wrapText="1"/>
    </xf>
    <xf numFmtId="0" fontId="23" fillId="0" borderId="0" xfId="16" applyFont="1" applyBorder="1" applyAlignment="1">
      <alignment horizontal="center" vertical="center" wrapText="1"/>
    </xf>
    <xf numFmtId="0" fontId="23" fillId="0" borderId="0" xfId="16" applyFont="1" applyFill="1" applyBorder="1" applyAlignment="1">
      <alignment horizontal="center" vertical="center" wrapText="1"/>
    </xf>
    <xf numFmtId="0" fontId="17" fillId="0" borderId="0" xfId="17" applyFont="1" applyFill="1" applyBorder="1" applyAlignment="1">
      <alignment vertical="center" wrapText="1"/>
    </xf>
    <xf numFmtId="0" fontId="17" fillId="0" borderId="0" xfId="17" applyFont="1" applyBorder="1" applyAlignment="1">
      <alignment horizontal="center" vertical="center" wrapText="1"/>
    </xf>
    <xf numFmtId="0" fontId="17" fillId="0" borderId="0" xfId="17" applyFont="1" applyFill="1" applyBorder="1" applyAlignment="1">
      <alignment horizontal="center" vertical="center" wrapText="1"/>
    </xf>
    <xf numFmtId="0" fontId="17" fillId="8" borderId="0" xfId="17" applyFont="1" applyFill="1" applyBorder="1" applyAlignment="1">
      <alignment horizontal="center" vertical="center"/>
    </xf>
    <xf numFmtId="0" fontId="19" fillId="8" borderId="0" xfId="17" applyFont="1" applyFill="1" applyBorder="1" applyAlignment="1">
      <alignment horizontal="center" vertical="center"/>
    </xf>
    <xf numFmtId="0" fontId="6" fillId="0" borderId="2" xfId="17" applyBorder="1" applyAlignment="1">
      <alignment horizontal="right"/>
    </xf>
    <xf numFmtId="43" fontId="6" fillId="0" borderId="2" xfId="18" applyFont="1" applyBorder="1" applyAlignment="1">
      <alignment horizontal="center"/>
    </xf>
    <xf numFmtId="0" fontId="6" fillId="0" borderId="0" xfId="17" applyAlignment="1">
      <alignment horizontal="right"/>
    </xf>
    <xf numFmtId="44" fontId="17" fillId="0" borderId="0" xfId="19" applyFont="1" applyFill="1" applyBorder="1" applyAlignment="1">
      <alignment horizontal="center" vertical="center" wrapText="1"/>
    </xf>
    <xf numFmtId="167" fontId="6" fillId="0" borderId="7" xfId="19" applyNumberFormat="1" applyFont="1" applyBorder="1" applyAlignment="1">
      <alignment horizontal="right"/>
    </xf>
    <xf numFmtId="44" fontId="6" fillId="0" borderId="7" xfId="19" applyNumberFormat="1" applyFont="1" applyBorder="1"/>
    <xf numFmtId="2" fontId="33" fillId="0" borderId="0" xfId="0" applyNumberFormat="1" applyFont="1"/>
    <xf numFmtId="0" fontId="17" fillId="0" borderId="4" xfId="10" applyFont="1" applyBorder="1" applyAlignment="1">
      <alignment vertical="center" wrapText="1"/>
    </xf>
    <xf numFmtId="0" fontId="17" fillId="0" borderId="4" xfId="10" applyFont="1" applyBorder="1" applyAlignment="1">
      <alignment horizontal="center" vertical="center" wrapText="1"/>
    </xf>
    <xf numFmtId="0" fontId="18" fillId="0" borderId="4" xfId="10" applyFont="1" applyBorder="1" applyAlignment="1">
      <alignment horizontal="center" vertical="center" wrapText="1"/>
    </xf>
    <xf numFmtId="17" fontId="17" fillId="0" borderId="0" xfId="10" applyNumberFormat="1" applyFont="1" applyBorder="1" applyAlignment="1">
      <alignment vertical="center" wrapText="1"/>
    </xf>
    <xf numFmtId="0" fontId="17" fillId="0" borderId="0" xfId="10" applyFont="1" applyBorder="1" applyAlignment="1">
      <alignment horizontal="center" vertical="center" wrapText="1"/>
    </xf>
    <xf numFmtId="0" fontId="17" fillId="0" borderId="0" xfId="10" applyFont="1" applyBorder="1" applyAlignment="1">
      <alignment vertical="center" wrapText="1"/>
    </xf>
    <xf numFmtId="0" fontId="40" fillId="0" borderId="0" xfId="13" applyFont="1"/>
    <xf numFmtId="17" fontId="17" fillId="9" borderId="0" xfId="10" applyNumberFormat="1" applyFont="1" applyFill="1" applyBorder="1" applyAlignment="1">
      <alignment vertical="center" wrapText="1"/>
    </xf>
    <xf numFmtId="0" fontId="17" fillId="10" borderId="0" xfId="10" applyFont="1" applyFill="1" applyBorder="1" applyAlignment="1">
      <alignment horizontal="center" vertical="center" wrapText="1"/>
    </xf>
    <xf numFmtId="0" fontId="4" fillId="0" borderId="2" xfId="10" applyBorder="1" applyAlignment="1">
      <alignment horizontal="right"/>
    </xf>
    <xf numFmtId="43" fontId="0" fillId="0" borderId="2" xfId="11" applyFont="1" applyBorder="1" applyAlignment="1">
      <alignment horizontal="center"/>
    </xf>
    <xf numFmtId="0" fontId="4" fillId="0" borderId="0" xfId="10" applyAlignment="1">
      <alignment horizontal="right"/>
    </xf>
    <xf numFmtId="44" fontId="17" fillId="0" borderId="0" xfId="12" applyFont="1" applyFill="1" applyBorder="1" applyAlignment="1">
      <alignment horizontal="center" vertical="center" wrapText="1"/>
    </xf>
    <xf numFmtId="167" fontId="0" fillId="0" borderId="7" xfId="12" applyNumberFormat="1" applyFont="1" applyBorder="1" applyAlignment="1">
      <alignment horizontal="right"/>
    </xf>
    <xf numFmtId="44" fontId="0" fillId="0" borderId="7" xfId="12" applyNumberFormat="1" applyFont="1" applyBorder="1"/>
    <xf numFmtId="9" fontId="1" fillId="0" borderId="8" xfId="3" applyFont="1" applyBorder="1"/>
    <xf numFmtId="0" fontId="1" fillId="0" borderId="10" xfId="13" applyFont="1" applyBorder="1" applyAlignment="1">
      <alignment wrapText="1"/>
    </xf>
    <xf numFmtId="9" fontId="1" fillId="0" borderId="4" xfId="3" applyFont="1" applyBorder="1"/>
    <xf numFmtId="0" fontId="1" fillId="0" borderId="12" xfId="13" applyFont="1" applyBorder="1" applyAlignment="1">
      <alignment wrapText="1"/>
    </xf>
    <xf numFmtId="44" fontId="4" fillId="0" borderId="0" xfId="10" applyNumberFormat="1"/>
    <xf numFmtId="9" fontId="4" fillId="0" borderId="0" xfId="10" applyNumberFormat="1"/>
    <xf numFmtId="0" fontId="1" fillId="0" borderId="0" xfId="13" applyFont="1" applyBorder="1" applyAlignment="1">
      <alignment wrapText="1"/>
    </xf>
    <xf numFmtId="44" fontId="1" fillId="0" borderId="0" xfId="13" applyNumberFormat="1" applyFont="1" applyBorder="1" applyAlignment="1">
      <alignment wrapText="1"/>
    </xf>
    <xf numFmtId="9" fontId="4" fillId="0" borderId="0" xfId="10" applyNumberFormat="1" applyAlignment="1">
      <alignment horizontal="right" wrapText="1"/>
    </xf>
    <xf numFmtId="0" fontId="1" fillId="0" borderId="0" xfId="10" applyFont="1" applyAlignment="1">
      <alignment horizontal="right"/>
    </xf>
    <xf numFmtId="0" fontId="1" fillId="0" borderId="0" xfId="10" applyFont="1" applyAlignment="1">
      <alignment horizontal="right" wrapText="1"/>
    </xf>
    <xf numFmtId="0" fontId="17" fillId="0" borderId="0" xfId="13" applyFont="1" applyFill="1" applyBorder="1" applyAlignment="1">
      <alignment vertical="center"/>
    </xf>
    <xf numFmtId="0" fontId="4" fillId="0" borderId="0" xfId="13" applyFill="1" applyBorder="1" applyAlignment="1">
      <alignment horizontal="center"/>
    </xf>
    <xf numFmtId="0" fontId="4" fillId="0" borderId="0" xfId="13" applyFill="1" applyBorder="1" applyAlignment="1"/>
    <xf numFmtId="17" fontId="17" fillId="0" borderId="0" xfId="13" applyNumberFormat="1" applyFont="1" applyFill="1" applyBorder="1" applyAlignment="1">
      <alignment vertical="center"/>
    </xf>
    <xf numFmtId="2" fontId="17" fillId="0" borderId="0" xfId="13" applyNumberFormat="1" applyFont="1" applyFill="1" applyBorder="1" applyAlignment="1">
      <alignment horizontal="center" vertical="center"/>
    </xf>
    <xf numFmtId="2" fontId="17" fillId="0" borderId="0" xfId="13" applyNumberFormat="1" applyFont="1" applyFill="1" applyBorder="1" applyAlignment="1">
      <alignment vertical="center"/>
    </xf>
    <xf numFmtId="0" fontId="17" fillId="0" borderId="0" xfId="13" applyFont="1" applyFill="1" applyBorder="1" applyAlignment="1">
      <alignment horizontal="center" vertical="center"/>
    </xf>
    <xf numFmtId="17" fontId="20" fillId="0" borderId="0" xfId="13" applyNumberFormat="1" applyFont="1" applyFill="1" applyBorder="1" applyAlignment="1">
      <alignment vertical="center"/>
    </xf>
    <xf numFmtId="2" fontId="19" fillId="0" borderId="0" xfId="13" applyNumberFormat="1" applyFont="1" applyFill="1" applyBorder="1" applyAlignment="1">
      <alignment horizontal="center" vertical="center"/>
    </xf>
    <xf numFmtId="2" fontId="20" fillId="0" borderId="0" xfId="13" applyNumberFormat="1" applyFont="1" applyFill="1" applyBorder="1" applyAlignment="1">
      <alignment vertical="center"/>
    </xf>
    <xf numFmtId="0" fontId="19" fillId="0" borderId="0" xfId="13" applyFont="1" applyFill="1" applyBorder="1" applyAlignment="1">
      <alignment horizontal="center" vertical="center"/>
    </xf>
    <xf numFmtId="2" fontId="0" fillId="0" borderId="0" xfId="11" applyNumberFormat="1" applyFont="1" applyFill="1" applyBorder="1" applyAlignment="1"/>
    <xf numFmtId="0" fontId="5" fillId="0" borderId="0" xfId="13" applyFont="1" applyAlignment="1"/>
    <xf numFmtId="0" fontId="17" fillId="0" borderId="0" xfId="13" applyFont="1" applyBorder="1" applyAlignment="1">
      <alignment vertical="center"/>
    </xf>
    <xf numFmtId="0" fontId="4" fillId="0" borderId="0" xfId="13" applyBorder="1" applyAlignment="1">
      <alignment horizontal="center"/>
    </xf>
    <xf numFmtId="0" fontId="4" fillId="0" borderId="0" xfId="13" applyBorder="1" applyAlignment="1"/>
    <xf numFmtId="17" fontId="17" fillId="0" borderId="0" xfId="13" applyNumberFormat="1" applyFont="1" applyBorder="1" applyAlignment="1">
      <alignment vertical="center"/>
    </xf>
    <xf numFmtId="0" fontId="17" fillId="0" borderId="0" xfId="13" applyFont="1" applyBorder="1" applyAlignment="1">
      <alignment horizontal="center" vertical="center"/>
    </xf>
    <xf numFmtId="168" fontId="17" fillId="0" borderId="0" xfId="13" applyNumberFormat="1" applyFont="1" applyBorder="1" applyAlignment="1">
      <alignment horizontal="center" vertical="center"/>
    </xf>
    <xf numFmtId="168" fontId="17" fillId="0" borderId="0" xfId="13" applyNumberFormat="1" applyFont="1" applyBorder="1" applyAlignment="1">
      <alignment vertical="center"/>
    </xf>
    <xf numFmtId="17" fontId="19" fillId="0" borderId="0" xfId="13" applyNumberFormat="1" applyFont="1" applyFill="1" applyBorder="1" applyAlignment="1">
      <alignment vertical="center"/>
    </xf>
    <xf numFmtId="0" fontId="19" fillId="0" borderId="0" xfId="13" applyFont="1" applyFill="1" applyBorder="1" applyAlignment="1">
      <alignment vertical="center"/>
    </xf>
    <xf numFmtId="0" fontId="5" fillId="0" borderId="0" xfId="13" applyFont="1" applyFill="1" applyBorder="1" applyAlignment="1"/>
    <xf numFmtId="10" fontId="0" fillId="0" borderId="0" xfId="0" applyNumberFormat="1"/>
    <xf numFmtId="0" fontId="0" fillId="0" borderId="15" xfId="0" applyBorder="1" applyAlignment="1">
      <alignment horizontal="center" vertical="center" wrapText="1"/>
    </xf>
    <xf numFmtId="43" fontId="30" fillId="0" borderId="0" xfId="1" applyNumberFormat="1" applyFont="1"/>
    <xf numFmtId="43" fontId="6" fillId="0" borderId="0" xfId="1" applyNumberFormat="1"/>
    <xf numFmtId="43" fontId="26" fillId="0" borderId="0" xfId="1" quotePrefix="1" applyNumberFormat="1" applyFont="1" applyAlignment="1">
      <alignment horizontal="right"/>
    </xf>
    <xf numFmtId="43" fontId="26" fillId="0" borderId="0" xfId="0" applyNumberFormat="1" applyFont="1"/>
    <xf numFmtId="43" fontId="26" fillId="0" borderId="0" xfId="1" applyNumberFormat="1" applyFont="1"/>
    <xf numFmtId="43" fontId="6" fillId="0" borderId="0" xfId="1" applyNumberFormat="1" applyFont="1"/>
    <xf numFmtId="43" fontId="33" fillId="0" borderId="0" xfId="0" applyNumberFormat="1" applyFont="1"/>
    <xf numFmtId="43" fontId="6" fillId="0" borderId="0" xfId="1" applyNumberFormat="1" applyFill="1"/>
    <xf numFmtId="43" fontId="6" fillId="0" borderId="0" xfId="1" applyNumberFormat="1" applyFont="1" applyFill="1"/>
    <xf numFmtId="43" fontId="30" fillId="0" borderId="0" xfId="1" applyNumberFormat="1" applyFont="1" applyFill="1"/>
    <xf numFmtId="43" fontId="30" fillId="0" borderId="0" xfId="0" applyNumberFormat="1" applyFont="1"/>
    <xf numFmtId="164" fontId="36" fillId="0" borderId="0" xfId="7" applyNumberFormat="1" applyFont="1" applyFill="1" applyBorder="1" applyAlignment="1">
      <alignment horizontal="left" vertical="top"/>
    </xf>
    <xf numFmtId="3" fontId="33" fillId="0" borderId="0" xfId="0" applyNumberFormat="1" applyFont="1" applyFill="1"/>
    <xf numFmtId="44" fontId="14" fillId="0" borderId="0" xfId="2" applyNumberFormat="1" applyFont="1" applyFill="1" applyBorder="1" applyAlignment="1">
      <alignment horizontal="right" vertical="top"/>
    </xf>
    <xf numFmtId="44" fontId="35" fillId="0" borderId="0" xfId="2" applyNumberFormat="1" applyFont="1" applyFill="1" applyBorder="1" applyAlignment="1">
      <alignment horizontal="right" vertical="top"/>
    </xf>
    <xf numFmtId="44" fontId="10" fillId="0" borderId="5" xfId="2" applyNumberFormat="1" applyFont="1" applyBorder="1"/>
    <xf numFmtId="44" fontId="10" fillId="0" borderId="0" xfId="2" applyNumberFormat="1" applyFont="1" applyFill="1" applyBorder="1"/>
    <xf numFmtId="44" fontId="10" fillId="0" borderId="5" xfId="2" applyNumberFormat="1" applyFont="1" applyFill="1" applyBorder="1"/>
    <xf numFmtId="44" fontId="31" fillId="0" borderId="2" xfId="2" applyNumberFormat="1" applyFont="1" applyBorder="1"/>
    <xf numFmtId="44" fontId="0" fillId="0" borderId="0" xfId="0" applyNumberFormat="1" applyFont="1" applyAlignment="1">
      <alignment horizontal="right"/>
    </xf>
    <xf numFmtId="0" fontId="4" fillId="0" borderId="0" xfId="13" applyFill="1" applyBorder="1" applyAlignment="1">
      <alignment horizontal="center" wrapText="1"/>
    </xf>
    <xf numFmtId="0" fontId="5" fillId="0" borderId="4" xfId="10" applyFont="1" applyBorder="1" applyAlignment="1">
      <alignment horizontal="center"/>
    </xf>
    <xf numFmtId="0" fontId="5" fillId="0" borderId="0" xfId="10" applyFont="1" applyFill="1" applyBorder="1" applyAlignment="1">
      <alignment horizontal="center"/>
    </xf>
    <xf numFmtId="0" fontId="21" fillId="0" borderId="0" xfId="16" applyFont="1" applyFill="1" applyBorder="1" applyAlignment="1">
      <alignment horizontal="center" vertical="center" wrapText="1"/>
    </xf>
    <xf numFmtId="0" fontId="25" fillId="0" borderId="16" xfId="0" applyFont="1" applyBorder="1" applyAlignment="1">
      <alignment horizontal="center" vertical="center" textRotation="90"/>
    </xf>
    <xf numFmtId="0" fontId="25" fillId="0" borderId="17" xfId="0" applyFont="1" applyBorder="1" applyAlignment="1">
      <alignment horizontal="center" vertical="center" textRotation="90"/>
    </xf>
    <xf numFmtId="0" fontId="25" fillId="0" borderId="18" xfId="0" applyFont="1" applyBorder="1" applyAlignment="1">
      <alignment horizontal="center" vertical="center" textRotation="90"/>
    </xf>
    <xf numFmtId="0" fontId="31" fillId="0" borderId="9" xfId="0" applyFont="1" applyBorder="1" applyAlignment="1">
      <alignment horizontal="left" vertical="top" wrapText="1"/>
    </xf>
    <xf numFmtId="0" fontId="31" fillId="0" borderId="8" xfId="0" applyFont="1" applyBorder="1" applyAlignment="1">
      <alignment horizontal="left" vertical="top" wrapText="1"/>
    </xf>
    <xf numFmtId="0" fontId="31" fillId="0" borderId="10" xfId="0" applyFont="1" applyBorder="1" applyAlignment="1">
      <alignment horizontal="left" vertical="top" wrapText="1"/>
    </xf>
    <xf numFmtId="0" fontId="31" fillId="0" borderId="13" xfId="0" applyFont="1" applyBorder="1" applyAlignment="1">
      <alignment horizontal="left" vertical="top"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1" xfId="0" applyFont="1" applyBorder="1" applyAlignment="1">
      <alignment horizontal="left" vertical="top" wrapText="1"/>
    </xf>
    <xf numFmtId="0" fontId="31" fillId="0" borderId="4" xfId="0" applyFont="1" applyBorder="1" applyAlignment="1">
      <alignment horizontal="left" vertical="top" wrapText="1"/>
    </xf>
    <xf numFmtId="0" fontId="31" fillId="0" borderId="12" xfId="0" applyFont="1" applyBorder="1" applyAlignment="1">
      <alignment horizontal="left" vertical="top" wrapText="1"/>
    </xf>
    <xf numFmtId="164" fontId="6" fillId="0" borderId="0" xfId="0" applyNumberFormat="1" applyFont="1" applyBorder="1" applyAlignment="1">
      <alignment horizontal="center"/>
    </xf>
  </cellXfs>
  <cellStyles count="20">
    <cellStyle name="Comma" xfId="1" builtinId="3"/>
    <cellStyle name="Comma 2" xfId="8"/>
    <cellStyle name="Comma 3" xfId="11"/>
    <cellStyle name="Comma 4" xfId="18"/>
    <cellStyle name="Currency" xfId="2" builtinId="4"/>
    <cellStyle name="Currency 2" xfId="5"/>
    <cellStyle name="Currency 3" xfId="12"/>
    <cellStyle name="Currency 4" xfId="19"/>
    <cellStyle name="Normal" xfId="0" builtinId="0"/>
    <cellStyle name="Normal 2" xfId="4"/>
    <cellStyle name="Normal 3" xfId="14"/>
    <cellStyle name="Normal 4" xfId="10"/>
    <cellStyle name="Normal 4 2" xfId="16"/>
    <cellStyle name="Normal 5" xfId="13"/>
    <cellStyle name="Normal 7" xfId="17"/>
    <cellStyle name="Normal 8" xfId="15"/>
    <cellStyle name="Normal_98REC_CR" xfId="6"/>
    <cellStyle name="Percent" xfId="3" builtinId="5"/>
    <cellStyle name="Percent 2" xfId="9"/>
    <cellStyle name="Percent_Sheet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strict/~WUTC%20Files~/1.%20RSA/2015-2017%20Plan%20Year/Commodity%20Credit%20Templates%202016-2017/UPDATED%20Lynnwood%20Single%20Family%20Commodity%20Credit%20Template%20-%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rict/~WUTC%20Files~/1.%20RSA/2015-2017%20Plan%20Year/Commodity%20Credit%20Templates%202016-2017/Lynnwood%20Multi%20Family%20Commodity%20Credit%20Template%20-%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trict/Accounting/WUTC%20Files/RSA/2012-13%20Plan%20Year%20&amp;%20Prior/Final%20RSA%20Submission%202013/Lynwood/Republic%20Services%20(of%20Lynnwood)%20-%20Snohomish%20County%20RSA%20Cost%20Summa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strict/~WUTC%20Files~/1.%20RSA/2015-2017%20Plan%20Year/Commodity%20Credit%20Templates/2015-16%20monthly%20tonnage%20and%20customer%20info%20lo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vision/Accounting/2013/Accounts%20Receivable/County%20&amp;%20City%20Reporting/197%20-%20Lynnwood/Route%20Split%20&amp;%20Lynnwood%20Tons/12%20December/DECEMBER%2013%20197%20LYNNWOOD%20TON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ivision/Accounting/2014/Accounts%20Receivable/County%20&amp;%20City%20Reporting/197%20-%20Lynnwood/Route%20Split%20&amp;%20Lynnwood%20Tons/04%20April/APRIL%2014%20197%20LYNNWOOD%20TON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istrict/~WUTC%20Files~/1.%20RSA/2017-2019%20Plan%20Year/June%20UTC%20Filing/Lynnwood%20Tariff%204/Lynnwood%20Commodity%20Credit%20Templates%202018/Lynnwood%20Single%20Family%20Commodity%20Credit%20Template%20-%2020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istrict/~WUTC%20Files~/1.%20RSA/2017-2019%20Plan%20Year/June%20UTC%20Filing/Lynnwood%20Tariff%204/Lynnwood%20Commodity%20Credit%20Templates%202018/Lynnwood%20Multi%20Family%20Commodity%20Credit%20Template%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Lynnwood_SF"/>
      <sheetName val="Value"/>
      <sheetName val="Commodity Tonnages"/>
      <sheetName val="Pricing"/>
      <sheetName val="Single Family"/>
    </sheetNames>
    <sheetDataSet>
      <sheetData sheetId="0" refreshError="1"/>
      <sheetData sheetId="1" refreshError="1">
        <row r="32">
          <cell r="O32">
            <v>446938.36800000002</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Lynnwood_MF"/>
      <sheetName val="Value"/>
      <sheetName val="Pricing"/>
      <sheetName val="Commodity Tonnages"/>
      <sheetName val="Multi_Family"/>
    </sheetNames>
    <sheetDataSet>
      <sheetData sheetId="0" refreshError="1">
        <row r="32">
          <cell r="O32">
            <v>69357.600000000006</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no"/>
      <sheetName val="Impact on Recycling"/>
      <sheetName val="Budget Summary"/>
      <sheetName val="yw May 2012-April 2013"/>
      <sheetName val="recycle May 2012-April 2013"/>
      <sheetName val="garbage May 2012-April 2013"/>
      <sheetName val="Tons - diverted"/>
      <sheetName val="Admin Time"/>
      <sheetName val="Cost Summary Sno (1)"/>
      <sheetName val="Cost Summary Sno (2)"/>
    </sheetNames>
    <sheetDataSet>
      <sheetData sheetId="0"/>
      <sheetData sheetId="1"/>
      <sheetData sheetId="2"/>
      <sheetData sheetId="3">
        <row r="14">
          <cell r="D14">
            <v>1225.1085105870463</v>
          </cell>
        </row>
        <row r="15">
          <cell r="D15">
            <v>1097.6595894573716</v>
          </cell>
        </row>
        <row r="16">
          <cell r="D16">
            <v>1054.1098894855254</v>
          </cell>
        </row>
        <row r="17">
          <cell r="D17">
            <v>804.35808812095365</v>
          </cell>
        </row>
        <row r="18">
          <cell r="D18">
            <v>576.57469314033403</v>
          </cell>
        </row>
        <row r="19">
          <cell r="D19">
            <v>668.37601172484528</v>
          </cell>
        </row>
        <row r="20">
          <cell r="D20">
            <v>859.80610599590045</v>
          </cell>
        </row>
        <row r="21">
          <cell r="D21">
            <v>434.72203883206959</v>
          </cell>
        </row>
        <row r="22">
          <cell r="D22">
            <v>305.48</v>
          </cell>
        </row>
        <row r="23">
          <cell r="D23">
            <v>339.65999999999997</v>
          </cell>
        </row>
        <row r="24">
          <cell r="D24">
            <v>588.33000000000004</v>
          </cell>
        </row>
        <row r="25">
          <cell r="D25">
            <v>1010.62</v>
          </cell>
        </row>
      </sheetData>
      <sheetData sheetId="4">
        <row r="2">
          <cell r="D2">
            <v>96.402084778441051</v>
          </cell>
        </row>
        <row r="3">
          <cell r="D3">
            <v>91.644571340667667</v>
          </cell>
        </row>
        <row r="4">
          <cell r="D4">
            <v>100.45</v>
          </cell>
        </row>
        <row r="5">
          <cell r="D5">
            <v>92.695612669940445</v>
          </cell>
        </row>
        <row r="6">
          <cell r="D6">
            <v>87.792461608286203</v>
          </cell>
        </row>
        <row r="7">
          <cell r="D7">
            <v>106.92289883643093</v>
          </cell>
        </row>
        <row r="8">
          <cell r="D8">
            <v>104.68173513008352</v>
          </cell>
        </row>
        <row r="9">
          <cell r="D9">
            <v>118.76049159678035</v>
          </cell>
        </row>
        <row r="10">
          <cell r="D10">
            <v>100.85999999999999</v>
          </cell>
        </row>
        <row r="11">
          <cell r="D11">
            <v>83.88</v>
          </cell>
        </row>
        <row r="12">
          <cell r="D12">
            <v>94.58</v>
          </cell>
        </row>
        <row r="13">
          <cell r="D13">
            <v>91.99</v>
          </cell>
        </row>
        <row r="14">
          <cell r="D14">
            <v>539.78316667285003</v>
          </cell>
        </row>
        <row r="15">
          <cell r="D15">
            <v>469.29792345095416</v>
          </cell>
        </row>
        <row r="16">
          <cell r="D16">
            <v>497.96000000000004</v>
          </cell>
        </row>
        <row r="17">
          <cell r="D17">
            <v>511.74228889151868</v>
          </cell>
        </row>
        <row r="18">
          <cell r="D18">
            <v>462.06366651416215</v>
          </cell>
        </row>
        <row r="19">
          <cell r="D19">
            <v>529.09201442316396</v>
          </cell>
        </row>
        <row r="20">
          <cell r="D20">
            <v>534.4881875149058</v>
          </cell>
        </row>
        <row r="21">
          <cell r="D21">
            <v>585.08005324953263</v>
          </cell>
        </row>
        <row r="22">
          <cell r="D22">
            <v>582.06000000000006</v>
          </cell>
        </row>
        <row r="23">
          <cell r="D23">
            <v>439.76</v>
          </cell>
        </row>
        <row r="24">
          <cell r="D24">
            <v>468.87</v>
          </cell>
        </row>
        <row r="25">
          <cell r="D25">
            <v>516.49</v>
          </cell>
        </row>
      </sheetData>
      <sheetData sheetId="5">
        <row r="2">
          <cell r="D2">
            <v>442.80114679497973</v>
          </cell>
        </row>
        <row r="3">
          <cell r="D3">
            <v>427.11461959339516</v>
          </cell>
        </row>
        <row r="4">
          <cell r="D4">
            <v>436.73439565755422</v>
          </cell>
        </row>
        <row r="5">
          <cell r="D5">
            <v>434.56076892447084</v>
          </cell>
        </row>
        <row r="6">
          <cell r="D6">
            <v>379.38632800346585</v>
          </cell>
        </row>
        <row r="7">
          <cell r="D7">
            <v>443.43263488977738</v>
          </cell>
        </row>
        <row r="8">
          <cell r="D8">
            <v>453.78291152679503</v>
          </cell>
        </row>
        <row r="9">
          <cell r="D9">
            <v>441.98544360268289</v>
          </cell>
        </row>
        <row r="10">
          <cell r="D10">
            <v>426.7</v>
          </cell>
        </row>
        <row r="11">
          <cell r="D11">
            <v>367.69</v>
          </cell>
        </row>
        <row r="12">
          <cell r="D12">
            <v>403.28</v>
          </cell>
        </row>
        <row r="13">
          <cell r="D13">
            <v>448.81</v>
          </cell>
        </row>
        <row r="14">
          <cell r="D14">
            <v>948.003235030067</v>
          </cell>
        </row>
        <row r="15">
          <cell r="D15">
            <v>908.85829845817216</v>
          </cell>
        </row>
        <row r="16">
          <cell r="D16">
            <v>994.64880771735079</v>
          </cell>
        </row>
        <row r="17">
          <cell r="D17">
            <v>978.92523047385157</v>
          </cell>
        </row>
        <row r="18">
          <cell r="D18">
            <v>853.0615577465702</v>
          </cell>
        </row>
        <row r="19">
          <cell r="D19">
            <v>948.04601798102919</v>
          </cell>
        </row>
        <row r="20">
          <cell r="D20">
            <v>958.25211251571386</v>
          </cell>
        </row>
        <row r="21">
          <cell r="D21">
            <v>923.90098891278308</v>
          </cell>
        </row>
        <row r="22">
          <cell r="D22">
            <v>955.81000000000006</v>
          </cell>
        </row>
        <row r="23">
          <cell r="D23">
            <v>792.40000000000009</v>
          </cell>
        </row>
        <row r="24">
          <cell r="D24">
            <v>836.05</v>
          </cell>
        </row>
        <row r="25">
          <cell r="D25">
            <v>926.59999999999991</v>
          </cell>
        </row>
      </sheetData>
      <sheetData sheetId="6">
        <row r="3">
          <cell r="E3">
            <v>506.45</v>
          </cell>
        </row>
        <row r="4">
          <cell r="E4">
            <v>502.28</v>
          </cell>
        </row>
        <row r="5">
          <cell r="E5">
            <v>477.71</v>
          </cell>
        </row>
        <row r="6">
          <cell r="E6">
            <v>529.14</v>
          </cell>
        </row>
        <row r="7">
          <cell r="E7">
            <v>486.53</v>
          </cell>
        </row>
        <row r="8">
          <cell r="E8">
            <v>472.34</v>
          </cell>
        </row>
        <row r="9">
          <cell r="E9">
            <v>512.48</v>
          </cell>
        </row>
        <row r="10">
          <cell r="E10">
            <v>545.16</v>
          </cell>
        </row>
        <row r="11">
          <cell r="C11">
            <v>913.48</v>
          </cell>
          <cell r="D11">
            <v>261.57</v>
          </cell>
          <cell r="E11">
            <v>477.08</v>
          </cell>
          <cell r="I11">
            <v>409.25</v>
          </cell>
          <cell r="K11">
            <v>92.74</v>
          </cell>
        </row>
        <row r="12">
          <cell r="C12">
            <v>825.32</v>
          </cell>
          <cell r="D12">
            <v>433.52</v>
          </cell>
          <cell r="E12">
            <v>507.33</v>
          </cell>
          <cell r="I12">
            <v>385.45</v>
          </cell>
          <cell r="K12">
            <v>90.12</v>
          </cell>
        </row>
        <row r="13">
          <cell r="C13">
            <v>845.69</v>
          </cell>
          <cell r="D13">
            <v>444.29</v>
          </cell>
          <cell r="E13">
            <v>485.76</v>
          </cell>
          <cell r="I13">
            <v>420.23</v>
          </cell>
          <cell r="K13">
            <v>79.06</v>
          </cell>
        </row>
        <row r="14">
          <cell r="C14">
            <v>882.47</v>
          </cell>
          <cell r="D14">
            <v>964.28</v>
          </cell>
          <cell r="E14">
            <v>503.92</v>
          </cell>
          <cell r="I14">
            <v>712.93</v>
          </cell>
          <cell r="K14">
            <v>86.97</v>
          </cell>
        </row>
        <row r="15">
          <cell r="C15">
            <v>10893.269999999999</v>
          </cell>
          <cell r="D15">
            <v>8826.0299999999988</v>
          </cell>
          <cell r="I15">
            <v>5343.77</v>
          </cell>
          <cell r="K15">
            <v>1074.3700000000001</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ng"/>
      <sheetName val="Sno"/>
      <sheetName val="Sheet3"/>
    </sheetNames>
    <sheetDataSet>
      <sheetData sheetId="0">
        <row r="7">
          <cell r="P7">
            <v>24784.717801179195</v>
          </cell>
        </row>
      </sheetData>
      <sheetData sheetId="1">
        <row r="8">
          <cell r="O8">
            <v>17762</v>
          </cell>
          <cell r="P8">
            <v>11532.107077510549</v>
          </cell>
          <cell r="Q8">
            <v>6207.2288275102374</v>
          </cell>
          <cell r="R8">
            <v>8975.5987615842823</v>
          </cell>
        </row>
        <row r="15">
          <cell r="P15">
            <v>1135.4176245272924</v>
          </cell>
          <cell r="Q15">
            <v>5663.1341197917636</v>
          </cell>
          <cell r="R15">
            <v>41.473169038912793</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ynnwood Tons"/>
      <sheetName val="MSW Tons"/>
      <sheetName val="Recycle Tons"/>
      <sheetName val="YW Tons"/>
      <sheetName val="Prices"/>
      <sheetName val="Multi Family Counts"/>
      <sheetName val="Multi Family Yards"/>
      <sheetName val="Comm Counts"/>
      <sheetName val="Comm Yards"/>
      <sheetName val="District 21-23-25"/>
      <sheetName val="All Other Districts -Garbage"/>
      <sheetName val="All Districts-YW"/>
      <sheetName val="All Districts-YW Only"/>
      <sheetName val="All Districts-Rec"/>
      <sheetName val="All Districts-Rec Only"/>
    </sheetNames>
    <sheetDataSet>
      <sheetData sheetId="0">
        <row r="62">
          <cell r="H62">
            <v>2127</v>
          </cell>
          <cell r="I62">
            <v>2157</v>
          </cell>
          <cell r="J62">
            <v>2179</v>
          </cell>
          <cell r="K62">
            <v>2154</v>
          </cell>
          <cell r="L62">
            <v>2186</v>
          </cell>
          <cell r="M62">
            <v>2212</v>
          </cell>
          <cell r="N62">
            <v>2170</v>
          </cell>
          <cell r="O62">
            <v>2201</v>
          </cell>
        </row>
        <row r="63">
          <cell r="H63">
            <v>0</v>
          </cell>
          <cell r="I63">
            <v>0</v>
          </cell>
          <cell r="J63">
            <v>0</v>
          </cell>
          <cell r="K63">
            <v>0</v>
          </cell>
          <cell r="L63">
            <v>0</v>
          </cell>
          <cell r="M63">
            <v>0</v>
          </cell>
          <cell r="N63">
            <v>0</v>
          </cell>
          <cell r="O63">
            <v>0</v>
          </cell>
        </row>
        <row r="64">
          <cell r="H64">
            <v>2159</v>
          </cell>
          <cell r="I64">
            <v>2188</v>
          </cell>
          <cell r="J64">
            <v>2210</v>
          </cell>
          <cell r="K64">
            <v>2187</v>
          </cell>
          <cell r="L64">
            <v>2229</v>
          </cell>
          <cell r="M64">
            <v>2246</v>
          </cell>
          <cell r="N64">
            <v>2205</v>
          </cell>
          <cell r="O64">
            <v>2237</v>
          </cell>
        </row>
        <row r="65">
          <cell r="H65">
            <v>527</v>
          </cell>
          <cell r="I65">
            <v>538</v>
          </cell>
          <cell r="J65">
            <v>549</v>
          </cell>
          <cell r="K65">
            <v>538</v>
          </cell>
          <cell r="L65">
            <v>548</v>
          </cell>
          <cell r="M65">
            <v>547</v>
          </cell>
          <cell r="N65">
            <v>528</v>
          </cell>
          <cell r="O65">
            <v>520</v>
          </cell>
        </row>
        <row r="67">
          <cell r="H67">
            <v>59.854865496440603</v>
          </cell>
          <cell r="I67">
            <v>64.293464351570833</v>
          </cell>
          <cell r="J67">
            <v>76.872069515173763</v>
          </cell>
          <cell r="K67">
            <v>62.462057359402209</v>
          </cell>
          <cell r="L67">
            <v>75.812188622918953</v>
          </cell>
          <cell r="M67">
            <v>64.666409226841822</v>
          </cell>
          <cell r="N67">
            <v>65.358460824538454</v>
          </cell>
          <cell r="O67">
            <v>82.633246261782034</v>
          </cell>
        </row>
        <row r="68">
          <cell r="H68">
            <v>79.202516398097302</v>
          </cell>
          <cell r="I68">
            <v>83.034239800688326</v>
          </cell>
          <cell r="J68">
            <v>56.949839127270089</v>
          </cell>
          <cell r="K68">
            <v>39.00448590327926</v>
          </cell>
          <cell r="L68">
            <v>61.227863793290183</v>
          </cell>
          <cell r="M68">
            <v>47.96014113593165</v>
          </cell>
          <cell r="N68">
            <v>55.655055517588472</v>
          </cell>
          <cell r="O68">
            <v>10.09154243162258</v>
          </cell>
        </row>
        <row r="69">
          <cell r="H69">
            <v>116.50966331099876</v>
          </cell>
          <cell r="I69">
            <v>131.33159236032361</v>
          </cell>
          <cell r="J69">
            <v>160.20485155497946</v>
          </cell>
          <cell r="K69">
            <v>121.50221668071963</v>
          </cell>
          <cell r="L69">
            <v>151.91785943476654</v>
          </cell>
          <cell r="M69">
            <v>123.6185463825099</v>
          </cell>
          <cell r="N69">
            <v>124.45749308375026</v>
          </cell>
          <cell r="O69">
            <v>158.11410387899721</v>
          </cell>
        </row>
        <row r="85">
          <cell r="H85">
            <v>515</v>
          </cell>
          <cell r="I85">
            <v>519</v>
          </cell>
          <cell r="J85">
            <v>500</v>
          </cell>
          <cell r="K85">
            <v>509</v>
          </cell>
          <cell r="L85">
            <v>512</v>
          </cell>
          <cell r="M85">
            <v>520</v>
          </cell>
          <cell r="N85">
            <v>513</v>
          </cell>
          <cell r="O85">
            <v>520</v>
          </cell>
        </row>
        <row r="86">
          <cell r="H86">
            <v>0</v>
          </cell>
          <cell r="I86">
            <v>0</v>
          </cell>
          <cell r="J86">
            <v>0</v>
          </cell>
          <cell r="K86">
            <v>0</v>
          </cell>
          <cell r="L86">
            <v>0</v>
          </cell>
          <cell r="M86">
            <v>0</v>
          </cell>
          <cell r="N86">
            <v>0</v>
          </cell>
          <cell r="O86">
            <v>0</v>
          </cell>
        </row>
        <row r="87">
          <cell r="H87">
            <v>761</v>
          </cell>
          <cell r="I87">
            <v>765</v>
          </cell>
          <cell r="J87">
            <v>767</v>
          </cell>
          <cell r="K87">
            <v>771</v>
          </cell>
          <cell r="L87">
            <v>770</v>
          </cell>
          <cell r="M87">
            <v>777</v>
          </cell>
          <cell r="N87">
            <v>777</v>
          </cell>
          <cell r="O87">
            <v>778</v>
          </cell>
        </row>
        <row r="88">
          <cell r="H88">
            <v>191</v>
          </cell>
          <cell r="I88">
            <v>193</v>
          </cell>
          <cell r="J88">
            <v>197</v>
          </cell>
          <cell r="K88">
            <v>196</v>
          </cell>
          <cell r="L88">
            <v>197</v>
          </cell>
          <cell r="M88">
            <v>195</v>
          </cell>
          <cell r="N88">
            <v>190</v>
          </cell>
          <cell r="O88">
            <v>185</v>
          </cell>
        </row>
        <row r="89">
          <cell r="H89">
            <v>0</v>
          </cell>
          <cell r="I89">
            <v>0</v>
          </cell>
          <cell r="J89">
            <v>0</v>
          </cell>
          <cell r="K89">
            <v>0</v>
          </cell>
          <cell r="L89">
            <v>0</v>
          </cell>
          <cell r="M89">
            <v>0</v>
          </cell>
          <cell r="N89">
            <v>0</v>
          </cell>
          <cell r="O89">
            <v>0</v>
          </cell>
        </row>
        <row r="90">
          <cell r="H90">
            <v>16.903663118346895</v>
          </cell>
          <cell r="I90">
            <v>18.889480275516597</v>
          </cell>
          <cell r="J90">
            <v>22.308960551033191</v>
          </cell>
          <cell r="K90">
            <v>18.219238796807858</v>
          </cell>
          <cell r="L90">
            <v>17.125310006138729</v>
          </cell>
          <cell r="M90">
            <v>21.288047882136283</v>
          </cell>
          <cell r="N90">
            <v>17.870730509515038</v>
          </cell>
          <cell r="O90">
            <v>19.534564417177915</v>
          </cell>
        </row>
        <row r="91">
          <cell r="H91">
            <v>18.439456834175836</v>
          </cell>
          <cell r="I91">
            <v>18.09766081871345</v>
          </cell>
          <cell r="J91">
            <v>17.896088809594609</v>
          </cell>
          <cell r="K91">
            <v>7.4565601876917516</v>
          </cell>
          <cell r="L91">
            <v>10.763905432232448</v>
          </cell>
          <cell r="M91">
            <v>11.24497383143837</v>
          </cell>
          <cell r="N91">
            <v>10.514780725500811</v>
          </cell>
          <cell r="O91">
            <v>6.4429614284305021</v>
          </cell>
        </row>
        <row r="92">
          <cell r="H92">
            <v>27.546083827676753</v>
          </cell>
          <cell r="I92">
            <v>29.26169016823884</v>
          </cell>
          <cell r="J92">
            <v>34.639826898764944</v>
          </cell>
          <cell r="K92">
            <v>27.401310183834259</v>
          </cell>
          <cell r="L92">
            <v>28.172363583309021</v>
          </cell>
          <cell r="M92">
            <v>33.637204552086374</v>
          </cell>
          <cell r="N92">
            <v>28.288021593230226</v>
          </cell>
          <cell r="O92">
            <v>35.380834608037816</v>
          </cell>
        </row>
        <row r="108">
          <cell r="H108">
            <v>2169</v>
          </cell>
          <cell r="I108">
            <v>2177</v>
          </cell>
          <cell r="J108">
            <v>2177</v>
          </cell>
          <cell r="K108">
            <v>2168</v>
          </cell>
          <cell r="L108">
            <v>2160</v>
          </cell>
          <cell r="M108">
            <v>2167</v>
          </cell>
          <cell r="N108">
            <v>2163</v>
          </cell>
          <cell r="O108">
            <v>2181</v>
          </cell>
        </row>
        <row r="109">
          <cell r="H109">
            <v>0</v>
          </cell>
          <cell r="I109">
            <v>0</v>
          </cell>
          <cell r="J109">
            <v>0</v>
          </cell>
          <cell r="K109">
            <v>0</v>
          </cell>
          <cell r="L109">
            <v>0</v>
          </cell>
          <cell r="M109">
            <v>0</v>
          </cell>
          <cell r="N109">
            <v>0</v>
          </cell>
          <cell r="O109">
            <v>0</v>
          </cell>
        </row>
        <row r="110">
          <cell r="H110">
            <v>2160</v>
          </cell>
          <cell r="I110">
            <v>2164</v>
          </cell>
          <cell r="J110">
            <v>2163</v>
          </cell>
          <cell r="K110">
            <v>2155</v>
          </cell>
          <cell r="L110">
            <v>2160</v>
          </cell>
          <cell r="M110">
            <v>2155</v>
          </cell>
          <cell r="N110">
            <v>2171</v>
          </cell>
          <cell r="O110">
            <v>2173</v>
          </cell>
        </row>
        <row r="111">
          <cell r="H111">
            <v>1153</v>
          </cell>
          <cell r="I111">
            <v>1212</v>
          </cell>
          <cell r="J111">
            <v>1170</v>
          </cell>
          <cell r="K111">
            <v>1208</v>
          </cell>
          <cell r="L111">
            <v>1219</v>
          </cell>
          <cell r="M111">
            <v>1193</v>
          </cell>
          <cell r="N111">
            <v>1113</v>
          </cell>
          <cell r="O111">
            <v>1129</v>
          </cell>
        </row>
        <row r="112">
          <cell r="H112">
            <v>0</v>
          </cell>
          <cell r="I112">
            <v>0</v>
          </cell>
          <cell r="J112">
            <v>0</v>
          </cell>
          <cell r="K112">
            <v>0</v>
          </cell>
          <cell r="L112">
            <v>0</v>
          </cell>
          <cell r="M112">
            <v>0</v>
          </cell>
          <cell r="N112">
            <v>0</v>
          </cell>
          <cell r="O112">
            <v>0</v>
          </cell>
        </row>
        <row r="113">
          <cell r="H113">
            <v>65.425520156628394</v>
          </cell>
          <cell r="I113">
            <v>62.946342024971763</v>
          </cell>
          <cell r="J113">
            <v>70.76163459340556</v>
          </cell>
          <cell r="K113">
            <v>66.968277578796403</v>
          </cell>
          <cell r="L113">
            <v>74.02266392253766</v>
          </cell>
          <cell r="M113">
            <v>57.382438000009429</v>
          </cell>
          <cell r="N113">
            <v>66.640952352591086</v>
          </cell>
          <cell r="O113">
            <v>79.728301957134448</v>
          </cell>
        </row>
        <row r="114">
          <cell r="H114">
            <v>174.84129032258065</v>
          </cell>
          <cell r="I114">
            <v>132.8006451612903</v>
          </cell>
          <cell r="J114">
            <v>100.78435483870965</v>
          </cell>
          <cell r="K114">
            <v>77.298772378516617</v>
          </cell>
          <cell r="L114">
            <v>91.015549872122762</v>
          </cell>
          <cell r="M114">
            <v>70.652813299232733</v>
          </cell>
          <cell r="N114">
            <v>115.84815856777493</v>
          </cell>
          <cell r="O114">
            <v>18.267700831024925</v>
          </cell>
        </row>
        <row r="115">
          <cell r="H115">
            <v>128.09839871826486</v>
          </cell>
          <cell r="I115">
            <v>104.77735017801371</v>
          </cell>
          <cell r="J115">
            <v>107.14855466175621</v>
          </cell>
          <cell r="K115">
            <v>130.69252934658294</v>
          </cell>
          <cell r="L115">
            <v>107.97471224274052</v>
          </cell>
          <cell r="M115">
            <v>100.21714164010702</v>
          </cell>
          <cell r="N115">
            <v>126.50367291132531</v>
          </cell>
          <cell r="O115">
            <v>103.97208806505191</v>
          </cell>
        </row>
        <row r="132">
          <cell r="H132">
            <v>0</v>
          </cell>
          <cell r="I132">
            <v>0</v>
          </cell>
          <cell r="J132">
            <v>0</v>
          </cell>
          <cell r="K132">
            <v>0</v>
          </cell>
          <cell r="L132">
            <v>0</v>
          </cell>
          <cell r="M132">
            <v>0</v>
          </cell>
          <cell r="N132">
            <v>0</v>
          </cell>
          <cell r="O132">
            <v>0</v>
          </cell>
        </row>
        <row r="133">
          <cell r="H133">
            <v>0</v>
          </cell>
          <cell r="I133">
            <v>0</v>
          </cell>
          <cell r="J133">
            <v>0</v>
          </cell>
          <cell r="K133">
            <v>0</v>
          </cell>
          <cell r="L133">
            <v>0</v>
          </cell>
          <cell r="M133">
            <v>0</v>
          </cell>
          <cell r="N133">
            <v>0</v>
          </cell>
          <cell r="O133">
            <v>0</v>
          </cell>
        </row>
        <row r="134">
          <cell r="H134">
            <v>6513</v>
          </cell>
          <cell r="I134">
            <v>6517</v>
          </cell>
          <cell r="J134">
            <v>6527</v>
          </cell>
          <cell r="K134">
            <v>6532</v>
          </cell>
          <cell r="L134">
            <v>6539</v>
          </cell>
          <cell r="M134">
            <v>6545</v>
          </cell>
          <cell r="N134">
            <v>6552</v>
          </cell>
          <cell r="O134">
            <v>6556</v>
          </cell>
        </row>
        <row r="135">
          <cell r="H135">
            <v>0</v>
          </cell>
          <cell r="I135">
            <v>0</v>
          </cell>
          <cell r="J135">
            <v>0</v>
          </cell>
          <cell r="K135">
            <v>0</v>
          </cell>
          <cell r="L135">
            <v>0</v>
          </cell>
          <cell r="M135">
            <v>0</v>
          </cell>
          <cell r="N135">
            <v>0</v>
          </cell>
          <cell r="O135">
            <v>0</v>
          </cell>
        </row>
        <row r="136">
          <cell r="H136">
            <v>0</v>
          </cell>
          <cell r="I136">
            <v>0</v>
          </cell>
          <cell r="J136">
            <v>0</v>
          </cell>
          <cell r="K136">
            <v>0</v>
          </cell>
          <cell r="L136">
            <v>0</v>
          </cell>
          <cell r="M136">
            <v>0</v>
          </cell>
          <cell r="N136">
            <v>0</v>
          </cell>
          <cell r="O136">
            <v>0</v>
          </cell>
        </row>
        <row r="137">
          <cell r="H137">
            <v>184.09</v>
          </cell>
          <cell r="I137">
            <v>167.82</v>
          </cell>
          <cell r="J137">
            <v>186.87999999999985</v>
          </cell>
          <cell r="K137">
            <v>179.76999999999995</v>
          </cell>
          <cell r="L137">
            <v>163.11000000000013</v>
          </cell>
          <cell r="M137">
            <v>187.00999999999996</v>
          </cell>
          <cell r="N137">
            <v>174.02999999999994</v>
          </cell>
          <cell r="O137">
            <v>202.91</v>
          </cell>
        </row>
        <row r="138">
          <cell r="H138">
            <v>0</v>
          </cell>
          <cell r="I138">
            <v>0</v>
          </cell>
          <cell r="J138">
            <v>0</v>
          </cell>
          <cell r="K138">
            <v>0</v>
          </cell>
          <cell r="L138">
            <v>0</v>
          </cell>
          <cell r="M138">
            <v>0</v>
          </cell>
          <cell r="N138">
            <v>0</v>
          </cell>
          <cell r="O138">
            <v>0</v>
          </cell>
        </row>
        <row r="139">
          <cell r="H139">
            <v>0</v>
          </cell>
          <cell r="I139">
            <v>0</v>
          </cell>
          <cell r="J139">
            <v>0</v>
          </cell>
          <cell r="K139">
            <v>0</v>
          </cell>
          <cell r="L139">
            <v>0</v>
          </cell>
          <cell r="M139">
            <v>0</v>
          </cell>
          <cell r="N139">
            <v>0</v>
          </cell>
          <cell r="O139">
            <v>0</v>
          </cell>
        </row>
        <row r="155">
          <cell r="H155">
            <v>8683</v>
          </cell>
          <cell r="I155">
            <v>8642</v>
          </cell>
          <cell r="J155">
            <v>8686</v>
          </cell>
          <cell r="K155">
            <v>8685</v>
          </cell>
          <cell r="L155">
            <v>8692</v>
          </cell>
          <cell r="M155">
            <v>8707</v>
          </cell>
          <cell r="N155">
            <v>8655</v>
          </cell>
          <cell r="O155">
            <v>8707</v>
          </cell>
        </row>
        <row r="157">
          <cell r="H157">
            <v>8720</v>
          </cell>
          <cell r="I157">
            <v>8680</v>
          </cell>
          <cell r="J157">
            <v>8726</v>
          </cell>
          <cell r="K157">
            <v>8726</v>
          </cell>
          <cell r="L157">
            <v>8734</v>
          </cell>
          <cell r="M157">
            <v>8752</v>
          </cell>
          <cell r="N157">
            <v>8699</v>
          </cell>
          <cell r="O157">
            <v>8749</v>
          </cell>
        </row>
        <row r="158">
          <cell r="H158">
            <v>6300</v>
          </cell>
          <cell r="I158">
            <v>6293</v>
          </cell>
          <cell r="J158">
            <v>6337</v>
          </cell>
          <cell r="K158">
            <v>6333</v>
          </cell>
          <cell r="L158">
            <v>6319</v>
          </cell>
          <cell r="M158">
            <v>6283</v>
          </cell>
          <cell r="N158">
            <v>6178</v>
          </cell>
          <cell r="O158">
            <v>6121</v>
          </cell>
        </row>
        <row r="159">
          <cell r="H159">
            <v>0</v>
          </cell>
          <cell r="I159">
            <v>0</v>
          </cell>
          <cell r="J159">
            <v>0</v>
          </cell>
          <cell r="K159">
            <v>0</v>
          </cell>
          <cell r="L159">
            <v>0</v>
          </cell>
          <cell r="M159">
            <v>0</v>
          </cell>
          <cell r="N159">
            <v>0</v>
          </cell>
          <cell r="O159">
            <v>0</v>
          </cell>
        </row>
        <row r="160">
          <cell r="H160">
            <v>253.37923841842678</v>
          </cell>
          <cell r="I160">
            <v>264.02245886102475</v>
          </cell>
          <cell r="J160">
            <v>288.66170240870605</v>
          </cell>
          <cell r="K160">
            <v>243.47794288682624</v>
          </cell>
          <cell r="L160">
            <v>261.42581103209142</v>
          </cell>
          <cell r="M160">
            <v>268.67715594072689</v>
          </cell>
          <cell r="N160">
            <v>256.69719424014573</v>
          </cell>
          <cell r="O160">
            <v>295.63300881949834</v>
          </cell>
        </row>
        <row r="161">
          <cell r="H161">
            <v>667.31927134742568</v>
          </cell>
          <cell r="I161">
            <v>538.25612351906568</v>
          </cell>
          <cell r="J161">
            <v>506.20108853847586</v>
          </cell>
          <cell r="K161">
            <v>334.93132100086029</v>
          </cell>
          <cell r="L161">
            <v>394.32152001474157</v>
          </cell>
          <cell r="M161">
            <v>506.55322536882301</v>
          </cell>
          <cell r="N161">
            <v>570.64380143639812</v>
          </cell>
          <cell r="O161">
            <v>211.89415189066534</v>
          </cell>
        </row>
        <row r="162">
          <cell r="H162">
            <v>472.74093991109436</v>
          </cell>
          <cell r="I162">
            <v>436.14057122324493</v>
          </cell>
          <cell r="J162">
            <v>534.57466524922938</v>
          </cell>
          <cell r="K162">
            <v>451.96032607899247</v>
          </cell>
          <cell r="L162">
            <v>464.5897605234432</v>
          </cell>
          <cell r="M162">
            <v>478.54974637630687</v>
          </cell>
          <cell r="N162">
            <v>423.31457045148392</v>
          </cell>
          <cell r="O162">
            <v>459.42727816438429</v>
          </cell>
        </row>
        <row r="178">
          <cell r="H178">
            <v>2900</v>
          </cell>
          <cell r="I178">
            <v>2904</v>
          </cell>
          <cell r="J178">
            <v>2892</v>
          </cell>
          <cell r="K178">
            <v>2901</v>
          </cell>
          <cell r="L178">
            <v>2904</v>
          </cell>
          <cell r="M178">
            <v>2925</v>
          </cell>
          <cell r="N178">
            <v>2903</v>
          </cell>
          <cell r="O178">
            <v>2911</v>
          </cell>
        </row>
        <row r="179">
          <cell r="H179">
            <v>0</v>
          </cell>
          <cell r="I179">
            <v>0</v>
          </cell>
          <cell r="J179">
            <v>0</v>
          </cell>
          <cell r="K179">
            <v>0</v>
          </cell>
          <cell r="L179">
            <v>0</v>
          </cell>
          <cell r="M179">
            <v>0</v>
          </cell>
          <cell r="N179">
            <v>0</v>
          </cell>
          <cell r="O179">
            <v>0</v>
          </cell>
        </row>
        <row r="180">
          <cell r="H180">
            <v>2908</v>
          </cell>
          <cell r="I180">
            <v>2912</v>
          </cell>
          <cell r="J180">
            <v>2900</v>
          </cell>
          <cell r="K180">
            <v>2910</v>
          </cell>
          <cell r="L180">
            <v>2914</v>
          </cell>
          <cell r="M180">
            <v>2934</v>
          </cell>
          <cell r="N180">
            <v>2911</v>
          </cell>
          <cell r="O180">
            <v>2919</v>
          </cell>
        </row>
        <row r="181">
          <cell r="H181">
            <v>1762</v>
          </cell>
          <cell r="I181">
            <v>1779</v>
          </cell>
          <cell r="J181">
            <v>1786</v>
          </cell>
          <cell r="K181">
            <v>1779</v>
          </cell>
          <cell r="L181">
            <v>1770</v>
          </cell>
          <cell r="M181">
            <v>1767</v>
          </cell>
          <cell r="N181">
            <v>1739</v>
          </cell>
          <cell r="O181">
            <v>1718</v>
          </cell>
        </row>
        <row r="182">
          <cell r="H182">
            <v>0</v>
          </cell>
          <cell r="I182">
            <v>0</v>
          </cell>
          <cell r="J182">
            <v>0</v>
          </cell>
          <cell r="K182">
            <v>0</v>
          </cell>
          <cell r="L182">
            <v>0</v>
          </cell>
          <cell r="M182">
            <v>0</v>
          </cell>
          <cell r="N182">
            <v>0</v>
          </cell>
          <cell r="O182">
            <v>0</v>
          </cell>
        </row>
        <row r="183">
          <cell r="H183">
            <v>68.420358238378412</v>
          </cell>
          <cell r="I183">
            <v>73.056646862569522</v>
          </cell>
          <cell r="J183">
            <v>90.455942099082222</v>
          </cell>
          <cell r="K183">
            <v>87.45025948792609</v>
          </cell>
          <cell r="L183">
            <v>81.176168004263076</v>
          </cell>
          <cell r="M183">
            <v>74.445140608595423</v>
          </cell>
          <cell r="N183">
            <v>72.209961409216049</v>
          </cell>
          <cell r="O183">
            <v>91.511466430348861</v>
          </cell>
        </row>
        <row r="184">
          <cell r="H184">
            <v>190.66425793344871</v>
          </cell>
          <cell r="I184">
            <v>166.73251785563761</v>
          </cell>
          <cell r="J184">
            <v>127.29955645337536</v>
          </cell>
          <cell r="K184">
            <v>88.644517250423618</v>
          </cell>
          <cell r="L184">
            <v>110.38708576045563</v>
          </cell>
          <cell r="M184">
            <v>111.05945158864539</v>
          </cell>
          <cell r="N184">
            <v>165.46080111252314</v>
          </cell>
          <cell r="O184">
            <v>58.006546266727142</v>
          </cell>
        </row>
        <row r="185">
          <cell r="H185">
            <v>167.75929649891097</v>
          </cell>
          <cell r="I185">
            <v>150.86698803454578</v>
          </cell>
          <cell r="J185">
            <v>167.81579302042715</v>
          </cell>
          <cell r="K185">
            <v>175.8715825975375</v>
          </cell>
          <cell r="L185">
            <v>158.08130764871453</v>
          </cell>
          <cell r="M185">
            <v>151.06792879670604</v>
          </cell>
          <cell r="N185">
            <v>167.63492482598946</v>
          </cell>
          <cell r="O185">
            <v>153.48645188519058</v>
          </cell>
        </row>
        <row r="201">
          <cell r="H201">
            <v>358</v>
          </cell>
          <cell r="I201">
            <v>354</v>
          </cell>
          <cell r="J201">
            <v>357</v>
          </cell>
          <cell r="K201">
            <v>357</v>
          </cell>
          <cell r="L201">
            <v>364</v>
          </cell>
          <cell r="M201">
            <v>361</v>
          </cell>
          <cell r="N201">
            <v>358</v>
          </cell>
          <cell r="O201">
            <v>361</v>
          </cell>
        </row>
        <row r="202">
          <cell r="H202">
            <v>0</v>
          </cell>
          <cell r="I202">
            <v>0</v>
          </cell>
          <cell r="J202">
            <v>0</v>
          </cell>
          <cell r="K202">
            <v>0</v>
          </cell>
          <cell r="L202">
            <v>0</v>
          </cell>
          <cell r="M202">
            <v>0</v>
          </cell>
          <cell r="N202">
            <v>0</v>
          </cell>
          <cell r="O202">
            <v>0</v>
          </cell>
        </row>
        <row r="203">
          <cell r="H203">
            <v>359</v>
          </cell>
          <cell r="I203">
            <v>356</v>
          </cell>
          <cell r="J203">
            <v>358</v>
          </cell>
          <cell r="K203">
            <v>357</v>
          </cell>
          <cell r="L203">
            <v>364</v>
          </cell>
          <cell r="M203">
            <v>362</v>
          </cell>
          <cell r="N203">
            <v>359</v>
          </cell>
          <cell r="O203">
            <v>362</v>
          </cell>
        </row>
        <row r="204">
          <cell r="H204">
            <v>229</v>
          </cell>
          <cell r="I204">
            <v>231</v>
          </cell>
          <cell r="J204">
            <v>231</v>
          </cell>
          <cell r="K204">
            <v>233</v>
          </cell>
          <cell r="L204">
            <v>239</v>
          </cell>
          <cell r="M204">
            <v>236</v>
          </cell>
          <cell r="N204">
            <v>234</v>
          </cell>
          <cell r="O204">
            <v>231</v>
          </cell>
        </row>
        <row r="205">
          <cell r="H205">
            <v>0</v>
          </cell>
          <cell r="I205">
            <v>0</v>
          </cell>
          <cell r="J205">
            <v>0</v>
          </cell>
          <cell r="K205">
            <v>0</v>
          </cell>
          <cell r="L205">
            <v>0</v>
          </cell>
          <cell r="M205">
            <v>0</v>
          </cell>
          <cell r="N205">
            <v>0</v>
          </cell>
          <cell r="O205">
            <v>0</v>
          </cell>
        </row>
        <row r="206">
          <cell r="H206">
            <v>9.5400564461920041</v>
          </cell>
          <cell r="I206">
            <v>14.966219274022462</v>
          </cell>
          <cell r="J206">
            <v>12.983685530879905</v>
          </cell>
          <cell r="K206">
            <v>9.5847463448654509</v>
          </cell>
          <cell r="L206">
            <v>18.059536357588712</v>
          </cell>
          <cell r="M206">
            <v>11.739286296252963</v>
          </cell>
          <cell r="N206">
            <v>12.338918053760619</v>
          </cell>
          <cell r="O206">
            <v>16.082171266569489</v>
          </cell>
        </row>
        <row r="207">
          <cell r="H207">
            <v>32.59561248465139</v>
          </cell>
          <cell r="I207">
            <v>32.903440703459275</v>
          </cell>
          <cell r="J207">
            <v>29.84787609519212</v>
          </cell>
          <cell r="K207">
            <v>17.504920338270512</v>
          </cell>
          <cell r="L207">
            <v>27.929936552645678</v>
          </cell>
          <cell r="M207">
            <v>31.705578845479195</v>
          </cell>
          <cell r="N207">
            <v>38.332863475090257</v>
          </cell>
          <cell r="O207">
            <v>20.397691975205685</v>
          </cell>
        </row>
        <row r="208">
          <cell r="H208">
            <v>21.188712052556784</v>
          </cell>
          <cell r="I208">
            <v>22.945574126446118</v>
          </cell>
          <cell r="J208">
            <v>27.836096794662165</v>
          </cell>
          <cell r="K208">
            <v>22.016740981293893</v>
          </cell>
          <cell r="L208">
            <v>27.705888795601989</v>
          </cell>
          <cell r="M208">
            <v>20.604643450304941</v>
          </cell>
          <cell r="N208">
            <v>21.259626690086812</v>
          </cell>
          <cell r="O208">
            <v>27.115965932300661</v>
          </cell>
        </row>
        <row r="224">
          <cell r="H224">
            <v>2941</v>
          </cell>
          <cell r="I224">
            <v>2902</v>
          </cell>
          <cell r="J224">
            <v>2937</v>
          </cell>
          <cell r="K224">
            <v>2933</v>
          </cell>
          <cell r="L224">
            <v>2926</v>
          </cell>
          <cell r="M224">
            <v>2944</v>
          </cell>
          <cell r="N224">
            <v>2934</v>
          </cell>
          <cell r="O224">
            <v>2952</v>
          </cell>
        </row>
        <row r="225">
          <cell r="H225">
            <v>0</v>
          </cell>
          <cell r="I225">
            <v>0</v>
          </cell>
          <cell r="J225">
            <v>0</v>
          </cell>
          <cell r="K225">
            <v>0</v>
          </cell>
          <cell r="L225">
            <v>0</v>
          </cell>
          <cell r="M225">
            <v>0</v>
          </cell>
          <cell r="N225">
            <v>0</v>
          </cell>
          <cell r="O225">
            <v>0</v>
          </cell>
        </row>
        <row r="226">
          <cell r="H226">
            <v>2970</v>
          </cell>
          <cell r="I226">
            <v>2931</v>
          </cell>
          <cell r="J226">
            <v>2964</v>
          </cell>
          <cell r="K226">
            <v>2961</v>
          </cell>
          <cell r="L226">
            <v>2955</v>
          </cell>
          <cell r="M226">
            <v>2973</v>
          </cell>
          <cell r="N226">
            <v>2964</v>
          </cell>
          <cell r="O226">
            <v>2983</v>
          </cell>
        </row>
        <row r="227">
          <cell r="H227">
            <v>2092</v>
          </cell>
          <cell r="I227">
            <v>2072</v>
          </cell>
          <cell r="J227">
            <v>2098</v>
          </cell>
          <cell r="K227">
            <v>2092</v>
          </cell>
          <cell r="L227">
            <v>2077</v>
          </cell>
          <cell r="M227">
            <v>2058</v>
          </cell>
          <cell r="N227">
            <v>2015</v>
          </cell>
          <cell r="O227">
            <v>1987</v>
          </cell>
        </row>
        <row r="228">
          <cell r="H228">
            <v>0</v>
          </cell>
          <cell r="I228">
            <v>0</v>
          </cell>
          <cell r="J228">
            <v>0</v>
          </cell>
          <cell r="K228">
            <v>0</v>
          </cell>
          <cell r="L228">
            <v>0</v>
          </cell>
          <cell r="M228">
            <v>0</v>
          </cell>
          <cell r="N228">
            <v>0</v>
          </cell>
          <cell r="O228">
            <v>0</v>
          </cell>
        </row>
        <row r="229">
          <cell r="H229">
            <v>107.7079842445294</v>
          </cell>
          <cell r="I229">
            <v>71.367864715065693</v>
          </cell>
          <cell r="J229">
            <v>84.277461004244373</v>
          </cell>
          <cell r="K229">
            <v>88.428335013453491</v>
          </cell>
          <cell r="L229">
            <v>81.539656276385358</v>
          </cell>
          <cell r="M229">
            <v>92.997006183507807</v>
          </cell>
          <cell r="N229">
            <v>90.267250209726456</v>
          </cell>
          <cell r="O229">
            <v>90.073752652284909</v>
          </cell>
        </row>
        <row r="230">
          <cell r="H230">
            <v>216.34010677298323</v>
          </cell>
          <cell r="I230">
            <v>178.42896585816334</v>
          </cell>
          <cell r="J230">
            <v>146.0677354809219</v>
          </cell>
          <cell r="K230">
            <v>124.1716407635879</v>
          </cell>
          <cell r="L230">
            <v>104.9280550885789</v>
          </cell>
          <cell r="M230">
            <v>124.30362369253936</v>
          </cell>
          <cell r="N230">
            <v>142.65254425095506</v>
          </cell>
          <cell r="O230">
            <v>59.606391949416555</v>
          </cell>
        </row>
        <row r="231">
          <cell r="H231">
            <v>184.35821583748412</v>
          </cell>
          <cell r="I231">
            <v>148.70650830579052</v>
          </cell>
          <cell r="J231">
            <v>159.40126669775577</v>
          </cell>
          <cell r="K231">
            <v>183.07521530998736</v>
          </cell>
          <cell r="L231">
            <v>154.64082870633013</v>
          </cell>
          <cell r="M231">
            <v>174.89767833423835</v>
          </cell>
          <cell r="N231">
            <v>158.59090905040347</v>
          </cell>
          <cell r="O231">
            <v>149.97177046550121</v>
          </cell>
        </row>
        <row r="247">
          <cell r="H247">
            <v>3989</v>
          </cell>
          <cell r="I247">
            <v>3990</v>
          </cell>
          <cell r="J247">
            <v>3995</v>
          </cell>
          <cell r="K247">
            <v>3998</v>
          </cell>
          <cell r="L247">
            <v>4004</v>
          </cell>
          <cell r="M247">
            <v>4002</v>
          </cell>
          <cell r="N247">
            <v>4005</v>
          </cell>
          <cell r="O247">
            <v>4008</v>
          </cell>
        </row>
        <row r="248">
          <cell r="H248">
            <v>0</v>
          </cell>
          <cell r="I248">
            <v>0</v>
          </cell>
          <cell r="J248">
            <v>0</v>
          </cell>
          <cell r="K248">
            <v>0</v>
          </cell>
          <cell r="L248">
            <v>0</v>
          </cell>
          <cell r="M248">
            <v>0</v>
          </cell>
          <cell r="N248">
            <v>0</v>
          </cell>
          <cell r="O248">
            <v>0</v>
          </cell>
        </row>
        <row r="249">
          <cell r="H249">
            <v>3983</v>
          </cell>
          <cell r="I249">
            <v>3982</v>
          </cell>
          <cell r="J249">
            <v>3989</v>
          </cell>
          <cell r="K249">
            <v>3992</v>
          </cell>
          <cell r="L249">
            <v>3998</v>
          </cell>
          <cell r="M249">
            <v>3995</v>
          </cell>
          <cell r="N249">
            <v>3998</v>
          </cell>
          <cell r="O249">
            <v>4003</v>
          </cell>
        </row>
        <row r="250">
          <cell r="H250">
            <v>3146</v>
          </cell>
          <cell r="I250">
            <v>3152</v>
          </cell>
          <cell r="J250">
            <v>3165</v>
          </cell>
          <cell r="K250">
            <v>3157</v>
          </cell>
          <cell r="L250">
            <v>3160</v>
          </cell>
          <cell r="M250">
            <v>3139</v>
          </cell>
          <cell r="N250">
            <v>3118</v>
          </cell>
          <cell r="O250">
            <v>3099</v>
          </cell>
        </row>
        <row r="251">
          <cell r="H251">
            <v>0</v>
          </cell>
          <cell r="I251">
            <v>0</v>
          </cell>
          <cell r="J251">
            <v>0</v>
          </cell>
          <cell r="K251">
            <v>0</v>
          </cell>
          <cell r="L251">
            <v>0</v>
          </cell>
          <cell r="M251">
            <v>0</v>
          </cell>
          <cell r="N251">
            <v>0</v>
          </cell>
          <cell r="O251">
            <v>0</v>
          </cell>
        </row>
        <row r="252">
          <cell r="H252">
            <v>123.56775784502413</v>
          </cell>
          <cell r="I252">
            <v>104.42048817754834</v>
          </cell>
          <cell r="J252">
            <v>133.23723799247327</v>
          </cell>
          <cell r="K252">
            <v>100.96231056206366</v>
          </cell>
          <cell r="L252">
            <v>105.74096286254361</v>
          </cell>
          <cell r="M252">
            <v>127.08693746697209</v>
          </cell>
          <cell r="N252">
            <v>103.73456926005741</v>
          </cell>
          <cell r="O252">
            <v>124.76539072865202</v>
          </cell>
        </row>
        <row r="253">
          <cell r="H253">
            <v>340.04284356395789</v>
          </cell>
          <cell r="I253">
            <v>267.78254471442534</v>
          </cell>
          <cell r="J253">
            <v>245.92658169691816</v>
          </cell>
          <cell r="K253">
            <v>134.87888081814367</v>
          </cell>
          <cell r="L253">
            <v>171.47447363629107</v>
          </cell>
          <cell r="M253">
            <v>209.56755126608036</v>
          </cell>
          <cell r="N253">
            <v>216.34515301045431</v>
          </cell>
          <cell r="O253">
            <v>65.287654515401982</v>
          </cell>
        </row>
        <row r="254">
          <cell r="H254">
            <v>228.6617461360384</v>
          </cell>
          <cell r="I254">
            <v>199.08494631298035</v>
          </cell>
          <cell r="J254">
            <v>247.94270965606665</v>
          </cell>
          <cell r="K254">
            <v>194.9466901489763</v>
          </cell>
          <cell r="L254">
            <v>196.95171044925144</v>
          </cell>
          <cell r="M254">
            <v>235.85635777180343</v>
          </cell>
          <cell r="N254">
            <v>191.42967832284765</v>
          </cell>
          <cell r="O254">
            <v>204.63332935992528</v>
          </cell>
        </row>
        <row r="270">
          <cell r="H270">
            <v>0</v>
          </cell>
          <cell r="I270">
            <v>0</v>
          </cell>
          <cell r="J270">
            <v>0</v>
          </cell>
          <cell r="K270">
            <v>0</v>
          </cell>
          <cell r="L270">
            <v>0</v>
          </cell>
          <cell r="M270">
            <v>0</v>
          </cell>
          <cell r="N270">
            <v>0</v>
          </cell>
          <cell r="O270">
            <v>0</v>
          </cell>
        </row>
        <row r="271">
          <cell r="H271">
            <v>0</v>
          </cell>
          <cell r="I271">
            <v>0</v>
          </cell>
          <cell r="J271">
            <v>0</v>
          </cell>
          <cell r="K271">
            <v>0</v>
          </cell>
          <cell r="L271">
            <v>0</v>
          </cell>
          <cell r="M271">
            <v>0</v>
          </cell>
          <cell r="N271">
            <v>0</v>
          </cell>
          <cell r="O271">
            <v>0</v>
          </cell>
        </row>
        <row r="272">
          <cell r="H272">
            <v>1468</v>
          </cell>
          <cell r="I272">
            <v>1469</v>
          </cell>
          <cell r="J272">
            <v>1471</v>
          </cell>
          <cell r="K272">
            <v>1471</v>
          </cell>
          <cell r="L272">
            <v>1472</v>
          </cell>
          <cell r="M272">
            <v>1471</v>
          </cell>
          <cell r="N272">
            <v>1474</v>
          </cell>
          <cell r="O272">
            <v>1476</v>
          </cell>
        </row>
        <row r="273">
          <cell r="H273">
            <v>369</v>
          </cell>
          <cell r="I273">
            <v>376</v>
          </cell>
          <cell r="J273">
            <v>374</v>
          </cell>
          <cell r="K273">
            <v>375</v>
          </cell>
          <cell r="L273">
            <v>373</v>
          </cell>
          <cell r="M273">
            <v>366</v>
          </cell>
          <cell r="N273">
            <v>343</v>
          </cell>
          <cell r="O273">
            <v>329</v>
          </cell>
        </row>
        <row r="274">
          <cell r="H274">
            <v>0</v>
          </cell>
          <cell r="I274">
            <v>0</v>
          </cell>
          <cell r="J274">
            <v>0</v>
          </cell>
          <cell r="K274">
            <v>0</v>
          </cell>
          <cell r="L274">
            <v>0</v>
          </cell>
          <cell r="M274">
            <v>0</v>
          </cell>
          <cell r="N274">
            <v>0</v>
          </cell>
          <cell r="O274">
            <v>0</v>
          </cell>
        </row>
        <row r="275">
          <cell r="H275">
            <v>33.249817242809065</v>
          </cell>
          <cell r="I275">
            <v>36.823143652262324</v>
          </cell>
          <cell r="J275">
            <v>42.006084482792474</v>
          </cell>
          <cell r="K275">
            <v>31.933695271027279</v>
          </cell>
          <cell r="L275">
            <v>38.963615066020687</v>
          </cell>
          <cell r="M275">
            <v>34.926949010654972</v>
          </cell>
          <cell r="N275">
            <v>34.94424826084294</v>
          </cell>
          <cell r="O275">
            <v>45.663671876562212</v>
          </cell>
        </row>
        <row r="276">
          <cell r="H276">
            <v>35.45497761624042</v>
          </cell>
          <cell r="I276">
            <v>42.846757679180897</v>
          </cell>
          <cell r="J276">
            <v>35.169232303532652</v>
          </cell>
          <cell r="K276">
            <v>15.131073096349949</v>
          </cell>
          <cell r="L276">
            <v>32.639409606404271</v>
          </cell>
          <cell r="M276">
            <v>23.155379776994184</v>
          </cell>
          <cell r="N276">
            <v>23.522395882969597</v>
          </cell>
          <cell r="O276">
            <v>20.587385057471263</v>
          </cell>
        </row>
        <row r="277">
          <cell r="H277">
            <v>0</v>
          </cell>
          <cell r="I277">
            <v>0</v>
          </cell>
          <cell r="J277">
            <v>0</v>
          </cell>
          <cell r="K277">
            <v>0</v>
          </cell>
          <cell r="L277">
            <v>0</v>
          </cell>
          <cell r="M277">
            <v>0</v>
          </cell>
          <cell r="N277">
            <v>0</v>
          </cell>
          <cell r="O277">
            <v>0</v>
          </cell>
        </row>
        <row r="293">
          <cell r="H293">
            <v>2406</v>
          </cell>
          <cell r="I293">
            <v>2410</v>
          </cell>
          <cell r="J293">
            <v>2417</v>
          </cell>
          <cell r="K293">
            <v>2408</v>
          </cell>
          <cell r="L293">
            <v>2414</v>
          </cell>
          <cell r="M293">
            <v>2414</v>
          </cell>
          <cell r="N293">
            <v>2402</v>
          </cell>
          <cell r="O293">
            <v>2407</v>
          </cell>
        </row>
        <row r="294">
          <cell r="H294">
            <v>0</v>
          </cell>
          <cell r="I294">
            <v>0</v>
          </cell>
          <cell r="J294">
            <v>0</v>
          </cell>
          <cell r="K294">
            <v>0</v>
          </cell>
          <cell r="L294">
            <v>0</v>
          </cell>
          <cell r="M294">
            <v>0</v>
          </cell>
          <cell r="N294">
            <v>0</v>
          </cell>
          <cell r="O294">
            <v>0</v>
          </cell>
        </row>
        <row r="295">
          <cell r="H295">
            <v>2473</v>
          </cell>
          <cell r="I295">
            <v>2477</v>
          </cell>
          <cell r="J295">
            <v>2483</v>
          </cell>
          <cell r="K295">
            <v>2476</v>
          </cell>
          <cell r="L295">
            <v>2482</v>
          </cell>
          <cell r="M295">
            <v>2482</v>
          </cell>
          <cell r="N295">
            <v>2477</v>
          </cell>
          <cell r="O295">
            <v>2482</v>
          </cell>
        </row>
        <row r="296">
          <cell r="H296">
            <v>2372</v>
          </cell>
          <cell r="I296">
            <v>2374</v>
          </cell>
          <cell r="J296">
            <v>2378</v>
          </cell>
          <cell r="K296">
            <v>2369</v>
          </cell>
          <cell r="L296">
            <v>2374</v>
          </cell>
          <cell r="M296">
            <v>2372</v>
          </cell>
          <cell r="N296">
            <v>2366</v>
          </cell>
          <cell r="O296">
            <v>2369</v>
          </cell>
        </row>
        <row r="297">
          <cell r="H297">
            <v>0</v>
          </cell>
          <cell r="I297">
            <v>0</v>
          </cell>
          <cell r="J297">
            <v>0</v>
          </cell>
          <cell r="K297">
            <v>0</v>
          </cell>
          <cell r="L297">
            <v>0</v>
          </cell>
          <cell r="M297">
            <v>0</v>
          </cell>
          <cell r="N297">
            <v>0</v>
          </cell>
          <cell r="O297">
            <v>0</v>
          </cell>
        </row>
        <row r="298">
          <cell r="H298">
            <v>80.456265143165865</v>
          </cell>
          <cell r="I298">
            <v>66.752202349283891</v>
          </cell>
          <cell r="J298">
            <v>64.967477014883997</v>
          </cell>
          <cell r="K298">
            <v>80.387853108675969</v>
          </cell>
          <cell r="L298">
            <v>65.097446770641966</v>
          </cell>
          <cell r="M298">
            <v>78.172802980146315</v>
          </cell>
          <cell r="N298">
            <v>67.477622264572233</v>
          </cell>
          <cell r="O298">
            <v>78.545125283196512</v>
          </cell>
        </row>
        <row r="299">
          <cell r="H299">
            <v>225.27265773591404</v>
          </cell>
          <cell r="I299">
            <v>173.7505707847441</v>
          </cell>
          <cell r="J299">
            <v>132.40151762805161</v>
          </cell>
          <cell r="K299">
            <v>110.32767838956229</v>
          </cell>
          <cell r="L299">
            <v>102.86652262340536</v>
          </cell>
          <cell r="M299">
            <v>137.6366449001404</v>
          </cell>
          <cell r="N299">
            <v>133.58453796176957</v>
          </cell>
          <cell r="O299">
            <v>36.773611379618956</v>
          </cell>
        </row>
        <row r="300">
          <cell r="H300">
            <v>135.0685926647042</v>
          </cell>
          <cell r="I300">
            <v>112.70576879511302</v>
          </cell>
          <cell r="J300">
            <v>111.47288554219436</v>
          </cell>
          <cell r="K300">
            <v>137.77617784405771</v>
          </cell>
          <cell r="L300">
            <v>115.57352858854169</v>
          </cell>
          <cell r="M300">
            <v>133.33715948030581</v>
          </cell>
          <cell r="N300">
            <v>110.26039920178538</v>
          </cell>
          <cell r="O300">
            <v>110.74598045624144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ynnwood Tons"/>
      <sheetName val="MSW Tons"/>
      <sheetName val="Recycle Tons"/>
      <sheetName val="YW Tons"/>
      <sheetName val="Prices"/>
      <sheetName val="Multi Family Counts"/>
      <sheetName val="Multi Family Yards"/>
      <sheetName val="Comm Counts"/>
      <sheetName val="Comm Yards"/>
      <sheetName val="District 21-23-25"/>
      <sheetName val="All Other Districts -Garbage"/>
      <sheetName val="All Districts-YW"/>
      <sheetName val="All Districts-YW Only"/>
      <sheetName val="All Districts-Rec"/>
      <sheetName val="All Districts-Rec Only"/>
    </sheetNames>
    <sheetDataSet>
      <sheetData sheetId="0">
        <row r="62">
          <cell r="D62">
            <v>2216</v>
          </cell>
          <cell r="E62">
            <v>2164</v>
          </cell>
          <cell r="F62">
            <v>2206</v>
          </cell>
          <cell r="G62">
            <v>2228</v>
          </cell>
        </row>
        <row r="64">
          <cell r="D64">
            <v>2250</v>
          </cell>
          <cell r="E64">
            <v>2197</v>
          </cell>
          <cell r="F64">
            <v>2242</v>
          </cell>
          <cell r="G64">
            <v>2265</v>
          </cell>
        </row>
        <row r="65">
          <cell r="D65">
            <v>519</v>
          </cell>
          <cell r="E65">
            <v>509</v>
          </cell>
          <cell r="F65">
            <v>519</v>
          </cell>
          <cell r="G65">
            <v>536</v>
          </cell>
        </row>
        <row r="67">
          <cell r="D67">
            <v>68.352902634914486</v>
          </cell>
          <cell r="E67">
            <v>59.708590470719997</v>
          </cell>
          <cell r="F67">
            <v>72.169286370614003</v>
          </cell>
          <cell r="G67">
            <v>65.930611859724792</v>
          </cell>
        </row>
        <row r="68">
          <cell r="D68">
            <v>12.273813750176755</v>
          </cell>
          <cell r="E68">
            <v>8.002896545082848</v>
          </cell>
          <cell r="F68">
            <v>22.232607328477243</v>
          </cell>
          <cell r="G68">
            <v>60.863844941446374</v>
          </cell>
        </row>
        <row r="69">
          <cell r="D69">
            <v>125.39972534449187</v>
          </cell>
          <cell r="E69">
            <v>116.0995450646131</v>
          </cell>
          <cell r="F69">
            <v>149.83359689283785</v>
          </cell>
          <cell r="G69">
            <v>127.77770413629065</v>
          </cell>
        </row>
        <row r="85">
          <cell r="D85">
            <v>503</v>
          </cell>
          <cell r="E85">
            <v>519</v>
          </cell>
          <cell r="F85">
            <v>515</v>
          </cell>
          <cell r="G85">
            <v>523</v>
          </cell>
        </row>
        <row r="87">
          <cell r="D87">
            <v>781</v>
          </cell>
          <cell r="E87">
            <v>784</v>
          </cell>
          <cell r="F87">
            <v>784</v>
          </cell>
          <cell r="G87">
            <v>784</v>
          </cell>
        </row>
        <row r="88">
          <cell r="D88">
            <v>174</v>
          </cell>
          <cell r="E88">
            <v>175</v>
          </cell>
          <cell r="F88">
            <v>180</v>
          </cell>
          <cell r="G88">
            <v>193</v>
          </cell>
        </row>
        <row r="90">
          <cell r="D90">
            <v>18.603423312883436</v>
          </cell>
          <cell r="E90">
            <v>18.554926380368094</v>
          </cell>
          <cell r="F90">
            <v>17.914766871165643</v>
          </cell>
          <cell r="G90">
            <v>21.852717791411042</v>
          </cell>
        </row>
        <row r="91">
          <cell r="D91">
            <v>5.0006362829239412</v>
          </cell>
          <cell r="E91">
            <v>3.774228075367466</v>
          </cell>
          <cell r="F91">
            <v>13.300483377725167</v>
          </cell>
          <cell r="G91">
            <v>14.405978100029593</v>
          </cell>
        </row>
        <row r="92">
          <cell r="D92">
            <v>27.833023180618678</v>
          </cell>
          <cell r="E92">
            <v>25.784451837556098</v>
          </cell>
          <cell r="F92">
            <v>30.296161676810257</v>
          </cell>
          <cell r="G92">
            <v>35.316127642462092</v>
          </cell>
        </row>
        <row r="108">
          <cell r="D108">
            <v>2184</v>
          </cell>
          <cell r="E108">
            <v>2181</v>
          </cell>
          <cell r="F108">
            <v>2188</v>
          </cell>
          <cell r="G108">
            <v>2186</v>
          </cell>
        </row>
        <row r="110">
          <cell r="D110">
            <v>2176</v>
          </cell>
          <cell r="E110">
            <v>2174</v>
          </cell>
          <cell r="F110">
            <v>2182</v>
          </cell>
          <cell r="G110">
            <v>2180</v>
          </cell>
        </row>
        <row r="111">
          <cell r="D111">
            <v>1099</v>
          </cell>
          <cell r="E111">
            <v>1118</v>
          </cell>
          <cell r="F111">
            <v>1131</v>
          </cell>
          <cell r="G111">
            <v>1174</v>
          </cell>
        </row>
        <row r="113">
          <cell r="D113">
            <v>71.959363706551457</v>
          </cell>
          <cell r="E113">
            <v>45.112858733071398</v>
          </cell>
          <cell r="F113">
            <v>69.215738274908389</v>
          </cell>
          <cell r="G113">
            <v>59.777350597293534</v>
          </cell>
        </row>
        <row r="114">
          <cell r="D114">
            <v>26.833268698060945</v>
          </cell>
          <cell r="E114">
            <v>14.054293628808864</v>
          </cell>
          <cell r="F114">
            <v>52.765706371191136</v>
          </cell>
          <cell r="G114">
            <v>115.96116343490306</v>
          </cell>
        </row>
        <row r="115">
          <cell r="D115">
            <v>125.10111198554193</v>
          </cell>
          <cell r="E115">
            <v>95.071050289797228</v>
          </cell>
          <cell r="F115">
            <v>100.57323330579079</v>
          </cell>
          <cell r="G115">
            <v>101.58994820390116</v>
          </cell>
        </row>
        <row r="132">
          <cell r="D132">
            <v>0</v>
          </cell>
          <cell r="E132">
            <v>0</v>
          </cell>
          <cell r="F132">
            <v>0</v>
          </cell>
          <cell r="G132">
            <v>0</v>
          </cell>
        </row>
        <row r="134">
          <cell r="D134">
            <v>6559</v>
          </cell>
          <cell r="E134">
            <v>6569</v>
          </cell>
          <cell r="F134">
            <v>6576</v>
          </cell>
          <cell r="G134">
            <v>6582</v>
          </cell>
        </row>
        <row r="135">
          <cell r="D135">
            <v>0</v>
          </cell>
          <cell r="E135">
            <v>0</v>
          </cell>
          <cell r="F135">
            <v>0</v>
          </cell>
          <cell r="G135">
            <v>0</v>
          </cell>
        </row>
        <row r="137">
          <cell r="D137">
            <v>252.28000000000006</v>
          </cell>
          <cell r="E137">
            <v>160.04</v>
          </cell>
          <cell r="F137">
            <v>174.76000000000002</v>
          </cell>
          <cell r="G137">
            <v>188.3600000000001</v>
          </cell>
        </row>
        <row r="138">
          <cell r="D138">
            <v>0</v>
          </cell>
          <cell r="E138">
            <v>0</v>
          </cell>
          <cell r="F138">
            <v>0</v>
          </cell>
          <cell r="G138">
            <v>0</v>
          </cell>
        </row>
        <row r="139">
          <cell r="D139">
            <v>0</v>
          </cell>
          <cell r="E139">
            <v>0</v>
          </cell>
          <cell r="F139">
            <v>0</v>
          </cell>
          <cell r="G139">
            <v>0</v>
          </cell>
        </row>
        <row r="155">
          <cell r="D155">
            <v>8669</v>
          </cell>
          <cell r="E155">
            <v>8650</v>
          </cell>
          <cell r="F155">
            <v>8671</v>
          </cell>
          <cell r="G155">
            <v>8712</v>
          </cell>
        </row>
        <row r="157">
          <cell r="D157">
            <v>8712</v>
          </cell>
          <cell r="E157">
            <v>8695</v>
          </cell>
          <cell r="F157">
            <v>8716</v>
          </cell>
          <cell r="G157">
            <v>8754</v>
          </cell>
        </row>
        <row r="158">
          <cell r="D158">
            <v>6057</v>
          </cell>
          <cell r="E158">
            <v>6048</v>
          </cell>
          <cell r="F158">
            <v>6128</v>
          </cell>
          <cell r="G158">
            <v>6236</v>
          </cell>
        </row>
        <row r="160">
          <cell r="D160">
            <v>307.75762127671771</v>
          </cell>
          <cell r="E160">
            <v>233.28931873024692</v>
          </cell>
          <cell r="F160">
            <v>253.20573639885058</v>
          </cell>
          <cell r="G160">
            <v>275.26416799782305</v>
          </cell>
        </row>
        <row r="161">
          <cell r="D161">
            <v>242.6539937010935</v>
          </cell>
          <cell r="E161">
            <v>163.89922642595431</v>
          </cell>
          <cell r="F161">
            <v>315.30442207565898</v>
          </cell>
          <cell r="G161">
            <v>722.46205343327597</v>
          </cell>
        </row>
        <row r="162">
          <cell r="D162">
            <v>451.79987605942711</v>
          </cell>
          <cell r="E162">
            <v>365.12633716258404</v>
          </cell>
          <cell r="F162">
            <v>413.934412254579</v>
          </cell>
          <cell r="G162">
            <v>450.27317129841907</v>
          </cell>
        </row>
        <row r="178">
          <cell r="D178">
            <v>2884</v>
          </cell>
          <cell r="E178">
            <v>2890</v>
          </cell>
          <cell r="F178">
            <v>2898</v>
          </cell>
          <cell r="G178">
            <v>2917</v>
          </cell>
        </row>
        <row r="180">
          <cell r="D180">
            <v>2890</v>
          </cell>
          <cell r="E180">
            <v>2897</v>
          </cell>
          <cell r="F180">
            <v>2904</v>
          </cell>
          <cell r="G180">
            <v>2923</v>
          </cell>
        </row>
        <row r="181">
          <cell r="D181">
            <v>1683</v>
          </cell>
          <cell r="E181">
            <v>1687</v>
          </cell>
          <cell r="F181">
            <v>1725</v>
          </cell>
          <cell r="G181">
            <v>1767</v>
          </cell>
        </row>
        <row r="183">
          <cell r="D183">
            <v>103.14054470621723</v>
          </cell>
          <cell r="E183">
            <v>63.523786970631761</v>
          </cell>
          <cell r="F183">
            <v>64.871539107628237</v>
          </cell>
          <cell r="G183">
            <v>74.294881954948238</v>
          </cell>
        </row>
        <row r="184">
          <cell r="D184">
            <v>54.627243501697052</v>
          </cell>
          <cell r="E184">
            <v>34.51379248160432</v>
          </cell>
          <cell r="F184">
            <v>86.552991304198841</v>
          </cell>
          <cell r="G184">
            <v>132.25092808100891</v>
          </cell>
        </row>
        <row r="185">
          <cell r="D185">
            <v>163.75643364918722</v>
          </cell>
          <cell r="E185">
            <v>134.41086239944971</v>
          </cell>
          <cell r="F185">
            <v>144.77968238663084</v>
          </cell>
          <cell r="G185">
            <v>149.65187648507759</v>
          </cell>
        </row>
        <row r="201">
          <cell r="D201">
            <v>356</v>
          </cell>
          <cell r="E201">
            <v>356</v>
          </cell>
          <cell r="F201">
            <v>357</v>
          </cell>
          <cell r="G201">
            <v>359</v>
          </cell>
        </row>
        <row r="203">
          <cell r="D203">
            <v>357</v>
          </cell>
          <cell r="E203">
            <v>357</v>
          </cell>
          <cell r="F203">
            <v>359</v>
          </cell>
          <cell r="G203">
            <v>361</v>
          </cell>
        </row>
        <row r="204">
          <cell r="D204">
            <v>225</v>
          </cell>
          <cell r="E204">
            <v>225</v>
          </cell>
          <cell r="F204">
            <v>225</v>
          </cell>
          <cell r="G204">
            <v>231</v>
          </cell>
        </row>
        <row r="206">
          <cell r="D206">
            <v>12.761449035324478</v>
          </cell>
          <cell r="E206">
            <v>11.120993983837076</v>
          </cell>
          <cell r="F206">
            <v>17.242201846509577</v>
          </cell>
          <cell r="G206">
            <v>11.867516293766089</v>
          </cell>
        </row>
        <row r="207">
          <cell r="D207">
            <v>16.410043360090196</v>
          </cell>
          <cell r="E207">
            <v>10.504959425867396</v>
          </cell>
          <cell r="F207">
            <v>20.125988055943129</v>
          </cell>
          <cell r="G207">
            <v>19.876309062383978</v>
          </cell>
        </row>
        <row r="208">
          <cell r="D208">
            <v>20.780125764711272</v>
          </cell>
          <cell r="E208">
            <v>18.803782963970427</v>
          </cell>
          <cell r="F208">
            <v>26.162924354171444</v>
          </cell>
          <cell r="G208">
            <v>21.050526173106249</v>
          </cell>
        </row>
        <row r="224">
          <cell r="D224">
            <v>2937</v>
          </cell>
          <cell r="E224">
            <v>2933</v>
          </cell>
          <cell r="F224">
            <v>2937</v>
          </cell>
          <cell r="G224">
            <v>2942</v>
          </cell>
        </row>
        <row r="226">
          <cell r="D226">
            <v>2968</v>
          </cell>
          <cell r="E226">
            <v>2966</v>
          </cell>
          <cell r="F226">
            <v>2967</v>
          </cell>
          <cell r="G226">
            <v>2972</v>
          </cell>
        </row>
        <row r="227">
          <cell r="D227">
            <v>1964</v>
          </cell>
          <cell r="E227">
            <v>1958</v>
          </cell>
          <cell r="F227">
            <v>1997</v>
          </cell>
          <cell r="G227">
            <v>2045</v>
          </cell>
        </row>
        <row r="229">
          <cell r="D229">
            <v>97.661406283245071</v>
          </cell>
          <cell r="E229">
            <v>70.677583711729241</v>
          </cell>
          <cell r="F229">
            <v>71.04663357386643</v>
          </cell>
          <cell r="G229">
            <v>72.996364120917349</v>
          </cell>
        </row>
        <row r="230">
          <cell r="D230">
            <v>66.107933360156721</v>
          </cell>
          <cell r="E230">
            <v>43.353232235364075</v>
          </cell>
          <cell r="F230">
            <v>80.709683882449724</v>
          </cell>
          <cell r="G230">
            <v>119.1586021099817</v>
          </cell>
        </row>
        <row r="231">
          <cell r="D231">
            <v>177.51616476428671</v>
          </cell>
          <cell r="E231">
            <v>134.34559737861235</v>
          </cell>
          <cell r="F231">
            <v>142.09103478671838</v>
          </cell>
          <cell r="G231">
            <v>151.56094214137553</v>
          </cell>
        </row>
        <row r="247">
          <cell r="D247">
            <v>4019</v>
          </cell>
          <cell r="E247">
            <v>4027</v>
          </cell>
          <cell r="F247">
            <v>4027</v>
          </cell>
          <cell r="G247">
            <v>4032</v>
          </cell>
        </row>
        <row r="249">
          <cell r="D249">
            <v>4014</v>
          </cell>
          <cell r="E249">
            <v>4022</v>
          </cell>
          <cell r="F249">
            <v>4021</v>
          </cell>
          <cell r="G249">
            <v>4026</v>
          </cell>
        </row>
        <row r="250">
          <cell r="D250">
            <v>3076</v>
          </cell>
          <cell r="E250">
            <v>3055</v>
          </cell>
          <cell r="F250">
            <v>3055</v>
          </cell>
          <cell r="G250">
            <v>3083</v>
          </cell>
        </row>
        <row r="252">
          <cell r="D252">
            <v>124.39154588077983</v>
          </cell>
          <cell r="E252">
            <v>105.52228070009257</v>
          </cell>
          <cell r="F252">
            <v>101.32853185487323</v>
          </cell>
          <cell r="G252">
            <v>120.90029174433428</v>
          </cell>
        </row>
        <row r="253">
          <cell r="D253">
            <v>69.840511688586815</v>
          </cell>
          <cell r="E253">
            <v>37.33612512062296</v>
          </cell>
          <cell r="F253">
            <v>113.25366620197539</v>
          </cell>
          <cell r="G253">
            <v>290.84142093204707</v>
          </cell>
        </row>
        <row r="254">
          <cell r="D254">
            <v>228.45104284797799</v>
          </cell>
          <cell r="E254">
            <v>184.51573716199357</v>
          </cell>
          <cell r="F254">
            <v>193.3433685673144</v>
          </cell>
          <cell r="G254">
            <v>243.44076091697249</v>
          </cell>
        </row>
        <row r="270">
          <cell r="D270">
            <v>0</v>
          </cell>
          <cell r="E270">
            <v>0</v>
          </cell>
          <cell r="F270">
            <v>0</v>
          </cell>
          <cell r="G270">
            <v>0</v>
          </cell>
        </row>
        <row r="272">
          <cell r="D272">
            <v>1475</v>
          </cell>
          <cell r="E272">
            <v>1476</v>
          </cell>
          <cell r="F272">
            <v>1479</v>
          </cell>
          <cell r="G272">
            <v>1483</v>
          </cell>
        </row>
        <row r="273">
          <cell r="D273">
            <v>314</v>
          </cell>
          <cell r="E273">
            <v>314</v>
          </cell>
          <cell r="F273">
            <v>314</v>
          </cell>
          <cell r="G273">
            <v>331</v>
          </cell>
        </row>
        <row r="275">
          <cell r="D275">
            <v>36.285807707269782</v>
          </cell>
          <cell r="E275">
            <v>35.994922868097305</v>
          </cell>
          <cell r="F275">
            <v>41.923537195751976</v>
          </cell>
          <cell r="G275">
            <v>32.833287058014257</v>
          </cell>
        </row>
        <row r="276">
          <cell r="D276">
            <v>13.159856321839081</v>
          </cell>
          <cell r="E276">
            <v>9.2991091954022984</v>
          </cell>
          <cell r="F276">
            <v>38.676063218390802</v>
          </cell>
          <cell r="G276">
            <v>35.60902298850575</v>
          </cell>
        </row>
        <row r="277">
          <cell r="D277">
            <v>0</v>
          </cell>
          <cell r="E277">
            <v>0</v>
          </cell>
          <cell r="F277">
            <v>0</v>
          </cell>
          <cell r="G277">
            <v>0</v>
          </cell>
        </row>
        <row r="293">
          <cell r="D293">
            <v>2405</v>
          </cell>
          <cell r="E293">
            <v>2407</v>
          </cell>
          <cell r="F293">
            <v>2410</v>
          </cell>
          <cell r="G293">
            <v>2417</v>
          </cell>
        </row>
        <row r="295">
          <cell r="D295">
            <v>2480</v>
          </cell>
          <cell r="E295">
            <v>2481</v>
          </cell>
          <cell r="F295">
            <v>2483</v>
          </cell>
          <cell r="G295">
            <v>2489</v>
          </cell>
        </row>
        <row r="296">
          <cell r="D296">
            <v>2363</v>
          </cell>
          <cell r="E296">
            <v>2363</v>
          </cell>
          <cell r="F296">
            <v>2364</v>
          </cell>
          <cell r="G296">
            <v>2367</v>
          </cell>
        </row>
        <row r="298">
          <cell r="D298">
            <v>79.754982857265617</v>
          </cell>
          <cell r="E298">
            <v>59.846090886699024</v>
          </cell>
          <cell r="F298">
            <v>62.925968885395804</v>
          </cell>
          <cell r="G298">
            <v>64.311591386852584</v>
          </cell>
        </row>
        <row r="299">
          <cell r="D299">
            <v>52.983782786389341</v>
          </cell>
          <cell r="E299">
            <v>32.341860750083463</v>
          </cell>
          <cell r="F299">
            <v>80.437390586548872</v>
          </cell>
          <cell r="G299">
            <v>162.02463545766634</v>
          </cell>
        </row>
        <row r="300">
          <cell r="D300">
            <v>134.82159480475588</v>
          </cell>
          <cell r="E300">
            <v>103.05952733356568</v>
          </cell>
          <cell r="F300">
            <v>109.30488702152077</v>
          </cell>
          <cell r="G300">
            <v>107.81430971256636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Lynnwood_SF"/>
      <sheetName val="Value"/>
      <sheetName val="Commodity Tonnages"/>
      <sheetName val="Pricing"/>
      <sheetName val="Single Family"/>
    </sheetNames>
    <sheetDataSet>
      <sheetData sheetId="0" refreshError="1"/>
      <sheetData sheetId="1" refreshError="1"/>
      <sheetData sheetId="2">
        <row r="18">
          <cell r="M18">
            <v>296190.19576560985</v>
          </cell>
          <cell r="O18">
            <v>148095.0978828049</v>
          </cell>
        </row>
      </sheetData>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Lynnwood_MF"/>
      <sheetName val="Value"/>
      <sheetName val="Pricing"/>
      <sheetName val="Commodity Tonnages"/>
      <sheetName val="Multi_Family"/>
    </sheetNames>
    <sheetDataSet>
      <sheetData sheetId="0" refreshError="1"/>
      <sheetData sheetId="1">
        <row r="18">
          <cell r="M18">
            <v>47569.480235579977</v>
          </cell>
          <cell r="O18">
            <v>23784.740117789996</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I54"/>
  <sheetViews>
    <sheetView tabSelected="1" zoomScale="90" zoomScaleNormal="90" workbookViewId="0">
      <selection activeCell="F31" sqref="F31"/>
    </sheetView>
  </sheetViews>
  <sheetFormatPr defaultRowHeight="15" x14ac:dyDescent="0.25"/>
  <cols>
    <col min="1" max="1" width="59.85546875" style="46" customWidth="1"/>
    <col min="2" max="2" width="18.7109375" style="46" customWidth="1"/>
    <col min="3" max="3" width="7.7109375" style="46" bestFit="1" customWidth="1"/>
    <col min="4" max="4" width="19.7109375" style="46" bestFit="1" customWidth="1"/>
    <col min="5" max="5" width="3.7109375" style="46" customWidth="1"/>
    <col min="6" max="6" width="18.42578125" style="46" customWidth="1"/>
    <col min="7" max="7" width="2.140625" style="46" customWidth="1"/>
    <col min="8" max="256" width="9.140625" style="46"/>
    <col min="257" max="257" width="59.42578125" style="46" bestFit="1" customWidth="1"/>
    <col min="258" max="258" width="22.7109375" style="46" customWidth="1"/>
    <col min="259" max="259" width="5.7109375" style="46" bestFit="1" customWidth="1"/>
    <col min="260" max="260" width="22.7109375" style="46" customWidth="1"/>
    <col min="261" max="261" width="3.7109375" style="46" customWidth="1"/>
    <col min="262" max="262" width="19.42578125" style="46" bestFit="1" customWidth="1"/>
    <col min="263" max="263" width="9.85546875" style="46" bestFit="1" customWidth="1"/>
    <col min="264" max="512" width="9.140625" style="46"/>
    <col min="513" max="513" width="59.42578125" style="46" bestFit="1" customWidth="1"/>
    <col min="514" max="514" width="22.7109375" style="46" customWidth="1"/>
    <col min="515" max="515" width="5.7109375" style="46" bestFit="1" customWidth="1"/>
    <col min="516" max="516" width="22.7109375" style="46" customWidth="1"/>
    <col min="517" max="517" width="3.7109375" style="46" customWidth="1"/>
    <col min="518" max="518" width="19.42578125" style="46" bestFit="1" customWidth="1"/>
    <col min="519" max="519" width="9.85546875" style="46" bestFit="1" customWidth="1"/>
    <col min="520" max="768" width="9.140625" style="46"/>
    <col min="769" max="769" width="59.42578125" style="46" bestFit="1" customWidth="1"/>
    <col min="770" max="770" width="22.7109375" style="46" customWidth="1"/>
    <col min="771" max="771" width="5.7109375" style="46" bestFit="1" customWidth="1"/>
    <col min="772" max="772" width="22.7109375" style="46" customWidth="1"/>
    <col min="773" max="773" width="3.7109375" style="46" customWidth="1"/>
    <col min="774" max="774" width="19.42578125" style="46" bestFit="1" customWidth="1"/>
    <col min="775" max="775" width="9.85546875" style="46" bestFit="1" customWidth="1"/>
    <col min="776" max="1024" width="9.140625" style="46"/>
    <col min="1025" max="1025" width="59.42578125" style="46" bestFit="1" customWidth="1"/>
    <col min="1026" max="1026" width="22.7109375" style="46" customWidth="1"/>
    <col min="1027" max="1027" width="5.7109375" style="46" bestFit="1" customWidth="1"/>
    <col min="1028" max="1028" width="22.7109375" style="46" customWidth="1"/>
    <col min="1029" max="1029" width="3.7109375" style="46" customWidth="1"/>
    <col min="1030" max="1030" width="19.42578125" style="46" bestFit="1" customWidth="1"/>
    <col min="1031" max="1031" width="9.85546875" style="46" bestFit="1" customWidth="1"/>
    <col min="1032" max="1280" width="9.140625" style="46"/>
    <col min="1281" max="1281" width="59.42578125" style="46" bestFit="1" customWidth="1"/>
    <col min="1282" max="1282" width="22.7109375" style="46" customWidth="1"/>
    <col min="1283" max="1283" width="5.7109375" style="46" bestFit="1" customWidth="1"/>
    <col min="1284" max="1284" width="22.7109375" style="46" customWidth="1"/>
    <col min="1285" max="1285" width="3.7109375" style="46" customWidth="1"/>
    <col min="1286" max="1286" width="19.42578125" style="46" bestFit="1" customWidth="1"/>
    <col min="1287" max="1287" width="9.85546875" style="46" bestFit="1" customWidth="1"/>
    <col min="1288" max="1536" width="9.140625" style="46"/>
    <col min="1537" max="1537" width="59.42578125" style="46" bestFit="1" customWidth="1"/>
    <col min="1538" max="1538" width="22.7109375" style="46" customWidth="1"/>
    <col min="1539" max="1539" width="5.7109375" style="46" bestFit="1" customWidth="1"/>
    <col min="1540" max="1540" width="22.7109375" style="46" customWidth="1"/>
    <col min="1541" max="1541" width="3.7109375" style="46" customWidth="1"/>
    <col min="1542" max="1542" width="19.42578125" style="46" bestFit="1" customWidth="1"/>
    <col min="1543" max="1543" width="9.85546875" style="46" bestFit="1" customWidth="1"/>
    <col min="1544" max="1792" width="9.140625" style="46"/>
    <col min="1793" max="1793" width="59.42578125" style="46" bestFit="1" customWidth="1"/>
    <col min="1794" max="1794" width="22.7109375" style="46" customWidth="1"/>
    <col min="1795" max="1795" width="5.7109375" style="46" bestFit="1" customWidth="1"/>
    <col min="1796" max="1796" width="22.7109375" style="46" customWidth="1"/>
    <col min="1797" max="1797" width="3.7109375" style="46" customWidth="1"/>
    <col min="1798" max="1798" width="19.42578125" style="46" bestFit="1" customWidth="1"/>
    <col min="1799" max="1799" width="9.85546875" style="46" bestFit="1" customWidth="1"/>
    <col min="1800" max="2048" width="9.140625" style="46"/>
    <col min="2049" max="2049" width="59.42578125" style="46" bestFit="1" customWidth="1"/>
    <col min="2050" max="2050" width="22.7109375" style="46" customWidth="1"/>
    <col min="2051" max="2051" width="5.7109375" style="46" bestFit="1" customWidth="1"/>
    <col min="2052" max="2052" width="22.7109375" style="46" customWidth="1"/>
    <col min="2053" max="2053" width="3.7109375" style="46" customWidth="1"/>
    <col min="2054" max="2054" width="19.42578125" style="46" bestFit="1" customWidth="1"/>
    <col min="2055" max="2055" width="9.85546875" style="46" bestFit="1" customWidth="1"/>
    <col min="2056" max="2304" width="9.140625" style="46"/>
    <col min="2305" max="2305" width="59.42578125" style="46" bestFit="1" customWidth="1"/>
    <col min="2306" max="2306" width="22.7109375" style="46" customWidth="1"/>
    <col min="2307" max="2307" width="5.7109375" style="46" bestFit="1" customWidth="1"/>
    <col min="2308" max="2308" width="22.7109375" style="46" customWidth="1"/>
    <col min="2309" max="2309" width="3.7109375" style="46" customWidth="1"/>
    <col min="2310" max="2310" width="19.42578125" style="46" bestFit="1" customWidth="1"/>
    <col min="2311" max="2311" width="9.85546875" style="46" bestFit="1" customWidth="1"/>
    <col min="2312" max="2560" width="9.140625" style="46"/>
    <col min="2561" max="2561" width="59.42578125" style="46" bestFit="1" customWidth="1"/>
    <col min="2562" max="2562" width="22.7109375" style="46" customWidth="1"/>
    <col min="2563" max="2563" width="5.7109375" style="46" bestFit="1" customWidth="1"/>
    <col min="2564" max="2564" width="22.7109375" style="46" customWidth="1"/>
    <col min="2565" max="2565" width="3.7109375" style="46" customWidth="1"/>
    <col min="2566" max="2566" width="19.42578125" style="46" bestFit="1" customWidth="1"/>
    <col min="2567" max="2567" width="9.85546875" style="46" bestFit="1" customWidth="1"/>
    <col min="2568" max="2816" width="9.140625" style="46"/>
    <col min="2817" max="2817" width="59.42578125" style="46" bestFit="1" customWidth="1"/>
    <col min="2818" max="2818" width="22.7109375" style="46" customWidth="1"/>
    <col min="2819" max="2819" width="5.7109375" style="46" bestFit="1" customWidth="1"/>
    <col min="2820" max="2820" width="22.7109375" style="46" customWidth="1"/>
    <col min="2821" max="2821" width="3.7109375" style="46" customWidth="1"/>
    <col min="2822" max="2822" width="19.42578125" style="46" bestFit="1" customWidth="1"/>
    <col min="2823" max="2823" width="9.85546875" style="46" bestFit="1" customWidth="1"/>
    <col min="2824" max="3072" width="9.140625" style="46"/>
    <col min="3073" max="3073" width="59.42578125" style="46" bestFit="1" customWidth="1"/>
    <col min="3074" max="3074" width="22.7109375" style="46" customWidth="1"/>
    <col min="3075" max="3075" width="5.7109375" style="46" bestFit="1" customWidth="1"/>
    <col min="3076" max="3076" width="22.7109375" style="46" customWidth="1"/>
    <col min="3077" max="3077" width="3.7109375" style="46" customWidth="1"/>
    <col min="3078" max="3078" width="19.42578125" style="46" bestFit="1" customWidth="1"/>
    <col min="3079" max="3079" width="9.85546875" style="46" bestFit="1" customWidth="1"/>
    <col min="3080" max="3328" width="9.140625" style="46"/>
    <col min="3329" max="3329" width="59.42578125" style="46" bestFit="1" customWidth="1"/>
    <col min="3330" max="3330" width="22.7109375" style="46" customWidth="1"/>
    <col min="3331" max="3331" width="5.7109375" style="46" bestFit="1" customWidth="1"/>
    <col min="3332" max="3332" width="22.7109375" style="46" customWidth="1"/>
    <col min="3333" max="3333" width="3.7109375" style="46" customWidth="1"/>
    <col min="3334" max="3334" width="19.42578125" style="46" bestFit="1" customWidth="1"/>
    <col min="3335" max="3335" width="9.85546875" style="46" bestFit="1" customWidth="1"/>
    <col min="3336" max="3584" width="9.140625" style="46"/>
    <col min="3585" max="3585" width="59.42578125" style="46" bestFit="1" customWidth="1"/>
    <col min="3586" max="3586" width="22.7109375" style="46" customWidth="1"/>
    <col min="3587" max="3587" width="5.7109375" style="46" bestFit="1" customWidth="1"/>
    <col min="3588" max="3588" width="22.7109375" style="46" customWidth="1"/>
    <col min="3589" max="3589" width="3.7109375" style="46" customWidth="1"/>
    <col min="3590" max="3590" width="19.42578125" style="46" bestFit="1" customWidth="1"/>
    <col min="3591" max="3591" width="9.85546875" style="46" bestFit="1" customWidth="1"/>
    <col min="3592" max="3840" width="9.140625" style="46"/>
    <col min="3841" max="3841" width="59.42578125" style="46" bestFit="1" customWidth="1"/>
    <col min="3842" max="3842" width="22.7109375" style="46" customWidth="1"/>
    <col min="3843" max="3843" width="5.7109375" style="46" bestFit="1" customWidth="1"/>
    <col min="3844" max="3844" width="22.7109375" style="46" customWidth="1"/>
    <col min="3845" max="3845" width="3.7109375" style="46" customWidth="1"/>
    <col min="3846" max="3846" width="19.42578125" style="46" bestFit="1" customWidth="1"/>
    <col min="3847" max="3847" width="9.85546875" style="46" bestFit="1" customWidth="1"/>
    <col min="3848" max="4096" width="9.140625" style="46"/>
    <col min="4097" max="4097" width="59.42578125" style="46" bestFit="1" customWidth="1"/>
    <col min="4098" max="4098" width="22.7109375" style="46" customWidth="1"/>
    <col min="4099" max="4099" width="5.7109375" style="46" bestFit="1" customWidth="1"/>
    <col min="4100" max="4100" width="22.7109375" style="46" customWidth="1"/>
    <col min="4101" max="4101" width="3.7109375" style="46" customWidth="1"/>
    <col min="4102" max="4102" width="19.42578125" style="46" bestFit="1" customWidth="1"/>
    <col min="4103" max="4103" width="9.85546875" style="46" bestFit="1" customWidth="1"/>
    <col min="4104" max="4352" width="9.140625" style="46"/>
    <col min="4353" max="4353" width="59.42578125" style="46" bestFit="1" customWidth="1"/>
    <col min="4354" max="4354" width="22.7109375" style="46" customWidth="1"/>
    <col min="4355" max="4355" width="5.7109375" style="46" bestFit="1" customWidth="1"/>
    <col min="4356" max="4356" width="22.7109375" style="46" customWidth="1"/>
    <col min="4357" max="4357" width="3.7109375" style="46" customWidth="1"/>
    <col min="4358" max="4358" width="19.42578125" style="46" bestFit="1" customWidth="1"/>
    <col min="4359" max="4359" width="9.85546875" style="46" bestFit="1" customWidth="1"/>
    <col min="4360" max="4608" width="9.140625" style="46"/>
    <col min="4609" max="4609" width="59.42578125" style="46" bestFit="1" customWidth="1"/>
    <col min="4610" max="4610" width="22.7109375" style="46" customWidth="1"/>
    <col min="4611" max="4611" width="5.7109375" style="46" bestFit="1" customWidth="1"/>
    <col min="4612" max="4612" width="22.7109375" style="46" customWidth="1"/>
    <col min="4613" max="4613" width="3.7109375" style="46" customWidth="1"/>
    <col min="4614" max="4614" width="19.42578125" style="46" bestFit="1" customWidth="1"/>
    <col min="4615" max="4615" width="9.85546875" style="46" bestFit="1" customWidth="1"/>
    <col min="4616" max="4864" width="9.140625" style="46"/>
    <col min="4865" max="4865" width="59.42578125" style="46" bestFit="1" customWidth="1"/>
    <col min="4866" max="4866" width="22.7109375" style="46" customWidth="1"/>
    <col min="4867" max="4867" width="5.7109375" style="46" bestFit="1" customWidth="1"/>
    <col min="4868" max="4868" width="22.7109375" style="46" customWidth="1"/>
    <col min="4869" max="4869" width="3.7109375" style="46" customWidth="1"/>
    <col min="4870" max="4870" width="19.42578125" style="46" bestFit="1" customWidth="1"/>
    <col min="4871" max="4871" width="9.85546875" style="46" bestFit="1" customWidth="1"/>
    <col min="4872" max="5120" width="9.140625" style="46"/>
    <col min="5121" max="5121" width="59.42578125" style="46" bestFit="1" customWidth="1"/>
    <col min="5122" max="5122" width="22.7109375" style="46" customWidth="1"/>
    <col min="5123" max="5123" width="5.7109375" style="46" bestFit="1" customWidth="1"/>
    <col min="5124" max="5124" width="22.7109375" style="46" customWidth="1"/>
    <col min="5125" max="5125" width="3.7109375" style="46" customWidth="1"/>
    <col min="5126" max="5126" width="19.42578125" style="46" bestFit="1" customWidth="1"/>
    <col min="5127" max="5127" width="9.85546875" style="46" bestFit="1" customWidth="1"/>
    <col min="5128" max="5376" width="9.140625" style="46"/>
    <col min="5377" max="5377" width="59.42578125" style="46" bestFit="1" customWidth="1"/>
    <col min="5378" max="5378" width="22.7109375" style="46" customWidth="1"/>
    <col min="5379" max="5379" width="5.7109375" style="46" bestFit="1" customWidth="1"/>
    <col min="5380" max="5380" width="22.7109375" style="46" customWidth="1"/>
    <col min="5381" max="5381" width="3.7109375" style="46" customWidth="1"/>
    <col min="5382" max="5382" width="19.42578125" style="46" bestFit="1" customWidth="1"/>
    <col min="5383" max="5383" width="9.85546875" style="46" bestFit="1" customWidth="1"/>
    <col min="5384" max="5632" width="9.140625" style="46"/>
    <col min="5633" max="5633" width="59.42578125" style="46" bestFit="1" customWidth="1"/>
    <col min="5634" max="5634" width="22.7109375" style="46" customWidth="1"/>
    <col min="5635" max="5635" width="5.7109375" style="46" bestFit="1" customWidth="1"/>
    <col min="5636" max="5636" width="22.7109375" style="46" customWidth="1"/>
    <col min="5637" max="5637" width="3.7109375" style="46" customWidth="1"/>
    <col min="5638" max="5638" width="19.42578125" style="46" bestFit="1" customWidth="1"/>
    <col min="5639" max="5639" width="9.85546875" style="46" bestFit="1" customWidth="1"/>
    <col min="5640" max="5888" width="9.140625" style="46"/>
    <col min="5889" max="5889" width="59.42578125" style="46" bestFit="1" customWidth="1"/>
    <col min="5890" max="5890" width="22.7109375" style="46" customWidth="1"/>
    <col min="5891" max="5891" width="5.7109375" style="46" bestFit="1" customWidth="1"/>
    <col min="5892" max="5892" width="22.7109375" style="46" customWidth="1"/>
    <col min="5893" max="5893" width="3.7109375" style="46" customWidth="1"/>
    <col min="5894" max="5894" width="19.42578125" style="46" bestFit="1" customWidth="1"/>
    <col min="5895" max="5895" width="9.85546875" style="46" bestFit="1" customWidth="1"/>
    <col min="5896" max="6144" width="9.140625" style="46"/>
    <col min="6145" max="6145" width="59.42578125" style="46" bestFit="1" customWidth="1"/>
    <col min="6146" max="6146" width="22.7109375" style="46" customWidth="1"/>
    <col min="6147" max="6147" width="5.7109375" style="46" bestFit="1" customWidth="1"/>
    <col min="6148" max="6148" width="22.7109375" style="46" customWidth="1"/>
    <col min="6149" max="6149" width="3.7109375" style="46" customWidth="1"/>
    <col min="6150" max="6150" width="19.42578125" style="46" bestFit="1" customWidth="1"/>
    <col min="6151" max="6151" width="9.85546875" style="46" bestFit="1" customWidth="1"/>
    <col min="6152" max="6400" width="9.140625" style="46"/>
    <col min="6401" max="6401" width="59.42578125" style="46" bestFit="1" customWidth="1"/>
    <col min="6402" max="6402" width="22.7109375" style="46" customWidth="1"/>
    <col min="6403" max="6403" width="5.7109375" style="46" bestFit="1" customWidth="1"/>
    <col min="6404" max="6404" width="22.7109375" style="46" customWidth="1"/>
    <col min="6405" max="6405" width="3.7109375" style="46" customWidth="1"/>
    <col min="6406" max="6406" width="19.42578125" style="46" bestFit="1" customWidth="1"/>
    <col min="6407" max="6407" width="9.85546875" style="46" bestFit="1" customWidth="1"/>
    <col min="6408" max="6656" width="9.140625" style="46"/>
    <col min="6657" max="6657" width="59.42578125" style="46" bestFit="1" customWidth="1"/>
    <col min="6658" max="6658" width="22.7109375" style="46" customWidth="1"/>
    <col min="6659" max="6659" width="5.7109375" style="46" bestFit="1" customWidth="1"/>
    <col min="6660" max="6660" width="22.7109375" style="46" customWidth="1"/>
    <col min="6661" max="6661" width="3.7109375" style="46" customWidth="1"/>
    <col min="6662" max="6662" width="19.42578125" style="46" bestFit="1" customWidth="1"/>
    <col min="6663" max="6663" width="9.85546875" style="46" bestFit="1" customWidth="1"/>
    <col min="6664" max="6912" width="9.140625" style="46"/>
    <col min="6913" max="6913" width="59.42578125" style="46" bestFit="1" customWidth="1"/>
    <col min="6914" max="6914" width="22.7109375" style="46" customWidth="1"/>
    <col min="6915" max="6915" width="5.7109375" style="46" bestFit="1" customWidth="1"/>
    <col min="6916" max="6916" width="22.7109375" style="46" customWidth="1"/>
    <col min="6917" max="6917" width="3.7109375" style="46" customWidth="1"/>
    <col min="6918" max="6918" width="19.42578125" style="46" bestFit="1" customWidth="1"/>
    <col min="6919" max="6919" width="9.85546875" style="46" bestFit="1" customWidth="1"/>
    <col min="6920" max="7168" width="9.140625" style="46"/>
    <col min="7169" max="7169" width="59.42578125" style="46" bestFit="1" customWidth="1"/>
    <col min="7170" max="7170" width="22.7109375" style="46" customWidth="1"/>
    <col min="7171" max="7171" width="5.7109375" style="46" bestFit="1" customWidth="1"/>
    <col min="7172" max="7172" width="22.7109375" style="46" customWidth="1"/>
    <col min="7173" max="7173" width="3.7109375" style="46" customWidth="1"/>
    <col min="7174" max="7174" width="19.42578125" style="46" bestFit="1" customWidth="1"/>
    <col min="7175" max="7175" width="9.85546875" style="46" bestFit="1" customWidth="1"/>
    <col min="7176" max="7424" width="9.140625" style="46"/>
    <col min="7425" max="7425" width="59.42578125" style="46" bestFit="1" customWidth="1"/>
    <col min="7426" max="7426" width="22.7109375" style="46" customWidth="1"/>
    <col min="7427" max="7427" width="5.7109375" style="46" bestFit="1" customWidth="1"/>
    <col min="7428" max="7428" width="22.7109375" style="46" customWidth="1"/>
    <col min="7429" max="7429" width="3.7109375" style="46" customWidth="1"/>
    <col min="7430" max="7430" width="19.42578125" style="46" bestFit="1" customWidth="1"/>
    <col min="7431" max="7431" width="9.85546875" style="46" bestFit="1" customWidth="1"/>
    <col min="7432" max="7680" width="9.140625" style="46"/>
    <col min="7681" max="7681" width="59.42578125" style="46" bestFit="1" customWidth="1"/>
    <col min="7682" max="7682" width="22.7109375" style="46" customWidth="1"/>
    <col min="7683" max="7683" width="5.7109375" style="46" bestFit="1" customWidth="1"/>
    <col min="7684" max="7684" width="22.7109375" style="46" customWidth="1"/>
    <col min="7685" max="7685" width="3.7109375" style="46" customWidth="1"/>
    <col min="7686" max="7686" width="19.42578125" style="46" bestFit="1" customWidth="1"/>
    <col min="7687" max="7687" width="9.85546875" style="46" bestFit="1" customWidth="1"/>
    <col min="7688" max="7936" width="9.140625" style="46"/>
    <col min="7937" max="7937" width="59.42578125" style="46" bestFit="1" customWidth="1"/>
    <col min="7938" max="7938" width="22.7109375" style="46" customWidth="1"/>
    <col min="7939" max="7939" width="5.7109375" style="46" bestFit="1" customWidth="1"/>
    <col min="7940" max="7940" width="22.7109375" style="46" customWidth="1"/>
    <col min="7941" max="7941" width="3.7109375" style="46" customWidth="1"/>
    <col min="7942" max="7942" width="19.42578125" style="46" bestFit="1" customWidth="1"/>
    <col min="7943" max="7943" width="9.85546875" style="46" bestFit="1" customWidth="1"/>
    <col min="7944" max="8192" width="9.140625" style="46"/>
    <col min="8193" max="8193" width="59.42578125" style="46" bestFit="1" customWidth="1"/>
    <col min="8194" max="8194" width="22.7109375" style="46" customWidth="1"/>
    <col min="8195" max="8195" width="5.7109375" style="46" bestFit="1" customWidth="1"/>
    <col min="8196" max="8196" width="22.7109375" style="46" customWidth="1"/>
    <col min="8197" max="8197" width="3.7109375" style="46" customWidth="1"/>
    <col min="8198" max="8198" width="19.42578125" style="46" bestFit="1" customWidth="1"/>
    <col min="8199" max="8199" width="9.85546875" style="46" bestFit="1" customWidth="1"/>
    <col min="8200" max="8448" width="9.140625" style="46"/>
    <col min="8449" max="8449" width="59.42578125" style="46" bestFit="1" customWidth="1"/>
    <col min="8450" max="8450" width="22.7109375" style="46" customWidth="1"/>
    <col min="8451" max="8451" width="5.7109375" style="46" bestFit="1" customWidth="1"/>
    <col min="8452" max="8452" width="22.7109375" style="46" customWidth="1"/>
    <col min="8453" max="8453" width="3.7109375" style="46" customWidth="1"/>
    <col min="8454" max="8454" width="19.42578125" style="46" bestFit="1" customWidth="1"/>
    <col min="8455" max="8455" width="9.85546875" style="46" bestFit="1" customWidth="1"/>
    <col min="8456" max="8704" width="9.140625" style="46"/>
    <col min="8705" max="8705" width="59.42578125" style="46" bestFit="1" customWidth="1"/>
    <col min="8706" max="8706" width="22.7109375" style="46" customWidth="1"/>
    <col min="8707" max="8707" width="5.7109375" style="46" bestFit="1" customWidth="1"/>
    <col min="8708" max="8708" width="22.7109375" style="46" customWidth="1"/>
    <col min="8709" max="8709" width="3.7109375" style="46" customWidth="1"/>
    <col min="8710" max="8710" width="19.42578125" style="46" bestFit="1" customWidth="1"/>
    <col min="8711" max="8711" width="9.85546875" style="46" bestFit="1" customWidth="1"/>
    <col min="8712" max="8960" width="9.140625" style="46"/>
    <col min="8961" max="8961" width="59.42578125" style="46" bestFit="1" customWidth="1"/>
    <col min="8962" max="8962" width="22.7109375" style="46" customWidth="1"/>
    <col min="8963" max="8963" width="5.7109375" style="46" bestFit="1" customWidth="1"/>
    <col min="8964" max="8964" width="22.7109375" style="46" customWidth="1"/>
    <col min="8965" max="8965" width="3.7109375" style="46" customWidth="1"/>
    <col min="8966" max="8966" width="19.42578125" style="46" bestFit="1" customWidth="1"/>
    <col min="8967" max="8967" width="9.85546875" style="46" bestFit="1" customWidth="1"/>
    <col min="8968" max="9216" width="9.140625" style="46"/>
    <col min="9217" max="9217" width="59.42578125" style="46" bestFit="1" customWidth="1"/>
    <col min="9218" max="9218" width="22.7109375" style="46" customWidth="1"/>
    <col min="9219" max="9219" width="5.7109375" style="46" bestFit="1" customWidth="1"/>
    <col min="9220" max="9220" width="22.7109375" style="46" customWidth="1"/>
    <col min="9221" max="9221" width="3.7109375" style="46" customWidth="1"/>
    <col min="9222" max="9222" width="19.42578125" style="46" bestFit="1" customWidth="1"/>
    <col min="9223" max="9223" width="9.85546875" style="46" bestFit="1" customWidth="1"/>
    <col min="9224" max="9472" width="9.140625" style="46"/>
    <col min="9473" max="9473" width="59.42578125" style="46" bestFit="1" customWidth="1"/>
    <col min="9474" max="9474" width="22.7109375" style="46" customWidth="1"/>
    <col min="9475" max="9475" width="5.7109375" style="46" bestFit="1" customWidth="1"/>
    <col min="9476" max="9476" width="22.7109375" style="46" customWidth="1"/>
    <col min="9477" max="9477" width="3.7109375" style="46" customWidth="1"/>
    <col min="9478" max="9478" width="19.42578125" style="46" bestFit="1" customWidth="1"/>
    <col min="9479" max="9479" width="9.85546875" style="46" bestFit="1" customWidth="1"/>
    <col min="9480" max="9728" width="9.140625" style="46"/>
    <col min="9729" max="9729" width="59.42578125" style="46" bestFit="1" customWidth="1"/>
    <col min="9730" max="9730" width="22.7109375" style="46" customWidth="1"/>
    <col min="9731" max="9731" width="5.7109375" style="46" bestFit="1" customWidth="1"/>
    <col min="9732" max="9732" width="22.7109375" style="46" customWidth="1"/>
    <col min="9733" max="9733" width="3.7109375" style="46" customWidth="1"/>
    <col min="9734" max="9734" width="19.42578125" style="46" bestFit="1" customWidth="1"/>
    <col min="9735" max="9735" width="9.85546875" style="46" bestFit="1" customWidth="1"/>
    <col min="9736" max="9984" width="9.140625" style="46"/>
    <col min="9985" max="9985" width="59.42578125" style="46" bestFit="1" customWidth="1"/>
    <col min="9986" max="9986" width="22.7109375" style="46" customWidth="1"/>
    <col min="9987" max="9987" width="5.7109375" style="46" bestFit="1" customWidth="1"/>
    <col min="9988" max="9988" width="22.7109375" style="46" customWidth="1"/>
    <col min="9989" max="9989" width="3.7109375" style="46" customWidth="1"/>
    <col min="9990" max="9990" width="19.42578125" style="46" bestFit="1" customWidth="1"/>
    <col min="9991" max="9991" width="9.85546875" style="46" bestFit="1" customWidth="1"/>
    <col min="9992" max="10240" width="9.140625" style="46"/>
    <col min="10241" max="10241" width="59.42578125" style="46" bestFit="1" customWidth="1"/>
    <col min="10242" max="10242" width="22.7109375" style="46" customWidth="1"/>
    <col min="10243" max="10243" width="5.7109375" style="46" bestFit="1" customWidth="1"/>
    <col min="10244" max="10244" width="22.7109375" style="46" customWidth="1"/>
    <col min="10245" max="10245" width="3.7109375" style="46" customWidth="1"/>
    <col min="10246" max="10246" width="19.42578125" style="46" bestFit="1" customWidth="1"/>
    <col min="10247" max="10247" width="9.85546875" style="46" bestFit="1" customWidth="1"/>
    <col min="10248" max="10496" width="9.140625" style="46"/>
    <col min="10497" max="10497" width="59.42578125" style="46" bestFit="1" customWidth="1"/>
    <col min="10498" max="10498" width="22.7109375" style="46" customWidth="1"/>
    <col min="10499" max="10499" width="5.7109375" style="46" bestFit="1" customWidth="1"/>
    <col min="10500" max="10500" width="22.7109375" style="46" customWidth="1"/>
    <col min="10501" max="10501" width="3.7109375" style="46" customWidth="1"/>
    <col min="10502" max="10502" width="19.42578125" style="46" bestFit="1" customWidth="1"/>
    <col min="10503" max="10503" width="9.85546875" style="46" bestFit="1" customWidth="1"/>
    <col min="10504" max="10752" width="9.140625" style="46"/>
    <col min="10753" max="10753" width="59.42578125" style="46" bestFit="1" customWidth="1"/>
    <col min="10754" max="10754" width="22.7109375" style="46" customWidth="1"/>
    <col min="10755" max="10755" width="5.7109375" style="46" bestFit="1" customWidth="1"/>
    <col min="10756" max="10756" width="22.7109375" style="46" customWidth="1"/>
    <col min="10757" max="10757" width="3.7109375" style="46" customWidth="1"/>
    <col min="10758" max="10758" width="19.42578125" style="46" bestFit="1" customWidth="1"/>
    <col min="10759" max="10759" width="9.85546875" style="46" bestFit="1" customWidth="1"/>
    <col min="10760" max="11008" width="9.140625" style="46"/>
    <col min="11009" max="11009" width="59.42578125" style="46" bestFit="1" customWidth="1"/>
    <col min="11010" max="11010" width="22.7109375" style="46" customWidth="1"/>
    <col min="11011" max="11011" width="5.7109375" style="46" bestFit="1" customWidth="1"/>
    <col min="11012" max="11012" width="22.7109375" style="46" customWidth="1"/>
    <col min="11013" max="11013" width="3.7109375" style="46" customWidth="1"/>
    <col min="11014" max="11014" width="19.42578125" style="46" bestFit="1" customWidth="1"/>
    <col min="11015" max="11015" width="9.85546875" style="46" bestFit="1" customWidth="1"/>
    <col min="11016" max="11264" width="9.140625" style="46"/>
    <col min="11265" max="11265" width="59.42578125" style="46" bestFit="1" customWidth="1"/>
    <col min="11266" max="11266" width="22.7109375" style="46" customWidth="1"/>
    <col min="11267" max="11267" width="5.7109375" style="46" bestFit="1" customWidth="1"/>
    <col min="11268" max="11268" width="22.7109375" style="46" customWidth="1"/>
    <col min="11269" max="11269" width="3.7109375" style="46" customWidth="1"/>
    <col min="11270" max="11270" width="19.42578125" style="46" bestFit="1" customWidth="1"/>
    <col min="11271" max="11271" width="9.85546875" style="46" bestFit="1" customWidth="1"/>
    <col min="11272" max="11520" width="9.140625" style="46"/>
    <col min="11521" max="11521" width="59.42578125" style="46" bestFit="1" customWidth="1"/>
    <col min="11522" max="11522" width="22.7109375" style="46" customWidth="1"/>
    <col min="11523" max="11523" width="5.7109375" style="46" bestFit="1" customWidth="1"/>
    <col min="11524" max="11524" width="22.7109375" style="46" customWidth="1"/>
    <col min="11525" max="11525" width="3.7109375" style="46" customWidth="1"/>
    <col min="11526" max="11526" width="19.42578125" style="46" bestFit="1" customWidth="1"/>
    <col min="11527" max="11527" width="9.85546875" style="46" bestFit="1" customWidth="1"/>
    <col min="11528" max="11776" width="9.140625" style="46"/>
    <col min="11777" max="11777" width="59.42578125" style="46" bestFit="1" customWidth="1"/>
    <col min="11778" max="11778" width="22.7109375" style="46" customWidth="1"/>
    <col min="11779" max="11779" width="5.7109375" style="46" bestFit="1" customWidth="1"/>
    <col min="11780" max="11780" width="22.7109375" style="46" customWidth="1"/>
    <col min="11781" max="11781" width="3.7109375" style="46" customWidth="1"/>
    <col min="11782" max="11782" width="19.42578125" style="46" bestFit="1" customWidth="1"/>
    <col min="11783" max="11783" width="9.85546875" style="46" bestFit="1" customWidth="1"/>
    <col min="11784" max="12032" width="9.140625" style="46"/>
    <col min="12033" max="12033" width="59.42578125" style="46" bestFit="1" customWidth="1"/>
    <col min="12034" max="12034" width="22.7109375" style="46" customWidth="1"/>
    <col min="12035" max="12035" width="5.7109375" style="46" bestFit="1" customWidth="1"/>
    <col min="12036" max="12036" width="22.7109375" style="46" customWidth="1"/>
    <col min="12037" max="12037" width="3.7109375" style="46" customWidth="1"/>
    <col min="12038" max="12038" width="19.42578125" style="46" bestFit="1" customWidth="1"/>
    <col min="12039" max="12039" width="9.85546875" style="46" bestFit="1" customWidth="1"/>
    <col min="12040" max="12288" width="9.140625" style="46"/>
    <col min="12289" max="12289" width="59.42578125" style="46" bestFit="1" customWidth="1"/>
    <col min="12290" max="12290" width="22.7109375" style="46" customWidth="1"/>
    <col min="12291" max="12291" width="5.7109375" style="46" bestFit="1" customWidth="1"/>
    <col min="12292" max="12292" width="22.7109375" style="46" customWidth="1"/>
    <col min="12293" max="12293" width="3.7109375" style="46" customWidth="1"/>
    <col min="12294" max="12294" width="19.42578125" style="46" bestFit="1" customWidth="1"/>
    <col min="12295" max="12295" width="9.85546875" style="46" bestFit="1" customWidth="1"/>
    <col min="12296" max="12544" width="9.140625" style="46"/>
    <col min="12545" max="12545" width="59.42578125" style="46" bestFit="1" customWidth="1"/>
    <col min="12546" max="12546" width="22.7109375" style="46" customWidth="1"/>
    <col min="12547" max="12547" width="5.7109375" style="46" bestFit="1" customWidth="1"/>
    <col min="12548" max="12548" width="22.7109375" style="46" customWidth="1"/>
    <col min="12549" max="12549" width="3.7109375" style="46" customWidth="1"/>
    <col min="12550" max="12550" width="19.42578125" style="46" bestFit="1" customWidth="1"/>
    <col min="12551" max="12551" width="9.85546875" style="46" bestFit="1" customWidth="1"/>
    <col min="12552" max="12800" width="9.140625" style="46"/>
    <col min="12801" max="12801" width="59.42578125" style="46" bestFit="1" customWidth="1"/>
    <col min="12802" max="12802" width="22.7109375" style="46" customWidth="1"/>
    <col min="12803" max="12803" width="5.7109375" style="46" bestFit="1" customWidth="1"/>
    <col min="12804" max="12804" width="22.7109375" style="46" customWidth="1"/>
    <col min="12805" max="12805" width="3.7109375" style="46" customWidth="1"/>
    <col min="12806" max="12806" width="19.42578125" style="46" bestFit="1" customWidth="1"/>
    <col min="12807" max="12807" width="9.85546875" style="46" bestFit="1" customWidth="1"/>
    <col min="12808" max="13056" width="9.140625" style="46"/>
    <col min="13057" max="13057" width="59.42578125" style="46" bestFit="1" customWidth="1"/>
    <col min="13058" max="13058" width="22.7109375" style="46" customWidth="1"/>
    <col min="13059" max="13059" width="5.7109375" style="46" bestFit="1" customWidth="1"/>
    <col min="13060" max="13060" width="22.7109375" style="46" customWidth="1"/>
    <col min="13061" max="13061" width="3.7109375" style="46" customWidth="1"/>
    <col min="13062" max="13062" width="19.42578125" style="46" bestFit="1" customWidth="1"/>
    <col min="13063" max="13063" width="9.85546875" style="46" bestFit="1" customWidth="1"/>
    <col min="13064" max="13312" width="9.140625" style="46"/>
    <col min="13313" max="13313" width="59.42578125" style="46" bestFit="1" customWidth="1"/>
    <col min="13314" max="13314" width="22.7109375" style="46" customWidth="1"/>
    <col min="13315" max="13315" width="5.7109375" style="46" bestFit="1" customWidth="1"/>
    <col min="13316" max="13316" width="22.7109375" style="46" customWidth="1"/>
    <col min="13317" max="13317" width="3.7109375" style="46" customWidth="1"/>
    <col min="13318" max="13318" width="19.42578125" style="46" bestFit="1" customWidth="1"/>
    <col min="13319" max="13319" width="9.85546875" style="46" bestFit="1" customWidth="1"/>
    <col min="13320" max="13568" width="9.140625" style="46"/>
    <col min="13569" max="13569" width="59.42578125" style="46" bestFit="1" customWidth="1"/>
    <col min="13570" max="13570" width="22.7109375" style="46" customWidth="1"/>
    <col min="13571" max="13571" width="5.7109375" style="46" bestFit="1" customWidth="1"/>
    <col min="13572" max="13572" width="22.7109375" style="46" customWidth="1"/>
    <col min="13573" max="13573" width="3.7109375" style="46" customWidth="1"/>
    <col min="13574" max="13574" width="19.42578125" style="46" bestFit="1" customWidth="1"/>
    <col min="13575" max="13575" width="9.85546875" style="46" bestFit="1" customWidth="1"/>
    <col min="13576" max="13824" width="9.140625" style="46"/>
    <col min="13825" max="13825" width="59.42578125" style="46" bestFit="1" customWidth="1"/>
    <col min="13826" max="13826" width="22.7109375" style="46" customWidth="1"/>
    <col min="13827" max="13827" width="5.7109375" style="46" bestFit="1" customWidth="1"/>
    <col min="13828" max="13828" width="22.7109375" style="46" customWidth="1"/>
    <col min="13829" max="13829" width="3.7109375" style="46" customWidth="1"/>
    <col min="13830" max="13830" width="19.42578125" style="46" bestFit="1" customWidth="1"/>
    <col min="13831" max="13831" width="9.85546875" style="46" bestFit="1" customWidth="1"/>
    <col min="13832" max="14080" width="9.140625" style="46"/>
    <col min="14081" max="14081" width="59.42578125" style="46" bestFit="1" customWidth="1"/>
    <col min="14082" max="14082" width="22.7109375" style="46" customWidth="1"/>
    <col min="14083" max="14083" width="5.7109375" style="46" bestFit="1" customWidth="1"/>
    <col min="14084" max="14084" width="22.7109375" style="46" customWidth="1"/>
    <col min="14085" max="14085" width="3.7109375" style="46" customWidth="1"/>
    <col min="14086" max="14086" width="19.42578125" style="46" bestFit="1" customWidth="1"/>
    <col min="14087" max="14087" width="9.85546875" style="46" bestFit="1" customWidth="1"/>
    <col min="14088" max="14336" width="9.140625" style="46"/>
    <col min="14337" max="14337" width="59.42578125" style="46" bestFit="1" customWidth="1"/>
    <col min="14338" max="14338" width="22.7109375" style="46" customWidth="1"/>
    <col min="14339" max="14339" width="5.7109375" style="46" bestFit="1" customWidth="1"/>
    <col min="14340" max="14340" width="22.7109375" style="46" customWidth="1"/>
    <col min="14341" max="14341" width="3.7109375" style="46" customWidth="1"/>
    <col min="14342" max="14342" width="19.42578125" style="46" bestFit="1" customWidth="1"/>
    <col min="14343" max="14343" width="9.85546875" style="46" bestFit="1" customWidth="1"/>
    <col min="14344" max="14592" width="9.140625" style="46"/>
    <col min="14593" max="14593" width="59.42578125" style="46" bestFit="1" customWidth="1"/>
    <col min="14594" max="14594" width="22.7109375" style="46" customWidth="1"/>
    <col min="14595" max="14595" width="5.7109375" style="46" bestFit="1" customWidth="1"/>
    <col min="14596" max="14596" width="22.7109375" style="46" customWidth="1"/>
    <col min="14597" max="14597" width="3.7109375" style="46" customWidth="1"/>
    <col min="14598" max="14598" width="19.42578125" style="46" bestFit="1" customWidth="1"/>
    <col min="14599" max="14599" width="9.85546875" style="46" bestFit="1" customWidth="1"/>
    <col min="14600" max="14848" width="9.140625" style="46"/>
    <col min="14849" max="14849" width="59.42578125" style="46" bestFit="1" customWidth="1"/>
    <col min="14850" max="14850" width="22.7109375" style="46" customWidth="1"/>
    <col min="14851" max="14851" width="5.7109375" style="46" bestFit="1" customWidth="1"/>
    <col min="14852" max="14852" width="22.7109375" style="46" customWidth="1"/>
    <col min="14853" max="14853" width="3.7109375" style="46" customWidth="1"/>
    <col min="14854" max="14854" width="19.42578125" style="46" bestFit="1" customWidth="1"/>
    <col min="14855" max="14855" width="9.85546875" style="46" bestFit="1" customWidth="1"/>
    <col min="14856" max="15104" width="9.140625" style="46"/>
    <col min="15105" max="15105" width="59.42578125" style="46" bestFit="1" customWidth="1"/>
    <col min="15106" max="15106" width="22.7109375" style="46" customWidth="1"/>
    <col min="15107" max="15107" width="5.7109375" style="46" bestFit="1" customWidth="1"/>
    <col min="15108" max="15108" width="22.7109375" style="46" customWidth="1"/>
    <col min="15109" max="15109" width="3.7109375" style="46" customWidth="1"/>
    <col min="15110" max="15110" width="19.42578125" style="46" bestFit="1" customWidth="1"/>
    <col min="15111" max="15111" width="9.85546875" style="46" bestFit="1" customWidth="1"/>
    <col min="15112" max="15360" width="9.140625" style="46"/>
    <col min="15361" max="15361" width="59.42578125" style="46" bestFit="1" customWidth="1"/>
    <col min="15362" max="15362" width="22.7109375" style="46" customWidth="1"/>
    <col min="15363" max="15363" width="5.7109375" style="46" bestFit="1" customWidth="1"/>
    <col min="15364" max="15364" width="22.7109375" style="46" customWidth="1"/>
    <col min="15365" max="15365" width="3.7109375" style="46" customWidth="1"/>
    <col min="15366" max="15366" width="19.42578125" style="46" bestFit="1" customWidth="1"/>
    <col min="15367" max="15367" width="9.85546875" style="46" bestFit="1" customWidth="1"/>
    <col min="15368" max="15616" width="9.140625" style="46"/>
    <col min="15617" max="15617" width="59.42578125" style="46" bestFit="1" customWidth="1"/>
    <col min="15618" max="15618" width="22.7109375" style="46" customWidth="1"/>
    <col min="15619" max="15619" width="5.7109375" style="46" bestFit="1" customWidth="1"/>
    <col min="15620" max="15620" width="22.7109375" style="46" customWidth="1"/>
    <col min="15621" max="15621" width="3.7109375" style="46" customWidth="1"/>
    <col min="15622" max="15622" width="19.42578125" style="46" bestFit="1" customWidth="1"/>
    <col min="15623" max="15623" width="9.85546875" style="46" bestFit="1" customWidth="1"/>
    <col min="15624" max="15872" width="9.140625" style="46"/>
    <col min="15873" max="15873" width="59.42578125" style="46" bestFit="1" customWidth="1"/>
    <col min="15874" max="15874" width="22.7109375" style="46" customWidth="1"/>
    <col min="15875" max="15875" width="5.7109375" style="46" bestFit="1" customWidth="1"/>
    <col min="15876" max="15876" width="22.7109375" style="46" customWidth="1"/>
    <col min="15877" max="15877" width="3.7109375" style="46" customWidth="1"/>
    <col min="15878" max="15878" width="19.42578125" style="46" bestFit="1" customWidth="1"/>
    <col min="15879" max="15879" width="9.85546875" style="46" bestFit="1" customWidth="1"/>
    <col min="15880" max="16128" width="9.140625" style="46"/>
    <col min="16129" max="16129" width="59.42578125" style="46" bestFit="1" customWidth="1"/>
    <col min="16130" max="16130" width="22.7109375" style="46" customWidth="1"/>
    <col min="16131" max="16131" width="5.7109375" style="46" bestFit="1" customWidth="1"/>
    <col min="16132" max="16132" width="22.7109375" style="46" customWidth="1"/>
    <col min="16133" max="16133" width="3.7109375" style="46" customWidth="1"/>
    <col min="16134" max="16134" width="19.42578125" style="46" bestFit="1" customWidth="1"/>
    <col min="16135" max="16135" width="9.85546875" style="46" bestFit="1" customWidth="1"/>
    <col min="16136" max="16384" width="9.140625" style="46"/>
  </cols>
  <sheetData>
    <row r="1" spans="1:9" customFormat="1" ht="15.75" x14ac:dyDescent="0.25">
      <c r="A1" s="1" t="s">
        <v>0</v>
      </c>
      <c r="B1" s="2"/>
      <c r="C1" s="1"/>
      <c r="D1" s="2"/>
      <c r="E1" s="1"/>
      <c r="F1" s="3"/>
      <c r="G1" s="1"/>
    </row>
    <row r="2" spans="1:9" customFormat="1" x14ac:dyDescent="0.2">
      <c r="A2" s="4" t="s">
        <v>1</v>
      </c>
      <c r="B2" s="5"/>
      <c r="C2" s="6"/>
      <c r="D2" s="7"/>
      <c r="E2" s="6"/>
      <c r="F2" s="8"/>
      <c r="G2" s="6"/>
    </row>
    <row r="3" spans="1:9" customFormat="1" x14ac:dyDescent="0.2">
      <c r="A3" s="4" t="s">
        <v>2</v>
      </c>
      <c r="B3" s="5"/>
      <c r="C3" s="6"/>
      <c r="D3" s="7"/>
      <c r="E3" s="6"/>
      <c r="F3" s="8"/>
      <c r="G3" s="6"/>
    </row>
    <row r="4" spans="1:9" customFormat="1" x14ac:dyDescent="0.2">
      <c r="A4" s="163" t="s">
        <v>107</v>
      </c>
      <c r="B4" s="10"/>
      <c r="C4" s="11"/>
      <c r="D4" s="12"/>
      <c r="E4" s="11"/>
      <c r="F4" s="13"/>
      <c r="G4" s="11"/>
    </row>
    <row r="5" spans="1:9" customFormat="1" x14ac:dyDescent="0.2">
      <c r="A5" s="9" t="s">
        <v>136</v>
      </c>
      <c r="B5" s="10"/>
      <c r="C5" s="11"/>
      <c r="D5" s="12"/>
      <c r="E5" s="11"/>
      <c r="F5" s="13"/>
      <c r="G5" s="11"/>
    </row>
    <row r="7" spans="1:9" s="19" customFormat="1" ht="15.75" x14ac:dyDescent="0.25">
      <c r="A7" s="15" t="str">
        <f>"Revenue Retained - "&amp;A5</f>
        <v>Revenue Retained - August 1, 2018 Through July 31, 2019</v>
      </c>
      <c r="B7" s="16"/>
      <c r="C7" s="17"/>
      <c r="D7" s="16"/>
      <c r="E7" s="17"/>
      <c r="F7" s="17"/>
      <c r="G7" s="18"/>
      <c r="I7" s="20"/>
    </row>
    <row r="8" spans="1:9" s="19" customFormat="1" ht="12.75" x14ac:dyDescent="0.2">
      <c r="B8" s="21"/>
      <c r="D8" s="21"/>
      <c r="G8" s="22"/>
      <c r="I8" s="23"/>
    </row>
    <row r="9" spans="1:9" s="19" customFormat="1" ht="13.5" thickBot="1" x14ac:dyDescent="0.25">
      <c r="B9" s="24" t="s">
        <v>3</v>
      </c>
      <c r="C9" s="25"/>
      <c r="D9" s="26" t="str">
        <f>TEXT(D14/$B$14,"00%")&amp; " Passed Back"</f>
        <v>50% Passed Back</v>
      </c>
      <c r="E9" s="25"/>
      <c r="F9" s="27" t="str">
        <f>TEXT(F14/$B$14,"00%")&amp; " Retained"</f>
        <v>50% Retained</v>
      </c>
      <c r="I9" s="28"/>
    </row>
    <row r="10" spans="1:9" s="19" customFormat="1" ht="12.75" x14ac:dyDescent="0.2">
      <c r="A10" s="123" t="s">
        <v>86</v>
      </c>
      <c r="B10" s="29">
        <f>'[1]WUTC_AW of Lynnwood_SF'!$O$32*2</f>
        <v>893876.73600000003</v>
      </c>
      <c r="C10" s="25"/>
      <c r="D10" s="29">
        <f>B10/2</f>
        <v>446938.36800000002</v>
      </c>
      <c r="E10" s="25"/>
      <c r="F10" s="30">
        <f>B10-D10</f>
        <v>446938.36800000002</v>
      </c>
      <c r="I10" s="31"/>
    </row>
    <row r="11" spans="1:9" s="19" customFormat="1" ht="12.75" x14ac:dyDescent="0.2">
      <c r="B11" s="29"/>
      <c r="C11" s="25"/>
      <c r="D11" s="30"/>
      <c r="E11" s="25"/>
      <c r="F11" s="30"/>
      <c r="I11" s="31"/>
    </row>
    <row r="12" spans="1:9" s="19" customFormat="1" ht="12.75" x14ac:dyDescent="0.2">
      <c r="A12" s="123" t="s">
        <v>87</v>
      </c>
      <c r="B12" s="29">
        <f>'[2]WUTC_AW of Lynnwood_MF'!$O$32*2</f>
        <v>138715.20000000001</v>
      </c>
      <c r="C12" s="25"/>
      <c r="D12" s="30">
        <f t="shared" ref="D12" si="0">B12/2</f>
        <v>69357.600000000006</v>
      </c>
      <c r="E12" s="25"/>
      <c r="F12" s="30">
        <f>B12-D12</f>
        <v>69357.600000000006</v>
      </c>
      <c r="I12" s="31"/>
    </row>
    <row r="13" spans="1:9" s="19" customFormat="1" ht="12.75" x14ac:dyDescent="0.2">
      <c r="B13" s="30"/>
      <c r="C13" s="25"/>
      <c r="D13" s="30"/>
      <c r="E13" s="25"/>
      <c r="F13" s="32"/>
      <c r="I13" s="31"/>
    </row>
    <row r="14" spans="1:9" s="19" customFormat="1" ht="13.5" thickBot="1" x14ac:dyDescent="0.25">
      <c r="A14" s="33" t="s">
        <v>4</v>
      </c>
      <c r="B14" s="34">
        <f>SUM(B10:B13)</f>
        <v>1032591.936</v>
      </c>
      <c r="C14" s="25"/>
      <c r="D14" s="34">
        <f>SUM(D10:D13)</f>
        <v>516295.96799999999</v>
      </c>
      <c r="E14" s="35"/>
      <c r="F14" s="34">
        <f>SUM(F10:F13)</f>
        <v>516295.96799999999</v>
      </c>
      <c r="I14" s="36"/>
    </row>
    <row r="15" spans="1:9" s="19" customFormat="1" ht="12.75" x14ac:dyDescent="0.2">
      <c r="B15" s="21"/>
      <c r="D15" s="21"/>
      <c r="F15" s="22"/>
      <c r="I15" s="23"/>
    </row>
    <row r="16" spans="1:9" s="19" customFormat="1" ht="12.75" x14ac:dyDescent="0.2">
      <c r="A16" s="37"/>
      <c r="B16" s="38"/>
      <c r="C16" s="37"/>
      <c r="D16" s="38"/>
      <c r="E16" s="37"/>
      <c r="F16" s="37"/>
      <c r="G16" s="39"/>
      <c r="I16" s="23"/>
    </row>
    <row r="17" spans="1:9" s="19" customFormat="1" ht="15.75" x14ac:dyDescent="0.25">
      <c r="A17" s="15" t="str">
        <f>"Program Costs -  "&amp;A5</f>
        <v>Program Costs -  August 1, 2018 Through July 31, 2019</v>
      </c>
      <c r="B17" s="16"/>
      <c r="C17" s="17"/>
      <c r="D17" s="16"/>
      <c r="E17" s="17"/>
      <c r="F17" s="17"/>
      <c r="G17" s="18"/>
      <c r="I17" s="23"/>
    </row>
    <row r="18" spans="1:9" s="42" customFormat="1" ht="15.75" x14ac:dyDescent="0.25">
      <c r="A18" s="40"/>
      <c r="B18" s="41"/>
      <c r="C18" s="23"/>
      <c r="D18" s="41"/>
      <c r="E18" s="23"/>
      <c r="F18" s="23"/>
      <c r="G18" s="31"/>
      <c r="I18" s="23"/>
    </row>
    <row r="19" spans="1:9" x14ac:dyDescent="0.25">
      <c r="A19" s="43" t="s">
        <v>5</v>
      </c>
      <c r="B19" s="44"/>
      <c r="C19" s="45"/>
      <c r="D19" s="45"/>
      <c r="E19" s="45"/>
      <c r="F19" s="45"/>
      <c r="H19" s="47"/>
    </row>
    <row r="20" spans="1:9" s="19" customFormat="1" x14ac:dyDescent="0.25">
      <c r="A20" s="48" t="s">
        <v>6</v>
      </c>
      <c r="B20" s="49">
        <f>90000*0.3*2</f>
        <v>54000</v>
      </c>
      <c r="C20" s="50"/>
      <c r="D20" s="51"/>
      <c r="E20" s="50"/>
      <c r="F20" s="49"/>
      <c r="H20" s="47"/>
    </row>
    <row r="21" spans="1:9" x14ac:dyDescent="0.25">
      <c r="A21" s="48" t="s">
        <v>7</v>
      </c>
      <c r="B21" s="49">
        <f>10000*2</f>
        <v>20000</v>
      </c>
      <c r="C21" s="45"/>
      <c r="D21" s="52"/>
      <c r="F21" s="53"/>
      <c r="H21" s="47"/>
    </row>
    <row r="22" spans="1:9" x14ac:dyDescent="0.25">
      <c r="A22" s="48"/>
      <c r="B22" s="49"/>
      <c r="C22" s="45"/>
      <c r="D22" s="52"/>
      <c r="F22" s="53"/>
      <c r="H22" s="47"/>
    </row>
    <row r="23" spans="1:9" x14ac:dyDescent="0.25">
      <c r="A23" s="43" t="s">
        <v>8</v>
      </c>
      <c r="B23" s="49">
        <v>0</v>
      </c>
      <c r="C23" s="45"/>
      <c r="D23" s="52"/>
      <c r="F23" s="53"/>
      <c r="H23" s="47"/>
    </row>
    <row r="24" spans="1:9" x14ac:dyDescent="0.25">
      <c r="A24" s="43"/>
      <c r="B24" s="49"/>
      <c r="C24" s="45"/>
      <c r="D24" s="173"/>
      <c r="F24" s="53"/>
      <c r="H24" s="47"/>
    </row>
    <row r="25" spans="1:9" x14ac:dyDescent="0.25">
      <c r="A25" s="43" t="s">
        <v>22</v>
      </c>
      <c r="B25" s="49">
        <v>0</v>
      </c>
      <c r="C25" s="45"/>
      <c r="D25" s="52"/>
      <c r="F25" s="53"/>
      <c r="H25" s="47"/>
    </row>
    <row r="26" spans="1:9" x14ac:dyDescent="0.25">
      <c r="A26" s="43"/>
      <c r="B26" s="49"/>
      <c r="C26" s="45"/>
      <c r="D26" s="193"/>
      <c r="F26" s="53"/>
    </row>
    <row r="27" spans="1:9" x14ac:dyDescent="0.25">
      <c r="A27" s="73" t="s">
        <v>128</v>
      </c>
      <c r="B27" s="49">
        <v>125000</v>
      </c>
      <c r="C27" s="45"/>
      <c r="D27" s="52"/>
      <c r="F27" s="53"/>
      <c r="H27" s="47"/>
    </row>
    <row r="28" spans="1:9" x14ac:dyDescent="0.25">
      <c r="A28" s="43"/>
      <c r="B28" s="49"/>
      <c r="C28" s="45"/>
      <c r="D28" s="52"/>
      <c r="F28" s="53"/>
      <c r="H28" s="47"/>
    </row>
    <row r="29" spans="1:9" x14ac:dyDescent="0.25">
      <c r="A29" s="43" t="s">
        <v>117</v>
      </c>
      <c r="B29" s="49">
        <v>100000</v>
      </c>
      <c r="C29" s="45"/>
      <c r="D29" s="52"/>
      <c r="F29" s="53"/>
      <c r="H29" s="47"/>
    </row>
    <row r="30" spans="1:9" x14ac:dyDescent="0.25">
      <c r="A30" s="43"/>
      <c r="B30" s="49"/>
      <c r="C30" s="45"/>
      <c r="D30" s="52"/>
      <c r="F30" s="53"/>
      <c r="H30" s="47"/>
    </row>
    <row r="31" spans="1:9" x14ac:dyDescent="0.25">
      <c r="A31" s="43" t="s">
        <v>23</v>
      </c>
      <c r="B31" s="49">
        <v>140000</v>
      </c>
      <c r="C31" s="45"/>
      <c r="D31" s="52"/>
      <c r="F31" s="53"/>
      <c r="H31" s="47"/>
    </row>
    <row r="32" spans="1:9" x14ac:dyDescent="0.25">
      <c r="A32" s="43"/>
      <c r="B32" s="49"/>
      <c r="C32" s="45"/>
      <c r="D32" s="52"/>
      <c r="F32" s="53"/>
      <c r="H32" s="47"/>
    </row>
    <row r="33" spans="1:8" x14ac:dyDescent="0.25">
      <c r="A33" s="43" t="s">
        <v>129</v>
      </c>
      <c r="B33" s="49">
        <v>50000</v>
      </c>
      <c r="C33" s="45"/>
      <c r="D33" s="52"/>
      <c r="F33" s="53"/>
      <c r="H33" s="47"/>
    </row>
    <row r="34" spans="1:8" x14ac:dyDescent="0.25">
      <c r="A34" s="43"/>
      <c r="B34" s="49"/>
      <c r="C34" s="45"/>
      <c r="D34" s="52"/>
      <c r="F34" s="53"/>
      <c r="H34" s="47"/>
    </row>
    <row r="35" spans="1:8" ht="15.75" thickBot="1" x14ac:dyDescent="0.3">
      <c r="A35" s="43" t="s">
        <v>9</v>
      </c>
      <c r="B35" s="174">
        <f>SUM(B19:B34)</f>
        <v>489000</v>
      </c>
      <c r="C35" s="45"/>
      <c r="D35" s="54"/>
      <c r="E35" s="54"/>
      <c r="H35" s="47"/>
    </row>
    <row r="36" spans="1:8" ht="15.75" thickTop="1" x14ac:dyDescent="0.25">
      <c r="A36" s="54"/>
      <c r="B36" s="175"/>
      <c r="C36" s="45"/>
      <c r="D36" s="54"/>
      <c r="E36" s="54"/>
      <c r="H36" s="47"/>
    </row>
    <row r="37" spans="1:8" x14ac:dyDescent="0.25">
      <c r="A37" s="47" t="s">
        <v>10</v>
      </c>
      <c r="B37" s="176">
        <f>B35*0.05</f>
        <v>24450</v>
      </c>
      <c r="C37" s="55">
        <v>0.05</v>
      </c>
      <c r="H37" s="47"/>
    </row>
    <row r="38" spans="1:8" x14ac:dyDescent="0.25">
      <c r="B38" s="177"/>
      <c r="H38" s="47"/>
    </row>
    <row r="39" spans="1:8" ht="15.75" thickBot="1" x14ac:dyDescent="0.3">
      <c r="A39" s="43" t="s">
        <v>11</v>
      </c>
      <c r="B39" s="178">
        <f>B37+B35</f>
        <v>513450</v>
      </c>
      <c r="C39" s="56">
        <f>+B39/B14</f>
        <v>0.49724385994042858</v>
      </c>
      <c r="H39" s="47"/>
    </row>
    <row r="40" spans="1:8" ht="15.75" thickTop="1" x14ac:dyDescent="0.25">
      <c r="B40" s="177"/>
      <c r="C40" s="56"/>
      <c r="H40" s="47"/>
    </row>
    <row r="41" spans="1:8" x14ac:dyDescent="0.25">
      <c r="A41" s="162" t="s">
        <v>106</v>
      </c>
      <c r="B41" s="179">
        <f>B14-B35-B37</f>
        <v>519141.93599999999</v>
      </c>
      <c r="C41" s="56">
        <f>+B41/B14</f>
        <v>0.50275614005957137</v>
      </c>
      <c r="H41" s="47"/>
    </row>
    <row r="42" spans="1:8" x14ac:dyDescent="0.25">
      <c r="B42" s="177"/>
      <c r="H42" s="47"/>
    </row>
    <row r="43" spans="1:8" x14ac:dyDescent="0.25">
      <c r="A43" s="47"/>
      <c r="B43" s="57"/>
      <c r="C43" s="58"/>
      <c r="H43" s="47"/>
    </row>
    <row r="44" spans="1:8" x14ac:dyDescent="0.25">
      <c r="H44" s="47"/>
    </row>
    <row r="45" spans="1:8" x14ac:dyDescent="0.25">
      <c r="A45" s="59"/>
      <c r="B45" s="60"/>
      <c r="H45" s="47"/>
    </row>
    <row r="53" spans="2:2" x14ac:dyDescent="0.25">
      <c r="B53" s="57"/>
    </row>
    <row r="54" spans="2:2" x14ac:dyDescent="0.25">
      <c r="B54" s="61"/>
    </row>
  </sheetData>
  <pageMargins left="0.7" right="0.7" top="0.75" bottom="0.75" header="0.3" footer="0.3"/>
  <pageSetup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topLeftCell="A21" zoomScale="80" zoomScaleNormal="80" workbookViewId="0">
      <selection activeCell="J35" sqref="J35"/>
    </sheetView>
  </sheetViews>
  <sheetFormatPr defaultRowHeight="15" x14ac:dyDescent="0.25"/>
  <cols>
    <col min="1" max="1" width="9.140625" style="65"/>
    <col min="2" max="2" width="17.7109375" style="65" bestFit="1" customWidth="1"/>
    <col min="3" max="3" width="12" style="65" customWidth="1"/>
    <col min="4" max="4" width="12.28515625" style="65" customWidth="1"/>
    <col min="5" max="7" width="12" style="65" customWidth="1"/>
    <col min="8" max="8" width="12" style="65" hidden="1" customWidth="1"/>
    <col min="9" max="9" width="12" style="65" customWidth="1"/>
    <col min="10" max="10" width="19.7109375" style="65" customWidth="1"/>
    <col min="11" max="11" width="11.140625" style="65" bestFit="1" customWidth="1"/>
    <col min="12" max="12" width="19.85546875" style="65" customWidth="1"/>
    <col min="13" max="13" width="35.7109375" style="65" customWidth="1"/>
    <col min="14" max="14" width="32.140625" style="65" customWidth="1"/>
    <col min="15" max="16384" width="9.140625" style="65"/>
  </cols>
  <sheetData>
    <row r="1" spans="2:14" ht="15.75" hidden="1" thickBot="1" x14ac:dyDescent="0.3">
      <c r="B1" s="286" t="s">
        <v>124</v>
      </c>
      <c r="C1" s="286"/>
      <c r="D1" s="286"/>
      <c r="E1" s="286"/>
      <c r="F1" s="286"/>
      <c r="G1" s="286"/>
      <c r="H1" s="286"/>
    </row>
    <row r="2" spans="2:14" ht="15.75" hidden="1" thickBot="1" x14ac:dyDescent="0.3">
      <c r="B2" s="214" t="s">
        <v>12</v>
      </c>
      <c r="C2" s="215" t="s">
        <v>13</v>
      </c>
      <c r="D2" s="215" t="s">
        <v>14</v>
      </c>
      <c r="E2" s="215" t="s">
        <v>15</v>
      </c>
      <c r="F2" s="215" t="s">
        <v>16</v>
      </c>
      <c r="G2" s="215" t="s">
        <v>125</v>
      </c>
      <c r="H2" s="216" t="s">
        <v>3</v>
      </c>
    </row>
    <row r="3" spans="2:14" hidden="1" x14ac:dyDescent="0.25">
      <c r="B3" s="217">
        <v>41030</v>
      </c>
      <c r="C3" s="218">
        <v>4</v>
      </c>
      <c r="D3" s="218">
        <v>2</v>
      </c>
      <c r="E3" s="218">
        <v>2</v>
      </c>
      <c r="F3" s="218">
        <v>3</v>
      </c>
      <c r="G3" s="218">
        <v>1</v>
      </c>
      <c r="H3" s="219">
        <f t="shared" ref="H3:H14" si="0">SUM(C3:G3)</f>
        <v>12</v>
      </c>
      <c r="K3" s="220"/>
    </row>
    <row r="4" spans="2:14" hidden="1" x14ac:dyDescent="0.25">
      <c r="B4" s="217">
        <v>41061</v>
      </c>
      <c r="C4" s="218">
        <v>4</v>
      </c>
      <c r="D4" s="218">
        <v>1.5</v>
      </c>
      <c r="E4" s="218">
        <v>1.5</v>
      </c>
      <c r="F4" s="218">
        <v>1.5</v>
      </c>
      <c r="G4" s="218">
        <v>1</v>
      </c>
      <c r="H4" s="219">
        <f t="shared" si="0"/>
        <v>9.5</v>
      </c>
      <c r="K4" s="220"/>
    </row>
    <row r="5" spans="2:14" hidden="1" x14ac:dyDescent="0.25">
      <c r="B5" s="217">
        <v>41091</v>
      </c>
      <c r="C5" s="218">
        <v>3</v>
      </c>
      <c r="D5" s="218">
        <v>2</v>
      </c>
      <c r="E5" s="218">
        <v>2</v>
      </c>
      <c r="F5" s="218">
        <v>2</v>
      </c>
      <c r="G5" s="218">
        <v>1</v>
      </c>
      <c r="H5" s="219">
        <f t="shared" si="0"/>
        <v>10</v>
      </c>
      <c r="K5" s="220"/>
    </row>
    <row r="6" spans="2:14" hidden="1" x14ac:dyDescent="0.25">
      <c r="B6" s="221">
        <v>41122</v>
      </c>
      <c r="C6" s="222"/>
      <c r="D6" s="222"/>
      <c r="E6" s="222"/>
      <c r="F6" s="222"/>
      <c r="G6" s="222"/>
      <c r="H6" s="219">
        <f t="shared" si="0"/>
        <v>0</v>
      </c>
      <c r="K6" s="220"/>
    </row>
    <row r="7" spans="2:14" hidden="1" x14ac:dyDescent="0.25">
      <c r="B7" s="221">
        <v>41153</v>
      </c>
      <c r="C7" s="222"/>
      <c r="D7" s="222"/>
      <c r="E7" s="222"/>
      <c r="F7" s="222"/>
      <c r="G7" s="222"/>
      <c r="H7" s="219">
        <f t="shared" si="0"/>
        <v>0</v>
      </c>
      <c r="J7" s="220"/>
      <c r="K7" s="220"/>
    </row>
    <row r="8" spans="2:14" hidden="1" x14ac:dyDescent="0.25">
      <c r="B8" s="221">
        <v>41183</v>
      </c>
      <c r="C8" s="222"/>
      <c r="D8" s="222"/>
      <c r="E8" s="222"/>
      <c r="F8" s="222"/>
      <c r="G8" s="222"/>
      <c r="H8" s="219">
        <f t="shared" si="0"/>
        <v>0</v>
      </c>
      <c r="J8" s="220"/>
      <c r="K8" s="220"/>
    </row>
    <row r="9" spans="2:14" hidden="1" x14ac:dyDescent="0.25">
      <c r="B9" s="221">
        <v>41214</v>
      </c>
      <c r="C9" s="222"/>
      <c r="D9" s="222"/>
      <c r="E9" s="222"/>
      <c r="F9" s="222"/>
      <c r="G9" s="222"/>
      <c r="H9" s="219">
        <f t="shared" si="0"/>
        <v>0</v>
      </c>
      <c r="J9" s="220"/>
      <c r="K9" s="220"/>
    </row>
    <row r="10" spans="2:14" hidden="1" x14ac:dyDescent="0.25">
      <c r="B10" s="221">
        <v>41244</v>
      </c>
      <c r="C10" s="222"/>
      <c r="D10" s="222"/>
      <c r="E10" s="222"/>
      <c r="F10" s="222"/>
      <c r="G10" s="222"/>
      <c r="H10" s="219">
        <f t="shared" si="0"/>
        <v>0</v>
      </c>
      <c r="J10" s="220"/>
      <c r="K10" s="220"/>
    </row>
    <row r="11" spans="2:14" hidden="1" x14ac:dyDescent="0.25">
      <c r="B11" s="217">
        <v>41275</v>
      </c>
      <c r="C11" s="218">
        <v>3</v>
      </c>
      <c r="D11" s="218">
        <v>1</v>
      </c>
      <c r="E11" s="218">
        <v>1</v>
      </c>
      <c r="F11" s="218">
        <v>1</v>
      </c>
      <c r="G11" s="218">
        <v>1</v>
      </c>
      <c r="H11" s="219">
        <f t="shared" si="0"/>
        <v>7</v>
      </c>
      <c r="J11" s="220"/>
      <c r="K11" s="220"/>
    </row>
    <row r="12" spans="2:14" hidden="1" x14ac:dyDescent="0.25">
      <c r="B12" s="217">
        <v>41306</v>
      </c>
      <c r="C12" s="218">
        <v>4</v>
      </c>
      <c r="D12" s="218">
        <v>1</v>
      </c>
      <c r="E12" s="218">
        <v>1</v>
      </c>
      <c r="F12" s="218">
        <v>1</v>
      </c>
      <c r="G12" s="218">
        <v>1</v>
      </c>
      <c r="H12" s="219">
        <f t="shared" si="0"/>
        <v>8</v>
      </c>
      <c r="J12" s="220"/>
      <c r="K12" s="220"/>
    </row>
    <row r="13" spans="2:14" hidden="1" x14ac:dyDescent="0.25">
      <c r="B13" s="217">
        <v>41334</v>
      </c>
      <c r="C13" s="218">
        <v>4</v>
      </c>
      <c r="D13" s="218">
        <v>1.5</v>
      </c>
      <c r="E13" s="218">
        <v>1.5</v>
      </c>
      <c r="F13" s="218">
        <v>2</v>
      </c>
      <c r="G13" s="218">
        <v>2</v>
      </c>
      <c r="H13" s="219">
        <f t="shared" si="0"/>
        <v>11</v>
      </c>
      <c r="J13" s="220"/>
      <c r="K13" s="220"/>
    </row>
    <row r="14" spans="2:14" hidden="1" x14ac:dyDescent="0.25">
      <c r="B14" s="217">
        <v>41365</v>
      </c>
      <c r="C14" s="218">
        <v>5</v>
      </c>
      <c r="D14" s="218">
        <v>2</v>
      </c>
      <c r="E14" s="218">
        <v>2</v>
      </c>
      <c r="F14" s="218">
        <v>3</v>
      </c>
      <c r="G14" s="218">
        <v>3</v>
      </c>
      <c r="H14" s="219">
        <f t="shared" si="0"/>
        <v>15</v>
      </c>
      <c r="J14" s="66"/>
      <c r="K14" s="66"/>
      <c r="L14" s="66"/>
    </row>
    <row r="15" spans="2:14" hidden="1" x14ac:dyDescent="0.25">
      <c r="J15" s="66"/>
      <c r="K15" s="66"/>
      <c r="L15" s="66"/>
    </row>
    <row r="16" spans="2:14" hidden="1" x14ac:dyDescent="0.25">
      <c r="B16" s="223" t="s">
        <v>17</v>
      </c>
      <c r="C16" s="224">
        <f>SUM(C3:C14)*4.33</f>
        <v>116.91</v>
      </c>
      <c r="D16" s="224">
        <f>SUM(D3:D14)*4.33</f>
        <v>47.63</v>
      </c>
      <c r="E16" s="224">
        <f t="shared" ref="E16:G16" si="1">SUM(E3:E14)*4.33</f>
        <v>47.63</v>
      </c>
      <c r="F16" s="224">
        <f t="shared" si="1"/>
        <v>58.454999999999998</v>
      </c>
      <c r="G16" s="224">
        <f t="shared" si="1"/>
        <v>43.3</v>
      </c>
      <c r="H16" s="224">
        <f>SUM(H3:H14)*4.33</f>
        <v>313.92500000000001</v>
      </c>
      <c r="J16" s="66"/>
      <c r="K16" s="67"/>
      <c r="L16" s="67"/>
      <c r="M16" s="66"/>
      <c r="N16" s="66"/>
    </row>
    <row r="17" spans="1:15" hidden="1" x14ac:dyDescent="0.25">
      <c r="B17" s="225" t="s">
        <v>18</v>
      </c>
      <c r="C17" s="226">
        <v>50</v>
      </c>
      <c r="D17" s="226">
        <v>50</v>
      </c>
      <c r="E17" s="226">
        <v>50</v>
      </c>
      <c r="F17" s="226">
        <v>50</v>
      </c>
      <c r="G17" s="226">
        <v>50</v>
      </c>
      <c r="H17" s="62"/>
      <c r="J17" s="66"/>
      <c r="K17" s="67"/>
      <c r="L17" s="67"/>
      <c r="M17" s="66"/>
      <c r="N17" s="66"/>
    </row>
    <row r="18" spans="1:15" ht="15.75" hidden="1" thickBot="1" x14ac:dyDescent="0.3">
      <c r="B18" s="227" t="s">
        <v>19</v>
      </c>
      <c r="C18" s="228">
        <f t="shared" ref="C18:G18" si="2">+C16*C17</f>
        <v>5845.5</v>
      </c>
      <c r="D18" s="228">
        <f>+D16*D17</f>
        <v>2381.5</v>
      </c>
      <c r="E18" s="228">
        <f t="shared" si="2"/>
        <v>2381.5</v>
      </c>
      <c r="F18" s="228">
        <f t="shared" si="2"/>
        <v>2922.75</v>
      </c>
      <c r="G18" s="228">
        <f t="shared" si="2"/>
        <v>2165</v>
      </c>
      <c r="H18" s="228">
        <f>SUM(C18:G18)</f>
        <v>15696.25</v>
      </c>
      <c r="I18" s="229">
        <v>0.3</v>
      </c>
      <c r="J18" s="230" t="s">
        <v>20</v>
      </c>
      <c r="K18" s="67"/>
      <c r="L18" s="67"/>
      <c r="M18" s="66"/>
      <c r="N18" s="66"/>
    </row>
    <row r="19" spans="1:15" ht="15.75" hidden="1" thickBot="1" x14ac:dyDescent="0.3">
      <c r="I19" s="231">
        <f>1-I18</f>
        <v>0.7</v>
      </c>
      <c r="J19" s="232" t="s">
        <v>126</v>
      </c>
      <c r="K19" s="67"/>
      <c r="L19" s="67"/>
      <c r="M19" s="66"/>
      <c r="N19" s="66"/>
    </row>
    <row r="20" spans="1:15" s="62" customFormat="1" hidden="1" x14ac:dyDescent="0.25">
      <c r="I20" s="233"/>
      <c r="K20" s="63"/>
      <c r="L20" s="64"/>
      <c r="M20" s="64"/>
      <c r="N20" s="63"/>
      <c r="O20" s="63"/>
    </row>
    <row r="21" spans="1:15" s="62" customFormat="1" x14ac:dyDescent="0.25">
      <c r="B21" s="287"/>
      <c r="C21" s="287"/>
      <c r="D21" s="287"/>
      <c r="E21" s="287"/>
      <c r="F21" s="287"/>
      <c r="G21" s="287"/>
      <c r="H21" s="287"/>
    </row>
    <row r="22" spans="1:15" s="62" customFormat="1" ht="41.25" customHeight="1" x14ac:dyDescent="0.25">
      <c r="A22" s="194"/>
      <c r="B22" s="288" t="s">
        <v>148</v>
      </c>
      <c r="C22" s="288"/>
      <c r="D22" s="288"/>
      <c r="E22" s="288"/>
      <c r="F22" s="288"/>
      <c r="G22" s="288"/>
      <c r="H22" s="288"/>
      <c r="I22" s="288"/>
    </row>
    <row r="23" spans="1:15" s="62" customFormat="1" ht="36.75" customHeight="1" thickBot="1" x14ac:dyDescent="0.3">
      <c r="A23" s="194"/>
      <c r="B23" s="196" t="s">
        <v>12</v>
      </c>
      <c r="C23" s="197" t="s">
        <v>130</v>
      </c>
      <c r="D23" s="197" t="s">
        <v>131</v>
      </c>
      <c r="E23" s="197" t="s">
        <v>134</v>
      </c>
      <c r="F23" s="197" t="s">
        <v>132</v>
      </c>
      <c r="G23" s="197" t="s">
        <v>133</v>
      </c>
      <c r="H23" s="197"/>
      <c r="I23" s="198" t="s">
        <v>3</v>
      </c>
    </row>
    <row r="24" spans="1:15" s="62" customFormat="1" x14ac:dyDescent="0.25">
      <c r="A24" s="194"/>
      <c r="B24" s="199">
        <v>42856</v>
      </c>
      <c r="C24" s="203">
        <v>3</v>
      </c>
      <c r="D24" s="204">
        <v>0</v>
      </c>
      <c r="E24" s="201">
        <v>2</v>
      </c>
      <c r="F24" s="203">
        <v>0.5</v>
      </c>
      <c r="G24" s="204">
        <v>1.5</v>
      </c>
      <c r="H24" s="200"/>
      <c r="I24" s="202">
        <f>SUM(C24:G24)</f>
        <v>7</v>
      </c>
    </row>
    <row r="25" spans="1:15" s="62" customFormat="1" x14ac:dyDescent="0.25">
      <c r="A25" s="194"/>
      <c r="B25" s="199">
        <v>42887</v>
      </c>
      <c r="C25" s="203">
        <v>3</v>
      </c>
      <c r="D25" s="204">
        <v>0</v>
      </c>
      <c r="E25" s="204">
        <v>2</v>
      </c>
      <c r="F25" s="203">
        <v>0.5</v>
      </c>
      <c r="G25" s="204">
        <v>1.5</v>
      </c>
      <c r="H25" s="203"/>
      <c r="I25" s="202">
        <f t="shared" ref="I25:I38" si="3">SUM(C25:G25)</f>
        <v>7</v>
      </c>
      <c r="K25" s="233"/>
    </row>
    <row r="26" spans="1:15" s="62" customFormat="1" x14ac:dyDescent="0.25">
      <c r="A26" s="194"/>
      <c r="B26" s="199">
        <v>42917</v>
      </c>
      <c r="C26" s="203">
        <v>0.5</v>
      </c>
      <c r="D26" s="204">
        <v>0</v>
      </c>
      <c r="E26" s="204">
        <v>2</v>
      </c>
      <c r="F26" s="203">
        <v>0.5</v>
      </c>
      <c r="G26" s="204">
        <v>0.5</v>
      </c>
      <c r="H26" s="203"/>
      <c r="I26" s="202">
        <f t="shared" si="3"/>
        <v>3.5</v>
      </c>
      <c r="K26" s="234"/>
      <c r="L26" s="233"/>
    </row>
    <row r="27" spans="1:15" s="62" customFormat="1" x14ac:dyDescent="0.25">
      <c r="A27" s="194"/>
      <c r="B27" s="199">
        <v>42948</v>
      </c>
      <c r="C27" s="204">
        <v>0.5</v>
      </c>
      <c r="D27" s="204">
        <v>0</v>
      </c>
      <c r="E27" s="204">
        <v>0.5</v>
      </c>
      <c r="F27" s="204">
        <v>0.5</v>
      </c>
      <c r="G27" s="204">
        <v>0.5</v>
      </c>
      <c r="H27" s="204"/>
      <c r="I27" s="202">
        <f t="shared" si="3"/>
        <v>2</v>
      </c>
      <c r="K27" s="234"/>
      <c r="L27" s="233"/>
    </row>
    <row r="28" spans="1:15" s="62" customFormat="1" x14ac:dyDescent="0.25">
      <c r="A28" s="194"/>
      <c r="B28" s="199">
        <v>42979</v>
      </c>
      <c r="C28" s="203">
        <v>1.5</v>
      </c>
      <c r="D28" s="203">
        <v>0</v>
      </c>
      <c r="E28" s="204">
        <v>0.5</v>
      </c>
      <c r="F28" s="204">
        <v>0.5</v>
      </c>
      <c r="G28" s="204">
        <v>5</v>
      </c>
      <c r="H28" s="204"/>
      <c r="I28" s="202">
        <f t="shared" si="3"/>
        <v>7.5</v>
      </c>
    </row>
    <row r="29" spans="1:15" s="62" customFormat="1" x14ac:dyDescent="0.25">
      <c r="A29" s="194"/>
      <c r="B29" s="199">
        <v>43009</v>
      </c>
      <c r="C29" s="203">
        <v>1.5</v>
      </c>
      <c r="D29" s="203">
        <v>0.5</v>
      </c>
      <c r="E29" s="204">
        <v>0.5</v>
      </c>
      <c r="F29" s="204">
        <v>0.5</v>
      </c>
      <c r="G29" s="204">
        <v>5</v>
      </c>
      <c r="H29" s="204"/>
      <c r="I29" s="202">
        <f t="shared" si="3"/>
        <v>8</v>
      </c>
      <c r="L29" s="233"/>
    </row>
    <row r="30" spans="1:15" s="62" customFormat="1" x14ac:dyDescent="0.25">
      <c r="A30" s="194"/>
      <c r="B30" s="199">
        <v>43040</v>
      </c>
      <c r="C30" s="204">
        <v>0.5</v>
      </c>
      <c r="D30" s="203">
        <v>0.5</v>
      </c>
      <c r="E30" s="204">
        <v>0.5</v>
      </c>
      <c r="F30" s="204">
        <v>0.5</v>
      </c>
      <c r="G30" s="204">
        <v>0.5</v>
      </c>
      <c r="H30" s="204"/>
      <c r="I30" s="202">
        <f t="shared" si="3"/>
        <v>2.5</v>
      </c>
    </row>
    <row r="31" spans="1:15" s="62" customFormat="1" x14ac:dyDescent="0.25">
      <c r="A31" s="194"/>
      <c r="B31" s="199">
        <v>43070</v>
      </c>
      <c r="C31" s="204">
        <v>0.5</v>
      </c>
      <c r="D31" s="203">
        <v>0</v>
      </c>
      <c r="E31" s="204">
        <v>0.5</v>
      </c>
      <c r="F31" s="204">
        <v>0.5</v>
      </c>
      <c r="G31" s="204">
        <v>0.5</v>
      </c>
      <c r="H31" s="204"/>
      <c r="I31" s="202">
        <f t="shared" si="3"/>
        <v>2</v>
      </c>
    </row>
    <row r="32" spans="1:15" s="62" customFormat="1" x14ac:dyDescent="0.25">
      <c r="A32" s="194"/>
      <c r="B32" s="199">
        <v>43101</v>
      </c>
      <c r="C32" s="204">
        <v>0.5</v>
      </c>
      <c r="D32" s="203">
        <v>0.5</v>
      </c>
      <c r="E32" s="204">
        <v>0.5</v>
      </c>
      <c r="F32" s="204">
        <v>0.5</v>
      </c>
      <c r="G32" s="203">
        <v>0.5</v>
      </c>
      <c r="H32" s="204"/>
      <c r="I32" s="202">
        <f t="shared" si="3"/>
        <v>2.5</v>
      </c>
    </row>
    <row r="33" spans="1:16" s="62" customFormat="1" x14ac:dyDescent="0.25">
      <c r="A33" s="195"/>
      <c r="B33" s="199">
        <v>43132</v>
      </c>
      <c r="C33" s="204">
        <v>0.5</v>
      </c>
      <c r="D33" s="203">
        <v>0</v>
      </c>
      <c r="E33" s="204">
        <v>0.5</v>
      </c>
      <c r="F33" s="204">
        <v>0.5</v>
      </c>
      <c r="G33" s="204">
        <v>0.5</v>
      </c>
      <c r="H33" s="204"/>
      <c r="I33" s="202">
        <f t="shared" si="3"/>
        <v>2</v>
      </c>
    </row>
    <row r="34" spans="1:16" s="62" customFormat="1" x14ac:dyDescent="0.25">
      <c r="A34" s="195"/>
      <c r="B34" s="199">
        <v>43160</v>
      </c>
      <c r="C34" s="204">
        <v>0.5</v>
      </c>
      <c r="D34" s="203">
        <v>0</v>
      </c>
      <c r="E34" s="204">
        <v>0.5</v>
      </c>
      <c r="F34" s="204">
        <v>0.5</v>
      </c>
      <c r="G34" s="203">
        <v>0.5</v>
      </c>
      <c r="H34" s="204"/>
      <c r="I34" s="202">
        <f t="shared" si="3"/>
        <v>2</v>
      </c>
    </row>
    <row r="35" spans="1:16" s="62" customFormat="1" x14ac:dyDescent="0.25">
      <c r="A35" s="195"/>
      <c r="B35" s="199">
        <v>43191</v>
      </c>
      <c r="C35" s="204">
        <v>0.5</v>
      </c>
      <c r="D35" s="203">
        <v>0.5</v>
      </c>
      <c r="E35" s="204">
        <v>0.5</v>
      </c>
      <c r="F35" s="204">
        <v>0.5</v>
      </c>
      <c r="G35" s="203">
        <v>0.5</v>
      </c>
      <c r="H35" s="204"/>
      <c r="I35" s="202">
        <f t="shared" si="3"/>
        <v>2.5</v>
      </c>
    </row>
    <row r="36" spans="1:16" s="62" customFormat="1" x14ac:dyDescent="0.25">
      <c r="A36" s="195"/>
      <c r="B36" s="199">
        <v>43221</v>
      </c>
      <c r="C36" s="203">
        <v>3</v>
      </c>
      <c r="D36" s="203">
        <v>0.5</v>
      </c>
      <c r="E36" s="204">
        <v>2</v>
      </c>
      <c r="F36" s="204">
        <v>0.5</v>
      </c>
      <c r="G36" s="203">
        <v>1.5</v>
      </c>
      <c r="H36" s="205"/>
      <c r="I36" s="202">
        <f t="shared" si="3"/>
        <v>7.5</v>
      </c>
      <c r="J36" s="63"/>
      <c r="K36" s="63"/>
      <c r="L36" s="63"/>
    </row>
    <row r="37" spans="1:16" s="62" customFormat="1" x14ac:dyDescent="0.25">
      <c r="A37" s="195"/>
      <c r="B37" s="199">
        <v>43252</v>
      </c>
      <c r="C37" s="203">
        <v>3</v>
      </c>
      <c r="D37" s="203">
        <v>0.5</v>
      </c>
      <c r="E37" s="204">
        <v>2</v>
      </c>
      <c r="F37" s="204">
        <v>0.5</v>
      </c>
      <c r="G37" s="203">
        <v>1.5</v>
      </c>
      <c r="H37" s="205"/>
      <c r="I37" s="202">
        <f t="shared" si="3"/>
        <v>7.5</v>
      </c>
      <c r="J37" s="63"/>
      <c r="K37" s="63"/>
      <c r="L37" s="63"/>
    </row>
    <row r="38" spans="1:16" s="62" customFormat="1" x14ac:dyDescent="0.25">
      <c r="A38" s="195"/>
      <c r="B38" s="199">
        <v>43282</v>
      </c>
      <c r="C38" s="203">
        <v>0.5</v>
      </c>
      <c r="D38" s="203">
        <v>0</v>
      </c>
      <c r="E38" s="204">
        <v>2</v>
      </c>
      <c r="F38" s="204">
        <v>0.5</v>
      </c>
      <c r="G38" s="203">
        <v>0.5</v>
      </c>
      <c r="H38" s="206"/>
      <c r="I38" s="202">
        <f t="shared" si="3"/>
        <v>3.5</v>
      </c>
      <c r="J38" s="63"/>
      <c r="K38" s="64"/>
      <c r="L38" s="64"/>
      <c r="M38" s="63"/>
      <c r="N38" s="63"/>
    </row>
    <row r="39" spans="1:16" s="62" customFormat="1" x14ac:dyDescent="0.25">
      <c r="A39" s="195"/>
      <c r="B39" s="207" t="s">
        <v>17</v>
      </c>
      <c r="C39" s="208">
        <f>SUM(C24:C38)*4</f>
        <v>78</v>
      </c>
      <c r="D39" s="208">
        <f>SUM(D24:D38)*4</f>
        <v>12</v>
      </c>
      <c r="E39" s="208">
        <f>SUM(E24:E38)*4</f>
        <v>66</v>
      </c>
      <c r="F39" s="208">
        <f>SUM(F24:F38)*4</f>
        <v>30</v>
      </c>
      <c r="G39" s="208">
        <f>SUM(G24:H38)*4</f>
        <v>82</v>
      </c>
      <c r="H39" s="208">
        <f t="shared" ref="H39" si="4">SUM(H24:H35)*4</f>
        <v>0</v>
      </c>
      <c r="I39" s="208">
        <f>SUM(C39:H39)</f>
        <v>268</v>
      </c>
      <c r="J39" s="63"/>
      <c r="K39" s="64"/>
      <c r="L39" s="64"/>
      <c r="M39" s="63"/>
      <c r="N39" s="63"/>
    </row>
    <row r="40" spans="1:16" s="62" customFormat="1" x14ac:dyDescent="0.25">
      <c r="A40" s="195"/>
      <c r="B40" s="209" t="s">
        <v>18</v>
      </c>
      <c r="C40" s="210">
        <v>70</v>
      </c>
      <c r="D40" s="210">
        <v>70</v>
      </c>
      <c r="E40" s="210">
        <v>70</v>
      </c>
      <c r="F40" s="210">
        <v>70</v>
      </c>
      <c r="G40" s="210">
        <v>70</v>
      </c>
      <c r="H40" s="210">
        <v>70</v>
      </c>
      <c r="I40" s="210">
        <v>70</v>
      </c>
      <c r="J40" s="235"/>
      <c r="K40" s="64"/>
      <c r="L40" s="64"/>
      <c r="M40" s="63"/>
      <c r="N40" s="63"/>
    </row>
    <row r="41" spans="1:16" s="62" customFormat="1" ht="15.75" thickBot="1" x14ac:dyDescent="0.3">
      <c r="A41" s="195"/>
      <c r="B41" s="211" t="s">
        <v>19</v>
      </c>
      <c r="C41" s="212">
        <f t="shared" ref="C41:H41" si="5">C40*C39</f>
        <v>5460</v>
      </c>
      <c r="D41" s="212">
        <f t="shared" si="5"/>
        <v>840</v>
      </c>
      <c r="E41" s="212">
        <f t="shared" si="5"/>
        <v>4620</v>
      </c>
      <c r="F41" s="212">
        <f t="shared" si="5"/>
        <v>2100</v>
      </c>
      <c r="G41" s="212">
        <f t="shared" si="5"/>
        <v>5740</v>
      </c>
      <c r="H41" s="212">
        <f t="shared" si="5"/>
        <v>0</v>
      </c>
      <c r="I41" s="212">
        <f>SUM(C41:G41)</f>
        <v>18760</v>
      </c>
      <c r="J41" s="236">
        <f>I41*K41</f>
        <v>13132</v>
      </c>
      <c r="K41" s="237">
        <v>0.7</v>
      </c>
      <c r="L41" s="238" t="s">
        <v>21</v>
      </c>
      <c r="M41" s="63"/>
      <c r="N41" s="63"/>
    </row>
    <row r="42" spans="1:16" s="62" customFormat="1" ht="15.75" thickTop="1" x14ac:dyDescent="0.25">
      <c r="I42" s="233"/>
      <c r="J42" s="233">
        <f>I41*K42</f>
        <v>5628</v>
      </c>
      <c r="K42" s="237">
        <v>0.3</v>
      </c>
      <c r="L42" s="239" t="s">
        <v>20</v>
      </c>
      <c r="M42" s="64"/>
      <c r="N42" s="63"/>
      <c r="O42" s="63"/>
    </row>
    <row r="43" spans="1:16" ht="45.75" customHeight="1" x14ac:dyDescent="0.25">
      <c r="B43" s="285"/>
      <c r="C43" s="285"/>
      <c r="D43" s="285"/>
      <c r="E43" s="285"/>
      <c r="F43" s="285"/>
      <c r="G43" s="285"/>
      <c r="H43" s="68"/>
      <c r="I43" s="69"/>
      <c r="J43" s="70"/>
      <c r="L43" s="66"/>
      <c r="M43" s="67"/>
      <c r="N43" s="67"/>
      <c r="O43" s="66"/>
      <c r="P43" s="66"/>
    </row>
    <row r="44" spans="1:16" s="66" customFormat="1" ht="30.75" customHeight="1" x14ac:dyDescent="0.25">
      <c r="A44" s="69"/>
      <c r="B44" s="240"/>
      <c r="C44" s="241"/>
      <c r="D44" s="241"/>
      <c r="E44" s="241"/>
      <c r="F44" s="242"/>
      <c r="G44" s="242"/>
      <c r="H44" s="242"/>
      <c r="I44" s="69"/>
      <c r="J44" s="69"/>
      <c r="K44" s="69"/>
      <c r="L44" s="69"/>
    </row>
    <row r="45" spans="1:16" x14ac:dyDescent="0.25">
      <c r="A45" s="69"/>
      <c r="B45" s="243"/>
      <c r="C45" s="244"/>
      <c r="D45" s="244"/>
      <c r="E45" s="244"/>
      <c r="F45" s="245"/>
      <c r="G45" s="245"/>
      <c r="H45" s="242"/>
      <c r="I45" s="69"/>
      <c r="J45" s="69"/>
      <c r="K45" s="69"/>
      <c r="L45" s="69"/>
    </row>
    <row r="46" spans="1:16" x14ac:dyDescent="0.25">
      <c r="A46" s="69"/>
      <c r="B46" s="243"/>
      <c r="C46" s="244"/>
      <c r="D46" s="244"/>
      <c r="E46" s="244"/>
      <c r="F46" s="245"/>
      <c r="G46" s="245"/>
      <c r="H46" s="242"/>
      <c r="I46" s="69"/>
      <c r="J46" s="69"/>
      <c r="K46" s="69"/>
      <c r="L46" s="69"/>
    </row>
    <row r="47" spans="1:16" x14ac:dyDescent="0.25">
      <c r="A47" s="69"/>
      <c r="B47" s="243"/>
      <c r="C47" s="244"/>
      <c r="D47" s="244"/>
      <c r="E47" s="244"/>
      <c r="F47" s="245"/>
      <c r="G47" s="245"/>
      <c r="H47" s="242"/>
      <c r="I47" s="69"/>
      <c r="J47" s="69"/>
      <c r="K47" s="69"/>
      <c r="L47" s="69"/>
    </row>
    <row r="48" spans="1:16" x14ac:dyDescent="0.25">
      <c r="A48" s="69"/>
      <c r="B48" s="243"/>
      <c r="C48" s="244"/>
      <c r="D48" s="244"/>
      <c r="E48" s="244"/>
      <c r="F48" s="245"/>
      <c r="G48" s="245"/>
      <c r="H48" s="242"/>
      <c r="I48" s="69"/>
      <c r="J48" s="69"/>
      <c r="K48" s="69"/>
      <c r="L48" s="69"/>
    </row>
    <row r="49" spans="1:12" x14ac:dyDescent="0.25">
      <c r="A49" s="69"/>
      <c r="B49" s="243"/>
      <c r="C49" s="244"/>
      <c r="D49" s="244"/>
      <c r="E49" s="244"/>
      <c r="F49" s="245"/>
      <c r="G49" s="245"/>
      <c r="H49" s="242"/>
      <c r="I49" s="69"/>
      <c r="J49" s="69"/>
      <c r="K49" s="69"/>
      <c r="L49" s="69"/>
    </row>
    <row r="50" spans="1:12" x14ac:dyDescent="0.25">
      <c r="A50" s="69"/>
      <c r="B50" s="243"/>
      <c r="C50" s="244"/>
      <c r="D50" s="244"/>
      <c r="E50" s="244"/>
      <c r="F50" s="245"/>
      <c r="G50" s="245"/>
      <c r="H50" s="242"/>
      <c r="I50" s="69"/>
      <c r="J50" s="69"/>
      <c r="K50" s="69"/>
      <c r="L50" s="69"/>
    </row>
    <row r="51" spans="1:12" x14ac:dyDescent="0.25">
      <c r="A51" s="69"/>
      <c r="B51" s="243"/>
      <c r="C51" s="244"/>
      <c r="D51" s="244"/>
      <c r="E51" s="244"/>
      <c r="F51" s="245"/>
      <c r="G51" s="245"/>
      <c r="H51" s="242"/>
      <c r="I51" s="69"/>
      <c r="J51" s="69"/>
      <c r="K51" s="69"/>
      <c r="L51" s="69"/>
    </row>
    <row r="52" spans="1:12" x14ac:dyDescent="0.25">
      <c r="A52" s="69"/>
      <c r="B52" s="243"/>
      <c r="C52" s="244"/>
      <c r="D52" s="244"/>
      <c r="E52" s="244"/>
      <c r="F52" s="245"/>
      <c r="G52" s="245"/>
      <c r="H52" s="242"/>
      <c r="I52" s="69"/>
      <c r="J52" s="69"/>
      <c r="K52" s="69"/>
      <c r="L52" s="69"/>
    </row>
    <row r="53" spans="1:12" x14ac:dyDescent="0.25">
      <c r="A53" s="69"/>
      <c r="B53" s="243"/>
      <c r="C53" s="244"/>
      <c r="D53" s="244"/>
      <c r="E53" s="244"/>
      <c r="F53" s="245"/>
      <c r="G53" s="245"/>
      <c r="H53" s="242"/>
      <c r="I53" s="69"/>
      <c r="J53" s="69"/>
      <c r="K53" s="69"/>
      <c r="L53" s="69"/>
    </row>
    <row r="54" spans="1:12" x14ac:dyDescent="0.25">
      <c r="A54" s="69"/>
      <c r="B54" s="243"/>
      <c r="C54" s="244"/>
      <c r="D54" s="244"/>
      <c r="E54" s="244"/>
      <c r="F54" s="245"/>
      <c r="G54" s="245"/>
      <c r="H54" s="242"/>
      <c r="I54" s="69"/>
      <c r="J54" s="69"/>
      <c r="K54" s="69"/>
      <c r="L54" s="69"/>
    </row>
    <row r="55" spans="1:12" x14ac:dyDescent="0.25">
      <c r="A55" s="69"/>
      <c r="B55" s="243"/>
      <c r="C55" s="244"/>
      <c r="D55" s="244"/>
      <c r="E55" s="244"/>
      <c r="F55" s="245"/>
      <c r="G55" s="245"/>
      <c r="H55" s="242"/>
      <c r="I55" s="69"/>
      <c r="J55" s="69"/>
      <c r="K55" s="69"/>
      <c r="L55" s="69"/>
    </row>
    <row r="56" spans="1:12" x14ac:dyDescent="0.25">
      <c r="A56" s="69"/>
      <c r="B56" s="243"/>
      <c r="C56" s="244"/>
      <c r="D56" s="244"/>
      <c r="E56" s="244"/>
      <c r="F56" s="245"/>
      <c r="G56" s="245"/>
      <c r="H56" s="242"/>
      <c r="I56" s="69"/>
      <c r="J56" s="69"/>
      <c r="K56" s="69"/>
      <c r="L56" s="69"/>
    </row>
    <row r="57" spans="1:12" x14ac:dyDescent="0.25">
      <c r="A57" s="69"/>
      <c r="B57" s="247"/>
      <c r="C57" s="248"/>
      <c r="D57" s="248"/>
      <c r="E57" s="248"/>
      <c r="F57" s="249"/>
      <c r="G57" s="249"/>
      <c r="H57" s="242"/>
      <c r="I57" s="69"/>
      <c r="J57" s="69"/>
      <c r="K57" s="69"/>
      <c r="L57" s="69"/>
    </row>
    <row r="58" spans="1:12" x14ac:dyDescent="0.25">
      <c r="A58" s="69"/>
      <c r="B58" s="71"/>
      <c r="C58" s="72"/>
      <c r="D58" s="72"/>
      <c r="E58" s="72"/>
      <c r="F58" s="251"/>
      <c r="G58" s="251"/>
      <c r="H58" s="242"/>
      <c r="I58" s="69"/>
      <c r="J58" s="69"/>
      <c r="K58" s="69"/>
      <c r="L58" s="69"/>
    </row>
    <row r="59" spans="1:12" x14ac:dyDescent="0.25">
      <c r="A59" s="69"/>
      <c r="B59" s="242"/>
      <c r="C59" s="242"/>
      <c r="D59" s="242"/>
      <c r="E59" s="242"/>
      <c r="F59" s="242"/>
      <c r="G59" s="242"/>
      <c r="H59" s="242"/>
      <c r="I59" s="69"/>
      <c r="J59" s="69"/>
      <c r="K59" s="69"/>
      <c r="L59" s="69"/>
    </row>
    <row r="60" spans="1:12" x14ac:dyDescent="0.25">
      <c r="A60" s="69"/>
      <c r="B60" s="69"/>
      <c r="C60" s="69"/>
      <c r="D60" s="69"/>
      <c r="E60" s="69"/>
      <c r="F60" s="69"/>
      <c r="G60" s="69"/>
      <c r="H60" s="69"/>
      <c r="I60" s="69"/>
      <c r="J60" s="69"/>
      <c r="K60" s="69"/>
      <c r="L60" s="69"/>
    </row>
    <row r="61" spans="1:12" x14ac:dyDescent="0.25">
      <c r="A61" s="69"/>
      <c r="B61" s="69"/>
      <c r="C61" s="69"/>
      <c r="D61" s="69"/>
      <c r="E61" s="69"/>
      <c r="F61" s="69"/>
      <c r="G61" s="69"/>
      <c r="H61" s="69"/>
      <c r="I61" s="69"/>
      <c r="J61" s="69"/>
      <c r="K61" s="69"/>
      <c r="L61" s="69"/>
    </row>
    <row r="62" spans="1:12" x14ac:dyDescent="0.25">
      <c r="A62" s="69"/>
      <c r="B62" s="69"/>
      <c r="C62" s="69"/>
      <c r="D62" s="69"/>
      <c r="E62" s="69"/>
      <c r="F62" s="69"/>
      <c r="G62" s="69"/>
      <c r="H62" s="69"/>
      <c r="I62" s="69"/>
      <c r="J62" s="69"/>
      <c r="K62" s="69"/>
      <c r="L62" s="69"/>
    </row>
    <row r="63" spans="1:12" x14ac:dyDescent="0.25">
      <c r="A63" s="69"/>
      <c r="B63" s="69"/>
      <c r="C63" s="69"/>
      <c r="D63" s="69"/>
      <c r="E63" s="69"/>
      <c r="F63" s="69"/>
      <c r="G63" s="69"/>
      <c r="H63" s="69"/>
      <c r="I63" s="69"/>
      <c r="J63" s="69"/>
      <c r="K63" s="69"/>
      <c r="L63" s="69"/>
    </row>
    <row r="64" spans="1:12" x14ac:dyDescent="0.25">
      <c r="A64" s="69"/>
      <c r="B64" s="69"/>
      <c r="C64" s="69"/>
      <c r="D64" s="69"/>
      <c r="E64" s="69"/>
      <c r="F64" s="69"/>
      <c r="G64" s="69"/>
      <c r="H64" s="69"/>
      <c r="I64" s="69"/>
      <c r="J64" s="69"/>
      <c r="K64" s="69"/>
      <c r="L64" s="69"/>
    </row>
    <row r="65" spans="1:12" x14ac:dyDescent="0.25">
      <c r="A65" s="69"/>
      <c r="B65" s="69"/>
      <c r="C65" s="69"/>
      <c r="D65" s="69"/>
      <c r="E65" s="69"/>
      <c r="F65" s="69"/>
      <c r="G65" s="69"/>
      <c r="H65" s="69"/>
      <c r="I65" s="69"/>
      <c r="J65" s="69"/>
      <c r="K65" s="69"/>
      <c r="L65" s="69"/>
    </row>
    <row r="66" spans="1:12" x14ac:dyDescent="0.25">
      <c r="A66" s="69"/>
      <c r="B66" s="69"/>
      <c r="C66" s="69"/>
      <c r="D66" s="69"/>
      <c r="E66" s="69"/>
      <c r="F66" s="69"/>
      <c r="G66" s="69"/>
      <c r="H66" s="69"/>
      <c r="I66" s="69"/>
      <c r="J66" s="69"/>
      <c r="K66" s="69"/>
      <c r="L66" s="69"/>
    </row>
    <row r="67" spans="1:12" x14ac:dyDescent="0.25">
      <c r="A67" s="69"/>
      <c r="B67" s="69"/>
      <c r="C67" s="69"/>
      <c r="D67" s="69"/>
      <c r="E67" s="69"/>
      <c r="F67" s="69"/>
      <c r="G67" s="69"/>
      <c r="H67" s="69"/>
      <c r="I67" s="69"/>
      <c r="J67" s="69"/>
      <c r="K67" s="69"/>
      <c r="L67" s="69"/>
    </row>
    <row r="68" spans="1:12" x14ac:dyDescent="0.25">
      <c r="A68" s="69"/>
      <c r="B68" s="69"/>
      <c r="C68" s="69"/>
      <c r="D68" s="69"/>
      <c r="E68" s="69"/>
      <c r="F68" s="69"/>
      <c r="G68" s="69"/>
      <c r="H68" s="69"/>
      <c r="I68" s="69"/>
      <c r="J68" s="69"/>
      <c r="K68" s="69"/>
      <c r="L68" s="69"/>
    </row>
    <row r="69" spans="1:12" x14ac:dyDescent="0.25">
      <c r="A69" s="69"/>
      <c r="B69" s="69"/>
      <c r="C69" s="69"/>
      <c r="D69" s="69"/>
      <c r="E69" s="69"/>
      <c r="F69" s="69"/>
      <c r="G69" s="69"/>
      <c r="H69" s="69"/>
      <c r="I69" s="69"/>
      <c r="J69" s="69"/>
      <c r="K69" s="69"/>
      <c r="L69" s="69"/>
    </row>
    <row r="70" spans="1:12" x14ac:dyDescent="0.25">
      <c r="A70" s="69"/>
      <c r="B70" s="69"/>
      <c r="C70" s="69"/>
      <c r="D70" s="69"/>
      <c r="E70" s="69"/>
      <c r="F70" s="69"/>
      <c r="G70" s="69"/>
      <c r="H70" s="69"/>
      <c r="I70" s="69"/>
      <c r="J70" s="69"/>
      <c r="K70" s="69"/>
      <c r="L70" s="69"/>
    </row>
    <row r="71" spans="1:12" x14ac:dyDescent="0.25">
      <c r="A71" s="69"/>
      <c r="B71" s="69"/>
      <c r="C71" s="69"/>
      <c r="D71" s="69"/>
      <c r="E71" s="69"/>
      <c r="F71" s="69"/>
      <c r="G71" s="69"/>
      <c r="H71" s="69"/>
      <c r="I71" s="69"/>
      <c r="J71" s="69"/>
      <c r="K71" s="69"/>
      <c r="L71" s="69"/>
    </row>
    <row r="72" spans="1:12" x14ac:dyDescent="0.25">
      <c r="A72" s="69"/>
      <c r="B72" s="69"/>
      <c r="C72" s="69"/>
      <c r="D72" s="69"/>
      <c r="E72" s="69"/>
      <c r="F72" s="69"/>
      <c r="G72" s="69"/>
      <c r="H72" s="69"/>
      <c r="I72" s="69"/>
      <c r="J72" s="69"/>
      <c r="K72" s="69"/>
      <c r="L72" s="69"/>
    </row>
    <row r="73" spans="1:12" x14ac:dyDescent="0.25">
      <c r="A73" s="69"/>
      <c r="B73" s="69"/>
      <c r="C73" s="69"/>
      <c r="D73" s="69"/>
      <c r="E73" s="69"/>
      <c r="F73" s="69"/>
      <c r="G73" s="69"/>
      <c r="H73" s="69"/>
      <c r="I73" s="69"/>
      <c r="J73" s="69"/>
      <c r="K73" s="69"/>
      <c r="L73" s="69"/>
    </row>
    <row r="74" spans="1:12" x14ac:dyDescent="0.25">
      <c r="A74" s="69"/>
      <c r="B74" s="69"/>
      <c r="C74" s="69"/>
      <c r="D74" s="69"/>
      <c r="E74" s="69"/>
      <c r="F74" s="69"/>
      <c r="G74" s="69"/>
      <c r="H74" s="69"/>
      <c r="I74" s="69"/>
      <c r="J74" s="69"/>
      <c r="K74" s="69"/>
      <c r="L74" s="69"/>
    </row>
    <row r="75" spans="1:12" x14ac:dyDescent="0.25">
      <c r="A75" s="69"/>
      <c r="B75" s="69"/>
      <c r="C75" s="69"/>
      <c r="D75" s="69"/>
      <c r="E75" s="69"/>
      <c r="F75" s="69"/>
      <c r="G75" s="69"/>
      <c r="H75" s="69"/>
      <c r="I75" s="69"/>
      <c r="J75" s="69"/>
      <c r="K75" s="69"/>
      <c r="L75" s="69"/>
    </row>
    <row r="76" spans="1:12" x14ac:dyDescent="0.25">
      <c r="A76" s="69"/>
      <c r="B76" s="69"/>
      <c r="C76" s="69"/>
      <c r="D76" s="69"/>
      <c r="E76" s="69"/>
      <c r="F76" s="69"/>
      <c r="G76" s="69"/>
      <c r="H76" s="69"/>
      <c r="I76" s="69"/>
      <c r="J76" s="69"/>
      <c r="K76" s="69"/>
      <c r="L76" s="69"/>
    </row>
    <row r="77" spans="1:12" x14ac:dyDescent="0.25">
      <c r="A77" s="69"/>
      <c r="B77" s="69"/>
      <c r="C77" s="69"/>
      <c r="D77" s="69"/>
      <c r="E77" s="69"/>
      <c r="F77" s="69"/>
      <c r="G77" s="69"/>
      <c r="H77" s="69"/>
      <c r="I77" s="69"/>
      <c r="J77" s="69"/>
      <c r="K77" s="69"/>
      <c r="L77" s="69"/>
    </row>
    <row r="78" spans="1:12" x14ac:dyDescent="0.25">
      <c r="A78" s="69"/>
      <c r="B78" s="69"/>
      <c r="C78" s="69"/>
      <c r="D78" s="69"/>
      <c r="E78" s="69"/>
      <c r="F78" s="69"/>
      <c r="G78" s="69"/>
      <c r="H78" s="69"/>
      <c r="I78" s="69"/>
      <c r="J78" s="69"/>
      <c r="K78" s="69"/>
      <c r="L78" s="69"/>
    </row>
    <row r="79" spans="1:12" x14ac:dyDescent="0.25">
      <c r="A79" s="69"/>
      <c r="B79" s="69"/>
      <c r="C79" s="69"/>
      <c r="D79" s="69"/>
      <c r="E79" s="69"/>
      <c r="F79" s="69"/>
      <c r="G79" s="69"/>
      <c r="H79" s="69"/>
      <c r="I79" s="69"/>
      <c r="J79" s="69"/>
      <c r="K79" s="69"/>
      <c r="L79" s="69"/>
    </row>
    <row r="80" spans="1:12" x14ac:dyDescent="0.25">
      <c r="A80" s="69"/>
      <c r="B80" s="69"/>
      <c r="C80" s="69"/>
      <c r="D80" s="69"/>
      <c r="E80" s="69"/>
      <c r="F80" s="69"/>
      <c r="G80" s="69"/>
      <c r="H80" s="69"/>
      <c r="I80" s="69"/>
      <c r="J80" s="69"/>
      <c r="K80" s="69"/>
      <c r="L80" s="69"/>
    </row>
    <row r="81" spans="1:12" x14ac:dyDescent="0.25">
      <c r="A81" s="69"/>
      <c r="B81" s="69"/>
      <c r="C81" s="69"/>
      <c r="D81" s="69"/>
      <c r="E81" s="69"/>
      <c r="F81" s="69"/>
      <c r="G81" s="69"/>
      <c r="H81" s="69"/>
      <c r="I81" s="69"/>
      <c r="J81" s="69"/>
      <c r="K81" s="69"/>
      <c r="L81" s="69"/>
    </row>
    <row r="82" spans="1:12" ht="15" customHeight="1" x14ac:dyDescent="0.25">
      <c r="A82" s="69"/>
      <c r="B82" s="252"/>
      <c r="C82" s="252"/>
      <c r="D82" s="252"/>
      <c r="E82" s="252"/>
      <c r="F82" s="252"/>
      <c r="G82" s="252"/>
      <c r="H82" s="69"/>
      <c r="I82" s="69"/>
      <c r="J82" s="69"/>
      <c r="K82" s="69"/>
      <c r="L82" s="69"/>
    </row>
    <row r="83" spans="1:12" x14ac:dyDescent="0.25">
      <c r="A83" s="69"/>
      <c r="B83" s="253"/>
      <c r="C83" s="254"/>
      <c r="D83" s="254"/>
      <c r="E83" s="254"/>
      <c r="F83" s="255"/>
      <c r="G83" s="255"/>
      <c r="H83" s="69"/>
      <c r="I83" s="69"/>
      <c r="J83" s="69"/>
      <c r="K83" s="69"/>
      <c r="L83" s="69"/>
    </row>
    <row r="84" spans="1:12" x14ac:dyDescent="0.25">
      <c r="A84" s="69"/>
      <c r="B84" s="256"/>
      <c r="C84" s="257"/>
      <c r="D84" s="257"/>
      <c r="E84" s="257"/>
      <c r="F84" s="253"/>
      <c r="G84" s="253"/>
      <c r="H84" s="69"/>
      <c r="I84" s="69"/>
      <c r="J84" s="69"/>
      <c r="K84" s="69"/>
      <c r="L84" s="69"/>
    </row>
    <row r="85" spans="1:12" x14ac:dyDescent="0.25">
      <c r="A85" s="69"/>
      <c r="B85" s="256"/>
      <c r="C85" s="257"/>
      <c r="D85" s="257"/>
      <c r="E85" s="257"/>
      <c r="F85" s="253"/>
      <c r="G85" s="253"/>
      <c r="H85" s="69"/>
      <c r="I85" s="69"/>
      <c r="J85" s="69"/>
      <c r="K85" s="69"/>
      <c r="L85" s="69"/>
    </row>
    <row r="86" spans="1:12" x14ac:dyDescent="0.25">
      <c r="A86" s="69"/>
      <c r="B86" s="256"/>
      <c r="C86" s="257"/>
      <c r="D86" s="257"/>
      <c r="E86" s="257"/>
      <c r="F86" s="253"/>
      <c r="G86" s="253"/>
      <c r="H86" s="69"/>
      <c r="I86" s="69"/>
      <c r="J86" s="69"/>
      <c r="K86" s="69"/>
      <c r="L86" s="69"/>
    </row>
    <row r="87" spans="1:12" x14ac:dyDescent="0.25">
      <c r="A87" s="69"/>
      <c r="B87" s="243"/>
      <c r="C87" s="257"/>
      <c r="D87" s="257"/>
      <c r="E87" s="257"/>
      <c r="F87" s="253"/>
      <c r="G87" s="253"/>
      <c r="H87" s="69"/>
      <c r="I87" s="69"/>
      <c r="J87" s="69"/>
      <c r="K87" s="69"/>
      <c r="L87" s="69"/>
    </row>
    <row r="88" spans="1:12" x14ac:dyDescent="0.25">
      <c r="A88" s="69"/>
      <c r="B88" s="243"/>
      <c r="C88" s="257"/>
      <c r="D88" s="257"/>
      <c r="E88" s="257"/>
      <c r="F88" s="253"/>
      <c r="G88" s="253"/>
      <c r="H88" s="69"/>
      <c r="I88" s="69"/>
      <c r="J88" s="69"/>
      <c r="K88" s="69"/>
      <c r="L88" s="69"/>
    </row>
    <row r="89" spans="1:12" x14ac:dyDescent="0.25">
      <c r="A89" s="69"/>
      <c r="B89" s="243"/>
      <c r="C89" s="257"/>
      <c r="D89" s="257"/>
      <c r="E89" s="257"/>
      <c r="F89" s="253"/>
      <c r="G89" s="253"/>
      <c r="H89" s="69"/>
      <c r="I89" s="69"/>
      <c r="J89" s="69"/>
      <c r="K89" s="69"/>
      <c r="L89" s="69"/>
    </row>
    <row r="90" spans="1:12" x14ac:dyDescent="0.25">
      <c r="A90" s="69"/>
      <c r="B90" s="243"/>
      <c r="C90" s="257"/>
      <c r="D90" s="257"/>
      <c r="E90" s="257"/>
      <c r="F90" s="253"/>
      <c r="G90" s="253"/>
      <c r="H90" s="69"/>
      <c r="I90" s="69"/>
      <c r="J90" s="69"/>
      <c r="K90" s="69"/>
      <c r="L90" s="69"/>
    </row>
    <row r="91" spans="1:12" x14ac:dyDescent="0.25">
      <c r="A91" s="69"/>
      <c r="B91" s="243"/>
      <c r="C91" s="257"/>
      <c r="D91" s="257"/>
      <c r="E91" s="257"/>
      <c r="F91" s="253"/>
      <c r="G91" s="253"/>
      <c r="H91" s="69"/>
      <c r="I91" s="69"/>
      <c r="J91" s="69"/>
      <c r="K91" s="69"/>
      <c r="L91" s="69"/>
    </row>
    <row r="92" spans="1:12" x14ac:dyDescent="0.25">
      <c r="A92" s="69"/>
      <c r="B92" s="256"/>
      <c r="C92" s="257"/>
      <c r="D92" s="257"/>
      <c r="E92" s="257"/>
      <c r="F92" s="253"/>
      <c r="G92" s="253"/>
      <c r="H92" s="69"/>
      <c r="I92" s="69"/>
      <c r="J92" s="69"/>
      <c r="K92" s="69"/>
      <c r="L92" s="69"/>
    </row>
    <row r="93" spans="1:12" x14ac:dyDescent="0.25">
      <c r="A93" s="69"/>
      <c r="B93" s="256"/>
      <c r="C93" s="257"/>
      <c r="D93" s="257"/>
      <c r="E93" s="257"/>
      <c r="F93" s="253"/>
      <c r="G93" s="253"/>
      <c r="H93" s="69"/>
      <c r="I93" s="69"/>
      <c r="J93" s="69"/>
      <c r="K93" s="69"/>
      <c r="L93" s="69"/>
    </row>
    <row r="94" spans="1:12" x14ac:dyDescent="0.25">
      <c r="A94" s="69"/>
      <c r="B94" s="256"/>
      <c r="C94" s="258"/>
      <c r="D94" s="258"/>
      <c r="E94" s="258"/>
      <c r="F94" s="259"/>
      <c r="G94" s="259"/>
      <c r="H94" s="69"/>
      <c r="I94" s="69"/>
      <c r="J94" s="69"/>
      <c r="K94" s="69"/>
      <c r="L94" s="69"/>
    </row>
    <row r="95" spans="1:12" x14ac:dyDescent="0.25">
      <c r="A95" s="69"/>
      <c r="B95" s="243"/>
      <c r="C95" s="246"/>
      <c r="D95" s="246"/>
      <c r="E95" s="246"/>
      <c r="F95" s="240"/>
      <c r="G95" s="240"/>
      <c r="H95" s="69"/>
      <c r="I95" s="69"/>
      <c r="J95" s="69"/>
      <c r="K95" s="69"/>
      <c r="L95" s="69"/>
    </row>
    <row r="96" spans="1:12" x14ac:dyDescent="0.25">
      <c r="A96" s="69"/>
      <c r="B96" s="260"/>
      <c r="C96" s="250"/>
      <c r="D96" s="250"/>
      <c r="E96" s="250"/>
      <c r="F96" s="261"/>
      <c r="G96" s="261"/>
      <c r="H96" s="69"/>
      <c r="I96" s="69"/>
      <c r="J96" s="69"/>
      <c r="K96" s="69"/>
      <c r="L96" s="69"/>
    </row>
    <row r="97" spans="1:12" x14ac:dyDescent="0.25">
      <c r="A97" s="69"/>
      <c r="B97" s="242"/>
      <c r="C97" s="242"/>
      <c r="D97" s="242"/>
      <c r="E97" s="242"/>
      <c r="F97" s="242"/>
      <c r="G97" s="242"/>
      <c r="H97" s="69"/>
      <c r="I97" s="69"/>
      <c r="J97" s="69"/>
      <c r="K97" s="69"/>
      <c r="L97" s="69"/>
    </row>
    <row r="98" spans="1:12" ht="15" customHeight="1" x14ac:dyDescent="0.25">
      <c r="A98" s="69"/>
      <c r="B98" s="262"/>
      <c r="C98" s="262"/>
      <c r="D98" s="262"/>
      <c r="E98" s="262"/>
      <c r="F98" s="262"/>
      <c r="G98" s="262"/>
      <c r="H98" s="69"/>
      <c r="I98" s="69"/>
      <c r="J98" s="69"/>
      <c r="K98" s="69"/>
      <c r="L98" s="69"/>
    </row>
    <row r="99" spans="1:12" x14ac:dyDescent="0.25">
      <c r="A99" s="69"/>
      <c r="B99" s="240"/>
      <c r="C99" s="241"/>
      <c r="D99" s="241"/>
      <c r="E99" s="241"/>
      <c r="F99" s="242"/>
      <c r="G99" s="242"/>
      <c r="H99" s="69"/>
      <c r="I99" s="69"/>
      <c r="J99" s="69"/>
      <c r="K99" s="69"/>
      <c r="L99" s="69"/>
    </row>
    <row r="100" spans="1:12" x14ac:dyDescent="0.25">
      <c r="A100" s="69"/>
      <c r="B100" s="243"/>
      <c r="C100" s="246"/>
      <c r="D100" s="246"/>
      <c r="E100" s="246"/>
      <c r="F100" s="240"/>
      <c r="G100" s="240"/>
      <c r="H100" s="69"/>
      <c r="I100" s="69"/>
      <c r="J100" s="69"/>
      <c r="K100" s="69"/>
      <c r="L100" s="69"/>
    </row>
    <row r="101" spans="1:12" x14ac:dyDescent="0.25">
      <c r="A101" s="69"/>
      <c r="B101" s="243"/>
      <c r="C101" s="246"/>
      <c r="D101" s="246"/>
      <c r="E101" s="246"/>
      <c r="F101" s="240"/>
      <c r="G101" s="240"/>
      <c r="H101" s="69"/>
      <c r="I101" s="69"/>
      <c r="J101" s="69"/>
      <c r="K101" s="69"/>
      <c r="L101" s="69"/>
    </row>
    <row r="102" spans="1:12" x14ac:dyDescent="0.25">
      <c r="A102" s="69"/>
      <c r="B102" s="243"/>
      <c r="C102" s="246"/>
      <c r="D102" s="246"/>
      <c r="E102" s="246"/>
      <c r="F102" s="240"/>
      <c r="G102" s="240"/>
      <c r="H102" s="69"/>
      <c r="I102" s="69"/>
      <c r="J102" s="69"/>
      <c r="K102" s="69"/>
      <c r="L102" s="69"/>
    </row>
    <row r="103" spans="1:12" x14ac:dyDescent="0.25">
      <c r="A103" s="69"/>
      <c r="B103" s="243"/>
      <c r="C103" s="246"/>
      <c r="D103" s="246"/>
      <c r="E103" s="246"/>
      <c r="F103" s="240"/>
      <c r="G103" s="240"/>
      <c r="H103" s="69"/>
      <c r="I103" s="69"/>
      <c r="J103" s="69"/>
      <c r="K103" s="69"/>
      <c r="L103" s="69"/>
    </row>
    <row r="104" spans="1:12" x14ac:dyDescent="0.25">
      <c r="A104" s="69"/>
      <c r="B104" s="243"/>
      <c r="C104" s="246"/>
      <c r="D104" s="246"/>
      <c r="E104" s="246"/>
      <c r="F104" s="240"/>
      <c r="G104" s="240"/>
      <c r="H104" s="69"/>
      <c r="I104" s="69"/>
      <c r="J104" s="69"/>
      <c r="K104" s="69"/>
      <c r="L104" s="69"/>
    </row>
    <row r="105" spans="1:12" x14ac:dyDescent="0.25">
      <c r="A105" s="69"/>
      <c r="B105" s="243"/>
      <c r="C105" s="246"/>
      <c r="D105" s="246"/>
      <c r="E105" s="246"/>
      <c r="F105" s="240"/>
      <c r="G105" s="240"/>
      <c r="H105" s="69"/>
      <c r="I105" s="69"/>
      <c r="J105" s="69"/>
      <c r="K105" s="69"/>
      <c r="L105" s="69"/>
    </row>
    <row r="106" spans="1:12" x14ac:dyDescent="0.25">
      <c r="A106" s="69"/>
      <c r="B106" s="243"/>
      <c r="C106" s="246"/>
      <c r="D106" s="246"/>
      <c r="E106" s="246"/>
      <c r="F106" s="240"/>
      <c r="G106" s="240"/>
      <c r="H106" s="69"/>
      <c r="I106" s="69"/>
      <c r="J106" s="69"/>
      <c r="K106" s="69"/>
      <c r="L106" s="69"/>
    </row>
    <row r="107" spans="1:12" x14ac:dyDescent="0.25">
      <c r="A107" s="69"/>
      <c r="B107" s="243"/>
      <c r="C107" s="246"/>
      <c r="D107" s="246"/>
      <c r="E107" s="246"/>
      <c r="F107" s="240"/>
      <c r="G107" s="240"/>
      <c r="H107" s="69"/>
      <c r="I107" s="69"/>
      <c r="J107" s="69"/>
      <c r="K107" s="69"/>
      <c r="L107" s="69"/>
    </row>
    <row r="108" spans="1:12" x14ac:dyDescent="0.25">
      <c r="A108" s="69"/>
      <c r="B108" s="243"/>
      <c r="C108" s="246"/>
      <c r="D108" s="246"/>
      <c r="E108" s="246"/>
      <c r="F108" s="240"/>
      <c r="G108" s="240"/>
      <c r="H108" s="69"/>
      <c r="I108" s="69"/>
      <c r="J108" s="69"/>
      <c r="K108" s="69"/>
      <c r="L108" s="69"/>
    </row>
    <row r="109" spans="1:12" x14ac:dyDescent="0.25">
      <c r="A109" s="69"/>
      <c r="B109" s="243"/>
      <c r="C109" s="246"/>
      <c r="D109" s="246"/>
      <c r="E109" s="246"/>
      <c r="F109" s="240"/>
      <c r="G109" s="240"/>
      <c r="H109" s="69"/>
      <c r="I109" s="69"/>
      <c r="J109" s="69"/>
      <c r="K109" s="69"/>
      <c r="L109" s="69"/>
    </row>
    <row r="110" spans="1:12" x14ac:dyDescent="0.25">
      <c r="A110" s="69"/>
      <c r="B110" s="243"/>
      <c r="C110" s="246"/>
      <c r="D110" s="246"/>
      <c r="E110" s="246"/>
      <c r="F110" s="240"/>
      <c r="G110" s="240"/>
      <c r="H110" s="69"/>
      <c r="I110" s="69"/>
      <c r="J110" s="69"/>
      <c r="K110" s="69"/>
      <c r="L110" s="69"/>
    </row>
    <row r="111" spans="1:12" x14ac:dyDescent="0.25">
      <c r="A111" s="69"/>
      <c r="B111" s="243"/>
      <c r="C111" s="246"/>
      <c r="D111" s="246"/>
      <c r="E111" s="246"/>
      <c r="F111" s="240"/>
      <c r="G111" s="240"/>
      <c r="H111" s="69"/>
      <c r="I111" s="69"/>
      <c r="J111" s="69"/>
      <c r="K111" s="69"/>
      <c r="L111" s="69"/>
    </row>
    <row r="112" spans="1:12" x14ac:dyDescent="0.25">
      <c r="A112" s="69"/>
      <c r="B112" s="260"/>
      <c r="C112" s="250"/>
      <c r="D112" s="250"/>
      <c r="E112" s="250"/>
      <c r="F112" s="261"/>
      <c r="G112" s="261"/>
      <c r="H112" s="69"/>
      <c r="I112" s="69"/>
      <c r="J112" s="69"/>
      <c r="K112" s="69"/>
      <c r="L112" s="69"/>
    </row>
    <row r="113" spans="2:7" x14ac:dyDescent="0.25">
      <c r="B113" s="68"/>
      <c r="C113" s="68"/>
      <c r="D113" s="68"/>
      <c r="E113" s="68"/>
      <c r="F113" s="68"/>
      <c r="G113" s="68"/>
    </row>
  </sheetData>
  <mergeCells count="4">
    <mergeCell ref="B43:G43"/>
    <mergeCell ref="B1:H1"/>
    <mergeCell ref="B21:H21"/>
    <mergeCell ref="B22:I22"/>
  </mergeCells>
  <pageMargins left="0.25" right="0.25" top="0.75" bottom="0.75" header="0.3" footer="0.3"/>
  <pageSetup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opLeftCell="A22" workbookViewId="0">
      <selection activeCell="F50" sqref="F50"/>
    </sheetView>
  </sheetViews>
  <sheetFormatPr defaultRowHeight="12.75" x14ac:dyDescent="0.2"/>
  <cols>
    <col min="1" max="1" width="7.5703125" customWidth="1"/>
    <col min="2" max="2" width="24.42578125" customWidth="1"/>
    <col min="3" max="10" width="15.85546875" customWidth="1"/>
    <col min="12" max="12" width="9.28515625" bestFit="1" customWidth="1"/>
  </cols>
  <sheetData>
    <row r="1" spans="1:12" s="25" customFormat="1" ht="15.75" x14ac:dyDescent="0.25">
      <c r="A1" s="1" t="s">
        <v>0</v>
      </c>
      <c r="B1" s="74"/>
      <c r="C1" s="75"/>
      <c r="D1" s="74"/>
      <c r="E1" s="75"/>
      <c r="F1" s="76"/>
      <c r="G1" s="75"/>
    </row>
    <row r="2" spans="1:12" s="25" customFormat="1" ht="15" x14ac:dyDescent="0.2">
      <c r="A2" s="4" t="s">
        <v>1</v>
      </c>
      <c r="B2" s="77"/>
      <c r="C2" s="78"/>
      <c r="D2" s="77"/>
      <c r="E2" s="78"/>
      <c r="F2" s="8"/>
      <c r="G2" s="78"/>
    </row>
    <row r="3" spans="1:12" s="25" customFormat="1" ht="15" x14ac:dyDescent="0.2">
      <c r="A3" s="4" t="s">
        <v>2</v>
      </c>
      <c r="B3" s="77"/>
      <c r="C3" s="78"/>
      <c r="D3" s="77"/>
      <c r="E3" s="78"/>
      <c r="F3" s="8"/>
      <c r="G3" s="78"/>
    </row>
    <row r="4" spans="1:12" s="25" customFormat="1" ht="15" x14ac:dyDescent="0.2">
      <c r="A4" s="79"/>
      <c r="B4" s="80"/>
      <c r="C4" s="11"/>
      <c r="D4" s="12"/>
      <c r="E4" s="11"/>
      <c r="F4" s="13"/>
      <c r="G4" s="11"/>
    </row>
    <row r="5" spans="1:12" x14ac:dyDescent="0.2">
      <c r="A5" s="14"/>
      <c r="B5" s="10"/>
      <c r="C5" s="11"/>
      <c r="D5" s="12"/>
      <c r="E5" s="11"/>
      <c r="F5" s="13"/>
      <c r="G5" s="11"/>
    </row>
    <row r="6" spans="1:12" s="82" customFormat="1" ht="25.5" x14ac:dyDescent="0.2">
      <c r="A6" s="264"/>
      <c r="B6" s="81" t="s">
        <v>24</v>
      </c>
      <c r="C6" s="81" t="s">
        <v>25</v>
      </c>
      <c r="D6" s="81" t="s">
        <v>26</v>
      </c>
      <c r="E6" s="81" t="s">
        <v>27</v>
      </c>
      <c r="F6" s="81" t="s">
        <v>28</v>
      </c>
      <c r="G6" s="81" t="s">
        <v>29</v>
      </c>
      <c r="H6" s="81" t="s">
        <v>30</v>
      </c>
      <c r="I6" s="81" t="s">
        <v>31</v>
      </c>
      <c r="J6" s="81" t="s">
        <v>32</v>
      </c>
    </row>
    <row r="7" spans="1:12" ht="12.75" customHeight="1" x14ac:dyDescent="0.2">
      <c r="A7" s="289" t="s">
        <v>33</v>
      </c>
      <c r="B7" s="83" t="s">
        <v>34</v>
      </c>
      <c r="C7" s="266">
        <v>6002.18</v>
      </c>
      <c r="D7" s="266">
        <f>6240.3+1682</f>
        <v>7922.3</v>
      </c>
      <c r="E7" s="272">
        <f>7917.71+2535</f>
        <v>10452.709999999999</v>
      </c>
      <c r="F7" s="266">
        <v>16752</v>
      </c>
      <c r="G7" s="266">
        <f t="shared" ref="G7:G13" si="0">+C7*2000/F7</f>
        <v>716.59264565425019</v>
      </c>
      <c r="H7" s="266">
        <f t="shared" ref="H7:H13" si="1">+D7*2000/F7</f>
        <v>945.83333333333337</v>
      </c>
      <c r="I7" s="88">
        <f t="shared" ref="I7:I13" si="2">+G7+H7</f>
        <v>1662.4259789875837</v>
      </c>
      <c r="J7" s="87">
        <f>SUM(C7)/SUM(C7,E7)</f>
        <v>0.36476573225345171</v>
      </c>
      <c r="L7" s="88"/>
    </row>
    <row r="8" spans="1:12" x14ac:dyDescent="0.2">
      <c r="A8" s="290"/>
      <c r="B8" s="83" t="s">
        <v>35</v>
      </c>
      <c r="C8" s="266">
        <f>SUM('[3]Tons - diverted'!E11:E14)+SUM('[3]recycle May 2012-April 2013'!D14:D21)</f>
        <v>6103.5973007170878</v>
      </c>
      <c r="D8" s="266">
        <f>+SUM('[3]Tons - diverted'!D11:D14)+SUM('[3]yw May 2012-April 2013'!D14:D21)</f>
        <v>8824.3749273440462</v>
      </c>
      <c r="E8" s="272">
        <f>SUM('[3]Tons - diverted'!C11:C14)+SUM('[3]garbage May 2012-April 2013'!D14:D21)</f>
        <v>10980.656248835538</v>
      </c>
      <c r="F8" s="266">
        <v>16753</v>
      </c>
      <c r="G8" s="266">
        <f t="shared" si="0"/>
        <v>728.65723162622669</v>
      </c>
      <c r="H8" s="266">
        <f t="shared" si="1"/>
        <v>1053.4680269019336</v>
      </c>
      <c r="I8" s="88">
        <f t="shared" si="2"/>
        <v>1782.1252585281604</v>
      </c>
      <c r="J8" s="87">
        <f t="shared" ref="J8:J12" si="3">SUM(C8)/SUM(C8,E8)</f>
        <v>0.35726449991003084</v>
      </c>
      <c r="L8" s="88"/>
    </row>
    <row r="9" spans="1:12" x14ac:dyDescent="0.2">
      <c r="A9" s="290"/>
      <c r="B9" s="83" t="s">
        <v>41</v>
      </c>
      <c r="C9" s="270">
        <f>1529.98+1974.01</f>
        <v>3503.99</v>
      </c>
      <c r="D9" s="270">
        <f>2045.88+2103.64</f>
        <v>4149.5200000000004</v>
      </c>
      <c r="E9" s="273">
        <f>2693.2+3467</f>
        <v>6160.2</v>
      </c>
      <c r="F9" s="272">
        <v>16749</v>
      </c>
      <c r="G9" s="266">
        <f t="shared" si="0"/>
        <v>418.41184548331245</v>
      </c>
      <c r="H9" s="266">
        <f t="shared" si="1"/>
        <v>495.49465639739691</v>
      </c>
      <c r="I9" s="88">
        <f t="shared" si="2"/>
        <v>913.90650188070936</v>
      </c>
      <c r="J9" s="87">
        <f t="shared" si="3"/>
        <v>0.36257461825564274</v>
      </c>
      <c r="L9" s="88"/>
    </row>
    <row r="10" spans="1:12" x14ac:dyDescent="0.2">
      <c r="A10" s="290"/>
      <c r="B10" s="101" t="s">
        <v>42</v>
      </c>
      <c r="C10" s="265">
        <f>SUM('[3]Tons - diverted'!E3:E14)</f>
        <v>6006.18</v>
      </c>
      <c r="D10" s="265">
        <f>+'[3]Tons - diverted'!D15</f>
        <v>8826.0299999999988</v>
      </c>
      <c r="E10" s="265">
        <f>+'[3]Tons - diverted'!C15</f>
        <v>10893.269999999999</v>
      </c>
      <c r="F10" s="274">
        <f>+F9</f>
        <v>16749</v>
      </c>
      <c r="G10" s="265">
        <f t="shared" si="0"/>
        <v>717.1986387247</v>
      </c>
      <c r="H10" s="265">
        <f t="shared" si="1"/>
        <v>1053.9172487909723</v>
      </c>
      <c r="I10" s="275">
        <f t="shared" si="2"/>
        <v>1771.1158875156723</v>
      </c>
      <c r="J10" s="87">
        <f t="shared" si="3"/>
        <v>0.35540683276674695</v>
      </c>
      <c r="L10" s="88"/>
    </row>
    <row r="11" spans="1:12" x14ac:dyDescent="0.2">
      <c r="A11" s="290"/>
      <c r="B11" s="101" t="s">
        <v>43</v>
      </c>
      <c r="C11" s="265">
        <f>SUM('[3]recycle May 2012-April 2013'!D14:D25)</f>
        <v>6136.687300717088</v>
      </c>
      <c r="D11" s="265">
        <f>SUM('[3]yw May 2012-April 2013'!D14:D25)</f>
        <v>8964.8049273440465</v>
      </c>
      <c r="E11" s="265">
        <f>+SUM('[3]garbage May 2012-April 2013'!D14:D25)</f>
        <v>11024.556248835537</v>
      </c>
      <c r="F11" s="274">
        <v>16888</v>
      </c>
      <c r="G11" s="265">
        <f t="shared" si="0"/>
        <v>726.75121988596504</v>
      </c>
      <c r="H11" s="265">
        <f t="shared" si="1"/>
        <v>1061.6775138967369</v>
      </c>
      <c r="I11" s="275">
        <f t="shared" si="2"/>
        <v>1788.4287337827018</v>
      </c>
      <c r="J11" s="87">
        <f t="shared" si="3"/>
        <v>0.35758989626815618</v>
      </c>
      <c r="L11" s="88"/>
    </row>
    <row r="12" spans="1:12" x14ac:dyDescent="0.2">
      <c r="A12" s="290"/>
      <c r="B12" s="101" t="s">
        <v>40</v>
      </c>
      <c r="C12" s="265">
        <v>6141.5</v>
      </c>
      <c r="D12" s="265">
        <v>8741.1020000000008</v>
      </c>
      <c r="E12" s="265">
        <v>11091</v>
      </c>
      <c r="F12" s="274">
        <v>17158</v>
      </c>
      <c r="G12" s="265">
        <f t="shared" si="0"/>
        <v>715.87597622100475</v>
      </c>
      <c r="H12" s="265">
        <f t="shared" si="1"/>
        <v>1018.8952092318452</v>
      </c>
      <c r="I12" s="275">
        <f t="shared" si="2"/>
        <v>1734.77118545285</v>
      </c>
      <c r="J12" s="87">
        <f t="shared" si="3"/>
        <v>0.35639054112868129</v>
      </c>
      <c r="L12" s="88"/>
    </row>
    <row r="13" spans="1:12" x14ac:dyDescent="0.2">
      <c r="A13" s="290"/>
      <c r="B13" s="101" t="s">
        <v>118</v>
      </c>
      <c r="C13" s="265">
        <f>'SF 14-15'!S5</f>
        <v>6138.2085542354935</v>
      </c>
      <c r="D13" s="265">
        <f>'SF 14-15'!T5</f>
        <v>8978.2109535185082</v>
      </c>
      <c r="E13" s="265">
        <f>'SF 14-15'!R5</f>
        <v>11093.489104223634</v>
      </c>
      <c r="F13" s="274">
        <f>'SF 14-15'!Q5</f>
        <v>17579</v>
      </c>
      <c r="G13" s="265">
        <f t="shared" si="0"/>
        <v>698.35696617958854</v>
      </c>
      <c r="H13" s="265">
        <f t="shared" si="1"/>
        <v>1021.4700442025721</v>
      </c>
      <c r="I13" s="275">
        <f t="shared" si="2"/>
        <v>1719.8270103821606</v>
      </c>
      <c r="J13" s="87">
        <f>SUM(C13)/SUM(C13,E13)</f>
        <v>0.35621612425530319</v>
      </c>
      <c r="L13" s="88"/>
    </row>
    <row r="14" spans="1:12" x14ac:dyDescent="0.2">
      <c r="A14" s="290"/>
      <c r="B14" s="101" t="s">
        <v>123</v>
      </c>
      <c r="C14" s="265">
        <f>[4]Sno!$Q$8</f>
        <v>6207.2288275102374</v>
      </c>
      <c r="D14" s="265">
        <f>[4]Sno!$R$8</f>
        <v>8975.5987615842823</v>
      </c>
      <c r="E14" s="265">
        <f>[4]Sno!$P$8</f>
        <v>11532.107077510549</v>
      </c>
      <c r="F14" s="274">
        <f>[4]Sno!$O$8</f>
        <v>17762</v>
      </c>
      <c r="G14" s="265">
        <f>+C14*2000/F14</f>
        <v>698.93354661752483</v>
      </c>
      <c r="H14" s="265">
        <f>+D14*2000/F14</f>
        <v>1010.6518141633017</v>
      </c>
      <c r="I14" s="275">
        <f>+G14+H14</f>
        <v>1709.5853607808265</v>
      </c>
      <c r="J14" s="87">
        <f>SUM(C14)/SUM(C14,E14)</f>
        <v>0.34991325835108616</v>
      </c>
      <c r="L14" s="88"/>
    </row>
    <row r="15" spans="1:12" x14ac:dyDescent="0.2">
      <c r="A15" s="290"/>
      <c r="B15" s="89" t="s">
        <v>102</v>
      </c>
      <c r="C15" s="90" t="s">
        <v>36</v>
      </c>
      <c r="D15" s="90" t="s">
        <v>36</v>
      </c>
      <c r="E15" s="90" t="s">
        <v>36</v>
      </c>
      <c r="F15" s="90" t="s">
        <v>36</v>
      </c>
      <c r="G15" s="90" t="s">
        <v>36</v>
      </c>
      <c r="H15" s="90" t="s">
        <v>36</v>
      </c>
      <c r="I15" s="90" t="s">
        <v>36</v>
      </c>
      <c r="J15" s="90" t="s">
        <v>36</v>
      </c>
      <c r="L15" s="88"/>
    </row>
    <row r="16" spans="1:12" x14ac:dyDescent="0.2">
      <c r="A16" s="290"/>
      <c r="B16" s="109" t="s">
        <v>127</v>
      </c>
      <c r="C16" s="114">
        <v>6619.11</v>
      </c>
      <c r="D16" s="114">
        <v>8159.39</v>
      </c>
      <c r="E16" s="114">
        <v>12150.79</v>
      </c>
      <c r="F16" s="111">
        <v>17984</v>
      </c>
      <c r="G16" s="112">
        <f>+C16*2000/F16</f>
        <v>736.11098754448403</v>
      </c>
      <c r="H16" s="112">
        <f>+D16*2000/F16</f>
        <v>907.40547153024909</v>
      </c>
      <c r="I16" s="112">
        <f>+G16+H16</f>
        <v>1643.5164590747331</v>
      </c>
      <c r="J16" s="94">
        <f>SUM(C16)/SUM(C16,E16)</f>
        <v>0.35264492618500892</v>
      </c>
    </row>
    <row r="17" spans="1:12" x14ac:dyDescent="0.2">
      <c r="A17" s="291"/>
      <c r="B17" s="109" t="s">
        <v>135</v>
      </c>
      <c r="C17" s="114">
        <v>6580.4</v>
      </c>
      <c r="D17" s="114">
        <v>9007.27</v>
      </c>
      <c r="E17" s="114">
        <v>12657.57</v>
      </c>
      <c r="F17" s="277">
        <v>18372</v>
      </c>
      <c r="G17" s="112">
        <f>+C17*2000/F17</f>
        <v>716.3509688656651</v>
      </c>
      <c r="H17" s="112">
        <f>+D17*2000/F17</f>
        <v>980.54321794034399</v>
      </c>
      <c r="I17" s="112">
        <f>+G17+H17</f>
        <v>1696.8941868060092</v>
      </c>
      <c r="J17" s="94">
        <f>SUM(C17)/SUM(C17,E17)</f>
        <v>0.34205272177885709</v>
      </c>
    </row>
    <row r="18" spans="1:12" x14ac:dyDescent="0.2">
      <c r="C18" s="95"/>
    </row>
    <row r="20" spans="1:12" x14ac:dyDescent="0.2">
      <c r="A20" s="96"/>
      <c r="B20" s="96"/>
      <c r="C20" s="97" t="s">
        <v>25</v>
      </c>
      <c r="D20" s="97" t="s">
        <v>26</v>
      </c>
      <c r="E20" s="97" t="s">
        <v>27</v>
      </c>
      <c r="F20" s="97"/>
      <c r="G20" s="97"/>
      <c r="H20" s="97"/>
      <c r="I20" s="97"/>
      <c r="J20" s="97" t="s">
        <v>32</v>
      </c>
    </row>
    <row r="21" spans="1:12" ht="12.75" customHeight="1" x14ac:dyDescent="0.2">
      <c r="A21" s="289" t="s">
        <v>37</v>
      </c>
      <c r="B21" t="str">
        <f>B7</f>
        <v>1/1/2011 - 12/31/2011</v>
      </c>
      <c r="C21" s="270">
        <f>787.63+198.73</f>
        <v>986.36</v>
      </c>
      <c r="D21" s="98" t="s">
        <v>38</v>
      </c>
      <c r="E21" s="266">
        <f>3783.34+1165</f>
        <v>4948.34</v>
      </c>
      <c r="F21" s="85"/>
      <c r="G21" s="84"/>
      <c r="H21" s="84"/>
      <c r="I21" s="86"/>
      <c r="J21" s="87">
        <f>SUM(C21,)/SUM(C21,E21)</f>
        <v>0.16620216691660911</v>
      </c>
    </row>
    <row r="22" spans="1:12" x14ac:dyDescent="0.2">
      <c r="A22" s="290"/>
      <c r="B22" t="str">
        <f>B8</f>
        <v>1/1/2012 - 12/31/2012</v>
      </c>
      <c r="C22" s="270">
        <f>+SUM('[3]Tons - diverted'!K11:K14)+SUM('[3]recycle May 2012-April 2013'!D2:D9)</f>
        <v>1148.2398559606304</v>
      </c>
      <c r="D22" s="98" t="s">
        <v>38</v>
      </c>
      <c r="E22" s="266">
        <f>+SUM('[3]Tons - diverted'!I11:I14)+SUM('[3]garbage May 2012-April 2013'!D2:D9)</f>
        <v>5387.6582489931216</v>
      </c>
      <c r="F22" s="85"/>
      <c r="G22" s="84"/>
      <c r="H22" s="84"/>
      <c r="I22" s="86"/>
      <c r="J22" s="87">
        <f t="shared" ref="J22:J27" si="4">SUM(C22,)/SUM(C22,E22)</f>
        <v>0.1756820313784184</v>
      </c>
    </row>
    <row r="23" spans="1:12" x14ac:dyDescent="0.2">
      <c r="A23" s="290"/>
      <c r="B23" t="str">
        <f>B9</f>
        <v xml:space="preserve">1/1/2012 - 07/31/2012 </v>
      </c>
      <c r="C23" s="270">
        <f>283.72+364.2</f>
        <v>647.92000000000007</v>
      </c>
      <c r="D23" s="99" t="s">
        <v>38</v>
      </c>
      <c r="E23" s="270">
        <f>1254.01+1627.8</f>
        <v>2881.81</v>
      </c>
      <c r="F23" s="85"/>
      <c r="G23" s="84"/>
      <c r="H23" s="84"/>
      <c r="I23" s="86"/>
      <c r="J23" s="87">
        <f t="shared" si="4"/>
        <v>0.1835607822694654</v>
      </c>
    </row>
    <row r="24" spans="1:12" x14ac:dyDescent="0.2">
      <c r="A24" s="290"/>
      <c r="B24" s="101" t="str">
        <f>B10</f>
        <v xml:space="preserve">5/1/2011 - 4/30/2012 </v>
      </c>
      <c r="C24" s="265">
        <f>+'[3]Tons - diverted'!K15</f>
        <v>1074.3700000000001</v>
      </c>
      <c r="D24" s="121" t="s">
        <v>38</v>
      </c>
      <c r="E24" s="265">
        <f>+'[3]Tons - diverted'!I15</f>
        <v>5343.77</v>
      </c>
      <c r="F24" s="103"/>
      <c r="G24" s="102"/>
      <c r="H24" s="102"/>
      <c r="I24" s="104"/>
      <c r="J24" s="87">
        <f t="shared" si="4"/>
        <v>0.16739584988797379</v>
      </c>
    </row>
    <row r="25" spans="1:12" x14ac:dyDescent="0.2">
      <c r="A25" s="290"/>
      <c r="B25" s="101" t="str">
        <f>B11</f>
        <v xml:space="preserve">5/1/2012 - 4/30/2013 </v>
      </c>
      <c r="C25" s="265">
        <f>SUM('[3]recycle May 2012-April 2013'!D2:D13)</f>
        <v>1170.6598559606302</v>
      </c>
      <c r="D25" s="121" t="s">
        <v>38</v>
      </c>
      <c r="E25" s="265">
        <f>+SUM('[3]garbage May 2012-April 2013'!D2:D13)</f>
        <v>5106.2782489931215</v>
      </c>
      <c r="F25" s="103"/>
      <c r="G25" s="102"/>
      <c r="H25" s="102"/>
      <c r="I25" s="104"/>
      <c r="J25" s="87">
        <f t="shared" si="4"/>
        <v>0.18650173641775231</v>
      </c>
    </row>
    <row r="26" spans="1:12" x14ac:dyDescent="0.2">
      <c r="A26" s="290"/>
      <c r="B26" s="101" t="s">
        <v>40</v>
      </c>
      <c r="C26" s="265">
        <v>1072.9000000000001</v>
      </c>
      <c r="D26" s="121" t="s">
        <v>38</v>
      </c>
      <c r="E26" s="265">
        <v>4947.18</v>
      </c>
      <c r="F26" s="103"/>
      <c r="G26" s="102"/>
      <c r="H26" s="102"/>
      <c r="I26" s="104"/>
      <c r="J26" s="87">
        <f t="shared" si="4"/>
        <v>0.17822022298706997</v>
      </c>
    </row>
    <row r="27" spans="1:12" x14ac:dyDescent="0.2">
      <c r="A27" s="290"/>
      <c r="B27" s="101" t="s">
        <v>118</v>
      </c>
      <c r="C27" s="265">
        <f>'MF 14-15'!R4</f>
        <v>1100.3423546543941</v>
      </c>
      <c r="D27" s="121"/>
      <c r="E27" s="265">
        <f>'MF 14-15'!Q4</f>
        <v>5177.0476614732543</v>
      </c>
      <c r="F27" s="103"/>
      <c r="G27" s="102"/>
      <c r="H27" s="102"/>
      <c r="I27" s="104"/>
      <c r="J27" s="87">
        <f t="shared" si="4"/>
        <v>0.17528660029525542</v>
      </c>
    </row>
    <row r="28" spans="1:12" x14ac:dyDescent="0.2">
      <c r="A28" s="290"/>
      <c r="B28" s="101" t="s">
        <v>123</v>
      </c>
      <c r="C28" s="265">
        <f>[4]Sno!$P$15</f>
        <v>1135.4176245272924</v>
      </c>
      <c r="D28" s="265">
        <f>[4]Sno!$R$15</f>
        <v>41.473169038912793</v>
      </c>
      <c r="E28" s="265">
        <f>[4]Sno!$Q$15</f>
        <v>5663.1341197917636</v>
      </c>
      <c r="F28" s="103"/>
      <c r="G28" s="102"/>
      <c r="H28" s="102"/>
      <c r="I28" s="104"/>
      <c r="J28" s="87">
        <f>SUM(C28,)/SUM(C28,E28)</f>
        <v>0.16700874939667257</v>
      </c>
    </row>
    <row r="29" spans="1:12" x14ac:dyDescent="0.2">
      <c r="A29" s="290"/>
      <c r="B29" s="89" t="str">
        <f>B15</f>
        <v>For Reporting Period Incentive:</v>
      </c>
      <c r="C29" s="90" t="s">
        <v>36</v>
      </c>
      <c r="D29" s="90" t="s">
        <v>36</v>
      </c>
      <c r="E29" s="267" t="s">
        <v>36</v>
      </c>
      <c r="F29" s="92"/>
      <c r="G29" s="91"/>
      <c r="H29" s="91"/>
      <c r="I29" s="93"/>
      <c r="J29" s="90" t="s">
        <v>36</v>
      </c>
    </row>
    <row r="30" spans="1:12" x14ac:dyDescent="0.2">
      <c r="A30" s="290"/>
      <c r="B30" s="110" t="s">
        <v>127</v>
      </c>
      <c r="C30" s="114">
        <v>1029.55</v>
      </c>
      <c r="D30" s="213">
        <v>27.62</v>
      </c>
      <c r="E30" s="271">
        <v>5085.72</v>
      </c>
      <c r="F30" s="110"/>
      <c r="G30" s="110"/>
      <c r="H30" s="110"/>
      <c r="I30" s="110"/>
      <c r="J30" s="113">
        <f>SUM(C30)/SUM(C30,E30)</f>
        <v>0.16835724342506544</v>
      </c>
      <c r="L30" s="88"/>
    </row>
    <row r="31" spans="1:12" x14ac:dyDescent="0.2">
      <c r="A31" s="291"/>
      <c r="B31" s="109" t="s">
        <v>135</v>
      </c>
      <c r="C31" s="114">
        <v>1057.8499999999999</v>
      </c>
      <c r="D31" s="213">
        <v>47.73</v>
      </c>
      <c r="E31" s="271">
        <v>5189.07</v>
      </c>
      <c r="J31" s="113">
        <f>SUM(C31)/SUM(C31,E31)</f>
        <v>0.16933945048119711</v>
      </c>
    </row>
    <row r="35" spans="1:12" x14ac:dyDescent="0.2">
      <c r="A35" s="96"/>
      <c r="B35" s="96"/>
      <c r="C35" s="97" t="s">
        <v>25</v>
      </c>
      <c r="D35" s="97" t="s">
        <v>26</v>
      </c>
      <c r="E35" s="97" t="s">
        <v>27</v>
      </c>
      <c r="F35" s="97"/>
      <c r="G35" s="97"/>
      <c r="H35" s="97"/>
      <c r="I35" s="97"/>
      <c r="J35" s="97" t="s">
        <v>32</v>
      </c>
    </row>
    <row r="36" spans="1:12" x14ac:dyDescent="0.2">
      <c r="A36" s="289" t="s">
        <v>39</v>
      </c>
      <c r="B36" t="str">
        <f>B21</f>
        <v>1/1/2011 - 12/31/2011</v>
      </c>
      <c r="C36" s="266">
        <f t="shared" ref="C36:C43" si="5">+C7+C21</f>
        <v>6988.54</v>
      </c>
      <c r="D36" s="266">
        <f t="shared" ref="D36:D42" si="6">+D7</f>
        <v>7922.3</v>
      </c>
      <c r="E36" s="266">
        <f t="shared" ref="E36:E43" si="7">+E7+E21</f>
        <v>15401.05</v>
      </c>
      <c r="F36" s="85"/>
      <c r="G36" s="84"/>
      <c r="H36" s="84"/>
      <c r="I36" s="86"/>
      <c r="J36" s="87">
        <f>SUM(C36)/SUM(C36,E36)</f>
        <v>0.31213345130482512</v>
      </c>
    </row>
    <row r="37" spans="1:12" x14ac:dyDescent="0.2">
      <c r="A37" s="290"/>
      <c r="B37" t="str">
        <f>B22</f>
        <v>1/1/2012 - 12/31/2012</v>
      </c>
      <c r="C37" s="266">
        <f t="shared" si="5"/>
        <v>7251.8371566777187</v>
      </c>
      <c r="D37" s="266">
        <f t="shared" si="6"/>
        <v>8824.3749273440462</v>
      </c>
      <c r="E37" s="266">
        <f t="shared" si="7"/>
        <v>16368.314497828658</v>
      </c>
      <c r="F37" s="85"/>
      <c r="G37" s="84"/>
      <c r="H37" s="84"/>
      <c r="I37" s="86"/>
      <c r="J37" s="87">
        <f t="shared" ref="J37:J42" si="8">SUM(C37)/SUM(C37,E37)</f>
        <v>0.30701907687769542</v>
      </c>
    </row>
    <row r="38" spans="1:12" x14ac:dyDescent="0.2">
      <c r="A38" s="290"/>
      <c r="B38" t="str">
        <f>B23</f>
        <v xml:space="preserve">1/1/2012 - 07/31/2012 </v>
      </c>
      <c r="C38" s="266">
        <f t="shared" si="5"/>
        <v>4151.91</v>
      </c>
      <c r="D38" s="266">
        <f t="shared" si="6"/>
        <v>4149.5200000000004</v>
      </c>
      <c r="E38" s="266">
        <f t="shared" si="7"/>
        <v>9042.01</v>
      </c>
      <c r="F38" s="85"/>
      <c r="G38" s="84"/>
      <c r="H38" s="84"/>
      <c r="I38" s="86"/>
      <c r="J38" s="87">
        <f t="shared" si="8"/>
        <v>0.3146835815284616</v>
      </c>
    </row>
    <row r="39" spans="1:12" x14ac:dyDescent="0.2">
      <c r="A39" s="290"/>
      <c r="B39" s="101" t="str">
        <f>B24</f>
        <v xml:space="preserve">5/1/2011 - 4/30/2012 </v>
      </c>
      <c r="C39" s="265">
        <f t="shared" si="5"/>
        <v>7080.55</v>
      </c>
      <c r="D39" s="265">
        <f t="shared" si="6"/>
        <v>8826.0299999999988</v>
      </c>
      <c r="E39" s="265">
        <f t="shared" si="7"/>
        <v>16237.039999999999</v>
      </c>
      <c r="F39" s="103"/>
      <c r="G39" s="102"/>
      <c r="H39" s="102"/>
      <c r="I39" s="104"/>
      <c r="J39" s="87">
        <f t="shared" si="8"/>
        <v>0.30365702458959093</v>
      </c>
    </row>
    <row r="40" spans="1:12" x14ac:dyDescent="0.2">
      <c r="A40" s="290"/>
      <c r="B40" s="101" t="str">
        <f>B25</f>
        <v xml:space="preserve">5/1/2012 - 4/30/2013 </v>
      </c>
      <c r="C40" s="265">
        <f t="shared" si="5"/>
        <v>7307.347156677718</v>
      </c>
      <c r="D40" s="265">
        <f t="shared" si="6"/>
        <v>8964.8049273440465</v>
      </c>
      <c r="E40" s="265">
        <f t="shared" si="7"/>
        <v>16130.834497828659</v>
      </c>
      <c r="F40" s="103"/>
      <c r="G40" s="102"/>
      <c r="H40" s="102"/>
      <c r="I40" s="104"/>
      <c r="J40" s="87">
        <f t="shared" si="8"/>
        <v>0.31177107782474928</v>
      </c>
    </row>
    <row r="41" spans="1:12" x14ac:dyDescent="0.2">
      <c r="A41" s="290"/>
      <c r="B41" s="101" t="s">
        <v>40</v>
      </c>
      <c r="C41" s="265">
        <f t="shared" si="5"/>
        <v>7214.4</v>
      </c>
      <c r="D41" s="265">
        <f t="shared" si="6"/>
        <v>8741.1020000000008</v>
      </c>
      <c r="E41" s="265">
        <f t="shared" si="7"/>
        <v>16038.18</v>
      </c>
      <c r="F41" s="103"/>
      <c r="G41" s="102"/>
      <c r="H41" s="102"/>
      <c r="I41" s="104"/>
      <c r="J41" s="87">
        <f t="shared" si="8"/>
        <v>0.31026234508170702</v>
      </c>
    </row>
    <row r="42" spans="1:12" x14ac:dyDescent="0.2">
      <c r="A42" s="290"/>
      <c r="B42" s="101" t="s">
        <v>118</v>
      </c>
      <c r="C42" s="265">
        <f t="shared" si="5"/>
        <v>7238.5509088898871</v>
      </c>
      <c r="D42" s="265">
        <f t="shared" si="6"/>
        <v>8978.2109535185082</v>
      </c>
      <c r="E42" s="265">
        <f t="shared" si="7"/>
        <v>16270.536765696888</v>
      </c>
      <c r="F42" s="103"/>
      <c r="G42" s="102"/>
      <c r="H42" s="102"/>
      <c r="I42" s="104"/>
      <c r="J42" s="87">
        <f t="shared" si="8"/>
        <v>0.30790437336769688</v>
      </c>
    </row>
    <row r="43" spans="1:12" x14ac:dyDescent="0.2">
      <c r="A43" s="290"/>
      <c r="B43" s="101" t="s">
        <v>123</v>
      </c>
      <c r="C43" s="265">
        <f t="shared" si="5"/>
        <v>7342.6464520375303</v>
      </c>
      <c r="D43" s="265">
        <f>+D14+D28</f>
        <v>9017.0719306231949</v>
      </c>
      <c r="E43" s="265">
        <f t="shared" si="7"/>
        <v>17195.241197302312</v>
      </c>
      <c r="F43" s="103"/>
      <c r="G43" s="102"/>
      <c r="H43" s="102"/>
      <c r="I43" s="104"/>
      <c r="J43" s="87">
        <f>SUM(C43)/SUM(C43,E43)</f>
        <v>0.29923710455309194</v>
      </c>
    </row>
    <row r="44" spans="1:12" x14ac:dyDescent="0.2">
      <c r="A44" s="290"/>
      <c r="B44" s="89" t="str">
        <f t="shared" ref="B44" si="9">B29</f>
        <v>For Reporting Period Incentive:</v>
      </c>
      <c r="C44" s="267" t="s">
        <v>36</v>
      </c>
      <c r="D44" s="267" t="s">
        <v>36</v>
      </c>
      <c r="E44" s="267" t="s">
        <v>36</v>
      </c>
      <c r="F44" s="92"/>
      <c r="G44" s="91"/>
      <c r="H44" s="91"/>
      <c r="I44" s="93"/>
      <c r="J44" s="90" t="s">
        <v>36</v>
      </c>
    </row>
    <row r="45" spans="1:12" x14ac:dyDescent="0.2">
      <c r="A45" s="290"/>
      <c r="B45" s="89" t="s">
        <v>127</v>
      </c>
      <c r="C45" s="268">
        <f>+C16+C30</f>
        <v>7648.66</v>
      </c>
      <c r="D45" s="268">
        <f>+D16+D30</f>
        <v>8187.01</v>
      </c>
      <c r="E45" s="269">
        <f>+E16+E30</f>
        <v>17236.510000000002</v>
      </c>
      <c r="J45" s="113">
        <f>SUM(C45,D45)/SUM(C45,E45,D45)</f>
        <v>0.47882147472588743</v>
      </c>
      <c r="L45" s="88"/>
    </row>
    <row r="46" spans="1:12" x14ac:dyDescent="0.2">
      <c r="A46" s="291"/>
      <c r="B46" s="89" t="s">
        <v>135</v>
      </c>
      <c r="C46" s="268">
        <f>SUM(C17,C31)</f>
        <v>7638.25</v>
      </c>
      <c r="D46" s="268">
        <f>SUM(D17,D31)</f>
        <v>9055</v>
      </c>
      <c r="E46" s="269">
        <f>SUM(E17,E31)</f>
        <v>17846.64</v>
      </c>
      <c r="J46" s="113">
        <f>SUM(C46,D46)/SUM(C46,E46,D46)</f>
        <v>0.48330350791505128</v>
      </c>
    </row>
    <row r="47" spans="1:12" x14ac:dyDescent="0.2">
      <c r="D47" s="93"/>
      <c r="J47" s="263"/>
    </row>
    <row r="49" spans="2:9" x14ac:dyDescent="0.2">
      <c r="B49" s="184"/>
      <c r="C49" s="184"/>
      <c r="D49" s="184"/>
      <c r="E49" s="185"/>
      <c r="F49" s="184"/>
      <c r="G49" s="184"/>
      <c r="H49" s="184"/>
      <c r="I49" s="184"/>
    </row>
    <row r="50" spans="2:9" x14ac:dyDescent="0.2">
      <c r="B50" s="184"/>
      <c r="C50" s="186"/>
      <c r="D50" s="187"/>
      <c r="E50" s="188"/>
      <c r="F50" s="184"/>
      <c r="G50" s="184"/>
      <c r="H50" s="184"/>
      <c r="I50" s="184"/>
    </row>
    <row r="51" spans="2:9" x14ac:dyDescent="0.2">
      <c r="B51" s="184"/>
      <c r="C51" s="186"/>
      <c r="D51" s="187"/>
      <c r="E51" s="188"/>
      <c r="F51" s="184"/>
      <c r="G51" s="184"/>
      <c r="H51" s="184"/>
      <c r="I51" s="184"/>
    </row>
    <row r="52" spans="2:9" x14ac:dyDescent="0.2">
      <c r="B52" s="184"/>
      <c r="C52" s="189"/>
      <c r="D52" s="190"/>
      <c r="E52" s="184"/>
      <c r="F52" s="184"/>
      <c r="G52" s="184"/>
      <c r="H52" s="184"/>
      <c r="I52" s="184"/>
    </row>
    <row r="53" spans="2:9" x14ac:dyDescent="0.2">
      <c r="B53" s="184"/>
      <c r="C53" s="184"/>
      <c r="D53" s="184"/>
      <c r="E53" s="184"/>
      <c r="F53" s="184"/>
      <c r="G53" s="184"/>
      <c r="H53" s="184"/>
      <c r="I53" s="184"/>
    </row>
    <row r="54" spans="2:9" x14ac:dyDescent="0.2">
      <c r="B54" s="191"/>
      <c r="C54" s="184"/>
      <c r="D54" s="184"/>
      <c r="E54" s="184"/>
      <c r="F54" s="184"/>
      <c r="G54" s="184"/>
      <c r="H54" s="184"/>
      <c r="I54" s="184"/>
    </row>
    <row r="55" spans="2:9" x14ac:dyDescent="0.2">
      <c r="B55" s="100"/>
    </row>
  </sheetData>
  <mergeCells count="3">
    <mergeCell ref="A21:A31"/>
    <mergeCell ref="A36:A46"/>
    <mergeCell ref="A7:A17"/>
  </mergeCells>
  <pageMargins left="0.7" right="0.7" top="0.75" bottom="0.75" header="0.3" footer="0.3"/>
  <pageSetup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opLeftCell="A4" workbookViewId="0">
      <selection activeCell="A55" sqref="A55"/>
    </sheetView>
  </sheetViews>
  <sheetFormatPr defaultRowHeight="12.75" x14ac:dyDescent="0.2"/>
  <cols>
    <col min="1" max="1" width="60.85546875" style="25" bestFit="1" customWidth="1"/>
    <col min="2" max="2" width="18" style="30" bestFit="1" customWidth="1"/>
    <col min="3" max="3" width="9.140625" style="25"/>
    <col min="4" max="4" width="16.5703125" style="30" bestFit="1" customWidth="1"/>
    <col min="5" max="5" width="12.5703125" style="25" customWidth="1"/>
    <col min="6" max="6" width="16.7109375" style="124" customWidth="1"/>
    <col min="7" max="7" width="12.85546875" style="25" bestFit="1" customWidth="1"/>
    <col min="8" max="8" width="24.5703125" style="25" customWidth="1"/>
    <col min="9" max="16384" width="9.140625" style="25"/>
  </cols>
  <sheetData>
    <row r="1" spans="1:9" customFormat="1" ht="15.75" x14ac:dyDescent="0.25">
      <c r="A1" s="1" t="s">
        <v>0</v>
      </c>
      <c r="B1" s="2"/>
      <c r="C1" s="1"/>
      <c r="D1" s="2"/>
      <c r="E1" s="1"/>
      <c r="F1" s="3"/>
      <c r="G1" s="1"/>
    </row>
    <row r="2" spans="1:9" customFormat="1" ht="15" x14ac:dyDescent="0.2">
      <c r="A2" s="4" t="s">
        <v>1</v>
      </c>
      <c r="B2" s="5"/>
      <c r="C2" s="6"/>
      <c r="D2" s="7"/>
      <c r="E2" s="6"/>
      <c r="F2" s="8"/>
      <c r="G2" s="6"/>
    </row>
    <row r="3" spans="1:9" customFormat="1" ht="15" x14ac:dyDescent="0.2">
      <c r="A3" s="4" t="s">
        <v>109</v>
      </c>
      <c r="B3" s="5"/>
      <c r="C3" s="6"/>
      <c r="D3" s="7"/>
      <c r="E3" s="6"/>
      <c r="F3" s="8"/>
      <c r="G3" s="6"/>
    </row>
    <row r="4" spans="1:9" customFormat="1" ht="15" x14ac:dyDescent="0.2">
      <c r="A4" s="164" t="s">
        <v>108</v>
      </c>
      <c r="B4" s="10"/>
      <c r="C4" s="11"/>
      <c r="D4" s="12"/>
      <c r="E4" s="11"/>
      <c r="F4" s="13"/>
      <c r="G4" s="11"/>
    </row>
    <row r="5" spans="1:9" customFormat="1" ht="15" x14ac:dyDescent="0.2">
      <c r="A5" s="9" t="s">
        <v>137</v>
      </c>
      <c r="B5" s="10"/>
      <c r="C5" s="11"/>
      <c r="D5" s="12"/>
      <c r="E5" s="11"/>
      <c r="F5" s="13"/>
      <c r="G5" s="11"/>
    </row>
    <row r="6" spans="1:9" customFormat="1" x14ac:dyDescent="0.2">
      <c r="A6" s="14"/>
      <c r="B6" s="10"/>
      <c r="C6" s="11"/>
      <c r="D6" s="12"/>
      <c r="E6" s="11"/>
      <c r="F6" s="13"/>
      <c r="G6" s="11"/>
    </row>
    <row r="7" spans="1:9" ht="13.5" thickBot="1" x14ac:dyDescent="0.25">
      <c r="G7" s="105"/>
      <c r="H7" s="105"/>
    </row>
    <row r="8" spans="1:9" x14ac:dyDescent="0.2">
      <c r="A8" s="292" t="s">
        <v>88</v>
      </c>
      <c r="B8" s="293"/>
      <c r="C8" s="293"/>
      <c r="D8" s="293"/>
      <c r="E8" s="293"/>
      <c r="F8" s="294"/>
      <c r="G8" s="125"/>
      <c r="H8" s="125"/>
      <c r="I8" s="105"/>
    </row>
    <row r="9" spans="1:9" x14ac:dyDescent="0.2">
      <c r="A9" s="295"/>
      <c r="B9" s="296"/>
      <c r="C9" s="296"/>
      <c r="D9" s="296"/>
      <c r="E9" s="296"/>
      <c r="F9" s="297"/>
      <c r="G9" s="125"/>
      <c r="H9" s="125"/>
    </row>
    <row r="10" spans="1:9" x14ac:dyDescent="0.2">
      <c r="A10" s="295"/>
      <c r="B10" s="296"/>
      <c r="C10" s="296"/>
      <c r="D10" s="296"/>
      <c r="E10" s="296"/>
      <c r="F10" s="297"/>
      <c r="G10" s="125"/>
      <c r="H10" s="125"/>
    </row>
    <row r="11" spans="1:9" x14ac:dyDescent="0.2">
      <c r="A11" s="295"/>
      <c r="B11" s="296"/>
      <c r="C11" s="296"/>
      <c r="D11" s="296"/>
      <c r="E11" s="296"/>
      <c r="F11" s="297"/>
      <c r="G11" s="125"/>
      <c r="H11" s="125"/>
    </row>
    <row r="12" spans="1:9" x14ac:dyDescent="0.2">
      <c r="A12" s="295"/>
      <c r="B12" s="296"/>
      <c r="C12" s="296"/>
      <c r="D12" s="296"/>
      <c r="E12" s="296"/>
      <c r="F12" s="297"/>
      <c r="G12" s="125"/>
      <c r="H12" s="125"/>
    </row>
    <row r="13" spans="1:9" ht="13.5" thickBot="1" x14ac:dyDescent="0.25">
      <c r="A13" s="298"/>
      <c r="B13" s="299"/>
      <c r="C13" s="299"/>
      <c r="D13" s="299"/>
      <c r="E13" s="299"/>
      <c r="F13" s="300"/>
      <c r="G13" s="125"/>
      <c r="H13" s="125"/>
    </row>
    <row r="14" spans="1:9" customFormat="1" x14ac:dyDescent="0.2">
      <c r="A14" s="14"/>
      <c r="B14" s="10"/>
      <c r="C14" s="11"/>
      <c r="D14" s="12"/>
      <c r="E14" s="11"/>
      <c r="F14" s="13"/>
      <c r="G14" s="11"/>
    </row>
    <row r="15" spans="1:9" ht="15.75" x14ac:dyDescent="0.25">
      <c r="A15" s="126" t="s">
        <v>103</v>
      </c>
      <c r="B15" s="127"/>
      <c r="C15" s="128"/>
      <c r="D15" s="127"/>
      <c r="E15" s="128"/>
      <c r="F15" s="129"/>
      <c r="H15" s="130"/>
    </row>
    <row r="16" spans="1:9" x14ac:dyDescent="0.2">
      <c r="H16" s="131"/>
    </row>
    <row r="17" spans="1:8" ht="13.5" thickBot="1" x14ac:dyDescent="0.25">
      <c r="B17" s="24" t="s">
        <v>3</v>
      </c>
      <c r="C17" s="301" t="str">
        <f>TEXT(D22/$B$22,"00%")&amp;" Passed Back to Customers"</f>
        <v>50% Passed Back to Customers</v>
      </c>
      <c r="D17" s="301"/>
      <c r="E17" s="301"/>
      <c r="F17" s="27" t="str">
        <f>TEXT(F22/$B$22,"00%")&amp;" Retained"</f>
        <v>50% Retained</v>
      </c>
      <c r="H17" s="132"/>
    </row>
    <row r="18" spans="1:8" x14ac:dyDescent="0.2">
      <c r="A18" s="107" t="s">
        <v>101</v>
      </c>
      <c r="B18" s="29">
        <f>[7]Value!$M$18</f>
        <v>296190.19576560985</v>
      </c>
      <c r="D18" s="161">
        <f>[7]Value!$O$18</f>
        <v>148095.0978828049</v>
      </c>
      <c r="F18" s="30">
        <f>B18-D18</f>
        <v>148095.09788280496</v>
      </c>
      <c r="H18" s="133"/>
    </row>
    <row r="19" spans="1:8" x14ac:dyDescent="0.2">
      <c r="B19" s="29"/>
      <c r="F19" s="30"/>
      <c r="H19" s="133"/>
    </row>
    <row r="20" spans="1:8" x14ac:dyDescent="0.2">
      <c r="A20" s="107" t="s">
        <v>100</v>
      </c>
      <c r="B20" s="29">
        <f>[8]Value!$M$18</f>
        <v>47569.480235579977</v>
      </c>
      <c r="D20" s="30">
        <f>[8]Value!$O$18</f>
        <v>23784.740117789996</v>
      </c>
      <c r="F20" s="30">
        <f>B20-D20</f>
        <v>23784.740117789981</v>
      </c>
      <c r="G20" s="134"/>
      <c r="H20" s="133"/>
    </row>
    <row r="21" spans="1:8" x14ac:dyDescent="0.2">
      <c r="F21" s="32"/>
      <c r="H21" s="133"/>
    </row>
    <row r="22" spans="1:8" ht="13.5" thickBot="1" x14ac:dyDescent="0.25">
      <c r="A22" s="135" t="s">
        <v>4</v>
      </c>
      <c r="B22" s="34">
        <f>SUM(B18:B21)</f>
        <v>343759.67600118986</v>
      </c>
      <c r="D22" s="34">
        <f>SUM(D18:D21)</f>
        <v>171879.8380005949</v>
      </c>
      <c r="E22" s="35"/>
      <c r="F22" s="34">
        <f>SUM(F18:F21)</f>
        <v>171879.83800059493</v>
      </c>
      <c r="H22" s="136"/>
    </row>
    <row r="23" spans="1:8" x14ac:dyDescent="0.2">
      <c r="H23" s="131"/>
    </row>
    <row r="24" spans="1:8" x14ac:dyDescent="0.2">
      <c r="A24" s="137"/>
      <c r="B24" s="138"/>
      <c r="C24" s="137"/>
      <c r="D24" s="138"/>
      <c r="E24" s="137"/>
      <c r="F24" s="139"/>
      <c r="H24" s="131"/>
    </row>
    <row r="25" spans="1:8" ht="15.75" x14ac:dyDescent="0.25">
      <c r="A25" s="126" t="s">
        <v>89</v>
      </c>
      <c r="B25" s="127"/>
      <c r="C25" s="128"/>
      <c r="D25" s="127"/>
      <c r="E25" s="128"/>
      <c r="F25" s="129"/>
      <c r="H25" s="131"/>
    </row>
    <row r="26" spans="1:8" x14ac:dyDescent="0.2">
      <c r="H26" s="131"/>
    </row>
    <row r="27" spans="1:8" x14ac:dyDescent="0.2">
      <c r="A27" s="140" t="s">
        <v>90</v>
      </c>
      <c r="B27" s="141"/>
      <c r="C27" s="137"/>
      <c r="D27" s="141" t="s">
        <v>91</v>
      </c>
      <c r="E27" s="137"/>
      <c r="H27" s="131"/>
    </row>
    <row r="28" spans="1:8" x14ac:dyDescent="0.2">
      <c r="A28" s="142"/>
      <c r="B28" s="143"/>
      <c r="C28" s="105"/>
      <c r="D28" s="143"/>
      <c r="F28" s="25"/>
      <c r="H28" s="131"/>
    </row>
    <row r="29" spans="1:8" x14ac:dyDescent="0.2">
      <c r="A29" s="276" t="s">
        <v>92</v>
      </c>
      <c r="B29" s="144"/>
      <c r="D29" s="145"/>
      <c r="F29" s="25"/>
      <c r="H29" s="146"/>
    </row>
    <row r="30" spans="1:8" x14ac:dyDescent="0.2">
      <c r="A30" s="48" t="s">
        <v>93</v>
      </c>
      <c r="B30" s="143"/>
      <c r="C30" s="105"/>
      <c r="D30" s="145">
        <v>31644.560000000001</v>
      </c>
      <c r="F30" s="25"/>
      <c r="H30" s="131"/>
    </row>
    <row r="31" spans="1:8" x14ac:dyDescent="0.2">
      <c r="A31" s="48" t="s">
        <v>138</v>
      </c>
      <c r="B31" s="147"/>
      <c r="C31" s="148"/>
      <c r="D31" s="145">
        <v>5628</v>
      </c>
      <c r="F31" s="25"/>
      <c r="H31" s="146"/>
    </row>
    <row r="32" spans="1:8" x14ac:dyDescent="0.2">
      <c r="A32" s="48"/>
      <c r="B32" s="147"/>
      <c r="D32" s="149"/>
      <c r="F32" s="25"/>
      <c r="H32" s="278"/>
    </row>
    <row r="33" spans="1:8" x14ac:dyDescent="0.2">
      <c r="A33" s="276" t="s">
        <v>97</v>
      </c>
      <c r="B33" s="144"/>
      <c r="D33" s="145">
        <v>0</v>
      </c>
      <c r="F33" s="25"/>
      <c r="H33" s="278"/>
    </row>
    <row r="34" spans="1:8" x14ac:dyDescent="0.2">
      <c r="A34" s="48"/>
      <c r="B34" s="147"/>
      <c r="D34" s="145"/>
      <c r="F34" s="25"/>
      <c r="H34" s="279"/>
    </row>
    <row r="35" spans="1:8" x14ac:dyDescent="0.2">
      <c r="A35" s="276" t="s">
        <v>98</v>
      </c>
      <c r="B35" s="147"/>
      <c r="D35" s="149"/>
      <c r="E35" s="107"/>
      <c r="F35" s="25"/>
      <c r="H35" s="134"/>
    </row>
    <row r="36" spans="1:8" x14ac:dyDescent="0.2">
      <c r="A36" s="48" t="s">
        <v>99</v>
      </c>
      <c r="B36" s="147"/>
      <c r="D36" s="149">
        <v>6105.83</v>
      </c>
      <c r="F36" s="25"/>
      <c r="H36" s="278"/>
    </row>
    <row r="37" spans="1:8" x14ac:dyDescent="0.2">
      <c r="A37" s="158"/>
      <c r="B37" s="147"/>
      <c r="D37" s="145"/>
      <c r="F37" s="25"/>
      <c r="H37" s="278"/>
    </row>
    <row r="38" spans="1:8" x14ac:dyDescent="0.2">
      <c r="A38" s="276" t="s">
        <v>139</v>
      </c>
      <c r="B38" s="147"/>
      <c r="D38" s="145"/>
      <c r="F38" s="25"/>
      <c r="H38" s="278"/>
    </row>
    <row r="39" spans="1:8" x14ac:dyDescent="0.2">
      <c r="A39" s="48" t="s">
        <v>142</v>
      </c>
      <c r="B39" s="147"/>
      <c r="D39" s="149">
        <v>24396.83</v>
      </c>
      <c r="F39" s="25"/>
      <c r="H39" s="146"/>
    </row>
    <row r="40" spans="1:8" x14ac:dyDescent="0.2">
      <c r="A40" s="48" t="s">
        <v>143</v>
      </c>
      <c r="B40" s="147"/>
      <c r="D40" s="149"/>
      <c r="F40" s="25"/>
      <c r="H40" s="146"/>
    </row>
    <row r="41" spans="1:8" x14ac:dyDescent="0.2">
      <c r="A41" s="276"/>
      <c r="B41" s="147"/>
      <c r="D41" s="145"/>
      <c r="E41" s="107"/>
      <c r="F41" s="107"/>
      <c r="H41" s="150"/>
    </row>
    <row r="42" spans="1:8" x14ac:dyDescent="0.2">
      <c r="A42" s="276" t="s">
        <v>140</v>
      </c>
      <c r="B42" s="147"/>
      <c r="D42" s="149">
        <v>3360</v>
      </c>
      <c r="E42" s="107"/>
      <c r="F42" s="107"/>
      <c r="H42" s="150"/>
    </row>
    <row r="43" spans="1:8" x14ac:dyDescent="0.2">
      <c r="A43" s="48" t="s">
        <v>144</v>
      </c>
      <c r="B43" s="147"/>
      <c r="D43" s="149"/>
      <c r="E43" s="107"/>
      <c r="F43" s="107"/>
      <c r="H43" s="150"/>
    </row>
    <row r="44" spans="1:8" x14ac:dyDescent="0.2">
      <c r="A44" s="48" t="s">
        <v>145</v>
      </c>
      <c r="B44" s="147"/>
      <c r="D44" s="149"/>
      <c r="E44" s="107"/>
      <c r="F44" s="107"/>
      <c r="H44" s="150"/>
    </row>
    <row r="45" spans="1:8" x14ac:dyDescent="0.2">
      <c r="A45" s="158"/>
      <c r="B45" s="144"/>
      <c r="D45" s="25"/>
      <c r="E45" s="107"/>
      <c r="F45" s="25"/>
      <c r="H45" s="150"/>
    </row>
    <row r="46" spans="1:8" x14ac:dyDescent="0.2">
      <c r="A46" s="276" t="s">
        <v>94</v>
      </c>
      <c r="B46" s="147"/>
      <c r="D46" s="145"/>
      <c r="F46" s="25"/>
      <c r="H46" s="146"/>
    </row>
    <row r="47" spans="1:8" x14ac:dyDescent="0.2">
      <c r="A47" s="48" t="s">
        <v>141</v>
      </c>
      <c r="B47" s="147"/>
      <c r="D47" s="149">
        <v>68927.64</v>
      </c>
      <c r="F47" s="25"/>
      <c r="H47" s="146"/>
    </row>
    <row r="48" spans="1:8" x14ac:dyDescent="0.2">
      <c r="A48" s="158"/>
      <c r="B48" s="147"/>
      <c r="D48" s="145"/>
      <c r="F48" s="25"/>
      <c r="H48" s="146"/>
    </row>
    <row r="49" spans="1:8" x14ac:dyDescent="0.2">
      <c r="A49" s="158" t="s">
        <v>146</v>
      </c>
      <c r="B49" s="147"/>
      <c r="D49" s="145">
        <v>10000</v>
      </c>
      <c r="F49" s="25"/>
      <c r="H49" s="146"/>
    </row>
    <row r="50" spans="1:8" x14ac:dyDescent="0.2">
      <c r="A50" s="48" t="s">
        <v>147</v>
      </c>
      <c r="B50" s="147"/>
      <c r="D50" s="145"/>
      <c r="F50" s="25"/>
      <c r="H50" s="146"/>
    </row>
    <row r="51" spans="1:8" x14ac:dyDescent="0.2">
      <c r="A51" s="48"/>
      <c r="B51" s="147"/>
      <c r="D51" s="145"/>
      <c r="F51" s="25"/>
      <c r="H51" s="146"/>
    </row>
    <row r="52" spans="1:8" ht="13.5" thickBot="1" x14ac:dyDescent="0.25">
      <c r="A52" s="142" t="s">
        <v>95</v>
      </c>
      <c r="B52" s="151"/>
      <c r="C52" s="105"/>
      <c r="D52" s="280">
        <f>SUM(D30:D49)</f>
        <v>150062.85999999999</v>
      </c>
      <c r="F52" s="25"/>
      <c r="H52" s="136"/>
    </row>
    <row r="53" spans="1:8" x14ac:dyDescent="0.2">
      <c r="A53" s="142"/>
      <c r="B53" s="151"/>
      <c r="C53" s="105"/>
      <c r="D53" s="152"/>
      <c r="F53" s="25"/>
      <c r="H53" s="136"/>
    </row>
    <row r="54" spans="1:8" x14ac:dyDescent="0.2">
      <c r="A54" s="142" t="s">
        <v>96</v>
      </c>
      <c r="B54" s="151"/>
      <c r="C54" s="105"/>
      <c r="D54" s="281">
        <f>D52*0.05</f>
        <v>7503.143</v>
      </c>
      <c r="E54" s="154">
        <f>D54/D52</f>
        <v>0.05</v>
      </c>
      <c r="F54" s="25"/>
      <c r="H54" s="136"/>
    </row>
    <row r="55" spans="1:8" x14ac:dyDescent="0.2">
      <c r="A55" s="142"/>
      <c r="B55" s="151"/>
      <c r="C55" s="105"/>
      <c r="D55" s="153"/>
      <c r="E55" s="153"/>
      <c r="F55" s="25"/>
      <c r="H55" s="136"/>
    </row>
    <row r="56" spans="1:8" x14ac:dyDescent="0.2">
      <c r="D56" s="124"/>
    </row>
    <row r="57" spans="1:8" ht="13.5" thickBot="1" x14ac:dyDescent="0.25">
      <c r="A57" s="142" t="s">
        <v>104</v>
      </c>
      <c r="B57" s="151"/>
      <c r="C57" s="105"/>
      <c r="D57" s="282">
        <f>IF((D52+D54)&lt;F22,(D52+D54),F22)</f>
        <v>157566.003</v>
      </c>
      <c r="E57" s="154">
        <f>+D57/B22</f>
        <v>0.45836092479751644</v>
      </c>
      <c r="F57" s="25"/>
    </row>
    <row r="58" spans="1:8" x14ac:dyDescent="0.2">
      <c r="A58" s="142"/>
      <c r="B58" s="151"/>
      <c r="C58" s="105"/>
      <c r="D58" s="152"/>
      <c r="E58" s="154"/>
      <c r="F58" s="25"/>
    </row>
    <row r="59" spans="1:8" s="108" customFormat="1" x14ac:dyDescent="0.2">
      <c r="A59" s="159" t="s">
        <v>105</v>
      </c>
      <c r="B59" s="155"/>
      <c r="D59" s="283">
        <f>D22</f>
        <v>171879.8380005949</v>
      </c>
      <c r="E59" s="154">
        <f>+D59/B22</f>
        <v>0.49999999999999989</v>
      </c>
    </row>
    <row r="60" spans="1:8" x14ac:dyDescent="0.2">
      <c r="D60" s="156"/>
      <c r="F60" s="25"/>
    </row>
    <row r="61" spans="1:8" x14ac:dyDescent="0.2">
      <c r="A61" s="160" t="s">
        <v>149</v>
      </c>
      <c r="B61" s="25"/>
      <c r="C61" s="124"/>
      <c r="D61" s="284">
        <f>B22-D57-D59</f>
        <v>14313.835000594961</v>
      </c>
      <c r="E61" s="154">
        <f>D61/B22</f>
        <v>4.1639075202483659E-2</v>
      </c>
      <c r="F61" s="25"/>
    </row>
    <row r="62" spans="1:8" x14ac:dyDescent="0.2">
      <c r="A62" s="157"/>
      <c r="B62" s="36"/>
      <c r="C62" s="154"/>
      <c r="F62" s="25"/>
    </row>
    <row r="63" spans="1:8" x14ac:dyDescent="0.2">
      <c r="A63" s="157"/>
      <c r="B63" s="36"/>
      <c r="C63" s="154"/>
      <c r="F63" s="25"/>
    </row>
    <row r="64" spans="1:8" x14ac:dyDescent="0.2">
      <c r="A64" s="192"/>
      <c r="B64" s="25"/>
      <c r="C64" s="124"/>
      <c r="D64" s="151"/>
      <c r="F64" s="25"/>
    </row>
  </sheetData>
  <mergeCells count="2">
    <mergeCell ref="A8:F13"/>
    <mergeCell ref="C17:E17"/>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90"/>
  <sheetViews>
    <sheetView workbookViewId="0">
      <selection activeCell="D2" sqref="D2:O2"/>
    </sheetView>
  </sheetViews>
  <sheetFormatPr defaultRowHeight="12.75" x14ac:dyDescent="0.2"/>
  <cols>
    <col min="2" max="2" width="11.28515625" bestFit="1" customWidth="1"/>
    <col min="3" max="3" width="28.140625" bestFit="1" customWidth="1"/>
    <col min="16" max="16" width="30.85546875" bestFit="1" customWidth="1"/>
    <col min="31" max="31" width="22.7109375" bestFit="1" customWidth="1"/>
    <col min="34" max="34" width="20.5703125" bestFit="1" customWidth="1"/>
  </cols>
  <sheetData>
    <row r="2" spans="1:30" x14ac:dyDescent="0.2">
      <c r="D2" t="s">
        <v>63</v>
      </c>
      <c r="E2" t="s">
        <v>64</v>
      </c>
      <c r="F2" t="s">
        <v>65</v>
      </c>
      <c r="G2" t="s">
        <v>66</v>
      </c>
      <c r="H2" t="s">
        <v>67</v>
      </c>
      <c r="I2" t="s">
        <v>68</v>
      </c>
      <c r="J2" t="s">
        <v>69</v>
      </c>
      <c r="K2" t="s">
        <v>70</v>
      </c>
      <c r="L2" t="s">
        <v>71</v>
      </c>
      <c r="M2" t="s">
        <v>72</v>
      </c>
      <c r="N2" t="s">
        <v>73</v>
      </c>
      <c r="O2" t="s">
        <v>74</v>
      </c>
      <c r="Q2" t="s">
        <v>75</v>
      </c>
      <c r="R2" t="s">
        <v>76</v>
      </c>
      <c r="S2" t="s">
        <v>77</v>
      </c>
      <c r="T2" t="s">
        <v>78</v>
      </c>
      <c r="V2" t="s">
        <v>79</v>
      </c>
    </row>
    <row r="3" spans="1:30" x14ac:dyDescent="0.2">
      <c r="A3" t="s">
        <v>55</v>
      </c>
      <c r="B3" t="s">
        <v>44</v>
      </c>
      <c r="C3" s="105" t="s">
        <v>57</v>
      </c>
      <c r="D3" s="165">
        <f>'[5]Lynnwood Tons'!H62</f>
        <v>2127</v>
      </c>
      <c r="E3" s="165">
        <f>'[5]Lynnwood Tons'!I62</f>
        <v>2157</v>
      </c>
      <c r="F3" s="165">
        <f>'[5]Lynnwood Tons'!J62</f>
        <v>2179</v>
      </c>
      <c r="G3" s="165">
        <f>'[5]Lynnwood Tons'!K62</f>
        <v>2154</v>
      </c>
      <c r="H3" s="165">
        <f>'[5]Lynnwood Tons'!L62</f>
        <v>2186</v>
      </c>
      <c r="I3" s="165">
        <f>'[5]Lynnwood Tons'!M62</f>
        <v>2212</v>
      </c>
      <c r="J3" s="165">
        <f>'[5]Lynnwood Tons'!N62</f>
        <v>2170</v>
      </c>
      <c r="K3" s="165">
        <f>'[5]Lynnwood Tons'!O62</f>
        <v>2201</v>
      </c>
      <c r="L3" s="165">
        <f>'[6]Lynnwood Tons'!D62</f>
        <v>2216</v>
      </c>
      <c r="M3" s="165">
        <f>'[6]Lynnwood Tons'!E62</f>
        <v>2164</v>
      </c>
      <c r="N3" s="165">
        <f>'[6]Lynnwood Tons'!F62</f>
        <v>2206</v>
      </c>
      <c r="O3" s="165">
        <f>'[6]Lynnwood Tons'!G62</f>
        <v>2228</v>
      </c>
      <c r="P3" t="str">
        <f>CONCATENATE(A3,C3)</f>
        <v>RTotal MSW Customers</v>
      </c>
      <c r="Q3">
        <f>SUM(D3:O3)</f>
        <v>26200</v>
      </c>
      <c r="R3">
        <f>SUMIF($P:$P,$P$8,$Q:$Q)</f>
        <v>6141.4902846040568</v>
      </c>
      <c r="S3">
        <f>SUMIF($P:$P, $P$9,$Q:$Q)</f>
        <v>8741.1024708345121</v>
      </c>
      <c r="T3">
        <f>SUMIF($P:$P,$P$10,$Q:$Q)</f>
        <v>11091.00842096453</v>
      </c>
      <c r="V3">
        <f>SUMIF($P:$P, $P$3,$O:$O)</f>
        <v>17158</v>
      </c>
    </row>
    <row r="4" spans="1:30" x14ac:dyDescent="0.2">
      <c r="A4" t="s">
        <v>55</v>
      </c>
      <c r="C4" s="105"/>
      <c r="D4">
        <f>'[5]Lynnwood Tons'!H63</f>
        <v>0</v>
      </c>
      <c r="E4">
        <f>'[5]Lynnwood Tons'!I63</f>
        <v>0</v>
      </c>
      <c r="F4">
        <f>'[5]Lynnwood Tons'!J63</f>
        <v>0</v>
      </c>
      <c r="G4">
        <f>'[5]Lynnwood Tons'!K63</f>
        <v>0</v>
      </c>
      <c r="H4">
        <f>'[5]Lynnwood Tons'!L63</f>
        <v>0</v>
      </c>
      <c r="I4">
        <f>'[5]Lynnwood Tons'!M63</f>
        <v>0</v>
      </c>
      <c r="J4">
        <f>'[5]Lynnwood Tons'!N63</f>
        <v>0</v>
      </c>
      <c r="K4">
        <f>'[5]Lynnwood Tons'!O63</f>
        <v>0</v>
      </c>
      <c r="L4">
        <f>'[6]Lynnwood Tons'!D63</f>
        <v>0</v>
      </c>
      <c r="M4">
        <f>'[6]Lynnwood Tons'!E63</f>
        <v>0</v>
      </c>
      <c r="N4">
        <f>'[6]Lynnwood Tons'!F63</f>
        <v>0</v>
      </c>
      <c r="O4">
        <f>'[6]Lynnwood Tons'!G63</f>
        <v>0</v>
      </c>
      <c r="P4" t="str">
        <f t="shared" ref="P4:P67" si="0">CONCATENATE(A4,C4)</f>
        <v>R</v>
      </c>
      <c r="Q4">
        <f t="shared" ref="Q4:Q67" si="1">SUM(D4:O4)</f>
        <v>0</v>
      </c>
      <c r="V4">
        <f>SUMIF($P:$P, $P$3,$Q:$Q)/12</f>
        <v>17058.666666666668</v>
      </c>
    </row>
    <row r="5" spans="1:30" x14ac:dyDescent="0.2">
      <c r="A5" t="s">
        <v>55</v>
      </c>
      <c r="C5" s="105" t="s">
        <v>58</v>
      </c>
      <c r="D5" s="165">
        <f>'[5]Lynnwood Tons'!H64</f>
        <v>2159</v>
      </c>
      <c r="E5" s="165">
        <f>'[5]Lynnwood Tons'!I64</f>
        <v>2188</v>
      </c>
      <c r="F5" s="165">
        <f>'[5]Lynnwood Tons'!J64</f>
        <v>2210</v>
      </c>
      <c r="G5" s="165">
        <f>'[5]Lynnwood Tons'!K64</f>
        <v>2187</v>
      </c>
      <c r="H5" s="165">
        <f>'[5]Lynnwood Tons'!L64</f>
        <v>2229</v>
      </c>
      <c r="I5" s="165">
        <f>'[5]Lynnwood Tons'!M64</f>
        <v>2246</v>
      </c>
      <c r="J5" s="165">
        <f>'[5]Lynnwood Tons'!N64</f>
        <v>2205</v>
      </c>
      <c r="K5" s="165">
        <f>'[5]Lynnwood Tons'!O64</f>
        <v>2237</v>
      </c>
      <c r="L5" s="165">
        <f>'[6]Lynnwood Tons'!D64</f>
        <v>2250</v>
      </c>
      <c r="M5" s="165">
        <f>'[6]Lynnwood Tons'!E64</f>
        <v>2197</v>
      </c>
      <c r="N5" s="165">
        <f>'[6]Lynnwood Tons'!F64</f>
        <v>2242</v>
      </c>
      <c r="O5" s="165">
        <f>'[6]Lynnwood Tons'!G64</f>
        <v>2265</v>
      </c>
      <c r="P5" t="str">
        <f t="shared" si="0"/>
        <v>RTotal Recycle Customers</v>
      </c>
      <c r="Q5">
        <f t="shared" si="1"/>
        <v>26615</v>
      </c>
    </row>
    <row r="6" spans="1:30" x14ac:dyDescent="0.2">
      <c r="A6" t="s">
        <v>55</v>
      </c>
      <c r="C6" s="105" t="s">
        <v>59</v>
      </c>
      <c r="D6">
        <f>'[5]Lynnwood Tons'!H65</f>
        <v>527</v>
      </c>
      <c r="E6">
        <f>'[5]Lynnwood Tons'!I65</f>
        <v>538</v>
      </c>
      <c r="F6">
        <f>'[5]Lynnwood Tons'!J65</f>
        <v>549</v>
      </c>
      <c r="G6">
        <f>'[5]Lynnwood Tons'!K65</f>
        <v>538</v>
      </c>
      <c r="H6">
        <f>'[5]Lynnwood Tons'!L65</f>
        <v>548</v>
      </c>
      <c r="I6">
        <f>'[5]Lynnwood Tons'!M65</f>
        <v>547</v>
      </c>
      <c r="J6">
        <f>'[5]Lynnwood Tons'!N65</f>
        <v>528</v>
      </c>
      <c r="K6">
        <f>'[5]Lynnwood Tons'!O65</f>
        <v>520</v>
      </c>
      <c r="L6">
        <f>'[6]Lynnwood Tons'!D65</f>
        <v>519</v>
      </c>
      <c r="M6">
        <f>'[6]Lynnwood Tons'!E65</f>
        <v>509</v>
      </c>
      <c r="N6">
        <f>'[6]Lynnwood Tons'!F65</f>
        <v>519</v>
      </c>
      <c r="O6">
        <f>'[6]Lynnwood Tons'!G65</f>
        <v>536</v>
      </c>
      <c r="P6" t="str">
        <f t="shared" si="0"/>
        <v>RTotal Yardwaste Customers</v>
      </c>
      <c r="Q6">
        <f t="shared" si="1"/>
        <v>6378</v>
      </c>
    </row>
    <row r="7" spans="1:30" x14ac:dyDescent="0.2">
      <c r="A7" t="s">
        <v>55</v>
      </c>
      <c r="C7" s="105"/>
      <c r="P7" t="str">
        <f t="shared" si="0"/>
        <v>R</v>
      </c>
      <c r="Q7">
        <f t="shared" si="1"/>
        <v>0</v>
      </c>
      <c r="R7" t="s">
        <v>44</v>
      </c>
    </row>
    <row r="8" spans="1:30" x14ac:dyDescent="0.2">
      <c r="A8" t="s">
        <v>55</v>
      </c>
      <c r="C8" s="106" t="s">
        <v>60</v>
      </c>
      <c r="D8" s="117">
        <f>'[5]Lynnwood Tons'!H67</f>
        <v>59.854865496440603</v>
      </c>
      <c r="E8" s="117">
        <f>'[5]Lynnwood Tons'!I67</f>
        <v>64.293464351570833</v>
      </c>
      <c r="F8" s="117">
        <f>'[5]Lynnwood Tons'!J67</f>
        <v>76.872069515173763</v>
      </c>
      <c r="G8" s="117">
        <f>'[5]Lynnwood Tons'!K67</f>
        <v>62.462057359402209</v>
      </c>
      <c r="H8" s="117">
        <f>'[5]Lynnwood Tons'!L67</f>
        <v>75.812188622918953</v>
      </c>
      <c r="I8" s="117">
        <f>'[5]Lynnwood Tons'!M67</f>
        <v>64.666409226841822</v>
      </c>
      <c r="J8" s="117">
        <f>'[5]Lynnwood Tons'!N67</f>
        <v>65.358460824538454</v>
      </c>
      <c r="K8" s="117">
        <f>'[5]Lynnwood Tons'!O67</f>
        <v>82.633246261782034</v>
      </c>
      <c r="L8" s="117">
        <f>'[6]Lynnwood Tons'!D67</f>
        <v>68.352902634914486</v>
      </c>
      <c r="M8" s="117">
        <f>'[6]Lynnwood Tons'!E67</f>
        <v>59.708590470719997</v>
      </c>
      <c r="N8" s="117">
        <f>'[6]Lynnwood Tons'!F67</f>
        <v>72.169286370614003</v>
      </c>
      <c r="O8" s="117">
        <f>'[6]Lynnwood Tons'!G67</f>
        <v>65.930611859724792</v>
      </c>
      <c r="P8" t="str">
        <f t="shared" si="0"/>
        <v>RTotal Recycle Tonnage</v>
      </c>
      <c r="Q8" s="117">
        <f>SUM(D8:O8)</f>
        <v>818.11415299464193</v>
      </c>
      <c r="R8" s="166">
        <f>D8/(D8+D10)</f>
        <v>0.33938154061462167</v>
      </c>
      <c r="S8" s="166">
        <f t="shared" ref="S8:AC8" si="2">E8/(E8+E10)</f>
        <v>0.32865659150329923</v>
      </c>
      <c r="T8" s="166">
        <f t="shared" si="2"/>
        <v>0.32424948480087024</v>
      </c>
      <c r="U8" s="166">
        <f t="shared" si="2"/>
        <v>0.33953362784873925</v>
      </c>
      <c r="V8" s="166">
        <f t="shared" si="2"/>
        <v>0.332903757187612</v>
      </c>
      <c r="W8" s="166">
        <f t="shared" si="2"/>
        <v>0.34344968782853713</v>
      </c>
      <c r="X8" s="166">
        <f t="shared" si="2"/>
        <v>0.34432543460554943</v>
      </c>
      <c r="Y8" s="166">
        <f t="shared" si="2"/>
        <v>0.34323636880514563</v>
      </c>
      <c r="Z8" s="166">
        <f t="shared" si="2"/>
        <v>0.35278438980543586</v>
      </c>
      <c r="AA8" s="166">
        <f t="shared" si="2"/>
        <v>0.33962359187137869</v>
      </c>
      <c r="AB8" s="166">
        <f t="shared" si="2"/>
        <v>0.32508265347603787</v>
      </c>
      <c r="AC8" s="166">
        <f t="shared" si="2"/>
        <v>0.34036025516365015</v>
      </c>
    </row>
    <row r="9" spans="1:30" x14ac:dyDescent="0.2">
      <c r="A9" t="s">
        <v>55</v>
      </c>
      <c r="C9" s="106" t="s">
        <v>61</v>
      </c>
      <c r="D9">
        <f>'[5]Lynnwood Tons'!H68</f>
        <v>79.202516398097302</v>
      </c>
      <c r="E9">
        <f>'[5]Lynnwood Tons'!I68</f>
        <v>83.034239800688326</v>
      </c>
      <c r="F9">
        <f>'[5]Lynnwood Tons'!J68</f>
        <v>56.949839127270089</v>
      </c>
      <c r="G9">
        <f>'[5]Lynnwood Tons'!K68</f>
        <v>39.00448590327926</v>
      </c>
      <c r="H9">
        <f>'[5]Lynnwood Tons'!L68</f>
        <v>61.227863793290183</v>
      </c>
      <c r="I9">
        <f>'[5]Lynnwood Tons'!M68</f>
        <v>47.96014113593165</v>
      </c>
      <c r="J9">
        <f>'[5]Lynnwood Tons'!N68</f>
        <v>55.655055517588472</v>
      </c>
      <c r="K9">
        <f>'[5]Lynnwood Tons'!O68</f>
        <v>10.09154243162258</v>
      </c>
      <c r="L9">
        <f>'[6]Lynnwood Tons'!D68</f>
        <v>12.273813750176755</v>
      </c>
      <c r="M9">
        <f>'[6]Lynnwood Tons'!E68</f>
        <v>8.002896545082848</v>
      </c>
      <c r="N9">
        <f>'[6]Lynnwood Tons'!F68</f>
        <v>22.232607328477243</v>
      </c>
      <c r="O9">
        <f>'[6]Lynnwood Tons'!G68</f>
        <v>60.863844941446374</v>
      </c>
      <c r="P9" t="str">
        <f t="shared" si="0"/>
        <v>RTotal Yardwaste Tonnage</v>
      </c>
      <c r="Q9">
        <f t="shared" si="1"/>
        <v>536.49884667295112</v>
      </c>
      <c r="AD9" s="166">
        <f>(Q5/12)/V3</f>
        <v>0.12926428876714458</v>
      </c>
    </row>
    <row r="10" spans="1:30" x14ac:dyDescent="0.2">
      <c r="A10" t="s">
        <v>55</v>
      </c>
      <c r="C10" s="106" t="s">
        <v>62</v>
      </c>
      <c r="D10" s="117">
        <f>'[5]Lynnwood Tons'!H69</f>
        <v>116.50966331099876</v>
      </c>
      <c r="E10" s="117">
        <f>'[5]Lynnwood Tons'!I69</f>
        <v>131.33159236032361</v>
      </c>
      <c r="F10" s="117">
        <f>'[5]Lynnwood Tons'!J69</f>
        <v>160.20485155497946</v>
      </c>
      <c r="G10" s="117">
        <f>'[5]Lynnwood Tons'!K69</f>
        <v>121.50221668071963</v>
      </c>
      <c r="H10" s="117">
        <f>'[5]Lynnwood Tons'!L69</f>
        <v>151.91785943476654</v>
      </c>
      <c r="I10" s="117">
        <f>'[5]Lynnwood Tons'!M69</f>
        <v>123.6185463825099</v>
      </c>
      <c r="J10" s="117">
        <f>'[5]Lynnwood Tons'!N69</f>
        <v>124.45749308375026</v>
      </c>
      <c r="K10" s="117">
        <f>'[5]Lynnwood Tons'!O69</f>
        <v>158.11410387899721</v>
      </c>
      <c r="L10" s="117">
        <f>'[6]Lynnwood Tons'!D69</f>
        <v>125.39972534449187</v>
      </c>
      <c r="M10" s="117">
        <f>'[6]Lynnwood Tons'!E69</f>
        <v>116.0995450646131</v>
      </c>
      <c r="N10" s="117">
        <f>'[6]Lynnwood Tons'!F69</f>
        <v>149.83359689283785</v>
      </c>
      <c r="O10" s="117">
        <f>'[6]Lynnwood Tons'!G69</f>
        <v>127.77770413629065</v>
      </c>
      <c r="P10" t="str">
        <f t="shared" si="0"/>
        <v>RTotal Residential MSW Tonnage</v>
      </c>
      <c r="Q10">
        <f t="shared" si="1"/>
        <v>1606.7668981252787</v>
      </c>
    </row>
    <row r="11" spans="1:30" x14ac:dyDescent="0.2">
      <c r="A11" t="s">
        <v>56</v>
      </c>
      <c r="B11" t="s">
        <v>45</v>
      </c>
      <c r="C11" s="105" t="s">
        <v>57</v>
      </c>
      <c r="D11">
        <f>'[5]Lynnwood Tons'!H85</f>
        <v>515</v>
      </c>
      <c r="E11">
        <f>'[5]Lynnwood Tons'!I85</f>
        <v>519</v>
      </c>
      <c r="F11">
        <f>'[5]Lynnwood Tons'!J85</f>
        <v>500</v>
      </c>
      <c r="G11">
        <f>'[5]Lynnwood Tons'!K85</f>
        <v>509</v>
      </c>
      <c r="H11">
        <f>'[5]Lynnwood Tons'!L85</f>
        <v>512</v>
      </c>
      <c r="I11">
        <f>'[5]Lynnwood Tons'!M85</f>
        <v>520</v>
      </c>
      <c r="J11">
        <f>'[5]Lynnwood Tons'!N85</f>
        <v>513</v>
      </c>
      <c r="K11">
        <f>'[5]Lynnwood Tons'!O85</f>
        <v>520</v>
      </c>
      <c r="L11">
        <f>'[6]Lynnwood Tons'!D85</f>
        <v>503</v>
      </c>
      <c r="M11">
        <f>'[6]Lynnwood Tons'!E85</f>
        <v>519</v>
      </c>
      <c r="N11">
        <f>'[6]Lynnwood Tons'!F85</f>
        <v>515</v>
      </c>
      <c r="O11">
        <f>'[6]Lynnwood Tons'!G85</f>
        <v>523</v>
      </c>
      <c r="P11" t="str">
        <f t="shared" si="0"/>
        <v>NRTotal MSW Customers</v>
      </c>
      <c r="Q11">
        <f t="shared" si="1"/>
        <v>6168</v>
      </c>
    </row>
    <row r="12" spans="1:30" x14ac:dyDescent="0.2">
      <c r="A12" t="s">
        <v>56</v>
      </c>
      <c r="C12" s="105"/>
      <c r="D12">
        <f>'[5]Lynnwood Tons'!H86</f>
        <v>0</v>
      </c>
      <c r="E12">
        <f>'[5]Lynnwood Tons'!I86</f>
        <v>0</v>
      </c>
      <c r="F12">
        <f>'[5]Lynnwood Tons'!J86</f>
        <v>0</v>
      </c>
      <c r="G12">
        <f>'[5]Lynnwood Tons'!K86</f>
        <v>0</v>
      </c>
      <c r="H12">
        <f>'[5]Lynnwood Tons'!L86</f>
        <v>0</v>
      </c>
      <c r="I12">
        <f>'[5]Lynnwood Tons'!M86</f>
        <v>0</v>
      </c>
      <c r="J12">
        <f>'[5]Lynnwood Tons'!N86</f>
        <v>0</v>
      </c>
      <c r="K12">
        <f>'[5]Lynnwood Tons'!O86</f>
        <v>0</v>
      </c>
      <c r="L12">
        <f>'[6]Lynnwood Tons'!D86</f>
        <v>0</v>
      </c>
      <c r="M12">
        <f>'[6]Lynnwood Tons'!E86</f>
        <v>0</v>
      </c>
      <c r="N12">
        <f>'[6]Lynnwood Tons'!F86</f>
        <v>0</v>
      </c>
      <c r="O12">
        <f>'[6]Lynnwood Tons'!G86</f>
        <v>0</v>
      </c>
      <c r="P12" t="str">
        <f t="shared" si="0"/>
        <v>NR</v>
      </c>
      <c r="Q12">
        <f t="shared" si="1"/>
        <v>0</v>
      </c>
    </row>
    <row r="13" spans="1:30" x14ac:dyDescent="0.2">
      <c r="A13" t="s">
        <v>56</v>
      </c>
      <c r="C13" s="105" t="s">
        <v>58</v>
      </c>
      <c r="D13">
        <f>'[5]Lynnwood Tons'!H87</f>
        <v>761</v>
      </c>
      <c r="E13">
        <f>'[5]Lynnwood Tons'!I87</f>
        <v>765</v>
      </c>
      <c r="F13">
        <f>'[5]Lynnwood Tons'!J87</f>
        <v>767</v>
      </c>
      <c r="G13">
        <f>'[5]Lynnwood Tons'!K87</f>
        <v>771</v>
      </c>
      <c r="H13">
        <f>'[5]Lynnwood Tons'!L87</f>
        <v>770</v>
      </c>
      <c r="I13">
        <f>'[5]Lynnwood Tons'!M87</f>
        <v>777</v>
      </c>
      <c r="J13">
        <f>'[5]Lynnwood Tons'!N87</f>
        <v>777</v>
      </c>
      <c r="K13">
        <f>'[5]Lynnwood Tons'!O87</f>
        <v>778</v>
      </c>
      <c r="L13">
        <f>'[6]Lynnwood Tons'!D87</f>
        <v>781</v>
      </c>
      <c r="M13">
        <f>'[6]Lynnwood Tons'!E87</f>
        <v>784</v>
      </c>
      <c r="N13">
        <f>'[6]Lynnwood Tons'!F87</f>
        <v>784</v>
      </c>
      <c r="O13">
        <f>'[6]Lynnwood Tons'!G87</f>
        <v>784</v>
      </c>
      <c r="P13" t="str">
        <f t="shared" si="0"/>
        <v>NRTotal Recycle Customers</v>
      </c>
      <c r="Q13">
        <f t="shared" si="1"/>
        <v>9299</v>
      </c>
    </row>
    <row r="14" spans="1:30" x14ac:dyDescent="0.2">
      <c r="A14" t="s">
        <v>56</v>
      </c>
      <c r="C14" s="105" t="s">
        <v>59</v>
      </c>
      <c r="D14">
        <f>'[5]Lynnwood Tons'!H88</f>
        <v>191</v>
      </c>
      <c r="E14">
        <f>'[5]Lynnwood Tons'!I88</f>
        <v>193</v>
      </c>
      <c r="F14">
        <f>'[5]Lynnwood Tons'!J88</f>
        <v>197</v>
      </c>
      <c r="G14">
        <f>'[5]Lynnwood Tons'!K88</f>
        <v>196</v>
      </c>
      <c r="H14">
        <f>'[5]Lynnwood Tons'!L88</f>
        <v>197</v>
      </c>
      <c r="I14">
        <f>'[5]Lynnwood Tons'!M88</f>
        <v>195</v>
      </c>
      <c r="J14">
        <f>'[5]Lynnwood Tons'!N88</f>
        <v>190</v>
      </c>
      <c r="K14">
        <f>'[5]Lynnwood Tons'!O88</f>
        <v>185</v>
      </c>
      <c r="L14">
        <f>'[6]Lynnwood Tons'!D88</f>
        <v>174</v>
      </c>
      <c r="M14">
        <f>'[6]Lynnwood Tons'!E88</f>
        <v>175</v>
      </c>
      <c r="N14">
        <f>'[6]Lynnwood Tons'!F88</f>
        <v>180</v>
      </c>
      <c r="O14">
        <f>'[6]Lynnwood Tons'!G88</f>
        <v>193</v>
      </c>
      <c r="P14" t="str">
        <f t="shared" si="0"/>
        <v>NRTotal Yardwaste Customers</v>
      </c>
      <c r="Q14">
        <f t="shared" si="1"/>
        <v>2266</v>
      </c>
    </row>
    <row r="15" spans="1:30" x14ac:dyDescent="0.2">
      <c r="A15" t="s">
        <v>56</v>
      </c>
      <c r="C15" s="105"/>
      <c r="D15">
        <f>'[5]Lynnwood Tons'!H89</f>
        <v>0</v>
      </c>
      <c r="E15">
        <f>'[5]Lynnwood Tons'!I89</f>
        <v>0</v>
      </c>
      <c r="F15">
        <f>'[5]Lynnwood Tons'!J89</f>
        <v>0</v>
      </c>
      <c r="G15">
        <f>'[5]Lynnwood Tons'!K89</f>
        <v>0</v>
      </c>
      <c r="H15">
        <f>'[5]Lynnwood Tons'!L89</f>
        <v>0</v>
      </c>
      <c r="I15">
        <f>'[5]Lynnwood Tons'!M89</f>
        <v>0</v>
      </c>
      <c r="J15">
        <f>'[5]Lynnwood Tons'!N89</f>
        <v>0</v>
      </c>
      <c r="K15">
        <f>'[5]Lynnwood Tons'!O89</f>
        <v>0</v>
      </c>
      <c r="L15">
        <f>'[6]Lynnwood Tons'!D89</f>
        <v>0</v>
      </c>
      <c r="M15">
        <f>'[6]Lynnwood Tons'!E89</f>
        <v>0</v>
      </c>
      <c r="N15">
        <f>'[6]Lynnwood Tons'!F89</f>
        <v>0</v>
      </c>
      <c r="O15">
        <f>'[6]Lynnwood Tons'!G89</f>
        <v>0</v>
      </c>
      <c r="P15" t="str">
        <f t="shared" si="0"/>
        <v>NR</v>
      </c>
      <c r="Q15">
        <f t="shared" si="1"/>
        <v>0</v>
      </c>
    </row>
    <row r="16" spans="1:30" x14ac:dyDescent="0.2">
      <c r="A16" t="s">
        <v>56</v>
      </c>
      <c r="C16" s="106" t="s">
        <v>60</v>
      </c>
      <c r="D16">
        <f>'[5]Lynnwood Tons'!H90</f>
        <v>16.903663118346895</v>
      </c>
      <c r="E16">
        <f>'[5]Lynnwood Tons'!I90</f>
        <v>18.889480275516597</v>
      </c>
      <c r="F16">
        <f>'[5]Lynnwood Tons'!J90</f>
        <v>22.308960551033191</v>
      </c>
      <c r="G16">
        <f>'[5]Lynnwood Tons'!K90</f>
        <v>18.219238796807858</v>
      </c>
      <c r="H16">
        <f>'[5]Lynnwood Tons'!L90</f>
        <v>17.125310006138729</v>
      </c>
      <c r="I16">
        <f>'[5]Lynnwood Tons'!M90</f>
        <v>21.288047882136283</v>
      </c>
      <c r="J16">
        <f>'[5]Lynnwood Tons'!N90</f>
        <v>17.870730509515038</v>
      </c>
      <c r="K16">
        <f>'[5]Lynnwood Tons'!O90</f>
        <v>19.534564417177915</v>
      </c>
      <c r="L16">
        <f>'[6]Lynnwood Tons'!D90</f>
        <v>18.603423312883436</v>
      </c>
      <c r="M16">
        <f>'[6]Lynnwood Tons'!E90</f>
        <v>18.554926380368094</v>
      </c>
      <c r="N16">
        <f>'[6]Lynnwood Tons'!F90</f>
        <v>17.914766871165643</v>
      </c>
      <c r="O16">
        <f>'[6]Lynnwood Tons'!G90</f>
        <v>21.852717791411042</v>
      </c>
      <c r="P16" t="str">
        <f t="shared" si="0"/>
        <v>NRTotal Recycle Tonnage</v>
      </c>
      <c r="Q16">
        <f t="shared" si="1"/>
        <v>229.0658299125007</v>
      </c>
    </row>
    <row r="17" spans="1:17" x14ac:dyDescent="0.2">
      <c r="A17" t="s">
        <v>56</v>
      </c>
      <c r="C17" s="106" t="s">
        <v>61</v>
      </c>
      <c r="D17">
        <f>'[5]Lynnwood Tons'!H91</f>
        <v>18.439456834175836</v>
      </c>
      <c r="E17">
        <f>'[5]Lynnwood Tons'!I91</f>
        <v>18.09766081871345</v>
      </c>
      <c r="F17">
        <f>'[5]Lynnwood Tons'!J91</f>
        <v>17.896088809594609</v>
      </c>
      <c r="G17">
        <f>'[5]Lynnwood Tons'!K91</f>
        <v>7.4565601876917516</v>
      </c>
      <c r="H17">
        <f>'[5]Lynnwood Tons'!L91</f>
        <v>10.763905432232448</v>
      </c>
      <c r="I17">
        <f>'[5]Lynnwood Tons'!M91</f>
        <v>11.24497383143837</v>
      </c>
      <c r="J17">
        <f>'[5]Lynnwood Tons'!N91</f>
        <v>10.514780725500811</v>
      </c>
      <c r="K17">
        <f>'[5]Lynnwood Tons'!O91</f>
        <v>6.4429614284305021</v>
      </c>
      <c r="L17">
        <f>'[6]Lynnwood Tons'!D91</f>
        <v>5.0006362829239412</v>
      </c>
      <c r="M17">
        <f>'[6]Lynnwood Tons'!E91</f>
        <v>3.774228075367466</v>
      </c>
      <c r="N17">
        <f>'[6]Lynnwood Tons'!F91</f>
        <v>13.300483377725167</v>
      </c>
      <c r="O17">
        <f>'[6]Lynnwood Tons'!G91</f>
        <v>14.405978100029593</v>
      </c>
      <c r="P17" t="str">
        <f t="shared" si="0"/>
        <v>NRTotal Yardwaste Tonnage</v>
      </c>
      <c r="Q17">
        <f t="shared" si="1"/>
        <v>137.33771390382395</v>
      </c>
    </row>
    <row r="18" spans="1:17" x14ac:dyDescent="0.2">
      <c r="A18" t="s">
        <v>56</v>
      </c>
      <c r="C18" s="106" t="s">
        <v>62</v>
      </c>
      <c r="D18">
        <f>'[5]Lynnwood Tons'!H92</f>
        <v>27.546083827676753</v>
      </c>
      <c r="E18">
        <f>'[5]Lynnwood Tons'!I92</f>
        <v>29.26169016823884</v>
      </c>
      <c r="F18">
        <f>'[5]Lynnwood Tons'!J92</f>
        <v>34.639826898764944</v>
      </c>
      <c r="G18">
        <f>'[5]Lynnwood Tons'!K92</f>
        <v>27.401310183834259</v>
      </c>
      <c r="H18">
        <f>'[5]Lynnwood Tons'!L92</f>
        <v>28.172363583309021</v>
      </c>
      <c r="I18">
        <f>'[5]Lynnwood Tons'!M92</f>
        <v>33.637204552086374</v>
      </c>
      <c r="J18">
        <f>'[5]Lynnwood Tons'!N92</f>
        <v>28.288021593230226</v>
      </c>
      <c r="K18">
        <f>'[5]Lynnwood Tons'!O92</f>
        <v>35.380834608037816</v>
      </c>
      <c r="L18">
        <f>'[6]Lynnwood Tons'!D92</f>
        <v>27.833023180618678</v>
      </c>
      <c r="M18">
        <f>'[6]Lynnwood Tons'!E92</f>
        <v>25.784451837556098</v>
      </c>
      <c r="N18">
        <f>'[6]Lynnwood Tons'!F92</f>
        <v>30.296161676810257</v>
      </c>
      <c r="O18">
        <f>'[6]Lynnwood Tons'!G92</f>
        <v>35.316127642462092</v>
      </c>
      <c r="P18" t="str">
        <f t="shared" si="0"/>
        <v>NRTotal Residential MSW Tonnage</v>
      </c>
      <c r="Q18">
        <f t="shared" si="1"/>
        <v>363.55709975262533</v>
      </c>
    </row>
    <row r="19" spans="1:17" x14ac:dyDescent="0.2">
      <c r="A19" t="s">
        <v>56</v>
      </c>
      <c r="B19" t="s">
        <v>46</v>
      </c>
      <c r="C19" s="105" t="s">
        <v>57</v>
      </c>
      <c r="D19">
        <f>'[5]Lynnwood Tons'!H108</f>
        <v>2169</v>
      </c>
      <c r="E19">
        <f>'[5]Lynnwood Tons'!I108</f>
        <v>2177</v>
      </c>
      <c r="F19">
        <f>'[5]Lynnwood Tons'!J108</f>
        <v>2177</v>
      </c>
      <c r="G19">
        <f>'[5]Lynnwood Tons'!K108</f>
        <v>2168</v>
      </c>
      <c r="H19">
        <f>'[5]Lynnwood Tons'!L108</f>
        <v>2160</v>
      </c>
      <c r="I19">
        <f>'[5]Lynnwood Tons'!M108</f>
        <v>2167</v>
      </c>
      <c r="J19">
        <f>'[5]Lynnwood Tons'!N108</f>
        <v>2163</v>
      </c>
      <c r="K19">
        <f>'[5]Lynnwood Tons'!O108</f>
        <v>2181</v>
      </c>
      <c r="L19">
        <f>'[6]Lynnwood Tons'!D108</f>
        <v>2184</v>
      </c>
      <c r="M19">
        <f>'[6]Lynnwood Tons'!E108</f>
        <v>2181</v>
      </c>
      <c r="N19">
        <f>'[6]Lynnwood Tons'!F108</f>
        <v>2188</v>
      </c>
      <c r="O19">
        <f>'[6]Lynnwood Tons'!G108</f>
        <v>2186</v>
      </c>
      <c r="P19" t="str">
        <f t="shared" si="0"/>
        <v>NRTotal MSW Customers</v>
      </c>
      <c r="Q19">
        <f t="shared" si="1"/>
        <v>26101</v>
      </c>
    </row>
    <row r="20" spans="1:17" x14ac:dyDescent="0.2">
      <c r="A20" t="s">
        <v>56</v>
      </c>
      <c r="C20" s="105"/>
      <c r="D20">
        <f>'[5]Lynnwood Tons'!H109</f>
        <v>0</v>
      </c>
      <c r="E20">
        <f>'[5]Lynnwood Tons'!I109</f>
        <v>0</v>
      </c>
      <c r="F20">
        <f>'[5]Lynnwood Tons'!J109</f>
        <v>0</v>
      </c>
      <c r="G20">
        <f>'[5]Lynnwood Tons'!K109</f>
        <v>0</v>
      </c>
      <c r="H20">
        <f>'[5]Lynnwood Tons'!L109</f>
        <v>0</v>
      </c>
      <c r="I20">
        <f>'[5]Lynnwood Tons'!M109</f>
        <v>0</v>
      </c>
      <c r="J20">
        <f>'[5]Lynnwood Tons'!N109</f>
        <v>0</v>
      </c>
      <c r="K20">
        <f>'[5]Lynnwood Tons'!O109</f>
        <v>0</v>
      </c>
      <c r="L20">
        <f>'[6]Lynnwood Tons'!D109</f>
        <v>0</v>
      </c>
      <c r="M20">
        <f>'[6]Lynnwood Tons'!E109</f>
        <v>0</v>
      </c>
      <c r="N20">
        <f>'[6]Lynnwood Tons'!F109</f>
        <v>0</v>
      </c>
      <c r="O20">
        <f>'[6]Lynnwood Tons'!G109</f>
        <v>0</v>
      </c>
      <c r="P20" t="str">
        <f t="shared" si="0"/>
        <v>NR</v>
      </c>
      <c r="Q20">
        <f t="shared" si="1"/>
        <v>0</v>
      </c>
    </row>
    <row r="21" spans="1:17" x14ac:dyDescent="0.2">
      <c r="A21" t="s">
        <v>56</v>
      </c>
      <c r="C21" s="105" t="s">
        <v>58</v>
      </c>
      <c r="D21">
        <f>'[5]Lynnwood Tons'!H110</f>
        <v>2160</v>
      </c>
      <c r="E21">
        <f>'[5]Lynnwood Tons'!I110</f>
        <v>2164</v>
      </c>
      <c r="F21">
        <f>'[5]Lynnwood Tons'!J110</f>
        <v>2163</v>
      </c>
      <c r="G21">
        <f>'[5]Lynnwood Tons'!K110</f>
        <v>2155</v>
      </c>
      <c r="H21">
        <f>'[5]Lynnwood Tons'!L110</f>
        <v>2160</v>
      </c>
      <c r="I21">
        <f>'[5]Lynnwood Tons'!M110</f>
        <v>2155</v>
      </c>
      <c r="J21">
        <f>'[5]Lynnwood Tons'!N110</f>
        <v>2171</v>
      </c>
      <c r="K21">
        <f>'[5]Lynnwood Tons'!O110</f>
        <v>2173</v>
      </c>
      <c r="L21">
        <f>'[6]Lynnwood Tons'!D110</f>
        <v>2176</v>
      </c>
      <c r="M21">
        <f>'[6]Lynnwood Tons'!E110</f>
        <v>2174</v>
      </c>
      <c r="N21">
        <f>'[6]Lynnwood Tons'!F110</f>
        <v>2182</v>
      </c>
      <c r="O21">
        <f>'[6]Lynnwood Tons'!G110</f>
        <v>2180</v>
      </c>
      <c r="P21" t="str">
        <f t="shared" si="0"/>
        <v>NRTotal Recycle Customers</v>
      </c>
      <c r="Q21">
        <f t="shared" si="1"/>
        <v>26013</v>
      </c>
    </row>
    <row r="22" spans="1:17" x14ac:dyDescent="0.2">
      <c r="A22" t="s">
        <v>56</v>
      </c>
      <c r="C22" s="105" t="s">
        <v>59</v>
      </c>
      <c r="D22">
        <f>'[5]Lynnwood Tons'!H111</f>
        <v>1153</v>
      </c>
      <c r="E22">
        <f>'[5]Lynnwood Tons'!I111</f>
        <v>1212</v>
      </c>
      <c r="F22">
        <f>'[5]Lynnwood Tons'!J111</f>
        <v>1170</v>
      </c>
      <c r="G22">
        <f>'[5]Lynnwood Tons'!K111</f>
        <v>1208</v>
      </c>
      <c r="H22">
        <f>'[5]Lynnwood Tons'!L111</f>
        <v>1219</v>
      </c>
      <c r="I22">
        <f>'[5]Lynnwood Tons'!M111</f>
        <v>1193</v>
      </c>
      <c r="J22">
        <f>'[5]Lynnwood Tons'!N111</f>
        <v>1113</v>
      </c>
      <c r="K22">
        <f>'[5]Lynnwood Tons'!O111</f>
        <v>1129</v>
      </c>
      <c r="L22">
        <f>'[6]Lynnwood Tons'!D111</f>
        <v>1099</v>
      </c>
      <c r="M22">
        <f>'[6]Lynnwood Tons'!E111</f>
        <v>1118</v>
      </c>
      <c r="N22">
        <f>'[6]Lynnwood Tons'!F111</f>
        <v>1131</v>
      </c>
      <c r="O22">
        <f>'[6]Lynnwood Tons'!G111</f>
        <v>1174</v>
      </c>
      <c r="P22" t="str">
        <f t="shared" si="0"/>
        <v>NRTotal Yardwaste Customers</v>
      </c>
      <c r="Q22">
        <f t="shared" si="1"/>
        <v>13919</v>
      </c>
    </row>
    <row r="23" spans="1:17" x14ac:dyDescent="0.2">
      <c r="A23" t="s">
        <v>56</v>
      </c>
      <c r="C23" s="105"/>
      <c r="D23">
        <f>'[5]Lynnwood Tons'!H112</f>
        <v>0</v>
      </c>
      <c r="E23">
        <f>'[5]Lynnwood Tons'!I112</f>
        <v>0</v>
      </c>
      <c r="F23">
        <f>'[5]Lynnwood Tons'!J112</f>
        <v>0</v>
      </c>
      <c r="G23">
        <f>'[5]Lynnwood Tons'!K112</f>
        <v>0</v>
      </c>
      <c r="H23">
        <f>'[5]Lynnwood Tons'!L112</f>
        <v>0</v>
      </c>
      <c r="I23">
        <f>'[5]Lynnwood Tons'!M112</f>
        <v>0</v>
      </c>
      <c r="J23">
        <f>'[5]Lynnwood Tons'!N112</f>
        <v>0</v>
      </c>
      <c r="K23">
        <f>'[5]Lynnwood Tons'!O112</f>
        <v>0</v>
      </c>
      <c r="L23">
        <f>'[6]Lynnwood Tons'!D112</f>
        <v>0</v>
      </c>
      <c r="M23">
        <f>'[6]Lynnwood Tons'!E112</f>
        <v>0</v>
      </c>
      <c r="N23">
        <f>'[6]Lynnwood Tons'!F112</f>
        <v>0</v>
      </c>
      <c r="O23">
        <f>'[6]Lynnwood Tons'!G112</f>
        <v>0</v>
      </c>
      <c r="P23" t="str">
        <f t="shared" si="0"/>
        <v>NR</v>
      </c>
      <c r="Q23">
        <f t="shared" si="1"/>
        <v>0</v>
      </c>
    </row>
    <row r="24" spans="1:17" x14ac:dyDescent="0.2">
      <c r="A24" t="s">
        <v>56</v>
      </c>
      <c r="C24" s="106" t="s">
        <v>60</v>
      </c>
      <c r="D24">
        <f>'[5]Lynnwood Tons'!H113</f>
        <v>65.425520156628394</v>
      </c>
      <c r="E24">
        <f>'[5]Lynnwood Tons'!I113</f>
        <v>62.946342024971763</v>
      </c>
      <c r="F24">
        <f>'[5]Lynnwood Tons'!J113</f>
        <v>70.76163459340556</v>
      </c>
      <c r="G24">
        <f>'[5]Lynnwood Tons'!K113</f>
        <v>66.968277578796403</v>
      </c>
      <c r="H24">
        <f>'[5]Lynnwood Tons'!L113</f>
        <v>74.02266392253766</v>
      </c>
      <c r="I24">
        <f>'[5]Lynnwood Tons'!M113</f>
        <v>57.382438000009429</v>
      </c>
      <c r="J24">
        <f>'[5]Lynnwood Tons'!N113</f>
        <v>66.640952352591086</v>
      </c>
      <c r="K24">
        <f>'[5]Lynnwood Tons'!O113</f>
        <v>79.728301957134448</v>
      </c>
      <c r="L24">
        <f>'[6]Lynnwood Tons'!D113</f>
        <v>71.959363706551457</v>
      </c>
      <c r="M24">
        <f>'[6]Lynnwood Tons'!E113</f>
        <v>45.112858733071398</v>
      </c>
      <c r="N24">
        <f>'[6]Lynnwood Tons'!F113</f>
        <v>69.215738274908389</v>
      </c>
      <c r="O24">
        <f>'[6]Lynnwood Tons'!G113</f>
        <v>59.777350597293534</v>
      </c>
      <c r="P24" t="str">
        <f t="shared" si="0"/>
        <v>NRTotal Recycle Tonnage</v>
      </c>
      <c r="Q24">
        <f t="shared" si="1"/>
        <v>789.94144189789961</v>
      </c>
    </row>
    <row r="25" spans="1:17" x14ac:dyDescent="0.2">
      <c r="A25" t="s">
        <v>56</v>
      </c>
      <c r="C25" s="106" t="s">
        <v>61</v>
      </c>
      <c r="D25">
        <f>'[5]Lynnwood Tons'!H114</f>
        <v>174.84129032258065</v>
      </c>
      <c r="E25">
        <f>'[5]Lynnwood Tons'!I114</f>
        <v>132.8006451612903</v>
      </c>
      <c r="F25">
        <f>'[5]Lynnwood Tons'!J114</f>
        <v>100.78435483870965</v>
      </c>
      <c r="G25">
        <f>'[5]Lynnwood Tons'!K114</f>
        <v>77.298772378516617</v>
      </c>
      <c r="H25">
        <f>'[5]Lynnwood Tons'!L114</f>
        <v>91.015549872122762</v>
      </c>
      <c r="I25">
        <f>'[5]Lynnwood Tons'!M114</f>
        <v>70.652813299232733</v>
      </c>
      <c r="J25">
        <f>'[5]Lynnwood Tons'!N114</f>
        <v>115.84815856777493</v>
      </c>
      <c r="K25">
        <f>'[5]Lynnwood Tons'!O114</f>
        <v>18.267700831024925</v>
      </c>
      <c r="L25">
        <f>'[6]Lynnwood Tons'!D114</f>
        <v>26.833268698060945</v>
      </c>
      <c r="M25">
        <f>'[6]Lynnwood Tons'!E114</f>
        <v>14.054293628808864</v>
      </c>
      <c r="N25">
        <f>'[6]Lynnwood Tons'!F114</f>
        <v>52.765706371191136</v>
      </c>
      <c r="O25">
        <f>'[6]Lynnwood Tons'!G114</f>
        <v>115.96116343490306</v>
      </c>
      <c r="P25" t="str">
        <f t="shared" si="0"/>
        <v>NRTotal Yardwaste Tonnage</v>
      </c>
      <c r="Q25">
        <f t="shared" si="1"/>
        <v>991.12371740421668</v>
      </c>
    </row>
    <row r="26" spans="1:17" x14ac:dyDescent="0.2">
      <c r="A26" t="s">
        <v>56</v>
      </c>
      <c r="C26" s="106" t="s">
        <v>62</v>
      </c>
      <c r="D26">
        <f>'[5]Lynnwood Tons'!H115</f>
        <v>128.09839871826486</v>
      </c>
      <c r="E26">
        <f>'[5]Lynnwood Tons'!I115</f>
        <v>104.77735017801371</v>
      </c>
      <c r="F26">
        <f>'[5]Lynnwood Tons'!J115</f>
        <v>107.14855466175621</v>
      </c>
      <c r="G26">
        <f>'[5]Lynnwood Tons'!K115</f>
        <v>130.69252934658294</v>
      </c>
      <c r="H26">
        <f>'[5]Lynnwood Tons'!L115</f>
        <v>107.97471224274052</v>
      </c>
      <c r="I26">
        <f>'[5]Lynnwood Tons'!M115</f>
        <v>100.21714164010702</v>
      </c>
      <c r="J26">
        <f>'[5]Lynnwood Tons'!N115</f>
        <v>126.50367291132531</v>
      </c>
      <c r="K26">
        <f>'[5]Lynnwood Tons'!O115</f>
        <v>103.97208806505191</v>
      </c>
      <c r="L26">
        <f>'[6]Lynnwood Tons'!D115</f>
        <v>125.10111198554193</v>
      </c>
      <c r="M26">
        <f>'[6]Lynnwood Tons'!E115</f>
        <v>95.071050289797228</v>
      </c>
      <c r="N26">
        <f>'[6]Lynnwood Tons'!F115</f>
        <v>100.57323330579079</v>
      </c>
      <c r="O26">
        <f>'[6]Lynnwood Tons'!G115</f>
        <v>101.58994820390116</v>
      </c>
      <c r="P26" t="str">
        <f t="shared" si="0"/>
        <v>NRTotal Residential MSW Tonnage</v>
      </c>
      <c r="Q26">
        <f t="shared" si="1"/>
        <v>1331.7197915488739</v>
      </c>
    </row>
    <row r="27" spans="1:17" x14ac:dyDescent="0.2">
      <c r="A27" t="s">
        <v>56</v>
      </c>
      <c r="B27" t="s">
        <v>47</v>
      </c>
      <c r="C27" s="105" t="s">
        <v>57</v>
      </c>
      <c r="D27">
        <f>'[5]Lynnwood Tons'!H132</f>
        <v>0</v>
      </c>
      <c r="E27">
        <f>'[5]Lynnwood Tons'!I132</f>
        <v>0</v>
      </c>
      <c r="F27">
        <f>'[5]Lynnwood Tons'!J132</f>
        <v>0</v>
      </c>
      <c r="G27">
        <f>'[5]Lynnwood Tons'!K132</f>
        <v>0</v>
      </c>
      <c r="H27">
        <f>'[5]Lynnwood Tons'!L132</f>
        <v>0</v>
      </c>
      <c r="I27">
        <f>'[5]Lynnwood Tons'!M132</f>
        <v>0</v>
      </c>
      <c r="J27">
        <f>'[5]Lynnwood Tons'!N132</f>
        <v>0</v>
      </c>
      <c r="K27">
        <f>'[5]Lynnwood Tons'!O132</f>
        <v>0</v>
      </c>
      <c r="L27">
        <f>'[6]Lynnwood Tons'!D132</f>
        <v>0</v>
      </c>
      <c r="M27">
        <f>'[6]Lynnwood Tons'!E132</f>
        <v>0</v>
      </c>
      <c r="N27">
        <f>'[6]Lynnwood Tons'!F132</f>
        <v>0</v>
      </c>
      <c r="O27">
        <f>'[6]Lynnwood Tons'!G132</f>
        <v>0</v>
      </c>
      <c r="P27" t="str">
        <f t="shared" si="0"/>
        <v>NRTotal MSW Customers</v>
      </c>
      <c r="Q27">
        <f t="shared" si="1"/>
        <v>0</v>
      </c>
    </row>
    <row r="28" spans="1:17" x14ac:dyDescent="0.2">
      <c r="A28" t="s">
        <v>56</v>
      </c>
      <c r="C28" s="105"/>
      <c r="D28">
        <f>'[5]Lynnwood Tons'!H133</f>
        <v>0</v>
      </c>
      <c r="E28">
        <f>'[5]Lynnwood Tons'!I133</f>
        <v>0</v>
      </c>
      <c r="F28">
        <f>'[5]Lynnwood Tons'!J133</f>
        <v>0</v>
      </c>
      <c r="G28">
        <f>'[5]Lynnwood Tons'!K133</f>
        <v>0</v>
      </c>
      <c r="H28">
        <f>'[5]Lynnwood Tons'!L133</f>
        <v>0</v>
      </c>
      <c r="I28">
        <f>'[5]Lynnwood Tons'!M133</f>
        <v>0</v>
      </c>
      <c r="J28">
        <f>'[5]Lynnwood Tons'!N133</f>
        <v>0</v>
      </c>
      <c r="K28">
        <f>'[5]Lynnwood Tons'!O133</f>
        <v>0</v>
      </c>
      <c r="L28">
        <f>'[6]Lynnwood Tons'!D133</f>
        <v>0</v>
      </c>
      <c r="M28">
        <f>'[6]Lynnwood Tons'!E133</f>
        <v>0</v>
      </c>
      <c r="N28">
        <f>'[6]Lynnwood Tons'!F133</f>
        <v>0</v>
      </c>
      <c r="O28">
        <f>'[6]Lynnwood Tons'!G133</f>
        <v>0</v>
      </c>
      <c r="P28" t="str">
        <f t="shared" si="0"/>
        <v>NR</v>
      </c>
      <c r="Q28">
        <f t="shared" si="1"/>
        <v>0</v>
      </c>
    </row>
    <row r="29" spans="1:17" x14ac:dyDescent="0.2">
      <c r="A29" t="s">
        <v>56</v>
      </c>
      <c r="C29" s="105" t="s">
        <v>58</v>
      </c>
      <c r="D29">
        <f>'[5]Lynnwood Tons'!H134</f>
        <v>6513</v>
      </c>
      <c r="E29">
        <f>'[5]Lynnwood Tons'!I134</f>
        <v>6517</v>
      </c>
      <c r="F29">
        <f>'[5]Lynnwood Tons'!J134</f>
        <v>6527</v>
      </c>
      <c r="G29">
        <f>'[5]Lynnwood Tons'!K134</f>
        <v>6532</v>
      </c>
      <c r="H29">
        <f>'[5]Lynnwood Tons'!L134</f>
        <v>6539</v>
      </c>
      <c r="I29">
        <f>'[5]Lynnwood Tons'!M134</f>
        <v>6545</v>
      </c>
      <c r="J29">
        <f>'[5]Lynnwood Tons'!N134</f>
        <v>6552</v>
      </c>
      <c r="K29">
        <f>'[5]Lynnwood Tons'!O134</f>
        <v>6556</v>
      </c>
      <c r="L29">
        <f>'[6]Lynnwood Tons'!D134</f>
        <v>6559</v>
      </c>
      <c r="M29">
        <f>'[6]Lynnwood Tons'!E134</f>
        <v>6569</v>
      </c>
      <c r="N29">
        <f>'[6]Lynnwood Tons'!F134</f>
        <v>6576</v>
      </c>
      <c r="O29">
        <f>'[6]Lynnwood Tons'!G134</f>
        <v>6582</v>
      </c>
      <c r="P29" t="str">
        <f t="shared" si="0"/>
        <v>NRTotal Recycle Customers</v>
      </c>
      <c r="Q29">
        <f t="shared" si="1"/>
        <v>78567</v>
      </c>
    </row>
    <row r="30" spans="1:17" x14ac:dyDescent="0.2">
      <c r="A30" t="s">
        <v>56</v>
      </c>
      <c r="C30" s="105" t="s">
        <v>59</v>
      </c>
      <c r="D30">
        <f>'[5]Lynnwood Tons'!H135</f>
        <v>0</v>
      </c>
      <c r="E30">
        <f>'[5]Lynnwood Tons'!I135</f>
        <v>0</v>
      </c>
      <c r="F30">
        <f>'[5]Lynnwood Tons'!J135</f>
        <v>0</v>
      </c>
      <c r="G30">
        <f>'[5]Lynnwood Tons'!K135</f>
        <v>0</v>
      </c>
      <c r="H30">
        <f>'[5]Lynnwood Tons'!L135</f>
        <v>0</v>
      </c>
      <c r="I30">
        <f>'[5]Lynnwood Tons'!M135</f>
        <v>0</v>
      </c>
      <c r="J30">
        <f>'[5]Lynnwood Tons'!N135</f>
        <v>0</v>
      </c>
      <c r="K30">
        <f>'[5]Lynnwood Tons'!O135</f>
        <v>0</v>
      </c>
      <c r="L30">
        <f>'[6]Lynnwood Tons'!D135</f>
        <v>0</v>
      </c>
      <c r="M30">
        <f>'[6]Lynnwood Tons'!E135</f>
        <v>0</v>
      </c>
      <c r="N30">
        <f>'[6]Lynnwood Tons'!F135</f>
        <v>0</v>
      </c>
      <c r="O30">
        <f>'[6]Lynnwood Tons'!G135</f>
        <v>0</v>
      </c>
      <c r="P30" t="str">
        <f t="shared" si="0"/>
        <v>NRTotal Yardwaste Customers</v>
      </c>
      <c r="Q30">
        <f t="shared" si="1"/>
        <v>0</v>
      </c>
    </row>
    <row r="31" spans="1:17" x14ac:dyDescent="0.2">
      <c r="A31" t="s">
        <v>56</v>
      </c>
      <c r="C31" s="105"/>
      <c r="D31">
        <f>'[5]Lynnwood Tons'!H136</f>
        <v>0</v>
      </c>
      <c r="E31">
        <f>'[5]Lynnwood Tons'!I136</f>
        <v>0</v>
      </c>
      <c r="F31">
        <f>'[5]Lynnwood Tons'!J136</f>
        <v>0</v>
      </c>
      <c r="G31">
        <f>'[5]Lynnwood Tons'!K136</f>
        <v>0</v>
      </c>
      <c r="H31">
        <f>'[5]Lynnwood Tons'!L136</f>
        <v>0</v>
      </c>
      <c r="I31">
        <f>'[5]Lynnwood Tons'!M136</f>
        <v>0</v>
      </c>
      <c r="J31">
        <f>'[5]Lynnwood Tons'!N136</f>
        <v>0</v>
      </c>
      <c r="K31">
        <f>'[5]Lynnwood Tons'!O136</f>
        <v>0</v>
      </c>
      <c r="L31">
        <f>'[6]Lynnwood Tons'!D136</f>
        <v>0</v>
      </c>
      <c r="M31">
        <f>'[6]Lynnwood Tons'!E136</f>
        <v>0</v>
      </c>
      <c r="N31">
        <f>'[6]Lynnwood Tons'!F136</f>
        <v>0</v>
      </c>
      <c r="O31">
        <f>'[6]Lynnwood Tons'!G136</f>
        <v>0</v>
      </c>
      <c r="P31" t="str">
        <f t="shared" si="0"/>
        <v>NR</v>
      </c>
      <c r="Q31">
        <f t="shared" si="1"/>
        <v>0</v>
      </c>
    </row>
    <row r="32" spans="1:17" x14ac:dyDescent="0.2">
      <c r="A32" t="s">
        <v>56</v>
      </c>
      <c r="C32" s="106" t="s">
        <v>60</v>
      </c>
      <c r="D32">
        <f>'[5]Lynnwood Tons'!H137</f>
        <v>184.09</v>
      </c>
      <c r="E32">
        <f>'[5]Lynnwood Tons'!I137</f>
        <v>167.82</v>
      </c>
      <c r="F32">
        <f>'[5]Lynnwood Tons'!J137</f>
        <v>186.87999999999985</v>
      </c>
      <c r="G32">
        <f>'[5]Lynnwood Tons'!K137</f>
        <v>179.76999999999995</v>
      </c>
      <c r="H32">
        <f>'[5]Lynnwood Tons'!L137</f>
        <v>163.11000000000013</v>
      </c>
      <c r="I32">
        <f>'[5]Lynnwood Tons'!M137</f>
        <v>187.00999999999996</v>
      </c>
      <c r="J32">
        <f>'[5]Lynnwood Tons'!N137</f>
        <v>174.02999999999994</v>
      </c>
      <c r="K32">
        <f>'[5]Lynnwood Tons'!O137</f>
        <v>202.91</v>
      </c>
      <c r="L32">
        <f>'[6]Lynnwood Tons'!D137</f>
        <v>252.28000000000006</v>
      </c>
      <c r="M32">
        <f>'[6]Lynnwood Tons'!E137</f>
        <v>160.04</v>
      </c>
      <c r="N32">
        <f>'[6]Lynnwood Tons'!F137</f>
        <v>174.76000000000002</v>
      </c>
      <c r="O32">
        <f>'[6]Lynnwood Tons'!G137</f>
        <v>188.3600000000001</v>
      </c>
      <c r="P32" t="str">
        <f t="shared" si="0"/>
        <v>NRTotal Recycle Tonnage</v>
      </c>
      <c r="Q32">
        <f t="shared" si="1"/>
        <v>2221.06</v>
      </c>
    </row>
    <row r="33" spans="1:31" x14ac:dyDescent="0.2">
      <c r="A33" t="s">
        <v>56</v>
      </c>
      <c r="C33" s="106" t="s">
        <v>61</v>
      </c>
      <c r="D33">
        <f>'[5]Lynnwood Tons'!H138</f>
        <v>0</v>
      </c>
      <c r="E33">
        <f>'[5]Lynnwood Tons'!I138</f>
        <v>0</v>
      </c>
      <c r="F33">
        <f>'[5]Lynnwood Tons'!J138</f>
        <v>0</v>
      </c>
      <c r="G33">
        <f>'[5]Lynnwood Tons'!K138</f>
        <v>0</v>
      </c>
      <c r="H33">
        <f>'[5]Lynnwood Tons'!L138</f>
        <v>0</v>
      </c>
      <c r="I33">
        <f>'[5]Lynnwood Tons'!M138</f>
        <v>0</v>
      </c>
      <c r="J33">
        <f>'[5]Lynnwood Tons'!N138</f>
        <v>0</v>
      </c>
      <c r="K33">
        <f>'[5]Lynnwood Tons'!O138</f>
        <v>0</v>
      </c>
      <c r="L33">
        <f>'[6]Lynnwood Tons'!D138</f>
        <v>0</v>
      </c>
      <c r="M33">
        <f>'[6]Lynnwood Tons'!E138</f>
        <v>0</v>
      </c>
      <c r="N33">
        <f>'[6]Lynnwood Tons'!F138</f>
        <v>0</v>
      </c>
      <c r="O33">
        <f>'[6]Lynnwood Tons'!G138</f>
        <v>0</v>
      </c>
      <c r="P33" t="str">
        <f t="shared" si="0"/>
        <v>NRTotal Yardwaste Tonnage</v>
      </c>
      <c r="Q33">
        <f t="shared" si="1"/>
        <v>0</v>
      </c>
    </row>
    <row r="34" spans="1:31" x14ac:dyDescent="0.2">
      <c r="A34" t="s">
        <v>56</v>
      </c>
      <c r="C34" s="106" t="s">
        <v>62</v>
      </c>
      <c r="D34">
        <f>'[5]Lynnwood Tons'!H139</f>
        <v>0</v>
      </c>
      <c r="E34">
        <f>'[5]Lynnwood Tons'!I139</f>
        <v>0</v>
      </c>
      <c r="F34">
        <f>'[5]Lynnwood Tons'!J139</f>
        <v>0</v>
      </c>
      <c r="G34">
        <f>'[5]Lynnwood Tons'!K139</f>
        <v>0</v>
      </c>
      <c r="H34">
        <f>'[5]Lynnwood Tons'!L139</f>
        <v>0</v>
      </c>
      <c r="I34">
        <f>'[5]Lynnwood Tons'!M139</f>
        <v>0</v>
      </c>
      <c r="J34">
        <f>'[5]Lynnwood Tons'!N139</f>
        <v>0</v>
      </c>
      <c r="K34">
        <f>'[5]Lynnwood Tons'!O139</f>
        <v>0</v>
      </c>
      <c r="L34">
        <f>'[6]Lynnwood Tons'!D139</f>
        <v>0</v>
      </c>
      <c r="M34">
        <f>'[6]Lynnwood Tons'!E139</f>
        <v>0</v>
      </c>
      <c r="N34">
        <f>'[6]Lynnwood Tons'!F139</f>
        <v>0</v>
      </c>
      <c r="O34">
        <f>'[6]Lynnwood Tons'!G139</f>
        <v>0</v>
      </c>
      <c r="P34" t="str">
        <f t="shared" si="0"/>
        <v>NRTotal Residential MSW Tonnage</v>
      </c>
      <c r="Q34">
        <f t="shared" si="1"/>
        <v>0</v>
      </c>
    </row>
    <row r="35" spans="1:31" x14ac:dyDescent="0.2">
      <c r="A35" t="s">
        <v>55</v>
      </c>
      <c r="B35" t="s">
        <v>48</v>
      </c>
      <c r="C35" s="105" t="s">
        <v>57</v>
      </c>
      <c r="D35" s="165">
        <f>'[5]Lynnwood Tons'!H155</f>
        <v>8683</v>
      </c>
      <c r="E35" s="165">
        <f>'[5]Lynnwood Tons'!I155</f>
        <v>8642</v>
      </c>
      <c r="F35" s="165">
        <f>'[5]Lynnwood Tons'!J155</f>
        <v>8686</v>
      </c>
      <c r="G35" s="165">
        <f>'[5]Lynnwood Tons'!K155</f>
        <v>8685</v>
      </c>
      <c r="H35" s="165">
        <f>'[5]Lynnwood Tons'!L155</f>
        <v>8692</v>
      </c>
      <c r="I35" s="165">
        <f>'[5]Lynnwood Tons'!M155</f>
        <v>8707</v>
      </c>
      <c r="J35" s="165">
        <f>'[5]Lynnwood Tons'!N155</f>
        <v>8655</v>
      </c>
      <c r="K35" s="165">
        <f>'[5]Lynnwood Tons'!O155</f>
        <v>8707</v>
      </c>
      <c r="L35" s="165">
        <f>'[6]Lynnwood Tons'!D155</f>
        <v>8669</v>
      </c>
      <c r="M35" s="165">
        <f>'[6]Lynnwood Tons'!E155</f>
        <v>8650</v>
      </c>
      <c r="N35" s="165">
        <f>'[6]Lynnwood Tons'!F155</f>
        <v>8671</v>
      </c>
      <c r="O35" s="165">
        <f>'[6]Lynnwood Tons'!G155</f>
        <v>8712</v>
      </c>
      <c r="P35" t="str">
        <f t="shared" si="0"/>
        <v>RTotal MSW Customers</v>
      </c>
      <c r="Q35">
        <f t="shared" si="1"/>
        <v>104159</v>
      </c>
    </row>
    <row r="36" spans="1:31" x14ac:dyDescent="0.2">
      <c r="A36" t="s">
        <v>55</v>
      </c>
      <c r="C36" s="105"/>
      <c r="P36" t="str">
        <f t="shared" si="0"/>
        <v>R</v>
      </c>
      <c r="Q36">
        <f t="shared" si="1"/>
        <v>0</v>
      </c>
    </row>
    <row r="37" spans="1:31" x14ac:dyDescent="0.2">
      <c r="A37" t="s">
        <v>55</v>
      </c>
      <c r="C37" s="105" t="s">
        <v>58</v>
      </c>
      <c r="D37" s="165">
        <f>'[5]Lynnwood Tons'!H157</f>
        <v>8720</v>
      </c>
      <c r="E37" s="165">
        <f>'[5]Lynnwood Tons'!I157</f>
        <v>8680</v>
      </c>
      <c r="F37" s="165">
        <f>'[5]Lynnwood Tons'!J157</f>
        <v>8726</v>
      </c>
      <c r="G37" s="165">
        <f>'[5]Lynnwood Tons'!K157</f>
        <v>8726</v>
      </c>
      <c r="H37" s="165">
        <f>'[5]Lynnwood Tons'!L157</f>
        <v>8734</v>
      </c>
      <c r="I37" s="165">
        <f>'[5]Lynnwood Tons'!M157</f>
        <v>8752</v>
      </c>
      <c r="J37" s="165">
        <f>'[5]Lynnwood Tons'!N157</f>
        <v>8699</v>
      </c>
      <c r="K37" s="165">
        <f>'[5]Lynnwood Tons'!O157</f>
        <v>8749</v>
      </c>
      <c r="L37" s="165">
        <f>'[6]Lynnwood Tons'!D157</f>
        <v>8712</v>
      </c>
      <c r="M37" s="165">
        <f>'[6]Lynnwood Tons'!E157</f>
        <v>8695</v>
      </c>
      <c r="N37" s="165">
        <f>'[6]Lynnwood Tons'!F157</f>
        <v>8716</v>
      </c>
      <c r="O37" s="165">
        <f>'[6]Lynnwood Tons'!G157</f>
        <v>8754</v>
      </c>
      <c r="P37" t="str">
        <f t="shared" si="0"/>
        <v>RTotal Recycle Customers</v>
      </c>
      <c r="Q37">
        <f t="shared" si="1"/>
        <v>104663</v>
      </c>
    </row>
    <row r="38" spans="1:31" x14ac:dyDescent="0.2">
      <c r="A38" t="s">
        <v>55</v>
      </c>
      <c r="C38" s="105" t="s">
        <v>59</v>
      </c>
      <c r="D38">
        <f>'[5]Lynnwood Tons'!H158</f>
        <v>6300</v>
      </c>
      <c r="E38">
        <f>'[5]Lynnwood Tons'!I158</f>
        <v>6293</v>
      </c>
      <c r="F38">
        <f>'[5]Lynnwood Tons'!J158</f>
        <v>6337</v>
      </c>
      <c r="G38">
        <f>'[5]Lynnwood Tons'!K158</f>
        <v>6333</v>
      </c>
      <c r="H38">
        <f>'[5]Lynnwood Tons'!L158</f>
        <v>6319</v>
      </c>
      <c r="I38">
        <f>'[5]Lynnwood Tons'!M158</f>
        <v>6283</v>
      </c>
      <c r="J38">
        <f>'[5]Lynnwood Tons'!N158</f>
        <v>6178</v>
      </c>
      <c r="K38">
        <f>'[5]Lynnwood Tons'!O158</f>
        <v>6121</v>
      </c>
      <c r="L38">
        <f>'[6]Lynnwood Tons'!D158</f>
        <v>6057</v>
      </c>
      <c r="M38">
        <f>'[6]Lynnwood Tons'!E158</f>
        <v>6048</v>
      </c>
      <c r="N38">
        <f>'[6]Lynnwood Tons'!F158</f>
        <v>6128</v>
      </c>
      <c r="O38">
        <f>'[6]Lynnwood Tons'!G158</f>
        <v>6236</v>
      </c>
      <c r="P38" t="str">
        <f t="shared" si="0"/>
        <v>RTotal Yardwaste Customers</v>
      </c>
      <c r="Q38">
        <f t="shared" si="1"/>
        <v>74633</v>
      </c>
    </row>
    <row r="39" spans="1:31" x14ac:dyDescent="0.2">
      <c r="A39" t="s">
        <v>55</v>
      </c>
      <c r="C39" s="105"/>
      <c r="D39">
        <f>'[5]Lynnwood Tons'!H159</f>
        <v>0</v>
      </c>
      <c r="E39">
        <f>'[5]Lynnwood Tons'!I159</f>
        <v>0</v>
      </c>
      <c r="F39">
        <f>'[5]Lynnwood Tons'!J159</f>
        <v>0</v>
      </c>
      <c r="G39">
        <f>'[5]Lynnwood Tons'!K159</f>
        <v>0</v>
      </c>
      <c r="H39">
        <f>'[5]Lynnwood Tons'!L159</f>
        <v>0</v>
      </c>
      <c r="I39">
        <f>'[5]Lynnwood Tons'!M159</f>
        <v>0</v>
      </c>
      <c r="J39">
        <f>'[5]Lynnwood Tons'!N159</f>
        <v>0</v>
      </c>
      <c r="K39">
        <f>'[5]Lynnwood Tons'!O159</f>
        <v>0</v>
      </c>
      <c r="L39">
        <f>'[6]Lynnwood Tons'!D159</f>
        <v>0</v>
      </c>
      <c r="M39">
        <f>'[6]Lynnwood Tons'!E159</f>
        <v>0</v>
      </c>
      <c r="N39">
        <f>'[6]Lynnwood Tons'!F159</f>
        <v>0</v>
      </c>
      <c r="O39">
        <f>'[6]Lynnwood Tons'!G159</f>
        <v>0</v>
      </c>
      <c r="P39" t="str">
        <f t="shared" si="0"/>
        <v>R</v>
      </c>
      <c r="Q39">
        <f t="shared" si="1"/>
        <v>0</v>
      </c>
      <c r="R39" t="s">
        <v>48</v>
      </c>
    </row>
    <row r="40" spans="1:31" x14ac:dyDescent="0.2">
      <c r="A40" t="s">
        <v>55</v>
      </c>
      <c r="C40" s="106" t="s">
        <v>60</v>
      </c>
      <c r="D40" s="117">
        <f>'[5]Lynnwood Tons'!H160</f>
        <v>253.37923841842678</v>
      </c>
      <c r="E40" s="117">
        <f>'[5]Lynnwood Tons'!I160</f>
        <v>264.02245886102475</v>
      </c>
      <c r="F40" s="117">
        <f>'[5]Lynnwood Tons'!J160</f>
        <v>288.66170240870605</v>
      </c>
      <c r="G40" s="117">
        <f>'[5]Lynnwood Tons'!K160</f>
        <v>243.47794288682624</v>
      </c>
      <c r="H40" s="117">
        <f>'[5]Lynnwood Tons'!L160</f>
        <v>261.42581103209142</v>
      </c>
      <c r="I40" s="117">
        <f>'[5]Lynnwood Tons'!M160</f>
        <v>268.67715594072689</v>
      </c>
      <c r="J40" s="117">
        <f>'[5]Lynnwood Tons'!N160</f>
        <v>256.69719424014573</v>
      </c>
      <c r="K40" s="117">
        <f>'[5]Lynnwood Tons'!O160</f>
        <v>295.63300881949834</v>
      </c>
      <c r="L40" s="117">
        <f>'[6]Lynnwood Tons'!D160</f>
        <v>307.75762127671771</v>
      </c>
      <c r="M40" s="117">
        <f>'[6]Lynnwood Tons'!E160</f>
        <v>233.28931873024692</v>
      </c>
      <c r="N40" s="117">
        <f>'[6]Lynnwood Tons'!F160</f>
        <v>253.20573639885058</v>
      </c>
      <c r="O40" s="117">
        <f>'[6]Lynnwood Tons'!G160</f>
        <v>275.26416799782305</v>
      </c>
      <c r="P40" t="str">
        <f t="shared" si="0"/>
        <v>RTotal Recycle Tonnage</v>
      </c>
      <c r="Q40" s="117">
        <f t="shared" si="1"/>
        <v>3201.4913570110848</v>
      </c>
      <c r="R40" s="166">
        <f>D40/(D40+D42)</f>
        <v>0.34894945214349976</v>
      </c>
      <c r="S40" s="166">
        <f t="shared" ref="S40:AA40" si="3">E40/(E40+E42)</f>
        <v>0.37708711759495178</v>
      </c>
      <c r="T40" s="166">
        <f t="shared" si="3"/>
        <v>0.35064255388757121</v>
      </c>
      <c r="U40" s="166">
        <f t="shared" si="3"/>
        <v>0.35010719678814994</v>
      </c>
      <c r="V40" s="166">
        <f t="shared" si="3"/>
        <v>0.36008292559341387</v>
      </c>
      <c r="W40" s="166">
        <f t="shared" si="3"/>
        <v>0.35956568895953966</v>
      </c>
      <c r="X40" s="166">
        <f t="shared" si="3"/>
        <v>0.37748934293298919</v>
      </c>
      <c r="Y40" s="166">
        <f t="shared" si="3"/>
        <v>0.39153563485694071</v>
      </c>
      <c r="Z40" s="166">
        <f t="shared" si="3"/>
        <v>0.40518015075364139</v>
      </c>
      <c r="AA40" s="166">
        <f t="shared" si="3"/>
        <v>0.38984494545381049</v>
      </c>
      <c r="AB40" s="166">
        <f>N40/(N40+N42)</f>
        <v>0.37953904724506032</v>
      </c>
      <c r="AC40" s="166">
        <f>O40/(O40+O42)</f>
        <v>0.3793935240670373</v>
      </c>
    </row>
    <row r="41" spans="1:31" x14ac:dyDescent="0.2">
      <c r="A41" t="s">
        <v>55</v>
      </c>
      <c r="C41" s="106" t="s">
        <v>61</v>
      </c>
      <c r="D41">
        <f>'[5]Lynnwood Tons'!H161</f>
        <v>667.31927134742568</v>
      </c>
      <c r="E41">
        <f>'[5]Lynnwood Tons'!I161</f>
        <v>538.25612351906568</v>
      </c>
      <c r="F41">
        <f>'[5]Lynnwood Tons'!J161</f>
        <v>506.20108853847586</v>
      </c>
      <c r="G41">
        <f>'[5]Lynnwood Tons'!K161</f>
        <v>334.93132100086029</v>
      </c>
      <c r="H41">
        <f>'[5]Lynnwood Tons'!L161</f>
        <v>394.32152001474157</v>
      </c>
      <c r="I41">
        <f>'[5]Lynnwood Tons'!M161</f>
        <v>506.55322536882301</v>
      </c>
      <c r="J41">
        <f>'[5]Lynnwood Tons'!N161</f>
        <v>570.64380143639812</v>
      </c>
      <c r="K41">
        <f>'[5]Lynnwood Tons'!O161</f>
        <v>211.89415189066534</v>
      </c>
      <c r="L41">
        <f>'[6]Lynnwood Tons'!D161</f>
        <v>242.6539937010935</v>
      </c>
      <c r="M41">
        <f>'[6]Lynnwood Tons'!E161</f>
        <v>163.89922642595431</v>
      </c>
      <c r="N41">
        <f>'[6]Lynnwood Tons'!F161</f>
        <v>315.30442207565898</v>
      </c>
      <c r="O41">
        <f>'[6]Lynnwood Tons'!G161</f>
        <v>722.46205343327597</v>
      </c>
      <c r="P41" t="str">
        <f t="shared" si="0"/>
        <v>RTotal Yardwaste Tonnage</v>
      </c>
      <c r="Q41">
        <f t="shared" si="1"/>
        <v>5174.4401987524388</v>
      </c>
      <c r="AC41" s="167">
        <f>AC40-R40</f>
        <v>3.0444071923537541E-2</v>
      </c>
      <c r="AD41" s="166">
        <f>(Q35/12)/V3</f>
        <v>0.50588161013327115</v>
      </c>
      <c r="AE41" s="169">
        <f>AD41*AC41</f>
        <v>1.5401096123692285E-2</v>
      </c>
    </row>
    <row r="42" spans="1:31" x14ac:dyDescent="0.2">
      <c r="A42" t="s">
        <v>55</v>
      </c>
      <c r="C42" s="106" t="s">
        <v>62</v>
      </c>
      <c r="D42" s="117">
        <f>'[5]Lynnwood Tons'!H162</f>
        <v>472.74093991109436</v>
      </c>
      <c r="E42" s="117">
        <f>'[5]Lynnwood Tons'!I162</f>
        <v>436.14057122324493</v>
      </c>
      <c r="F42" s="117">
        <f>'[5]Lynnwood Tons'!J162</f>
        <v>534.57466524922938</v>
      </c>
      <c r="G42" s="117">
        <f>'[5]Lynnwood Tons'!K162</f>
        <v>451.96032607899247</v>
      </c>
      <c r="H42" s="117">
        <f>'[5]Lynnwood Tons'!L162</f>
        <v>464.5897605234432</v>
      </c>
      <c r="I42" s="117">
        <f>'[5]Lynnwood Tons'!M162</f>
        <v>478.54974637630687</v>
      </c>
      <c r="J42" s="117">
        <f>'[5]Lynnwood Tons'!N162</f>
        <v>423.31457045148392</v>
      </c>
      <c r="K42" s="117">
        <f>'[5]Lynnwood Tons'!O162</f>
        <v>459.42727816438429</v>
      </c>
      <c r="L42" s="117">
        <f>'[6]Lynnwood Tons'!D162</f>
        <v>451.79987605942711</v>
      </c>
      <c r="M42" s="117">
        <f>'[6]Lynnwood Tons'!E162</f>
        <v>365.12633716258404</v>
      </c>
      <c r="N42" s="117">
        <f>'[6]Lynnwood Tons'!F162</f>
        <v>413.934412254579</v>
      </c>
      <c r="O42" s="117">
        <f>'[6]Lynnwood Tons'!G162</f>
        <v>450.27317129841907</v>
      </c>
      <c r="P42" t="str">
        <f t="shared" si="0"/>
        <v>RTotal Residential MSW Tonnage</v>
      </c>
      <c r="Q42">
        <f t="shared" si="1"/>
        <v>5402.431654753188</v>
      </c>
    </row>
    <row r="43" spans="1:31" x14ac:dyDescent="0.2">
      <c r="A43" t="s">
        <v>55</v>
      </c>
      <c r="B43" t="s">
        <v>49</v>
      </c>
      <c r="C43" s="105" t="s">
        <v>57</v>
      </c>
      <c r="D43" s="165">
        <f>'[5]Lynnwood Tons'!H178</f>
        <v>2900</v>
      </c>
      <c r="E43" s="165">
        <f>'[5]Lynnwood Tons'!I178</f>
        <v>2904</v>
      </c>
      <c r="F43" s="165">
        <f>'[5]Lynnwood Tons'!J178</f>
        <v>2892</v>
      </c>
      <c r="G43" s="165">
        <f>'[5]Lynnwood Tons'!K178</f>
        <v>2901</v>
      </c>
      <c r="H43" s="165">
        <f>'[5]Lynnwood Tons'!L178</f>
        <v>2904</v>
      </c>
      <c r="I43" s="165">
        <f>'[5]Lynnwood Tons'!M178</f>
        <v>2925</v>
      </c>
      <c r="J43" s="165">
        <f>'[5]Lynnwood Tons'!N178</f>
        <v>2903</v>
      </c>
      <c r="K43" s="165">
        <f>'[5]Lynnwood Tons'!O178</f>
        <v>2911</v>
      </c>
      <c r="L43" s="165">
        <f>'[6]Lynnwood Tons'!D178</f>
        <v>2884</v>
      </c>
      <c r="M43" s="165">
        <f>'[6]Lynnwood Tons'!E178</f>
        <v>2890</v>
      </c>
      <c r="N43" s="165">
        <f>'[6]Lynnwood Tons'!F178</f>
        <v>2898</v>
      </c>
      <c r="O43" s="165">
        <f>'[6]Lynnwood Tons'!G178</f>
        <v>2917</v>
      </c>
      <c r="P43" t="str">
        <f t="shared" si="0"/>
        <v>RTotal MSW Customers</v>
      </c>
      <c r="Q43">
        <f t="shared" si="1"/>
        <v>34829</v>
      </c>
    </row>
    <row r="44" spans="1:31" x14ac:dyDescent="0.2">
      <c r="A44" t="s">
        <v>55</v>
      </c>
      <c r="C44" s="105"/>
      <c r="D44">
        <f>'[5]Lynnwood Tons'!H179</f>
        <v>0</v>
      </c>
      <c r="E44">
        <f>'[5]Lynnwood Tons'!I179</f>
        <v>0</v>
      </c>
      <c r="F44">
        <f>'[5]Lynnwood Tons'!J179</f>
        <v>0</v>
      </c>
      <c r="G44">
        <f>'[5]Lynnwood Tons'!K179</f>
        <v>0</v>
      </c>
      <c r="H44">
        <f>'[5]Lynnwood Tons'!L179</f>
        <v>0</v>
      </c>
      <c r="I44">
        <f>'[5]Lynnwood Tons'!M179</f>
        <v>0</v>
      </c>
      <c r="J44">
        <f>'[5]Lynnwood Tons'!N179</f>
        <v>0</v>
      </c>
      <c r="K44">
        <f>'[5]Lynnwood Tons'!O179</f>
        <v>0</v>
      </c>
      <c r="L44">
        <f>'[6]Lynnwood Tons'!D179</f>
        <v>0</v>
      </c>
      <c r="M44">
        <f>'[6]Lynnwood Tons'!E179</f>
        <v>0</v>
      </c>
      <c r="N44">
        <f>'[6]Lynnwood Tons'!F179</f>
        <v>0</v>
      </c>
      <c r="O44">
        <f>'[6]Lynnwood Tons'!G179</f>
        <v>0</v>
      </c>
      <c r="P44" t="str">
        <f t="shared" si="0"/>
        <v>R</v>
      </c>
      <c r="Q44">
        <f t="shared" si="1"/>
        <v>0</v>
      </c>
      <c r="T44">
        <f>Q40/(Q40+Q42)</f>
        <v>0.37209669968381143</v>
      </c>
    </row>
    <row r="45" spans="1:31" x14ac:dyDescent="0.2">
      <c r="A45" t="s">
        <v>55</v>
      </c>
      <c r="C45" s="105" t="s">
        <v>58</v>
      </c>
      <c r="D45" s="165">
        <f>'[5]Lynnwood Tons'!H180</f>
        <v>2908</v>
      </c>
      <c r="E45" s="165">
        <f>'[5]Lynnwood Tons'!I180</f>
        <v>2912</v>
      </c>
      <c r="F45" s="165">
        <f>'[5]Lynnwood Tons'!J180</f>
        <v>2900</v>
      </c>
      <c r="G45" s="165">
        <f>'[5]Lynnwood Tons'!K180</f>
        <v>2910</v>
      </c>
      <c r="H45" s="165">
        <f>'[5]Lynnwood Tons'!L180</f>
        <v>2914</v>
      </c>
      <c r="I45" s="165">
        <f>'[5]Lynnwood Tons'!M180</f>
        <v>2934</v>
      </c>
      <c r="J45" s="165">
        <f>'[5]Lynnwood Tons'!N180</f>
        <v>2911</v>
      </c>
      <c r="K45" s="165">
        <f>'[5]Lynnwood Tons'!O180</f>
        <v>2919</v>
      </c>
      <c r="L45" s="165">
        <f>'[6]Lynnwood Tons'!D180</f>
        <v>2890</v>
      </c>
      <c r="M45" s="165">
        <f>'[6]Lynnwood Tons'!E180</f>
        <v>2897</v>
      </c>
      <c r="N45" s="165">
        <f>'[6]Lynnwood Tons'!F180</f>
        <v>2904</v>
      </c>
      <c r="O45" s="165">
        <f>'[6]Lynnwood Tons'!G180</f>
        <v>2923</v>
      </c>
      <c r="P45" t="str">
        <f t="shared" si="0"/>
        <v>RTotal Recycle Customers</v>
      </c>
      <c r="Q45">
        <f t="shared" si="1"/>
        <v>34922</v>
      </c>
    </row>
    <row r="46" spans="1:31" x14ac:dyDescent="0.2">
      <c r="A46" t="s">
        <v>55</v>
      </c>
      <c r="C46" s="105" t="s">
        <v>59</v>
      </c>
      <c r="D46">
        <f>'[5]Lynnwood Tons'!H181</f>
        <v>1762</v>
      </c>
      <c r="E46">
        <f>'[5]Lynnwood Tons'!I181</f>
        <v>1779</v>
      </c>
      <c r="F46">
        <f>'[5]Lynnwood Tons'!J181</f>
        <v>1786</v>
      </c>
      <c r="G46">
        <f>'[5]Lynnwood Tons'!K181</f>
        <v>1779</v>
      </c>
      <c r="H46">
        <f>'[5]Lynnwood Tons'!L181</f>
        <v>1770</v>
      </c>
      <c r="I46">
        <f>'[5]Lynnwood Tons'!M181</f>
        <v>1767</v>
      </c>
      <c r="J46">
        <f>'[5]Lynnwood Tons'!N181</f>
        <v>1739</v>
      </c>
      <c r="K46">
        <f>'[5]Lynnwood Tons'!O181</f>
        <v>1718</v>
      </c>
      <c r="L46">
        <f>'[6]Lynnwood Tons'!D181</f>
        <v>1683</v>
      </c>
      <c r="M46">
        <f>'[6]Lynnwood Tons'!E181</f>
        <v>1687</v>
      </c>
      <c r="N46">
        <f>'[6]Lynnwood Tons'!F181</f>
        <v>1725</v>
      </c>
      <c r="O46">
        <f>'[6]Lynnwood Tons'!G181</f>
        <v>1767</v>
      </c>
      <c r="P46" t="str">
        <f t="shared" si="0"/>
        <v>RTotal Yardwaste Customers</v>
      </c>
      <c r="Q46">
        <f t="shared" si="1"/>
        <v>20962</v>
      </c>
    </row>
    <row r="47" spans="1:31" x14ac:dyDescent="0.2">
      <c r="A47" t="s">
        <v>55</v>
      </c>
      <c r="C47" s="105"/>
      <c r="D47">
        <f>'[5]Lynnwood Tons'!H182</f>
        <v>0</v>
      </c>
      <c r="E47">
        <f>'[5]Lynnwood Tons'!I182</f>
        <v>0</v>
      </c>
      <c r="F47">
        <f>'[5]Lynnwood Tons'!J182</f>
        <v>0</v>
      </c>
      <c r="G47">
        <f>'[5]Lynnwood Tons'!K182</f>
        <v>0</v>
      </c>
      <c r="H47">
        <f>'[5]Lynnwood Tons'!L182</f>
        <v>0</v>
      </c>
      <c r="I47">
        <f>'[5]Lynnwood Tons'!M182</f>
        <v>0</v>
      </c>
      <c r="J47">
        <f>'[5]Lynnwood Tons'!N182</f>
        <v>0</v>
      </c>
      <c r="K47">
        <f>'[5]Lynnwood Tons'!O182</f>
        <v>0</v>
      </c>
      <c r="L47">
        <f>'[6]Lynnwood Tons'!D182</f>
        <v>0</v>
      </c>
      <c r="M47">
        <f>'[6]Lynnwood Tons'!E182</f>
        <v>0</v>
      </c>
      <c r="N47">
        <f>'[6]Lynnwood Tons'!F182</f>
        <v>0</v>
      </c>
      <c r="O47">
        <f>'[6]Lynnwood Tons'!G182</f>
        <v>0</v>
      </c>
      <c r="P47" t="str">
        <f t="shared" si="0"/>
        <v>R</v>
      </c>
      <c r="Q47">
        <f t="shared" si="1"/>
        <v>0</v>
      </c>
      <c r="R47" t="s">
        <v>49</v>
      </c>
      <c r="X47" t="s">
        <v>111</v>
      </c>
      <c r="Y47" t="s">
        <v>112</v>
      </c>
      <c r="Z47" t="s">
        <v>113</v>
      </c>
      <c r="AA47" t="s">
        <v>114</v>
      </c>
    </row>
    <row r="48" spans="1:31" x14ac:dyDescent="0.2">
      <c r="A48" t="s">
        <v>55</v>
      </c>
      <c r="C48" s="106" t="s">
        <v>60</v>
      </c>
      <c r="D48" s="117">
        <f>'[5]Lynnwood Tons'!H183</f>
        <v>68.420358238378412</v>
      </c>
      <c r="E48" s="117">
        <f>'[5]Lynnwood Tons'!I183</f>
        <v>73.056646862569522</v>
      </c>
      <c r="F48" s="117">
        <f>'[5]Lynnwood Tons'!J183</f>
        <v>90.455942099082222</v>
      </c>
      <c r="G48" s="117">
        <f>'[5]Lynnwood Tons'!K183</f>
        <v>87.45025948792609</v>
      </c>
      <c r="H48" s="117">
        <f>'[5]Lynnwood Tons'!L183</f>
        <v>81.176168004263076</v>
      </c>
      <c r="I48" s="117">
        <f>'[5]Lynnwood Tons'!M183</f>
        <v>74.445140608595423</v>
      </c>
      <c r="J48" s="117">
        <f>'[5]Lynnwood Tons'!N183</f>
        <v>72.209961409216049</v>
      </c>
      <c r="K48" s="117">
        <f>'[5]Lynnwood Tons'!O183</f>
        <v>91.511466430348861</v>
      </c>
      <c r="L48" s="117">
        <f>'[6]Lynnwood Tons'!D183</f>
        <v>103.14054470621723</v>
      </c>
      <c r="M48" s="117">
        <f>'[6]Lynnwood Tons'!E183</f>
        <v>63.523786970631761</v>
      </c>
      <c r="N48" s="117">
        <f>'[6]Lynnwood Tons'!F183</f>
        <v>64.871539107628237</v>
      </c>
      <c r="O48" s="117">
        <f>'[6]Lynnwood Tons'!G183</f>
        <v>74.294881954948238</v>
      </c>
      <c r="P48" t="str">
        <f t="shared" si="0"/>
        <v>RTotal Recycle Tonnage</v>
      </c>
      <c r="Q48" s="117">
        <f t="shared" si="1"/>
        <v>944.55669587980503</v>
      </c>
      <c r="R48" s="166">
        <f>D48/(D48+D50)</f>
        <v>0.28969624125534732</v>
      </c>
      <c r="S48" s="166">
        <f t="shared" ref="S48:AC48" si="4">E48/(E48+E50)</f>
        <v>0.32625697102557472</v>
      </c>
      <c r="T48" s="166">
        <f t="shared" si="4"/>
        <v>0.35023554574110016</v>
      </c>
      <c r="U48" s="166">
        <f t="shared" si="4"/>
        <v>0.33210408523400536</v>
      </c>
      <c r="V48" s="166">
        <f t="shared" si="4"/>
        <v>0.33928372679983521</v>
      </c>
      <c r="W48" s="166">
        <f t="shared" si="4"/>
        <v>0.33011452863869067</v>
      </c>
      <c r="X48" s="171">
        <f t="shared" si="4"/>
        <v>0.30106942258674158</v>
      </c>
      <c r="Y48" s="171">
        <f t="shared" si="4"/>
        <v>0.37351936318286905</v>
      </c>
      <c r="Z48" s="172">
        <f t="shared" si="4"/>
        <v>0.38644328362861258</v>
      </c>
      <c r="AA48" s="172">
        <f t="shared" si="4"/>
        <v>0.32093313208573376</v>
      </c>
      <c r="AB48" s="166">
        <f t="shared" si="4"/>
        <v>0.30942600117121011</v>
      </c>
      <c r="AC48" s="166">
        <f t="shared" si="4"/>
        <v>0.33175243291072154</v>
      </c>
    </row>
    <row r="49" spans="1:34" x14ac:dyDescent="0.2">
      <c r="A49" t="s">
        <v>55</v>
      </c>
      <c r="C49" s="106" t="s">
        <v>61</v>
      </c>
      <c r="D49">
        <f>'[5]Lynnwood Tons'!H184</f>
        <v>190.66425793344871</v>
      </c>
      <c r="E49">
        <f>'[5]Lynnwood Tons'!I184</f>
        <v>166.73251785563761</v>
      </c>
      <c r="F49">
        <f>'[5]Lynnwood Tons'!J184</f>
        <v>127.29955645337536</v>
      </c>
      <c r="G49">
        <f>'[5]Lynnwood Tons'!K184</f>
        <v>88.644517250423618</v>
      </c>
      <c r="H49">
        <f>'[5]Lynnwood Tons'!L184</f>
        <v>110.38708576045563</v>
      </c>
      <c r="I49">
        <f>'[5]Lynnwood Tons'!M184</f>
        <v>111.05945158864539</v>
      </c>
      <c r="J49">
        <f>'[5]Lynnwood Tons'!N184</f>
        <v>165.46080111252314</v>
      </c>
      <c r="K49">
        <f>'[5]Lynnwood Tons'!O184</f>
        <v>58.006546266727142</v>
      </c>
      <c r="L49">
        <f>'[6]Lynnwood Tons'!D184</f>
        <v>54.627243501697052</v>
      </c>
      <c r="M49">
        <f>'[6]Lynnwood Tons'!E184</f>
        <v>34.51379248160432</v>
      </c>
      <c r="N49">
        <f>'[6]Lynnwood Tons'!F184</f>
        <v>86.552991304198841</v>
      </c>
      <c r="O49">
        <f>'[6]Lynnwood Tons'!G184</f>
        <v>132.25092808100891</v>
      </c>
      <c r="P49" t="str">
        <f t="shared" si="0"/>
        <v>RTotal Yardwaste Tonnage</v>
      </c>
      <c r="Q49">
        <f t="shared" si="1"/>
        <v>1326.1996895897455</v>
      </c>
      <c r="AC49" s="167">
        <f>AC48-R48</f>
        <v>4.205619165537422E-2</v>
      </c>
      <c r="AD49" s="166">
        <f>(Q43/12)/V3</f>
        <v>0.16915821579826706</v>
      </c>
      <c r="AE49" s="170">
        <f>AD49*AC49</f>
        <v>7.114150343693071E-3</v>
      </c>
    </row>
    <row r="50" spans="1:34" x14ac:dyDescent="0.2">
      <c r="A50" t="s">
        <v>55</v>
      </c>
      <c r="C50" s="106" t="s">
        <v>62</v>
      </c>
      <c r="D50" s="117">
        <f>'[5]Lynnwood Tons'!H185</f>
        <v>167.75929649891097</v>
      </c>
      <c r="E50" s="117">
        <f>'[5]Lynnwood Tons'!I185</f>
        <v>150.86698803454578</v>
      </c>
      <c r="F50" s="117">
        <f>'[5]Lynnwood Tons'!J185</f>
        <v>167.81579302042715</v>
      </c>
      <c r="G50" s="117">
        <f>'[5]Lynnwood Tons'!K185</f>
        <v>175.8715825975375</v>
      </c>
      <c r="H50" s="117">
        <f>'[5]Lynnwood Tons'!L185</f>
        <v>158.08130764871453</v>
      </c>
      <c r="I50" s="117">
        <f>'[5]Lynnwood Tons'!M185</f>
        <v>151.06792879670604</v>
      </c>
      <c r="J50" s="117">
        <f>'[5]Lynnwood Tons'!N185</f>
        <v>167.63492482598946</v>
      </c>
      <c r="K50" s="117">
        <f>'[5]Lynnwood Tons'!O185</f>
        <v>153.48645188519058</v>
      </c>
      <c r="L50" s="117">
        <f>'[6]Lynnwood Tons'!D185</f>
        <v>163.75643364918722</v>
      </c>
      <c r="M50" s="117">
        <f>'[6]Lynnwood Tons'!E185</f>
        <v>134.41086239944971</v>
      </c>
      <c r="N50" s="117">
        <f>'[6]Lynnwood Tons'!F185</f>
        <v>144.77968238663084</v>
      </c>
      <c r="O50" s="117">
        <f>'[6]Lynnwood Tons'!G185</f>
        <v>149.65187648507759</v>
      </c>
      <c r="P50" t="str">
        <f t="shared" si="0"/>
        <v>RTotal Residential MSW Tonnage</v>
      </c>
      <c r="Q50">
        <f t="shared" si="1"/>
        <v>1885.1831282283672</v>
      </c>
      <c r="AH50" s="168">
        <f>SUM(AE41+AE49+AE57+AE65)</f>
        <v>1.6083425075945179E-2</v>
      </c>
    </row>
    <row r="51" spans="1:34" x14ac:dyDescent="0.2">
      <c r="A51" t="s">
        <v>55</v>
      </c>
      <c r="B51" t="s">
        <v>50</v>
      </c>
      <c r="C51" s="105" t="s">
        <v>57</v>
      </c>
      <c r="D51" s="165">
        <f>'[5]Lynnwood Tons'!H201</f>
        <v>358</v>
      </c>
      <c r="E51" s="165">
        <f>'[5]Lynnwood Tons'!I201</f>
        <v>354</v>
      </c>
      <c r="F51" s="165">
        <f>'[5]Lynnwood Tons'!J201</f>
        <v>357</v>
      </c>
      <c r="G51" s="165">
        <f>'[5]Lynnwood Tons'!K201</f>
        <v>357</v>
      </c>
      <c r="H51" s="165">
        <f>'[5]Lynnwood Tons'!L201</f>
        <v>364</v>
      </c>
      <c r="I51" s="165">
        <f>'[5]Lynnwood Tons'!M201</f>
        <v>361</v>
      </c>
      <c r="J51" s="165">
        <f>'[5]Lynnwood Tons'!N201</f>
        <v>358</v>
      </c>
      <c r="K51" s="165">
        <f>'[5]Lynnwood Tons'!O201</f>
        <v>361</v>
      </c>
      <c r="L51" s="165">
        <f>'[6]Lynnwood Tons'!D201</f>
        <v>356</v>
      </c>
      <c r="M51" s="165">
        <f>'[6]Lynnwood Tons'!E201</f>
        <v>356</v>
      </c>
      <c r="N51" s="165">
        <f>'[6]Lynnwood Tons'!F201</f>
        <v>357</v>
      </c>
      <c r="O51" s="165">
        <f>'[6]Lynnwood Tons'!G201</f>
        <v>359</v>
      </c>
      <c r="P51" t="str">
        <f t="shared" si="0"/>
        <v>RTotal MSW Customers</v>
      </c>
      <c r="Q51">
        <f t="shared" si="1"/>
        <v>4298</v>
      </c>
    </row>
    <row r="52" spans="1:34" x14ac:dyDescent="0.2">
      <c r="A52" t="s">
        <v>55</v>
      </c>
      <c r="C52" s="105"/>
      <c r="D52">
        <f>'[5]Lynnwood Tons'!H202</f>
        <v>0</v>
      </c>
      <c r="E52">
        <f>'[5]Lynnwood Tons'!I202</f>
        <v>0</v>
      </c>
      <c r="F52">
        <f>'[5]Lynnwood Tons'!J202</f>
        <v>0</v>
      </c>
      <c r="G52">
        <f>'[5]Lynnwood Tons'!K202</f>
        <v>0</v>
      </c>
      <c r="H52">
        <f>'[5]Lynnwood Tons'!L202</f>
        <v>0</v>
      </c>
      <c r="I52">
        <f>'[5]Lynnwood Tons'!M202</f>
        <v>0</v>
      </c>
      <c r="J52">
        <f>'[5]Lynnwood Tons'!N202</f>
        <v>0</v>
      </c>
      <c r="K52">
        <f>'[5]Lynnwood Tons'!O202</f>
        <v>0</v>
      </c>
      <c r="L52">
        <f>'[6]Lynnwood Tons'!D202</f>
        <v>0</v>
      </c>
      <c r="M52">
        <f>'[6]Lynnwood Tons'!E202</f>
        <v>0</v>
      </c>
      <c r="N52">
        <f>'[6]Lynnwood Tons'!F202</f>
        <v>0</v>
      </c>
      <c r="O52">
        <f>'[6]Lynnwood Tons'!G202</f>
        <v>0</v>
      </c>
      <c r="P52" t="str">
        <f t="shared" si="0"/>
        <v>R</v>
      </c>
      <c r="Q52">
        <f t="shared" si="1"/>
        <v>0</v>
      </c>
    </row>
    <row r="53" spans="1:34" x14ac:dyDescent="0.2">
      <c r="A53" t="s">
        <v>55</v>
      </c>
      <c r="C53" s="105" t="s">
        <v>58</v>
      </c>
      <c r="D53" s="165">
        <f>'[5]Lynnwood Tons'!H203</f>
        <v>359</v>
      </c>
      <c r="E53" s="165">
        <f>'[5]Lynnwood Tons'!I203</f>
        <v>356</v>
      </c>
      <c r="F53" s="165">
        <f>'[5]Lynnwood Tons'!J203</f>
        <v>358</v>
      </c>
      <c r="G53" s="165">
        <f>'[5]Lynnwood Tons'!K203</f>
        <v>357</v>
      </c>
      <c r="H53" s="165">
        <f>'[5]Lynnwood Tons'!L203</f>
        <v>364</v>
      </c>
      <c r="I53" s="165">
        <f>'[5]Lynnwood Tons'!M203</f>
        <v>362</v>
      </c>
      <c r="J53" s="165">
        <f>'[5]Lynnwood Tons'!N203</f>
        <v>359</v>
      </c>
      <c r="K53" s="165">
        <f>'[5]Lynnwood Tons'!O203</f>
        <v>362</v>
      </c>
      <c r="L53" s="165">
        <f>'[6]Lynnwood Tons'!D203</f>
        <v>357</v>
      </c>
      <c r="M53" s="165">
        <f>'[6]Lynnwood Tons'!E203</f>
        <v>357</v>
      </c>
      <c r="N53" s="165">
        <f>'[6]Lynnwood Tons'!F203</f>
        <v>359</v>
      </c>
      <c r="O53" s="165">
        <f>'[6]Lynnwood Tons'!G203</f>
        <v>361</v>
      </c>
      <c r="P53" t="str">
        <f t="shared" si="0"/>
        <v>RTotal Recycle Customers</v>
      </c>
      <c r="Q53">
        <f t="shared" si="1"/>
        <v>4311</v>
      </c>
    </row>
    <row r="54" spans="1:34" x14ac:dyDescent="0.2">
      <c r="A54" t="s">
        <v>55</v>
      </c>
      <c r="C54" s="105" t="s">
        <v>59</v>
      </c>
      <c r="D54">
        <f>'[5]Lynnwood Tons'!H204</f>
        <v>229</v>
      </c>
      <c r="E54">
        <f>'[5]Lynnwood Tons'!I204</f>
        <v>231</v>
      </c>
      <c r="F54">
        <f>'[5]Lynnwood Tons'!J204</f>
        <v>231</v>
      </c>
      <c r="G54">
        <f>'[5]Lynnwood Tons'!K204</f>
        <v>233</v>
      </c>
      <c r="H54">
        <f>'[5]Lynnwood Tons'!L204</f>
        <v>239</v>
      </c>
      <c r="I54">
        <f>'[5]Lynnwood Tons'!M204</f>
        <v>236</v>
      </c>
      <c r="J54">
        <f>'[5]Lynnwood Tons'!N204</f>
        <v>234</v>
      </c>
      <c r="K54">
        <f>'[5]Lynnwood Tons'!O204</f>
        <v>231</v>
      </c>
      <c r="L54">
        <f>'[6]Lynnwood Tons'!D204</f>
        <v>225</v>
      </c>
      <c r="M54">
        <f>'[6]Lynnwood Tons'!E204</f>
        <v>225</v>
      </c>
      <c r="N54">
        <f>'[6]Lynnwood Tons'!F204</f>
        <v>225</v>
      </c>
      <c r="O54">
        <f>'[6]Lynnwood Tons'!G204</f>
        <v>231</v>
      </c>
      <c r="P54" t="str">
        <f t="shared" si="0"/>
        <v>RTotal Yardwaste Customers</v>
      </c>
      <c r="Q54">
        <f t="shared" si="1"/>
        <v>2770</v>
      </c>
    </row>
    <row r="55" spans="1:34" x14ac:dyDescent="0.2">
      <c r="A55" t="s">
        <v>55</v>
      </c>
      <c r="C55" s="105"/>
      <c r="D55">
        <f>'[5]Lynnwood Tons'!H205</f>
        <v>0</v>
      </c>
      <c r="E55">
        <f>'[5]Lynnwood Tons'!I205</f>
        <v>0</v>
      </c>
      <c r="F55">
        <f>'[5]Lynnwood Tons'!J205</f>
        <v>0</v>
      </c>
      <c r="G55">
        <f>'[5]Lynnwood Tons'!K205</f>
        <v>0</v>
      </c>
      <c r="H55">
        <f>'[5]Lynnwood Tons'!L205</f>
        <v>0</v>
      </c>
      <c r="I55">
        <f>'[5]Lynnwood Tons'!M205</f>
        <v>0</v>
      </c>
      <c r="J55">
        <f>'[5]Lynnwood Tons'!N205</f>
        <v>0</v>
      </c>
      <c r="K55">
        <f>'[5]Lynnwood Tons'!O205</f>
        <v>0</v>
      </c>
      <c r="L55">
        <f>'[6]Lynnwood Tons'!D205</f>
        <v>0</v>
      </c>
      <c r="M55">
        <f>'[6]Lynnwood Tons'!E205</f>
        <v>0</v>
      </c>
      <c r="N55">
        <f>'[6]Lynnwood Tons'!F205</f>
        <v>0</v>
      </c>
      <c r="O55">
        <f>'[6]Lynnwood Tons'!G205</f>
        <v>0</v>
      </c>
      <c r="P55" t="str">
        <f t="shared" si="0"/>
        <v>R</v>
      </c>
      <c r="Q55">
        <f t="shared" si="1"/>
        <v>0</v>
      </c>
      <c r="R55" t="s">
        <v>50</v>
      </c>
      <c r="S55" t="s">
        <v>84</v>
      </c>
      <c r="U55" t="s">
        <v>116</v>
      </c>
      <c r="V55" t="s">
        <v>115</v>
      </c>
    </row>
    <row r="56" spans="1:34" x14ac:dyDescent="0.2">
      <c r="A56" t="s">
        <v>55</v>
      </c>
      <c r="C56" s="106" t="s">
        <v>60</v>
      </c>
      <c r="D56" s="117">
        <f>'[5]Lynnwood Tons'!H206</f>
        <v>9.5400564461920041</v>
      </c>
      <c r="E56" s="117">
        <f>'[5]Lynnwood Tons'!I206</f>
        <v>14.966219274022462</v>
      </c>
      <c r="F56" s="117">
        <f>'[5]Lynnwood Tons'!J206</f>
        <v>12.983685530879905</v>
      </c>
      <c r="G56" s="117">
        <f>'[5]Lynnwood Tons'!K206</f>
        <v>9.5847463448654509</v>
      </c>
      <c r="H56" s="117">
        <f>'[5]Lynnwood Tons'!L206</f>
        <v>18.059536357588712</v>
      </c>
      <c r="I56" s="117">
        <f>'[5]Lynnwood Tons'!M206</f>
        <v>11.739286296252963</v>
      </c>
      <c r="J56" s="117">
        <f>'[5]Lynnwood Tons'!N206</f>
        <v>12.338918053760619</v>
      </c>
      <c r="K56" s="117">
        <f>'[5]Lynnwood Tons'!O206</f>
        <v>16.082171266569489</v>
      </c>
      <c r="L56" s="117">
        <f>'[6]Lynnwood Tons'!D206</f>
        <v>12.761449035324478</v>
      </c>
      <c r="M56" s="117">
        <f>'[6]Lynnwood Tons'!E206</f>
        <v>11.120993983837076</v>
      </c>
      <c r="N56" s="117">
        <f>'[6]Lynnwood Tons'!F206</f>
        <v>17.242201846509577</v>
      </c>
      <c r="O56" s="117">
        <f>'[6]Lynnwood Tons'!G206</f>
        <v>11.867516293766089</v>
      </c>
      <c r="P56" t="str">
        <f t="shared" si="0"/>
        <v>RTotal Recycle Tonnage</v>
      </c>
      <c r="Q56" s="117">
        <f>SUM(D56:O56)</f>
        <v>158.28678072956882</v>
      </c>
      <c r="R56" s="171">
        <f>D56/(D56+D58)</f>
        <v>0.31046009691473497</v>
      </c>
      <c r="S56" s="171">
        <f t="shared" ref="S56:AC56" si="5">E56/(E56+E58)</f>
        <v>0.39476421270636813</v>
      </c>
      <c r="T56" s="166">
        <f t="shared" si="5"/>
        <v>0.31807336519665008</v>
      </c>
      <c r="U56" s="171">
        <f t="shared" si="5"/>
        <v>0.30330048221911726</v>
      </c>
      <c r="V56" s="171">
        <f t="shared" si="5"/>
        <v>0.39461091636618667</v>
      </c>
      <c r="W56" s="166">
        <f t="shared" si="5"/>
        <v>0.36295176214641262</v>
      </c>
      <c r="X56" s="166">
        <f t="shared" si="5"/>
        <v>0.36724560982719717</v>
      </c>
      <c r="Y56" s="166">
        <f t="shared" si="5"/>
        <v>0.37228853625174652</v>
      </c>
      <c r="Z56" s="166">
        <f t="shared" si="5"/>
        <v>0.3804666033543207</v>
      </c>
      <c r="AA56" s="166">
        <f t="shared" si="5"/>
        <v>0.37163164167383639</v>
      </c>
      <c r="AB56" s="166">
        <f t="shared" si="5"/>
        <v>0.39723883687818989</v>
      </c>
      <c r="AC56" s="166">
        <f t="shared" si="5"/>
        <v>0.36051707223201918</v>
      </c>
    </row>
    <row r="57" spans="1:34" x14ac:dyDescent="0.2">
      <c r="A57" t="s">
        <v>55</v>
      </c>
      <c r="C57" s="106" t="s">
        <v>61</v>
      </c>
      <c r="D57">
        <f>'[5]Lynnwood Tons'!H207</f>
        <v>32.59561248465139</v>
      </c>
      <c r="E57">
        <f>'[5]Lynnwood Tons'!I207</f>
        <v>32.903440703459275</v>
      </c>
      <c r="F57">
        <f>'[5]Lynnwood Tons'!J207</f>
        <v>29.84787609519212</v>
      </c>
      <c r="G57">
        <f>'[5]Lynnwood Tons'!K207</f>
        <v>17.504920338270512</v>
      </c>
      <c r="H57">
        <f>'[5]Lynnwood Tons'!L207</f>
        <v>27.929936552645678</v>
      </c>
      <c r="I57">
        <f>'[5]Lynnwood Tons'!M207</f>
        <v>31.705578845479195</v>
      </c>
      <c r="J57">
        <f>'[5]Lynnwood Tons'!N207</f>
        <v>38.332863475090257</v>
      </c>
      <c r="K57">
        <f>'[5]Lynnwood Tons'!O207</f>
        <v>20.397691975205685</v>
      </c>
      <c r="L57">
        <f>'[6]Lynnwood Tons'!D207</f>
        <v>16.410043360090196</v>
      </c>
      <c r="M57">
        <f>'[6]Lynnwood Tons'!E207</f>
        <v>10.504959425867396</v>
      </c>
      <c r="N57">
        <f>'[6]Lynnwood Tons'!F207</f>
        <v>20.125988055943129</v>
      </c>
      <c r="O57">
        <f>'[6]Lynnwood Tons'!G207</f>
        <v>19.876309062383978</v>
      </c>
      <c r="P57" t="str">
        <f t="shared" si="0"/>
        <v>RTotal Yardwaste Tonnage</v>
      </c>
      <c r="Q57">
        <f t="shared" si="1"/>
        <v>298.13522037427884</v>
      </c>
      <c r="AC57" s="167">
        <f>AC56-R56</f>
        <v>5.0056975317284202E-2</v>
      </c>
      <c r="AD57" s="166">
        <f>(Q51/12)/V3</f>
        <v>2.0874616311147377E-2</v>
      </c>
      <c r="AE57" s="169">
        <f>AD57*AC57</f>
        <v>1.0449201534448824E-3</v>
      </c>
    </row>
    <row r="58" spans="1:34" x14ac:dyDescent="0.2">
      <c r="A58" t="s">
        <v>55</v>
      </c>
      <c r="C58" s="106" t="s">
        <v>62</v>
      </c>
      <c r="D58" s="117">
        <f>'[5]Lynnwood Tons'!H208</f>
        <v>21.188712052556784</v>
      </c>
      <c r="E58" s="117">
        <f>'[5]Lynnwood Tons'!I208</f>
        <v>22.945574126446118</v>
      </c>
      <c r="F58" s="117">
        <f>'[5]Lynnwood Tons'!J208</f>
        <v>27.836096794662165</v>
      </c>
      <c r="G58" s="117">
        <f>'[5]Lynnwood Tons'!K208</f>
        <v>22.016740981293893</v>
      </c>
      <c r="H58" s="117">
        <f>'[5]Lynnwood Tons'!L208</f>
        <v>27.705888795601989</v>
      </c>
      <c r="I58" s="117">
        <f>'[5]Lynnwood Tons'!M208</f>
        <v>20.604643450304941</v>
      </c>
      <c r="J58" s="117">
        <f>'[5]Lynnwood Tons'!N208</f>
        <v>21.259626690086812</v>
      </c>
      <c r="K58" s="117">
        <f>'[5]Lynnwood Tons'!O208</f>
        <v>27.115965932300661</v>
      </c>
      <c r="L58" s="117">
        <f>'[6]Lynnwood Tons'!D208</f>
        <v>20.780125764711272</v>
      </c>
      <c r="M58" s="117">
        <f>'[6]Lynnwood Tons'!E208</f>
        <v>18.803782963970427</v>
      </c>
      <c r="N58" s="117">
        <f>'[6]Lynnwood Tons'!F208</f>
        <v>26.162924354171444</v>
      </c>
      <c r="O58" s="117">
        <f>'[6]Lynnwood Tons'!G208</f>
        <v>21.050526173106249</v>
      </c>
      <c r="P58" t="str">
        <f t="shared" si="0"/>
        <v>RTotal Residential MSW Tonnage</v>
      </c>
      <c r="Q58">
        <f t="shared" si="1"/>
        <v>277.47060807921275</v>
      </c>
    </row>
    <row r="59" spans="1:34" x14ac:dyDescent="0.2">
      <c r="A59" t="s">
        <v>55</v>
      </c>
      <c r="B59" t="s">
        <v>51</v>
      </c>
      <c r="C59" s="105" t="s">
        <v>57</v>
      </c>
      <c r="D59" s="165">
        <f>'[5]Lynnwood Tons'!H224</f>
        <v>2941</v>
      </c>
      <c r="E59" s="165">
        <f>'[5]Lynnwood Tons'!I224</f>
        <v>2902</v>
      </c>
      <c r="F59" s="165">
        <f>'[5]Lynnwood Tons'!J224</f>
        <v>2937</v>
      </c>
      <c r="G59" s="165">
        <f>'[5]Lynnwood Tons'!K224</f>
        <v>2933</v>
      </c>
      <c r="H59" s="165">
        <f>'[5]Lynnwood Tons'!L224</f>
        <v>2926</v>
      </c>
      <c r="I59" s="165">
        <f>'[5]Lynnwood Tons'!M224</f>
        <v>2944</v>
      </c>
      <c r="J59" s="165">
        <f>'[5]Lynnwood Tons'!N224</f>
        <v>2934</v>
      </c>
      <c r="K59" s="165">
        <f>'[5]Lynnwood Tons'!O224</f>
        <v>2952</v>
      </c>
      <c r="L59" s="165">
        <f>'[6]Lynnwood Tons'!D224</f>
        <v>2937</v>
      </c>
      <c r="M59" s="165">
        <f>'[6]Lynnwood Tons'!E224</f>
        <v>2933</v>
      </c>
      <c r="N59" s="165">
        <f>'[6]Lynnwood Tons'!F224</f>
        <v>2937</v>
      </c>
      <c r="O59" s="165">
        <f>'[6]Lynnwood Tons'!G224</f>
        <v>2942</v>
      </c>
      <c r="P59" t="str">
        <f t="shared" si="0"/>
        <v>RTotal MSW Customers</v>
      </c>
      <c r="Q59">
        <f t="shared" si="1"/>
        <v>35218</v>
      </c>
    </row>
    <row r="60" spans="1:34" x14ac:dyDescent="0.2">
      <c r="A60" t="s">
        <v>55</v>
      </c>
      <c r="C60" s="105"/>
      <c r="D60">
        <f>'[5]Lynnwood Tons'!H225</f>
        <v>0</v>
      </c>
      <c r="E60">
        <f>'[5]Lynnwood Tons'!I225</f>
        <v>0</v>
      </c>
      <c r="F60">
        <f>'[5]Lynnwood Tons'!J225</f>
        <v>0</v>
      </c>
      <c r="G60">
        <f>'[5]Lynnwood Tons'!K225</f>
        <v>0</v>
      </c>
      <c r="H60">
        <f>'[5]Lynnwood Tons'!L225</f>
        <v>0</v>
      </c>
      <c r="I60">
        <f>'[5]Lynnwood Tons'!M225</f>
        <v>0</v>
      </c>
      <c r="J60">
        <f>'[5]Lynnwood Tons'!N225</f>
        <v>0</v>
      </c>
      <c r="K60">
        <f>'[5]Lynnwood Tons'!O225</f>
        <v>0</v>
      </c>
      <c r="L60">
        <f>'[6]Lynnwood Tons'!D225</f>
        <v>0</v>
      </c>
      <c r="M60">
        <f>'[6]Lynnwood Tons'!E225</f>
        <v>0</v>
      </c>
      <c r="N60">
        <f>'[6]Lynnwood Tons'!F225</f>
        <v>0</v>
      </c>
      <c r="O60">
        <f>'[6]Lynnwood Tons'!G225</f>
        <v>0</v>
      </c>
      <c r="P60" t="str">
        <f t="shared" si="0"/>
        <v>R</v>
      </c>
      <c r="Q60">
        <f t="shared" si="1"/>
        <v>0</v>
      </c>
    </row>
    <row r="61" spans="1:34" x14ac:dyDescent="0.2">
      <c r="A61" t="s">
        <v>55</v>
      </c>
      <c r="C61" s="105" t="s">
        <v>58</v>
      </c>
      <c r="D61" s="165">
        <f>'[5]Lynnwood Tons'!H226</f>
        <v>2970</v>
      </c>
      <c r="E61" s="165">
        <f>'[5]Lynnwood Tons'!I226</f>
        <v>2931</v>
      </c>
      <c r="F61" s="165">
        <f>'[5]Lynnwood Tons'!J226</f>
        <v>2964</v>
      </c>
      <c r="G61" s="165">
        <f>'[5]Lynnwood Tons'!K226</f>
        <v>2961</v>
      </c>
      <c r="H61" s="165">
        <f>'[5]Lynnwood Tons'!L226</f>
        <v>2955</v>
      </c>
      <c r="I61" s="165">
        <f>'[5]Lynnwood Tons'!M226</f>
        <v>2973</v>
      </c>
      <c r="J61" s="165">
        <f>'[5]Lynnwood Tons'!N226</f>
        <v>2964</v>
      </c>
      <c r="K61" s="165">
        <f>'[5]Lynnwood Tons'!O226</f>
        <v>2983</v>
      </c>
      <c r="L61" s="165">
        <f>'[6]Lynnwood Tons'!D226</f>
        <v>2968</v>
      </c>
      <c r="M61" s="165">
        <f>'[6]Lynnwood Tons'!E226</f>
        <v>2966</v>
      </c>
      <c r="N61" s="165">
        <f>'[6]Lynnwood Tons'!F226</f>
        <v>2967</v>
      </c>
      <c r="O61" s="165">
        <f>'[6]Lynnwood Tons'!G226</f>
        <v>2972</v>
      </c>
      <c r="P61" t="str">
        <f t="shared" si="0"/>
        <v>RTotal Recycle Customers</v>
      </c>
      <c r="Q61">
        <f t="shared" si="1"/>
        <v>35574</v>
      </c>
    </row>
    <row r="62" spans="1:34" x14ac:dyDescent="0.2">
      <c r="A62" t="s">
        <v>55</v>
      </c>
      <c r="C62" s="105" t="s">
        <v>59</v>
      </c>
      <c r="D62">
        <f>'[5]Lynnwood Tons'!H227</f>
        <v>2092</v>
      </c>
      <c r="E62">
        <f>'[5]Lynnwood Tons'!I227</f>
        <v>2072</v>
      </c>
      <c r="F62">
        <f>'[5]Lynnwood Tons'!J227</f>
        <v>2098</v>
      </c>
      <c r="G62">
        <f>'[5]Lynnwood Tons'!K227</f>
        <v>2092</v>
      </c>
      <c r="H62">
        <f>'[5]Lynnwood Tons'!L227</f>
        <v>2077</v>
      </c>
      <c r="I62">
        <f>'[5]Lynnwood Tons'!M227</f>
        <v>2058</v>
      </c>
      <c r="J62">
        <f>'[5]Lynnwood Tons'!N227</f>
        <v>2015</v>
      </c>
      <c r="K62">
        <f>'[5]Lynnwood Tons'!O227</f>
        <v>1987</v>
      </c>
      <c r="L62">
        <f>'[6]Lynnwood Tons'!D227</f>
        <v>1964</v>
      </c>
      <c r="M62">
        <f>'[6]Lynnwood Tons'!E227</f>
        <v>1958</v>
      </c>
      <c r="N62">
        <f>'[6]Lynnwood Tons'!F227</f>
        <v>1997</v>
      </c>
      <c r="O62">
        <f>'[6]Lynnwood Tons'!G227</f>
        <v>2045</v>
      </c>
      <c r="P62" t="str">
        <f t="shared" si="0"/>
        <v>RTotal Yardwaste Customers</v>
      </c>
      <c r="Q62">
        <f t="shared" si="1"/>
        <v>24455</v>
      </c>
    </row>
    <row r="63" spans="1:34" x14ac:dyDescent="0.2">
      <c r="A63" t="s">
        <v>55</v>
      </c>
      <c r="C63" s="105"/>
      <c r="D63">
        <f>'[5]Lynnwood Tons'!H228</f>
        <v>0</v>
      </c>
      <c r="E63">
        <f>'[5]Lynnwood Tons'!I228</f>
        <v>0</v>
      </c>
      <c r="F63">
        <f>'[5]Lynnwood Tons'!J228</f>
        <v>0</v>
      </c>
      <c r="G63">
        <f>'[5]Lynnwood Tons'!K228</f>
        <v>0</v>
      </c>
      <c r="H63">
        <f>'[5]Lynnwood Tons'!L228</f>
        <v>0</v>
      </c>
      <c r="I63">
        <f>'[5]Lynnwood Tons'!M228</f>
        <v>0</v>
      </c>
      <c r="J63">
        <f>'[5]Lynnwood Tons'!N228</f>
        <v>0</v>
      </c>
      <c r="K63">
        <f>'[5]Lynnwood Tons'!O228</f>
        <v>0</v>
      </c>
      <c r="L63">
        <f>'[6]Lynnwood Tons'!D228</f>
        <v>0</v>
      </c>
      <c r="M63">
        <f>'[6]Lynnwood Tons'!E228</f>
        <v>0</v>
      </c>
      <c r="N63">
        <f>'[6]Lynnwood Tons'!F228</f>
        <v>0</v>
      </c>
      <c r="O63">
        <f>'[6]Lynnwood Tons'!G228</f>
        <v>0</v>
      </c>
      <c r="P63" t="str">
        <f t="shared" si="0"/>
        <v>R</v>
      </c>
      <c r="Q63">
        <f t="shared" si="1"/>
        <v>0</v>
      </c>
      <c r="R63" t="s">
        <v>51</v>
      </c>
    </row>
    <row r="64" spans="1:34" x14ac:dyDescent="0.2">
      <c r="A64" t="s">
        <v>55</v>
      </c>
      <c r="C64" s="106" t="s">
        <v>60</v>
      </c>
      <c r="D64" s="117">
        <f>'[5]Lynnwood Tons'!H229</f>
        <v>107.7079842445294</v>
      </c>
      <c r="E64" s="117">
        <f>'[5]Lynnwood Tons'!I229</f>
        <v>71.367864715065693</v>
      </c>
      <c r="F64" s="117">
        <f>'[5]Lynnwood Tons'!J229</f>
        <v>84.277461004244373</v>
      </c>
      <c r="G64" s="117">
        <f>'[5]Lynnwood Tons'!K229</f>
        <v>88.428335013453491</v>
      </c>
      <c r="H64" s="117">
        <f>'[5]Lynnwood Tons'!L229</f>
        <v>81.539656276385358</v>
      </c>
      <c r="I64" s="117">
        <f>'[5]Lynnwood Tons'!M229</f>
        <v>92.997006183507807</v>
      </c>
      <c r="J64" s="117">
        <f>'[5]Lynnwood Tons'!N229</f>
        <v>90.267250209726456</v>
      </c>
      <c r="K64" s="117">
        <f>'[5]Lynnwood Tons'!O229</f>
        <v>90.073752652284909</v>
      </c>
      <c r="L64" s="117">
        <f>'[6]Lynnwood Tons'!D229</f>
        <v>97.661406283245071</v>
      </c>
      <c r="M64" s="117">
        <f>'[6]Lynnwood Tons'!E229</f>
        <v>70.677583711729241</v>
      </c>
      <c r="N64" s="117">
        <f>'[6]Lynnwood Tons'!F229</f>
        <v>71.04663357386643</v>
      </c>
      <c r="O64" s="117">
        <f>'[6]Lynnwood Tons'!G229</f>
        <v>72.996364120917349</v>
      </c>
      <c r="P64" t="str">
        <f t="shared" si="0"/>
        <v>RTotal Recycle Tonnage</v>
      </c>
      <c r="Q64" s="117">
        <f t="shared" si="1"/>
        <v>1019.0412979889556</v>
      </c>
      <c r="R64" s="172">
        <f>D64/(D64+D66)</f>
        <v>0.36877935281208335</v>
      </c>
      <c r="S64" s="172">
        <f t="shared" ref="S64:AC64" si="6">E64/(E64+E66)</f>
        <v>0.32428975593765402</v>
      </c>
      <c r="T64" s="166">
        <f t="shared" si="6"/>
        <v>0.34585481383220723</v>
      </c>
      <c r="U64" s="166">
        <f t="shared" si="6"/>
        <v>0.32569863233136087</v>
      </c>
      <c r="V64" s="166">
        <f t="shared" si="6"/>
        <v>0.34524298771912809</v>
      </c>
      <c r="W64" s="166">
        <f t="shared" si="6"/>
        <v>0.34714016946964621</v>
      </c>
      <c r="X64" s="166">
        <f t="shared" si="6"/>
        <v>0.36272570076904992</v>
      </c>
      <c r="Y64" s="166">
        <f t="shared" si="6"/>
        <v>0.37523612805762391</v>
      </c>
      <c r="Z64" s="166">
        <f t="shared" si="6"/>
        <v>0.35490322089650211</v>
      </c>
      <c r="AA64" s="166">
        <f t="shared" si="6"/>
        <v>0.34472971951686676</v>
      </c>
      <c r="AB64" s="166">
        <f t="shared" si="6"/>
        <v>0.33333682459953645</v>
      </c>
      <c r="AC64" s="166">
        <f t="shared" si="6"/>
        <v>0.32506786501818097</v>
      </c>
    </row>
    <row r="65" spans="1:31" x14ac:dyDescent="0.2">
      <c r="A65" t="s">
        <v>55</v>
      </c>
      <c r="C65" s="106" t="s">
        <v>61</v>
      </c>
      <c r="D65">
        <f>'[5]Lynnwood Tons'!H230</f>
        <v>216.34010677298323</v>
      </c>
      <c r="E65">
        <f>'[5]Lynnwood Tons'!I230</f>
        <v>178.42896585816334</v>
      </c>
      <c r="F65">
        <f>'[5]Lynnwood Tons'!J230</f>
        <v>146.0677354809219</v>
      </c>
      <c r="G65">
        <f>'[5]Lynnwood Tons'!K230</f>
        <v>124.1716407635879</v>
      </c>
      <c r="H65">
        <f>'[5]Lynnwood Tons'!L230</f>
        <v>104.9280550885789</v>
      </c>
      <c r="I65">
        <f>'[5]Lynnwood Tons'!M230</f>
        <v>124.30362369253936</v>
      </c>
      <c r="J65">
        <f>'[5]Lynnwood Tons'!N230</f>
        <v>142.65254425095506</v>
      </c>
      <c r="K65">
        <f>'[5]Lynnwood Tons'!O230</f>
        <v>59.606391949416555</v>
      </c>
      <c r="L65">
        <f>'[6]Lynnwood Tons'!D230</f>
        <v>66.107933360156721</v>
      </c>
      <c r="M65">
        <f>'[6]Lynnwood Tons'!E230</f>
        <v>43.353232235364075</v>
      </c>
      <c r="N65">
        <f>'[6]Lynnwood Tons'!F230</f>
        <v>80.709683882449724</v>
      </c>
      <c r="O65">
        <f>'[6]Lynnwood Tons'!G230</f>
        <v>119.1586021099817</v>
      </c>
      <c r="P65" t="str">
        <f t="shared" si="0"/>
        <v>RTotal Yardwaste Tonnage</v>
      </c>
      <c r="Q65">
        <f t="shared" si="1"/>
        <v>1405.8285154450984</v>
      </c>
      <c r="AB65" t="s">
        <v>110</v>
      </c>
      <c r="AC65" s="167">
        <f>AC64-R64</f>
        <v>-4.3711487793902382E-2</v>
      </c>
      <c r="AD65" s="166">
        <f>(Q59/12)/V3</f>
        <v>0.17104751913587443</v>
      </c>
      <c r="AE65" s="168">
        <f>AD65*AC65</f>
        <v>-7.4767415448850592E-3</v>
      </c>
    </row>
    <row r="66" spans="1:31" x14ac:dyDescent="0.2">
      <c r="A66" t="s">
        <v>55</v>
      </c>
      <c r="C66" s="106" t="s">
        <v>62</v>
      </c>
      <c r="D66" s="117">
        <f>'[5]Lynnwood Tons'!H231</f>
        <v>184.35821583748412</v>
      </c>
      <c r="E66" s="117">
        <f>'[5]Lynnwood Tons'!I231</f>
        <v>148.70650830579052</v>
      </c>
      <c r="F66" s="117">
        <f>'[5]Lynnwood Tons'!J231</f>
        <v>159.40126669775577</v>
      </c>
      <c r="G66" s="117">
        <f>'[5]Lynnwood Tons'!K231</f>
        <v>183.07521530998736</v>
      </c>
      <c r="H66" s="117">
        <f>'[5]Lynnwood Tons'!L231</f>
        <v>154.64082870633013</v>
      </c>
      <c r="I66" s="117">
        <f>'[5]Lynnwood Tons'!M231</f>
        <v>174.89767833423835</v>
      </c>
      <c r="J66" s="117">
        <f>'[5]Lynnwood Tons'!N231</f>
        <v>158.59090905040347</v>
      </c>
      <c r="K66" s="117">
        <f>'[5]Lynnwood Tons'!O231</f>
        <v>149.97177046550121</v>
      </c>
      <c r="L66" s="117">
        <f>'[6]Lynnwood Tons'!D231</f>
        <v>177.51616476428671</v>
      </c>
      <c r="M66" s="117">
        <f>'[6]Lynnwood Tons'!E231</f>
        <v>134.34559737861235</v>
      </c>
      <c r="N66" s="117">
        <f>'[6]Lynnwood Tons'!F231</f>
        <v>142.09103478671838</v>
      </c>
      <c r="O66" s="117">
        <f>'[6]Lynnwood Tons'!G231</f>
        <v>151.56094214137553</v>
      </c>
      <c r="P66" t="str">
        <f t="shared" si="0"/>
        <v>RTotal Residential MSW Tonnage</v>
      </c>
      <c r="Q66">
        <f t="shared" si="1"/>
        <v>1919.1561317784842</v>
      </c>
    </row>
    <row r="67" spans="1:31" x14ac:dyDescent="0.2">
      <c r="A67" t="s">
        <v>56</v>
      </c>
      <c r="B67" t="s">
        <v>52</v>
      </c>
      <c r="C67" s="105" t="s">
        <v>57</v>
      </c>
      <c r="D67">
        <f>'[5]Lynnwood Tons'!H247</f>
        <v>3989</v>
      </c>
      <c r="E67">
        <f>'[5]Lynnwood Tons'!I247</f>
        <v>3990</v>
      </c>
      <c r="F67">
        <f>'[5]Lynnwood Tons'!J247</f>
        <v>3995</v>
      </c>
      <c r="G67">
        <f>'[5]Lynnwood Tons'!K247</f>
        <v>3998</v>
      </c>
      <c r="H67">
        <f>'[5]Lynnwood Tons'!L247</f>
        <v>4004</v>
      </c>
      <c r="I67">
        <f>'[5]Lynnwood Tons'!M247</f>
        <v>4002</v>
      </c>
      <c r="J67">
        <f>'[5]Lynnwood Tons'!N247</f>
        <v>4005</v>
      </c>
      <c r="K67">
        <f>'[5]Lynnwood Tons'!O247</f>
        <v>4008</v>
      </c>
      <c r="L67">
        <f>'[6]Lynnwood Tons'!D247</f>
        <v>4019</v>
      </c>
      <c r="M67">
        <f>'[6]Lynnwood Tons'!E247</f>
        <v>4027</v>
      </c>
      <c r="N67">
        <f>'[6]Lynnwood Tons'!F247</f>
        <v>4027</v>
      </c>
      <c r="O67">
        <f>'[6]Lynnwood Tons'!G247</f>
        <v>4032</v>
      </c>
      <c r="P67" t="str">
        <f t="shared" si="0"/>
        <v>NRTotal MSW Customers</v>
      </c>
      <c r="Q67">
        <f t="shared" si="1"/>
        <v>48096</v>
      </c>
    </row>
    <row r="68" spans="1:31" x14ac:dyDescent="0.2">
      <c r="A68" t="s">
        <v>56</v>
      </c>
      <c r="C68" s="105"/>
      <c r="D68">
        <f>'[5]Lynnwood Tons'!H248</f>
        <v>0</v>
      </c>
      <c r="E68">
        <f>'[5]Lynnwood Tons'!I248</f>
        <v>0</v>
      </c>
      <c r="F68">
        <f>'[5]Lynnwood Tons'!J248</f>
        <v>0</v>
      </c>
      <c r="G68">
        <f>'[5]Lynnwood Tons'!K248</f>
        <v>0</v>
      </c>
      <c r="H68">
        <f>'[5]Lynnwood Tons'!L248</f>
        <v>0</v>
      </c>
      <c r="I68">
        <f>'[5]Lynnwood Tons'!M248</f>
        <v>0</v>
      </c>
      <c r="J68">
        <f>'[5]Lynnwood Tons'!N248</f>
        <v>0</v>
      </c>
      <c r="K68">
        <f>'[5]Lynnwood Tons'!O248</f>
        <v>0</v>
      </c>
      <c r="L68">
        <f>'[6]Lynnwood Tons'!D248</f>
        <v>0</v>
      </c>
      <c r="M68">
        <f>'[6]Lynnwood Tons'!E248</f>
        <v>0</v>
      </c>
      <c r="N68">
        <f>'[6]Lynnwood Tons'!F248</f>
        <v>0</v>
      </c>
      <c r="O68">
        <f>'[6]Lynnwood Tons'!G248</f>
        <v>0</v>
      </c>
      <c r="P68" t="str">
        <f t="shared" ref="P68:P90" si="7">CONCATENATE(A68,C68)</f>
        <v>NR</v>
      </c>
      <c r="Q68">
        <f t="shared" ref="Q68:Q90" si="8">SUM(D68:O68)</f>
        <v>0</v>
      </c>
    </row>
    <row r="69" spans="1:31" x14ac:dyDescent="0.2">
      <c r="A69" t="s">
        <v>56</v>
      </c>
      <c r="C69" s="105" t="s">
        <v>58</v>
      </c>
      <c r="D69">
        <f>'[5]Lynnwood Tons'!H249</f>
        <v>3983</v>
      </c>
      <c r="E69">
        <f>'[5]Lynnwood Tons'!I249</f>
        <v>3982</v>
      </c>
      <c r="F69">
        <f>'[5]Lynnwood Tons'!J249</f>
        <v>3989</v>
      </c>
      <c r="G69">
        <f>'[5]Lynnwood Tons'!K249</f>
        <v>3992</v>
      </c>
      <c r="H69">
        <f>'[5]Lynnwood Tons'!L249</f>
        <v>3998</v>
      </c>
      <c r="I69">
        <f>'[5]Lynnwood Tons'!M249</f>
        <v>3995</v>
      </c>
      <c r="J69">
        <f>'[5]Lynnwood Tons'!N249</f>
        <v>3998</v>
      </c>
      <c r="K69">
        <f>'[5]Lynnwood Tons'!O249</f>
        <v>4003</v>
      </c>
      <c r="L69">
        <f>'[6]Lynnwood Tons'!D249</f>
        <v>4014</v>
      </c>
      <c r="M69">
        <f>'[6]Lynnwood Tons'!E249</f>
        <v>4022</v>
      </c>
      <c r="N69">
        <f>'[6]Lynnwood Tons'!F249</f>
        <v>4021</v>
      </c>
      <c r="O69">
        <f>'[6]Lynnwood Tons'!G249</f>
        <v>4026</v>
      </c>
      <c r="P69" t="str">
        <f t="shared" si="7"/>
        <v>NRTotal Recycle Customers</v>
      </c>
      <c r="Q69">
        <f t="shared" si="8"/>
        <v>48023</v>
      </c>
    </row>
    <row r="70" spans="1:31" x14ac:dyDescent="0.2">
      <c r="A70" t="s">
        <v>56</v>
      </c>
      <c r="C70" s="105" t="s">
        <v>59</v>
      </c>
      <c r="D70">
        <f>'[5]Lynnwood Tons'!H250</f>
        <v>3146</v>
      </c>
      <c r="E70">
        <f>'[5]Lynnwood Tons'!I250</f>
        <v>3152</v>
      </c>
      <c r="F70">
        <f>'[5]Lynnwood Tons'!J250</f>
        <v>3165</v>
      </c>
      <c r="G70">
        <f>'[5]Lynnwood Tons'!K250</f>
        <v>3157</v>
      </c>
      <c r="H70">
        <f>'[5]Lynnwood Tons'!L250</f>
        <v>3160</v>
      </c>
      <c r="I70">
        <f>'[5]Lynnwood Tons'!M250</f>
        <v>3139</v>
      </c>
      <c r="J70">
        <f>'[5]Lynnwood Tons'!N250</f>
        <v>3118</v>
      </c>
      <c r="K70">
        <f>'[5]Lynnwood Tons'!O250</f>
        <v>3099</v>
      </c>
      <c r="L70">
        <f>'[6]Lynnwood Tons'!D250</f>
        <v>3076</v>
      </c>
      <c r="M70">
        <f>'[6]Lynnwood Tons'!E250</f>
        <v>3055</v>
      </c>
      <c r="N70">
        <f>'[6]Lynnwood Tons'!F250</f>
        <v>3055</v>
      </c>
      <c r="O70">
        <f>'[6]Lynnwood Tons'!G250</f>
        <v>3083</v>
      </c>
      <c r="P70" t="str">
        <f t="shared" si="7"/>
        <v>NRTotal Yardwaste Customers</v>
      </c>
      <c r="Q70">
        <f t="shared" si="8"/>
        <v>37405</v>
      </c>
    </row>
    <row r="71" spans="1:31" x14ac:dyDescent="0.2">
      <c r="A71" t="s">
        <v>56</v>
      </c>
      <c r="C71" s="105"/>
      <c r="D71">
        <f>'[5]Lynnwood Tons'!H251</f>
        <v>0</v>
      </c>
      <c r="E71">
        <f>'[5]Lynnwood Tons'!I251</f>
        <v>0</v>
      </c>
      <c r="F71">
        <f>'[5]Lynnwood Tons'!J251</f>
        <v>0</v>
      </c>
      <c r="G71">
        <f>'[5]Lynnwood Tons'!K251</f>
        <v>0</v>
      </c>
      <c r="H71">
        <f>'[5]Lynnwood Tons'!L251</f>
        <v>0</v>
      </c>
      <c r="I71">
        <f>'[5]Lynnwood Tons'!M251</f>
        <v>0</v>
      </c>
      <c r="J71">
        <f>'[5]Lynnwood Tons'!N251</f>
        <v>0</v>
      </c>
      <c r="K71">
        <f>'[5]Lynnwood Tons'!O251</f>
        <v>0</v>
      </c>
      <c r="L71">
        <f>'[6]Lynnwood Tons'!D251</f>
        <v>0</v>
      </c>
      <c r="M71">
        <f>'[6]Lynnwood Tons'!E251</f>
        <v>0</v>
      </c>
      <c r="N71">
        <f>'[6]Lynnwood Tons'!F251</f>
        <v>0</v>
      </c>
      <c r="O71">
        <f>'[6]Lynnwood Tons'!G251</f>
        <v>0</v>
      </c>
      <c r="P71" t="str">
        <f t="shared" si="7"/>
        <v>NR</v>
      </c>
      <c r="Q71">
        <f t="shared" si="8"/>
        <v>0</v>
      </c>
    </row>
    <row r="72" spans="1:31" x14ac:dyDescent="0.2">
      <c r="A72" t="s">
        <v>56</v>
      </c>
      <c r="C72" s="106" t="s">
        <v>60</v>
      </c>
      <c r="D72">
        <f>'[5]Lynnwood Tons'!H252</f>
        <v>123.56775784502413</v>
      </c>
      <c r="E72">
        <f>'[5]Lynnwood Tons'!I252</f>
        <v>104.42048817754834</v>
      </c>
      <c r="F72">
        <f>'[5]Lynnwood Tons'!J252</f>
        <v>133.23723799247327</v>
      </c>
      <c r="G72">
        <f>'[5]Lynnwood Tons'!K252</f>
        <v>100.96231056206366</v>
      </c>
      <c r="H72">
        <f>'[5]Lynnwood Tons'!L252</f>
        <v>105.74096286254361</v>
      </c>
      <c r="I72">
        <f>'[5]Lynnwood Tons'!M252</f>
        <v>127.08693746697209</v>
      </c>
      <c r="J72">
        <f>'[5]Lynnwood Tons'!N252</f>
        <v>103.73456926005741</v>
      </c>
      <c r="K72">
        <f>'[5]Lynnwood Tons'!O252</f>
        <v>124.76539072865202</v>
      </c>
      <c r="L72">
        <f>'[6]Lynnwood Tons'!D252</f>
        <v>124.39154588077983</v>
      </c>
      <c r="M72">
        <f>'[6]Lynnwood Tons'!E252</f>
        <v>105.52228070009257</v>
      </c>
      <c r="N72">
        <f>'[6]Lynnwood Tons'!F252</f>
        <v>101.32853185487323</v>
      </c>
      <c r="O72">
        <f>'[6]Lynnwood Tons'!G252</f>
        <v>120.90029174433428</v>
      </c>
      <c r="P72" t="str">
        <f t="shared" si="7"/>
        <v>NRTotal Recycle Tonnage</v>
      </c>
      <c r="Q72">
        <f t="shared" si="8"/>
        <v>1375.6583050754143</v>
      </c>
    </row>
    <row r="73" spans="1:31" x14ac:dyDescent="0.2">
      <c r="A73" t="s">
        <v>56</v>
      </c>
      <c r="C73" s="106" t="s">
        <v>61</v>
      </c>
      <c r="D73">
        <f>'[5]Lynnwood Tons'!H253</f>
        <v>340.04284356395789</v>
      </c>
      <c r="E73">
        <f>'[5]Lynnwood Tons'!I253</f>
        <v>267.78254471442534</v>
      </c>
      <c r="F73">
        <f>'[5]Lynnwood Tons'!J253</f>
        <v>245.92658169691816</v>
      </c>
      <c r="G73">
        <f>'[5]Lynnwood Tons'!K253</f>
        <v>134.87888081814367</v>
      </c>
      <c r="H73">
        <f>'[5]Lynnwood Tons'!L253</f>
        <v>171.47447363629107</v>
      </c>
      <c r="I73">
        <f>'[5]Lynnwood Tons'!M253</f>
        <v>209.56755126608036</v>
      </c>
      <c r="J73">
        <f>'[5]Lynnwood Tons'!N253</f>
        <v>216.34515301045431</v>
      </c>
      <c r="K73">
        <f>'[5]Lynnwood Tons'!O253</f>
        <v>65.287654515401982</v>
      </c>
      <c r="L73">
        <f>'[6]Lynnwood Tons'!D253</f>
        <v>69.840511688586815</v>
      </c>
      <c r="M73">
        <f>'[6]Lynnwood Tons'!E253</f>
        <v>37.33612512062296</v>
      </c>
      <c r="N73">
        <f>'[6]Lynnwood Tons'!F253</f>
        <v>113.25366620197539</v>
      </c>
      <c r="O73">
        <f>'[6]Lynnwood Tons'!G253</f>
        <v>290.84142093204707</v>
      </c>
      <c r="P73" t="str">
        <f t="shared" si="7"/>
        <v>NRTotal Yardwaste Tonnage</v>
      </c>
      <c r="Q73">
        <f t="shared" si="8"/>
        <v>2162.5774071649048</v>
      </c>
    </row>
    <row r="74" spans="1:31" x14ac:dyDescent="0.2">
      <c r="A74" t="s">
        <v>56</v>
      </c>
      <c r="C74" s="106" t="s">
        <v>62</v>
      </c>
      <c r="D74">
        <f>'[5]Lynnwood Tons'!H254</f>
        <v>228.6617461360384</v>
      </c>
      <c r="E74">
        <f>'[5]Lynnwood Tons'!I254</f>
        <v>199.08494631298035</v>
      </c>
      <c r="F74">
        <f>'[5]Lynnwood Tons'!J254</f>
        <v>247.94270965606665</v>
      </c>
      <c r="G74">
        <f>'[5]Lynnwood Tons'!K254</f>
        <v>194.9466901489763</v>
      </c>
      <c r="H74">
        <f>'[5]Lynnwood Tons'!L254</f>
        <v>196.95171044925144</v>
      </c>
      <c r="I74">
        <f>'[5]Lynnwood Tons'!M254</f>
        <v>235.85635777180343</v>
      </c>
      <c r="J74">
        <f>'[5]Lynnwood Tons'!N254</f>
        <v>191.42967832284765</v>
      </c>
      <c r="K74">
        <f>'[5]Lynnwood Tons'!O254</f>
        <v>204.63332935992528</v>
      </c>
      <c r="L74">
        <f>'[6]Lynnwood Tons'!D254</f>
        <v>228.45104284797799</v>
      </c>
      <c r="M74">
        <f>'[6]Lynnwood Tons'!E254</f>
        <v>184.51573716199357</v>
      </c>
      <c r="N74">
        <f>'[6]Lynnwood Tons'!F254</f>
        <v>193.3433685673144</v>
      </c>
      <c r="O74">
        <f>'[6]Lynnwood Tons'!G254</f>
        <v>243.44076091697249</v>
      </c>
      <c r="P74" t="str">
        <f t="shared" si="7"/>
        <v>NRTotal Residential MSW Tonnage</v>
      </c>
      <c r="Q74">
        <f t="shared" si="8"/>
        <v>2549.2580776521481</v>
      </c>
    </row>
    <row r="75" spans="1:31" x14ac:dyDescent="0.2">
      <c r="A75" t="s">
        <v>56</v>
      </c>
      <c r="B75" t="s">
        <v>53</v>
      </c>
      <c r="C75" s="105" t="s">
        <v>57</v>
      </c>
      <c r="D75">
        <f>'[5]Lynnwood Tons'!H270</f>
        <v>0</v>
      </c>
      <c r="E75">
        <f>'[5]Lynnwood Tons'!I270</f>
        <v>0</v>
      </c>
      <c r="F75">
        <f>'[5]Lynnwood Tons'!J270</f>
        <v>0</v>
      </c>
      <c r="G75">
        <f>'[5]Lynnwood Tons'!K270</f>
        <v>0</v>
      </c>
      <c r="H75">
        <f>'[5]Lynnwood Tons'!L270</f>
        <v>0</v>
      </c>
      <c r="I75">
        <f>'[5]Lynnwood Tons'!M270</f>
        <v>0</v>
      </c>
      <c r="J75">
        <f>'[5]Lynnwood Tons'!N270</f>
        <v>0</v>
      </c>
      <c r="K75">
        <f>'[5]Lynnwood Tons'!O270</f>
        <v>0</v>
      </c>
      <c r="L75">
        <f>'[6]Lynnwood Tons'!D270</f>
        <v>0</v>
      </c>
      <c r="M75">
        <f>'[6]Lynnwood Tons'!E270</f>
        <v>0</v>
      </c>
      <c r="N75">
        <f>'[6]Lynnwood Tons'!F270</f>
        <v>0</v>
      </c>
      <c r="O75">
        <f>'[6]Lynnwood Tons'!G270</f>
        <v>0</v>
      </c>
      <c r="P75" t="str">
        <f t="shared" si="7"/>
        <v>NRTotal MSW Customers</v>
      </c>
      <c r="Q75">
        <f t="shared" si="8"/>
        <v>0</v>
      </c>
    </row>
    <row r="76" spans="1:31" x14ac:dyDescent="0.2">
      <c r="A76" t="s">
        <v>56</v>
      </c>
      <c r="C76" s="105"/>
      <c r="D76">
        <f>'[5]Lynnwood Tons'!H271</f>
        <v>0</v>
      </c>
      <c r="E76">
        <f>'[5]Lynnwood Tons'!I271</f>
        <v>0</v>
      </c>
      <c r="F76">
        <f>'[5]Lynnwood Tons'!J271</f>
        <v>0</v>
      </c>
      <c r="G76">
        <f>'[5]Lynnwood Tons'!K271</f>
        <v>0</v>
      </c>
      <c r="H76">
        <f>'[5]Lynnwood Tons'!L271</f>
        <v>0</v>
      </c>
      <c r="I76">
        <f>'[5]Lynnwood Tons'!M271</f>
        <v>0</v>
      </c>
      <c r="J76">
        <f>'[5]Lynnwood Tons'!N271</f>
        <v>0</v>
      </c>
      <c r="K76">
        <f>'[5]Lynnwood Tons'!O271</f>
        <v>0</v>
      </c>
      <c r="L76">
        <f>'[6]Lynnwood Tons'!D271</f>
        <v>0</v>
      </c>
      <c r="M76">
        <f>'[6]Lynnwood Tons'!E271</f>
        <v>0</v>
      </c>
      <c r="N76">
        <f>'[6]Lynnwood Tons'!F271</f>
        <v>0</v>
      </c>
      <c r="O76">
        <f>'[6]Lynnwood Tons'!G271</f>
        <v>0</v>
      </c>
      <c r="P76" t="str">
        <f t="shared" si="7"/>
        <v>NR</v>
      </c>
      <c r="Q76">
        <f t="shared" si="8"/>
        <v>0</v>
      </c>
    </row>
    <row r="77" spans="1:31" x14ac:dyDescent="0.2">
      <c r="A77" t="s">
        <v>56</v>
      </c>
      <c r="C77" s="105" t="s">
        <v>58</v>
      </c>
      <c r="D77">
        <f>'[5]Lynnwood Tons'!H272</f>
        <v>1468</v>
      </c>
      <c r="E77">
        <f>'[5]Lynnwood Tons'!I272</f>
        <v>1469</v>
      </c>
      <c r="F77">
        <f>'[5]Lynnwood Tons'!J272</f>
        <v>1471</v>
      </c>
      <c r="G77">
        <f>'[5]Lynnwood Tons'!K272</f>
        <v>1471</v>
      </c>
      <c r="H77">
        <f>'[5]Lynnwood Tons'!L272</f>
        <v>1472</v>
      </c>
      <c r="I77">
        <f>'[5]Lynnwood Tons'!M272</f>
        <v>1471</v>
      </c>
      <c r="J77">
        <f>'[5]Lynnwood Tons'!N272</f>
        <v>1474</v>
      </c>
      <c r="K77">
        <f>'[5]Lynnwood Tons'!O272</f>
        <v>1476</v>
      </c>
      <c r="L77">
        <f>'[6]Lynnwood Tons'!D272</f>
        <v>1475</v>
      </c>
      <c r="M77">
        <f>'[6]Lynnwood Tons'!E272</f>
        <v>1476</v>
      </c>
      <c r="N77">
        <f>'[6]Lynnwood Tons'!F272</f>
        <v>1479</v>
      </c>
      <c r="O77">
        <f>'[6]Lynnwood Tons'!G272</f>
        <v>1483</v>
      </c>
      <c r="P77" t="str">
        <f t="shared" si="7"/>
        <v>NRTotal Recycle Customers</v>
      </c>
      <c r="Q77">
        <f t="shared" si="8"/>
        <v>17685</v>
      </c>
    </row>
    <row r="78" spans="1:31" x14ac:dyDescent="0.2">
      <c r="A78" t="s">
        <v>56</v>
      </c>
      <c r="C78" s="105" t="s">
        <v>59</v>
      </c>
      <c r="D78">
        <f>'[5]Lynnwood Tons'!H273</f>
        <v>369</v>
      </c>
      <c r="E78">
        <f>'[5]Lynnwood Tons'!I273</f>
        <v>376</v>
      </c>
      <c r="F78">
        <f>'[5]Lynnwood Tons'!J273</f>
        <v>374</v>
      </c>
      <c r="G78">
        <f>'[5]Lynnwood Tons'!K273</f>
        <v>375</v>
      </c>
      <c r="H78">
        <f>'[5]Lynnwood Tons'!L273</f>
        <v>373</v>
      </c>
      <c r="I78">
        <f>'[5]Lynnwood Tons'!M273</f>
        <v>366</v>
      </c>
      <c r="J78">
        <f>'[5]Lynnwood Tons'!N273</f>
        <v>343</v>
      </c>
      <c r="K78">
        <f>'[5]Lynnwood Tons'!O273</f>
        <v>329</v>
      </c>
      <c r="L78">
        <f>'[6]Lynnwood Tons'!D273</f>
        <v>314</v>
      </c>
      <c r="M78">
        <f>'[6]Lynnwood Tons'!E273</f>
        <v>314</v>
      </c>
      <c r="N78">
        <f>'[6]Lynnwood Tons'!F273</f>
        <v>314</v>
      </c>
      <c r="O78">
        <f>'[6]Lynnwood Tons'!G273</f>
        <v>331</v>
      </c>
      <c r="P78" t="str">
        <f t="shared" si="7"/>
        <v>NRTotal Yardwaste Customers</v>
      </c>
      <c r="Q78">
        <f t="shared" si="8"/>
        <v>4178</v>
      </c>
    </row>
    <row r="79" spans="1:31" x14ac:dyDescent="0.2">
      <c r="A79" t="s">
        <v>56</v>
      </c>
      <c r="C79" s="105"/>
      <c r="D79">
        <f>'[5]Lynnwood Tons'!H274</f>
        <v>0</v>
      </c>
      <c r="E79">
        <f>'[5]Lynnwood Tons'!I274</f>
        <v>0</v>
      </c>
      <c r="F79">
        <f>'[5]Lynnwood Tons'!J274</f>
        <v>0</v>
      </c>
      <c r="G79">
        <f>'[5]Lynnwood Tons'!K274</f>
        <v>0</v>
      </c>
      <c r="H79">
        <f>'[5]Lynnwood Tons'!L274</f>
        <v>0</v>
      </c>
      <c r="I79">
        <f>'[5]Lynnwood Tons'!M274</f>
        <v>0</v>
      </c>
      <c r="J79">
        <f>'[5]Lynnwood Tons'!N274</f>
        <v>0</v>
      </c>
      <c r="K79">
        <f>'[5]Lynnwood Tons'!O274</f>
        <v>0</v>
      </c>
      <c r="L79">
        <f>'[6]Lynnwood Tons'!D274</f>
        <v>0</v>
      </c>
      <c r="M79">
        <f>'[6]Lynnwood Tons'!E274</f>
        <v>0</v>
      </c>
      <c r="N79">
        <f>'[6]Lynnwood Tons'!F274</f>
        <v>0</v>
      </c>
      <c r="O79">
        <f>'[6]Lynnwood Tons'!G274</f>
        <v>0</v>
      </c>
      <c r="P79" t="str">
        <f t="shared" si="7"/>
        <v>NR</v>
      </c>
      <c r="Q79">
        <f t="shared" si="8"/>
        <v>0</v>
      </c>
    </row>
    <row r="80" spans="1:31" x14ac:dyDescent="0.2">
      <c r="A80" t="s">
        <v>56</v>
      </c>
      <c r="C80" s="106" t="s">
        <v>60</v>
      </c>
      <c r="D80">
        <f>'[5]Lynnwood Tons'!H275</f>
        <v>33.249817242809065</v>
      </c>
      <c r="E80">
        <f>'[5]Lynnwood Tons'!I275</f>
        <v>36.823143652262324</v>
      </c>
      <c r="F80">
        <f>'[5]Lynnwood Tons'!J275</f>
        <v>42.006084482792474</v>
      </c>
      <c r="G80">
        <f>'[5]Lynnwood Tons'!K275</f>
        <v>31.933695271027279</v>
      </c>
      <c r="H80">
        <f>'[5]Lynnwood Tons'!L275</f>
        <v>38.963615066020687</v>
      </c>
      <c r="I80">
        <f>'[5]Lynnwood Tons'!M275</f>
        <v>34.926949010654972</v>
      </c>
      <c r="J80">
        <f>'[5]Lynnwood Tons'!N275</f>
        <v>34.94424826084294</v>
      </c>
      <c r="K80">
        <f>'[5]Lynnwood Tons'!O275</f>
        <v>45.663671876562212</v>
      </c>
      <c r="L80">
        <f>'[6]Lynnwood Tons'!D275</f>
        <v>36.285807707269782</v>
      </c>
      <c r="M80">
        <f>'[6]Lynnwood Tons'!E275</f>
        <v>35.994922868097305</v>
      </c>
      <c r="N80">
        <f>'[6]Lynnwood Tons'!F275</f>
        <v>41.923537195751976</v>
      </c>
      <c r="O80">
        <f>'[6]Lynnwood Tons'!G275</f>
        <v>32.833287058014257</v>
      </c>
      <c r="P80" t="str">
        <f t="shared" si="7"/>
        <v>NRTotal Recycle Tonnage</v>
      </c>
      <c r="Q80">
        <f t="shared" si="8"/>
        <v>445.54877969210526</v>
      </c>
    </row>
    <row r="81" spans="1:17" x14ac:dyDescent="0.2">
      <c r="A81" t="s">
        <v>56</v>
      </c>
      <c r="C81" s="106" t="s">
        <v>61</v>
      </c>
      <c r="D81">
        <f>'[5]Lynnwood Tons'!H276</f>
        <v>35.45497761624042</v>
      </c>
      <c r="E81">
        <f>'[5]Lynnwood Tons'!I276</f>
        <v>42.846757679180897</v>
      </c>
      <c r="F81">
        <f>'[5]Lynnwood Tons'!J276</f>
        <v>35.169232303532652</v>
      </c>
      <c r="G81">
        <f>'[5]Lynnwood Tons'!K276</f>
        <v>15.131073096349949</v>
      </c>
      <c r="H81">
        <f>'[5]Lynnwood Tons'!L276</f>
        <v>32.639409606404271</v>
      </c>
      <c r="I81">
        <f>'[5]Lynnwood Tons'!M276</f>
        <v>23.155379776994184</v>
      </c>
      <c r="J81">
        <f>'[5]Lynnwood Tons'!N276</f>
        <v>23.522395882969597</v>
      </c>
      <c r="K81">
        <f>'[5]Lynnwood Tons'!O276</f>
        <v>20.587385057471263</v>
      </c>
      <c r="L81">
        <f>'[6]Lynnwood Tons'!D276</f>
        <v>13.159856321839081</v>
      </c>
      <c r="M81">
        <f>'[6]Lynnwood Tons'!E276</f>
        <v>9.2991091954022984</v>
      </c>
      <c r="N81">
        <f>'[6]Lynnwood Tons'!F276</f>
        <v>38.676063218390802</v>
      </c>
      <c r="O81">
        <f>'[6]Lynnwood Tons'!G276</f>
        <v>35.60902298850575</v>
      </c>
      <c r="P81" t="str">
        <f t="shared" si="7"/>
        <v>NRTotal Yardwaste Tonnage</v>
      </c>
      <c r="Q81">
        <f t="shared" si="8"/>
        <v>325.25066274328117</v>
      </c>
    </row>
    <row r="82" spans="1:17" x14ac:dyDescent="0.2">
      <c r="A82" t="s">
        <v>56</v>
      </c>
      <c r="C82" s="106" t="s">
        <v>62</v>
      </c>
      <c r="D82">
        <f>'[5]Lynnwood Tons'!H277</f>
        <v>0</v>
      </c>
      <c r="E82">
        <f>'[5]Lynnwood Tons'!I277</f>
        <v>0</v>
      </c>
      <c r="F82">
        <f>'[5]Lynnwood Tons'!J277</f>
        <v>0</v>
      </c>
      <c r="G82">
        <f>'[5]Lynnwood Tons'!K277</f>
        <v>0</v>
      </c>
      <c r="H82">
        <f>'[5]Lynnwood Tons'!L277</f>
        <v>0</v>
      </c>
      <c r="I82">
        <f>'[5]Lynnwood Tons'!M277</f>
        <v>0</v>
      </c>
      <c r="J82">
        <f>'[5]Lynnwood Tons'!N277</f>
        <v>0</v>
      </c>
      <c r="K82">
        <f>'[5]Lynnwood Tons'!O277</f>
        <v>0</v>
      </c>
      <c r="L82">
        <f>'[6]Lynnwood Tons'!D277</f>
        <v>0</v>
      </c>
      <c r="M82">
        <f>'[6]Lynnwood Tons'!E277</f>
        <v>0</v>
      </c>
      <c r="N82">
        <f>'[6]Lynnwood Tons'!F277</f>
        <v>0</v>
      </c>
      <c r="O82">
        <f>'[6]Lynnwood Tons'!G277</f>
        <v>0</v>
      </c>
      <c r="P82" t="str">
        <f t="shared" si="7"/>
        <v>NRTotal Residential MSW Tonnage</v>
      </c>
      <c r="Q82">
        <f t="shared" si="8"/>
        <v>0</v>
      </c>
    </row>
    <row r="83" spans="1:17" x14ac:dyDescent="0.2">
      <c r="A83" t="s">
        <v>56</v>
      </c>
      <c r="B83" t="s">
        <v>54</v>
      </c>
      <c r="C83" s="105" t="s">
        <v>57</v>
      </c>
      <c r="D83">
        <f>'[5]Lynnwood Tons'!H293</f>
        <v>2406</v>
      </c>
      <c r="E83">
        <f>'[5]Lynnwood Tons'!I293</f>
        <v>2410</v>
      </c>
      <c r="F83">
        <f>'[5]Lynnwood Tons'!J293</f>
        <v>2417</v>
      </c>
      <c r="G83">
        <f>'[5]Lynnwood Tons'!K293</f>
        <v>2408</v>
      </c>
      <c r="H83">
        <f>'[5]Lynnwood Tons'!L293</f>
        <v>2414</v>
      </c>
      <c r="I83">
        <f>'[5]Lynnwood Tons'!M293</f>
        <v>2414</v>
      </c>
      <c r="J83">
        <f>'[5]Lynnwood Tons'!N293</f>
        <v>2402</v>
      </c>
      <c r="K83">
        <f>'[5]Lynnwood Tons'!O293</f>
        <v>2407</v>
      </c>
      <c r="L83">
        <f>'[6]Lynnwood Tons'!D293</f>
        <v>2405</v>
      </c>
      <c r="M83">
        <f>'[6]Lynnwood Tons'!E293</f>
        <v>2407</v>
      </c>
      <c r="N83">
        <f>'[6]Lynnwood Tons'!F293</f>
        <v>2410</v>
      </c>
      <c r="O83">
        <f>'[6]Lynnwood Tons'!G293</f>
        <v>2417</v>
      </c>
      <c r="P83" t="str">
        <f t="shared" si="7"/>
        <v>NRTotal MSW Customers</v>
      </c>
      <c r="Q83">
        <f t="shared" si="8"/>
        <v>28917</v>
      </c>
    </row>
    <row r="84" spans="1:17" x14ac:dyDescent="0.2">
      <c r="A84" t="s">
        <v>56</v>
      </c>
      <c r="C84" s="105"/>
      <c r="D84">
        <f>'[5]Lynnwood Tons'!H294</f>
        <v>0</v>
      </c>
      <c r="E84">
        <f>'[5]Lynnwood Tons'!I294</f>
        <v>0</v>
      </c>
      <c r="F84">
        <f>'[5]Lynnwood Tons'!J294</f>
        <v>0</v>
      </c>
      <c r="G84">
        <f>'[5]Lynnwood Tons'!K294</f>
        <v>0</v>
      </c>
      <c r="H84">
        <f>'[5]Lynnwood Tons'!L294</f>
        <v>0</v>
      </c>
      <c r="I84">
        <f>'[5]Lynnwood Tons'!M294</f>
        <v>0</v>
      </c>
      <c r="J84">
        <f>'[5]Lynnwood Tons'!N294</f>
        <v>0</v>
      </c>
      <c r="K84">
        <f>'[5]Lynnwood Tons'!O294</f>
        <v>0</v>
      </c>
      <c r="L84">
        <f>'[6]Lynnwood Tons'!D294</f>
        <v>0</v>
      </c>
      <c r="M84">
        <f>'[6]Lynnwood Tons'!E294</f>
        <v>0</v>
      </c>
      <c r="N84">
        <f>'[6]Lynnwood Tons'!F294</f>
        <v>0</v>
      </c>
      <c r="O84">
        <f>'[6]Lynnwood Tons'!G294</f>
        <v>0</v>
      </c>
      <c r="P84" t="str">
        <f t="shared" si="7"/>
        <v>NR</v>
      </c>
      <c r="Q84">
        <f t="shared" si="8"/>
        <v>0</v>
      </c>
    </row>
    <row r="85" spans="1:17" x14ac:dyDescent="0.2">
      <c r="A85" t="s">
        <v>56</v>
      </c>
      <c r="C85" s="105" t="s">
        <v>58</v>
      </c>
      <c r="D85">
        <f>'[5]Lynnwood Tons'!H295</f>
        <v>2473</v>
      </c>
      <c r="E85">
        <f>'[5]Lynnwood Tons'!I295</f>
        <v>2477</v>
      </c>
      <c r="F85">
        <f>'[5]Lynnwood Tons'!J295</f>
        <v>2483</v>
      </c>
      <c r="G85">
        <f>'[5]Lynnwood Tons'!K295</f>
        <v>2476</v>
      </c>
      <c r="H85">
        <f>'[5]Lynnwood Tons'!L295</f>
        <v>2482</v>
      </c>
      <c r="I85">
        <f>'[5]Lynnwood Tons'!M295</f>
        <v>2482</v>
      </c>
      <c r="J85">
        <f>'[5]Lynnwood Tons'!N295</f>
        <v>2477</v>
      </c>
      <c r="K85">
        <f>'[5]Lynnwood Tons'!O295</f>
        <v>2482</v>
      </c>
      <c r="L85">
        <f>'[6]Lynnwood Tons'!D295</f>
        <v>2480</v>
      </c>
      <c r="M85">
        <f>'[6]Lynnwood Tons'!E295</f>
        <v>2481</v>
      </c>
      <c r="N85">
        <f>'[6]Lynnwood Tons'!F295</f>
        <v>2483</v>
      </c>
      <c r="O85">
        <f>'[6]Lynnwood Tons'!G295</f>
        <v>2489</v>
      </c>
      <c r="P85" t="str">
        <f t="shared" si="7"/>
        <v>NRTotal Recycle Customers</v>
      </c>
      <c r="Q85">
        <f t="shared" si="8"/>
        <v>29765</v>
      </c>
    </row>
    <row r="86" spans="1:17" x14ac:dyDescent="0.2">
      <c r="A86" t="s">
        <v>56</v>
      </c>
      <c r="C86" s="105" t="s">
        <v>59</v>
      </c>
      <c r="D86">
        <f>'[5]Lynnwood Tons'!H296</f>
        <v>2372</v>
      </c>
      <c r="E86">
        <f>'[5]Lynnwood Tons'!I296</f>
        <v>2374</v>
      </c>
      <c r="F86">
        <f>'[5]Lynnwood Tons'!J296</f>
        <v>2378</v>
      </c>
      <c r="G86">
        <f>'[5]Lynnwood Tons'!K296</f>
        <v>2369</v>
      </c>
      <c r="H86">
        <f>'[5]Lynnwood Tons'!L296</f>
        <v>2374</v>
      </c>
      <c r="I86">
        <f>'[5]Lynnwood Tons'!M296</f>
        <v>2372</v>
      </c>
      <c r="J86">
        <f>'[5]Lynnwood Tons'!N296</f>
        <v>2366</v>
      </c>
      <c r="K86">
        <f>'[5]Lynnwood Tons'!O296</f>
        <v>2369</v>
      </c>
      <c r="L86">
        <f>'[6]Lynnwood Tons'!D296</f>
        <v>2363</v>
      </c>
      <c r="M86">
        <f>'[6]Lynnwood Tons'!E296</f>
        <v>2363</v>
      </c>
      <c r="N86">
        <f>'[6]Lynnwood Tons'!F296</f>
        <v>2364</v>
      </c>
      <c r="O86">
        <f>'[6]Lynnwood Tons'!G296</f>
        <v>2367</v>
      </c>
      <c r="P86" t="str">
        <f t="shared" si="7"/>
        <v>NRTotal Yardwaste Customers</v>
      </c>
      <c r="Q86">
        <f t="shared" si="8"/>
        <v>28431</v>
      </c>
    </row>
    <row r="87" spans="1:17" x14ac:dyDescent="0.2">
      <c r="A87" t="s">
        <v>56</v>
      </c>
      <c r="C87" s="105"/>
      <c r="D87">
        <f>'[5]Lynnwood Tons'!H297</f>
        <v>0</v>
      </c>
      <c r="E87">
        <f>'[5]Lynnwood Tons'!I297</f>
        <v>0</v>
      </c>
      <c r="F87">
        <f>'[5]Lynnwood Tons'!J297</f>
        <v>0</v>
      </c>
      <c r="G87">
        <f>'[5]Lynnwood Tons'!K297</f>
        <v>0</v>
      </c>
      <c r="H87">
        <f>'[5]Lynnwood Tons'!L297</f>
        <v>0</v>
      </c>
      <c r="I87">
        <f>'[5]Lynnwood Tons'!M297</f>
        <v>0</v>
      </c>
      <c r="J87">
        <f>'[5]Lynnwood Tons'!N297</f>
        <v>0</v>
      </c>
      <c r="K87">
        <f>'[5]Lynnwood Tons'!O297</f>
        <v>0</v>
      </c>
      <c r="L87">
        <f>'[6]Lynnwood Tons'!D297</f>
        <v>0</v>
      </c>
      <c r="M87">
        <f>'[6]Lynnwood Tons'!E297</f>
        <v>0</v>
      </c>
      <c r="N87">
        <f>'[6]Lynnwood Tons'!F297</f>
        <v>0</v>
      </c>
      <c r="O87">
        <f>'[6]Lynnwood Tons'!G297</f>
        <v>0</v>
      </c>
      <c r="P87" t="str">
        <f t="shared" si="7"/>
        <v>NR</v>
      </c>
      <c r="Q87">
        <f t="shared" si="8"/>
        <v>0</v>
      </c>
    </row>
    <row r="88" spans="1:17" x14ac:dyDescent="0.2">
      <c r="A88" t="s">
        <v>56</v>
      </c>
      <c r="C88" s="106" t="s">
        <v>60</v>
      </c>
      <c r="D88">
        <f>'[5]Lynnwood Tons'!H298</f>
        <v>80.456265143165865</v>
      </c>
      <c r="E88">
        <f>'[5]Lynnwood Tons'!I298</f>
        <v>66.752202349283891</v>
      </c>
      <c r="F88">
        <f>'[5]Lynnwood Tons'!J298</f>
        <v>64.967477014883997</v>
      </c>
      <c r="G88">
        <f>'[5]Lynnwood Tons'!K298</f>
        <v>80.387853108675969</v>
      </c>
      <c r="H88">
        <f>'[5]Lynnwood Tons'!L298</f>
        <v>65.097446770641966</v>
      </c>
      <c r="I88">
        <f>'[5]Lynnwood Tons'!M298</f>
        <v>78.172802980146315</v>
      </c>
      <c r="J88">
        <f>'[5]Lynnwood Tons'!N298</f>
        <v>67.477622264572233</v>
      </c>
      <c r="K88">
        <f>'[5]Lynnwood Tons'!O298</f>
        <v>78.545125283196512</v>
      </c>
      <c r="L88">
        <f>'[6]Lynnwood Tons'!D298</f>
        <v>79.754982857265617</v>
      </c>
      <c r="M88">
        <f>'[6]Lynnwood Tons'!E298</f>
        <v>59.846090886699024</v>
      </c>
      <c r="N88">
        <f>'[6]Lynnwood Tons'!F298</f>
        <v>62.925968885395804</v>
      </c>
      <c r="O88">
        <f>'[6]Lynnwood Tons'!G298</f>
        <v>64.311591386852584</v>
      </c>
      <c r="P88" t="str">
        <f t="shared" si="7"/>
        <v>NRTotal Recycle Tonnage</v>
      </c>
      <c r="Q88">
        <f t="shared" si="8"/>
        <v>848.69542893077983</v>
      </c>
    </row>
    <row r="89" spans="1:17" x14ac:dyDescent="0.2">
      <c r="A89" t="s">
        <v>56</v>
      </c>
      <c r="C89" s="106" t="s">
        <v>61</v>
      </c>
      <c r="D89">
        <f>'[5]Lynnwood Tons'!H299</f>
        <v>225.27265773591404</v>
      </c>
      <c r="E89">
        <f>'[5]Lynnwood Tons'!I299</f>
        <v>173.7505707847441</v>
      </c>
      <c r="F89">
        <f>'[5]Lynnwood Tons'!J299</f>
        <v>132.40151762805161</v>
      </c>
      <c r="G89">
        <f>'[5]Lynnwood Tons'!K299</f>
        <v>110.32767838956229</v>
      </c>
      <c r="H89">
        <f>'[5]Lynnwood Tons'!L299</f>
        <v>102.86652262340536</v>
      </c>
      <c r="I89">
        <f>'[5]Lynnwood Tons'!M299</f>
        <v>137.6366449001404</v>
      </c>
      <c r="J89">
        <f>'[5]Lynnwood Tons'!N299</f>
        <v>133.58453796176957</v>
      </c>
      <c r="K89">
        <f>'[5]Lynnwood Tons'!O299</f>
        <v>36.773611379618956</v>
      </c>
      <c r="L89">
        <f>'[6]Lynnwood Tons'!D299</f>
        <v>52.983782786389341</v>
      </c>
      <c r="M89">
        <f>'[6]Lynnwood Tons'!E299</f>
        <v>32.341860750083463</v>
      </c>
      <c r="N89">
        <f>'[6]Lynnwood Tons'!F299</f>
        <v>80.437390586548872</v>
      </c>
      <c r="O89">
        <f>'[6]Lynnwood Tons'!G299</f>
        <v>162.02463545766634</v>
      </c>
      <c r="P89" t="str">
        <f t="shared" si="7"/>
        <v>NRTotal Yardwaste Tonnage</v>
      </c>
      <c r="Q89">
        <f t="shared" si="8"/>
        <v>1380.4014109838943</v>
      </c>
    </row>
    <row r="90" spans="1:17" x14ac:dyDescent="0.2">
      <c r="A90" t="s">
        <v>56</v>
      </c>
      <c r="C90" s="106" t="s">
        <v>62</v>
      </c>
      <c r="D90">
        <f>'[5]Lynnwood Tons'!H300</f>
        <v>135.0685926647042</v>
      </c>
      <c r="E90">
        <f>'[5]Lynnwood Tons'!I300</f>
        <v>112.70576879511302</v>
      </c>
      <c r="F90">
        <f>'[5]Lynnwood Tons'!J300</f>
        <v>111.47288554219436</v>
      </c>
      <c r="G90">
        <f>'[5]Lynnwood Tons'!K300</f>
        <v>137.77617784405771</v>
      </c>
      <c r="H90">
        <f>'[5]Lynnwood Tons'!L300</f>
        <v>115.57352858854169</v>
      </c>
      <c r="I90">
        <f>'[5]Lynnwood Tons'!M300</f>
        <v>133.33715948030581</v>
      </c>
      <c r="J90">
        <f>'[5]Lynnwood Tons'!N300</f>
        <v>110.26039920178538</v>
      </c>
      <c r="K90">
        <f>'[5]Lynnwood Tons'!O300</f>
        <v>110.74598045624144</v>
      </c>
      <c r="L90">
        <f>'[6]Lynnwood Tons'!D300</f>
        <v>134.82159480475588</v>
      </c>
      <c r="M90">
        <f>'[6]Lynnwood Tons'!E300</f>
        <v>103.05952733356568</v>
      </c>
      <c r="N90">
        <f>'[6]Lynnwood Tons'!F300</f>
        <v>109.30488702152077</v>
      </c>
      <c r="O90">
        <f>'[6]Lynnwood Tons'!G300</f>
        <v>107.81430971256636</v>
      </c>
      <c r="P90" t="str">
        <f t="shared" si="7"/>
        <v>NRTotal Residential MSW Tonnage</v>
      </c>
      <c r="Q90">
        <f t="shared" si="8"/>
        <v>1421.9408114453524</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3"/>
  <sheetViews>
    <sheetView workbookViewId="0">
      <selection activeCell="R34" sqref="R34"/>
    </sheetView>
  </sheetViews>
  <sheetFormatPr defaultRowHeight="12.75" x14ac:dyDescent="0.2"/>
  <cols>
    <col min="2" max="2" width="13.7109375" bestFit="1" customWidth="1"/>
  </cols>
  <sheetData>
    <row r="2" spans="1:15" x14ac:dyDescent="0.2">
      <c r="C2" t="s">
        <v>83</v>
      </c>
      <c r="D2" t="s">
        <v>64</v>
      </c>
      <c r="E2" t="s">
        <v>65</v>
      </c>
      <c r="F2" t="s">
        <v>66</v>
      </c>
      <c r="G2" t="s">
        <v>67</v>
      </c>
      <c r="H2" t="s">
        <v>68</v>
      </c>
      <c r="I2" t="s">
        <v>69</v>
      </c>
      <c r="J2" t="s">
        <v>70</v>
      </c>
      <c r="K2" t="s">
        <v>71</v>
      </c>
      <c r="L2" t="s">
        <v>72</v>
      </c>
      <c r="M2" t="s">
        <v>73</v>
      </c>
      <c r="N2" t="s">
        <v>74</v>
      </c>
      <c r="O2" t="s">
        <v>3</v>
      </c>
    </row>
    <row r="3" spans="1:15" ht="14.25" x14ac:dyDescent="0.2">
      <c r="A3" t="s">
        <v>56</v>
      </c>
      <c r="B3" s="115" t="s">
        <v>47</v>
      </c>
      <c r="C3" s="116">
        <v>0</v>
      </c>
      <c r="D3" s="116">
        <v>0</v>
      </c>
      <c r="E3" s="116">
        <v>0</v>
      </c>
      <c r="F3" s="116">
        <v>0</v>
      </c>
      <c r="G3" s="116">
        <v>0</v>
      </c>
      <c r="H3" s="116">
        <v>0</v>
      </c>
      <c r="I3" s="116">
        <v>0</v>
      </c>
      <c r="J3" s="116">
        <v>54.264599821150213</v>
      </c>
      <c r="K3" s="116">
        <v>0</v>
      </c>
      <c r="L3" s="116">
        <v>0</v>
      </c>
      <c r="M3" s="116">
        <v>0</v>
      </c>
      <c r="N3" s="116">
        <v>0</v>
      </c>
      <c r="O3" s="88">
        <f>SUM(C3:N3)</f>
        <v>54.264599821150213</v>
      </c>
    </row>
    <row r="4" spans="1:15" s="117" customFormat="1" ht="14.25" x14ac:dyDescent="0.2">
      <c r="A4" s="117" t="s">
        <v>55</v>
      </c>
      <c r="B4" s="118" t="s">
        <v>49</v>
      </c>
      <c r="C4" s="119">
        <v>17.212894075705826</v>
      </c>
      <c r="D4" s="119">
        <v>14.596631054095866</v>
      </c>
      <c r="E4" s="119">
        <v>16.566103917949725</v>
      </c>
      <c r="F4" s="119">
        <v>18.542588310300939</v>
      </c>
      <c r="G4" s="119">
        <v>19.842028755955461</v>
      </c>
      <c r="H4" s="119">
        <v>20.009797475861905</v>
      </c>
      <c r="I4" s="119">
        <v>19.176677167097104</v>
      </c>
      <c r="J4" s="119">
        <v>0.15080178387744109</v>
      </c>
      <c r="K4" s="119">
        <v>21.733288341908278</v>
      </c>
      <c r="L4" s="119">
        <v>23.093538903934856</v>
      </c>
      <c r="M4" s="119">
        <v>26.566807379237606</v>
      </c>
      <c r="N4" s="119">
        <v>23.739395581225551</v>
      </c>
      <c r="O4" s="88">
        <f t="shared" ref="O4:O14" si="0">SUM(C4:N4)</f>
        <v>221.23055274715057</v>
      </c>
    </row>
    <row r="5" spans="1:15" s="117" customFormat="1" ht="14.25" x14ac:dyDescent="0.2">
      <c r="A5" s="117" t="s">
        <v>55</v>
      </c>
      <c r="B5" s="118" t="s">
        <v>44</v>
      </c>
      <c r="C5" s="119">
        <v>0.10157918388885756</v>
      </c>
      <c r="D5" s="119">
        <v>0.10568164526706911</v>
      </c>
      <c r="E5" s="119">
        <v>0.1308326455333669</v>
      </c>
      <c r="F5" s="119">
        <v>0.34715198107608408</v>
      </c>
      <c r="G5" s="119">
        <v>0.30583434502769524</v>
      </c>
      <c r="H5" s="119">
        <v>0.44150566439986227</v>
      </c>
      <c r="I5" s="119">
        <v>0.35352275683393775</v>
      </c>
      <c r="J5" s="119">
        <v>2.33884196782989</v>
      </c>
      <c r="K5" s="119">
        <v>0.33498229825524178</v>
      </c>
      <c r="L5" s="119">
        <v>0.30154140758196796</v>
      </c>
      <c r="M5" s="119">
        <v>0.29898560551939035</v>
      </c>
      <c r="N5" s="119">
        <v>0.4301904963367113</v>
      </c>
      <c r="O5" s="88">
        <f t="shared" si="0"/>
        <v>5.490649997550074</v>
      </c>
    </row>
    <row r="6" spans="1:15" s="117" customFormat="1" ht="14.25" x14ac:dyDescent="0.2">
      <c r="A6" s="117" t="s">
        <v>55</v>
      </c>
      <c r="B6" s="118" t="s">
        <v>48</v>
      </c>
      <c r="C6" s="119">
        <v>51.291731831619231</v>
      </c>
      <c r="D6" s="119">
        <v>45.716338850688452</v>
      </c>
      <c r="E6" s="119">
        <v>57.797253340202609</v>
      </c>
      <c r="F6" s="119">
        <v>51.178093233467223</v>
      </c>
      <c r="G6" s="119">
        <v>49.08876681870634</v>
      </c>
      <c r="H6" s="119">
        <v>53.78458675436719</v>
      </c>
      <c r="I6" s="119">
        <v>51.422828740401968</v>
      </c>
      <c r="J6" s="119">
        <v>20.387683931126212</v>
      </c>
      <c r="K6" s="119">
        <v>49.627939223425535</v>
      </c>
      <c r="L6" s="119">
        <v>46.105649625132834</v>
      </c>
      <c r="M6" s="119">
        <v>51.86719528367496</v>
      </c>
      <c r="N6" s="119">
        <v>57.779706378317286</v>
      </c>
      <c r="O6" s="88">
        <f t="shared" si="0"/>
        <v>586.04777401112983</v>
      </c>
    </row>
    <row r="7" spans="1:15" ht="14.25" x14ac:dyDescent="0.2">
      <c r="A7" t="s">
        <v>56</v>
      </c>
      <c r="B7" s="115" t="s">
        <v>45</v>
      </c>
      <c r="C7" s="116">
        <v>0.12879760090477158</v>
      </c>
      <c r="D7" s="116">
        <v>0.14078160903612652</v>
      </c>
      <c r="E7" s="116">
        <v>0.17345716835246572</v>
      </c>
      <c r="F7" s="116">
        <v>0.13201054901857118</v>
      </c>
      <c r="G7" s="116">
        <v>0.12640072275705067</v>
      </c>
      <c r="H7" s="116">
        <v>0.1484055883052684</v>
      </c>
      <c r="I7" s="116">
        <v>0.1319002928036847</v>
      </c>
      <c r="J7" s="116">
        <v>13.976584546600266</v>
      </c>
      <c r="K7" s="116">
        <v>0.13526104752695559</v>
      </c>
      <c r="L7" s="116">
        <v>0.13278617452159144</v>
      </c>
      <c r="M7" s="116">
        <v>0.13006340438980479</v>
      </c>
      <c r="N7" s="116">
        <v>0.15350668868392361</v>
      </c>
      <c r="O7" s="88">
        <f t="shared" si="0"/>
        <v>15.509955392900482</v>
      </c>
    </row>
    <row r="8" spans="1:15" ht="14.25" x14ac:dyDescent="0.2">
      <c r="A8" t="s">
        <v>56</v>
      </c>
      <c r="B8" s="115" t="s">
        <v>80</v>
      </c>
      <c r="C8" s="116">
        <v>1.8716558422188831</v>
      </c>
      <c r="D8" s="116">
        <v>1.6755180925097211</v>
      </c>
      <c r="E8" s="116">
        <v>1.818027519996539</v>
      </c>
      <c r="F8" s="116">
        <v>2.3078353245814558</v>
      </c>
      <c r="G8" s="116">
        <v>2.1631054305298241</v>
      </c>
      <c r="H8" s="116">
        <v>1.9206693166149571</v>
      </c>
      <c r="I8" s="116">
        <v>2.2973408880763269</v>
      </c>
      <c r="J8" s="116">
        <v>0</v>
      </c>
      <c r="K8" s="116">
        <v>2.6129309073439755</v>
      </c>
      <c r="L8" s="116">
        <v>1.7932015404877382</v>
      </c>
      <c r="M8" s="116">
        <v>2.3510931245678748</v>
      </c>
      <c r="N8" s="116">
        <v>2.0693918649821041</v>
      </c>
      <c r="O8" s="88">
        <f t="shared" si="0"/>
        <v>22.880769851909402</v>
      </c>
    </row>
    <row r="9" spans="1:15" s="117" customFormat="1" ht="14.25" x14ac:dyDescent="0.2">
      <c r="A9" s="117" t="s">
        <v>55</v>
      </c>
      <c r="B9" s="118" t="s">
        <v>51</v>
      </c>
      <c r="C9" s="119">
        <v>21.171223279236372</v>
      </c>
      <c r="D9" s="119">
        <v>20.026176931610518</v>
      </c>
      <c r="E9" s="119">
        <v>21.607631657447335</v>
      </c>
      <c r="F9" s="119">
        <v>24.124790707466065</v>
      </c>
      <c r="G9" s="119">
        <v>23.658768537154227</v>
      </c>
      <c r="H9" s="119">
        <v>27.271151287413453</v>
      </c>
      <c r="I9" s="119">
        <v>22.402194865996755</v>
      </c>
      <c r="J9" s="119">
        <v>16.037580918315136</v>
      </c>
      <c r="K9" s="119">
        <v>21.430612836981403</v>
      </c>
      <c r="L9" s="119">
        <v>19.562684908373189</v>
      </c>
      <c r="M9" s="119">
        <v>21.904922868865988</v>
      </c>
      <c r="N9" s="119">
        <v>20.934163833257696</v>
      </c>
      <c r="O9" s="88">
        <f t="shared" si="0"/>
        <v>260.13190263211817</v>
      </c>
    </row>
    <row r="10" spans="1:15" ht="14.25" x14ac:dyDescent="0.2">
      <c r="A10" t="s">
        <v>56</v>
      </c>
      <c r="B10" s="115" t="s">
        <v>52</v>
      </c>
      <c r="C10" s="116">
        <v>21.551372108983514</v>
      </c>
      <c r="D10" s="116">
        <v>18.12623679009312</v>
      </c>
      <c r="E10" s="116">
        <v>22.055500379408411</v>
      </c>
      <c r="F10" s="116">
        <v>13.29607257194399</v>
      </c>
      <c r="G10" s="116">
        <v>13.786750630345583</v>
      </c>
      <c r="H10" s="116">
        <v>16.002422627449519</v>
      </c>
      <c r="I10" s="116">
        <v>13.709710855613347</v>
      </c>
      <c r="J10" s="116">
        <v>3.1073797420058766</v>
      </c>
      <c r="K10" s="116">
        <v>17.907130317249457</v>
      </c>
      <c r="L10" s="116">
        <v>15.593564425888614</v>
      </c>
      <c r="M10" s="116">
        <v>15.255951111813816</v>
      </c>
      <c r="N10" s="116">
        <v>18.225818409748147</v>
      </c>
      <c r="O10" s="88">
        <f t="shared" si="0"/>
        <v>188.61790997054342</v>
      </c>
    </row>
    <row r="11" spans="1:15" s="117" customFormat="1" ht="14.25" x14ac:dyDescent="0.2">
      <c r="A11" s="117" t="s">
        <v>55</v>
      </c>
      <c r="B11" s="120" t="s">
        <v>81</v>
      </c>
      <c r="C11" s="119">
        <v>0</v>
      </c>
      <c r="D11" s="119">
        <v>0</v>
      </c>
      <c r="E11" s="119">
        <v>0</v>
      </c>
      <c r="F11" s="119">
        <v>0</v>
      </c>
      <c r="G11" s="119">
        <v>0</v>
      </c>
      <c r="H11" s="119">
        <v>0</v>
      </c>
      <c r="I11" s="119">
        <v>0</v>
      </c>
      <c r="J11" s="119">
        <v>0</v>
      </c>
      <c r="K11" s="119">
        <v>0</v>
      </c>
      <c r="L11" s="119">
        <v>0</v>
      </c>
      <c r="M11" s="119">
        <v>0</v>
      </c>
      <c r="N11" s="119">
        <v>0</v>
      </c>
      <c r="O11" s="88">
        <f t="shared" si="0"/>
        <v>0</v>
      </c>
    </row>
    <row r="12" spans="1:15" ht="14.25" x14ac:dyDescent="0.2">
      <c r="A12" t="s">
        <v>56</v>
      </c>
      <c r="B12" s="115" t="s">
        <v>82</v>
      </c>
      <c r="C12" s="116">
        <v>16.246693550751267</v>
      </c>
      <c r="D12" s="116">
        <v>15.377841622525661</v>
      </c>
      <c r="E12" s="116">
        <v>16.640495190659028</v>
      </c>
      <c r="F12" s="116">
        <v>15.368307885242192</v>
      </c>
      <c r="G12" s="116">
        <v>14.57007400370864</v>
      </c>
      <c r="H12" s="116">
        <v>16.120766416350822</v>
      </c>
      <c r="I12" s="116">
        <v>14.326525324859087</v>
      </c>
      <c r="J12" s="116">
        <v>133.26942503248625</v>
      </c>
      <c r="K12" s="116">
        <v>15.14352627401375</v>
      </c>
      <c r="L12" s="116">
        <v>12.956487834437498</v>
      </c>
      <c r="M12" s="116">
        <v>16.535450862612514</v>
      </c>
      <c r="N12" s="116">
        <v>17.403195163102541</v>
      </c>
      <c r="O12" s="88">
        <f t="shared" si="0"/>
        <v>303.95878916074929</v>
      </c>
    </row>
    <row r="13" spans="1:15" ht="14.25" x14ac:dyDescent="0.2">
      <c r="A13" t="s">
        <v>56</v>
      </c>
      <c r="B13" s="115" t="s">
        <v>53</v>
      </c>
      <c r="C13" s="116">
        <v>2.4314505497055316</v>
      </c>
      <c r="D13" s="116">
        <v>2.6362371917959315</v>
      </c>
      <c r="E13" s="116">
        <v>2.8677450334179122</v>
      </c>
      <c r="F13" s="116">
        <v>2.4760725567937429</v>
      </c>
      <c r="G13" s="116">
        <v>2.368245619653369</v>
      </c>
      <c r="H13" s="116">
        <v>2.7512287232550934</v>
      </c>
      <c r="I13" s="116">
        <v>2.6263245452688468</v>
      </c>
      <c r="J13" s="116">
        <v>0</v>
      </c>
      <c r="K13" s="116">
        <v>2.4780100175482249</v>
      </c>
      <c r="L13" s="116">
        <v>2.913698016534747</v>
      </c>
      <c r="M13" s="116">
        <v>2.9509565704311247</v>
      </c>
      <c r="N13" s="116">
        <v>2.3548281172542342</v>
      </c>
      <c r="O13" s="88">
        <f t="shared" si="0"/>
        <v>28.854796941658762</v>
      </c>
    </row>
    <row r="14" spans="1:15" s="117" customFormat="1" ht="14.25" x14ac:dyDescent="0.2">
      <c r="A14" s="117" t="s">
        <v>55</v>
      </c>
      <c r="B14" s="118" t="s">
        <v>50</v>
      </c>
      <c r="C14" s="119">
        <v>0</v>
      </c>
      <c r="D14" s="119">
        <v>0</v>
      </c>
      <c r="E14" s="119">
        <v>0</v>
      </c>
      <c r="F14" s="119">
        <v>0</v>
      </c>
      <c r="G14" s="119">
        <v>0</v>
      </c>
      <c r="H14" s="119">
        <v>0</v>
      </c>
      <c r="I14" s="119">
        <v>0</v>
      </c>
      <c r="J14" s="119">
        <v>0</v>
      </c>
      <c r="K14" s="119">
        <v>0</v>
      </c>
      <c r="L14" s="119">
        <v>0</v>
      </c>
      <c r="M14" s="119">
        <v>0</v>
      </c>
      <c r="N14" s="119">
        <v>0</v>
      </c>
      <c r="O14" s="88">
        <f t="shared" si="0"/>
        <v>0</v>
      </c>
    </row>
    <row r="18" spans="1:18" x14ac:dyDescent="0.2">
      <c r="R18" s="88">
        <f>SUM(O4+O5+O6+O9+O11+O14)</f>
        <v>1072.9008793879486</v>
      </c>
    </row>
    <row r="19" spans="1:18" x14ac:dyDescent="0.2">
      <c r="C19" t="s">
        <v>83</v>
      </c>
      <c r="D19" t="s">
        <v>84</v>
      </c>
      <c r="E19" t="s">
        <v>65</v>
      </c>
      <c r="F19" t="s">
        <v>66</v>
      </c>
      <c r="G19" t="s">
        <v>67</v>
      </c>
      <c r="H19" t="s">
        <v>68</v>
      </c>
      <c r="I19" t="s">
        <v>69</v>
      </c>
      <c r="J19" t="s">
        <v>70</v>
      </c>
      <c r="K19" t="s">
        <v>71</v>
      </c>
      <c r="L19" t="s">
        <v>72</v>
      </c>
      <c r="M19" t="s">
        <v>73</v>
      </c>
      <c r="N19" t="s">
        <v>74</v>
      </c>
      <c r="O19" t="s">
        <v>85</v>
      </c>
    </row>
    <row r="20" spans="1:18" ht="14.25" x14ac:dyDescent="0.2">
      <c r="A20" t="s">
        <v>56</v>
      </c>
      <c r="B20" s="115" t="s">
        <v>47</v>
      </c>
      <c r="C20" s="116">
        <v>0</v>
      </c>
      <c r="D20" s="116">
        <v>0</v>
      </c>
      <c r="E20" s="116">
        <v>0</v>
      </c>
      <c r="F20" s="116">
        <v>0</v>
      </c>
      <c r="G20" s="116">
        <v>0</v>
      </c>
      <c r="H20" s="116">
        <v>0</v>
      </c>
      <c r="I20" s="116">
        <v>0</v>
      </c>
      <c r="J20" s="116">
        <v>195.01274556881035</v>
      </c>
      <c r="K20" s="116">
        <v>0</v>
      </c>
      <c r="L20" s="116">
        <v>0</v>
      </c>
      <c r="M20" s="116">
        <v>0</v>
      </c>
      <c r="N20" s="116">
        <v>0</v>
      </c>
      <c r="O20" s="88">
        <f>SUM(C20:N20)</f>
        <v>195.01274556881035</v>
      </c>
    </row>
    <row r="21" spans="1:18" s="117" customFormat="1" ht="14.25" x14ac:dyDescent="0.2">
      <c r="A21" s="117" t="s">
        <v>55</v>
      </c>
      <c r="B21" s="118" t="s">
        <v>49</v>
      </c>
      <c r="C21" s="119">
        <v>52.798243184937455</v>
      </c>
      <c r="D21" s="119">
        <v>47.85505852086731</v>
      </c>
      <c r="E21" s="119">
        <v>50.984308882510732</v>
      </c>
      <c r="F21" s="119">
        <v>50.897259273597676</v>
      </c>
      <c r="G21" s="119">
        <v>49.731211150642594</v>
      </c>
      <c r="H21" s="119">
        <v>53.784108933504918</v>
      </c>
      <c r="I21" s="119">
        <v>50.053083948399923</v>
      </c>
      <c r="J21" s="119">
        <v>0.76186335403726702</v>
      </c>
      <c r="K21" s="119">
        <v>47.951341694184507</v>
      </c>
      <c r="L21" s="119">
        <v>43.560302025626754</v>
      </c>
      <c r="M21" s="119">
        <v>49.322175732755127</v>
      </c>
      <c r="N21" s="119">
        <v>51.875987319474575</v>
      </c>
      <c r="O21" s="122">
        <f t="shared" ref="O21:O31" si="1">SUM(C21:N21)</f>
        <v>549.57494402053885</v>
      </c>
    </row>
    <row r="22" spans="1:18" s="117" customFormat="1" ht="14.25" x14ac:dyDescent="0.2">
      <c r="A22" s="117" t="s">
        <v>55</v>
      </c>
      <c r="B22" s="118" t="s">
        <v>44</v>
      </c>
      <c r="C22" s="119">
        <v>2.8548317530084759</v>
      </c>
      <c r="D22" s="119">
        <v>3.1800340998652756</v>
      </c>
      <c r="E22" s="119">
        <v>3.6380441014775458</v>
      </c>
      <c r="F22" s="119">
        <v>2.9050652434019151</v>
      </c>
      <c r="G22" s="119">
        <v>3.0560465249367779</v>
      </c>
      <c r="H22" s="119">
        <v>3.406470262906991</v>
      </c>
      <c r="I22" s="119">
        <v>3.1807030267944834</v>
      </c>
      <c r="J22" s="119">
        <v>18.409774427601604</v>
      </c>
      <c r="K22" s="119">
        <v>2.5954925363069439</v>
      </c>
      <c r="L22" s="119">
        <v>2.4000785289906101</v>
      </c>
      <c r="M22" s="119">
        <v>2.6074836882413415</v>
      </c>
      <c r="N22" s="119">
        <v>3.1291132588915009</v>
      </c>
      <c r="O22" s="122">
        <f t="shared" si="1"/>
        <v>51.363137452423466</v>
      </c>
    </row>
    <row r="23" spans="1:18" s="117" customFormat="1" ht="14.25" x14ac:dyDescent="0.2">
      <c r="A23" s="117" t="s">
        <v>55</v>
      </c>
      <c r="B23" s="118" t="s">
        <v>48</v>
      </c>
      <c r="C23" s="119">
        <v>222.21784110270193</v>
      </c>
      <c r="D23" s="119">
        <v>196.23084104495908</v>
      </c>
      <c r="E23" s="119">
        <v>220.56694142490824</v>
      </c>
      <c r="F23" s="119">
        <v>212.09527950701968</v>
      </c>
      <c r="G23" s="119">
        <v>210.88797658532096</v>
      </c>
      <c r="H23" s="119">
        <v>219.95791709146951</v>
      </c>
      <c r="I23" s="119">
        <v>208.16360250427661</v>
      </c>
      <c r="J23" s="119">
        <v>157.98457243020795</v>
      </c>
      <c r="K23" s="119">
        <v>201.8942793907118</v>
      </c>
      <c r="L23" s="119">
        <v>178.7161369694619</v>
      </c>
      <c r="M23" s="119">
        <v>204.69021764338842</v>
      </c>
      <c r="N23" s="119">
        <v>204.24734364823698</v>
      </c>
      <c r="O23" s="122">
        <f t="shared" si="1"/>
        <v>2437.6529493426624</v>
      </c>
    </row>
    <row r="24" spans="1:18" ht="14.25" x14ac:dyDescent="0.2">
      <c r="A24" t="s">
        <v>56</v>
      </c>
      <c r="B24" s="115" t="s">
        <v>45</v>
      </c>
      <c r="C24" s="116">
        <v>1.4338133333333334</v>
      </c>
      <c r="D24" s="116">
        <v>1.2290133333333333</v>
      </c>
      <c r="E24" s="116">
        <v>1.2537599999999998</v>
      </c>
      <c r="F24" s="116">
        <v>0.77385113268608419</v>
      </c>
      <c r="G24" s="116">
        <v>0.88284789644012951</v>
      </c>
      <c r="H24" s="116">
        <v>1.0368932038834953</v>
      </c>
      <c r="I24" s="116">
        <v>0.84634304207119737</v>
      </c>
      <c r="J24" s="116">
        <v>18.976845831941187</v>
      </c>
      <c r="K24" s="116">
        <v>0.9801242236024843</v>
      </c>
      <c r="L24" s="116">
        <v>0.76310559006211176</v>
      </c>
      <c r="M24" s="116">
        <v>0.97229813664596265</v>
      </c>
      <c r="N24" s="116">
        <v>1.0134161490683229</v>
      </c>
      <c r="O24" s="88">
        <f t="shared" si="1"/>
        <v>30.16231187306764</v>
      </c>
    </row>
    <row r="25" spans="1:18" ht="14.25" x14ac:dyDescent="0.2">
      <c r="A25" t="s">
        <v>56</v>
      </c>
      <c r="B25" s="115" t="s">
        <v>80</v>
      </c>
      <c r="C25" s="116">
        <v>19.356792521134519</v>
      </c>
      <c r="D25" s="116">
        <v>16.019488459030768</v>
      </c>
      <c r="E25" s="116">
        <v>15.271501011290455</v>
      </c>
      <c r="F25" s="116">
        <v>22.173340514728995</v>
      </c>
      <c r="G25" s="116">
        <v>19.466232035723102</v>
      </c>
      <c r="H25" s="116">
        <v>23.996553627653405</v>
      </c>
      <c r="I25" s="116">
        <v>19.398091405036485</v>
      </c>
      <c r="J25" s="116">
        <v>0</v>
      </c>
      <c r="K25" s="116">
        <v>22.528417113910937</v>
      </c>
      <c r="L25" s="116">
        <v>17.386008458911885</v>
      </c>
      <c r="M25" s="116">
        <v>19.794003959942195</v>
      </c>
      <c r="N25" s="116">
        <v>18.0458914262795</v>
      </c>
      <c r="O25" s="88">
        <f t="shared" si="1"/>
        <v>213.43632053364223</v>
      </c>
    </row>
    <row r="26" spans="1:18" s="117" customFormat="1" ht="14.25" x14ac:dyDescent="0.2">
      <c r="A26" s="117" t="s">
        <v>55</v>
      </c>
      <c r="B26" s="118" t="s">
        <v>51</v>
      </c>
      <c r="C26" s="119">
        <v>174.66668898975436</v>
      </c>
      <c r="D26" s="119">
        <v>156.91679962555781</v>
      </c>
      <c r="E26" s="119">
        <v>172.07193836051104</v>
      </c>
      <c r="F26" s="119">
        <v>167.58118703867788</v>
      </c>
      <c r="G26" s="119">
        <v>177.29155833534577</v>
      </c>
      <c r="H26" s="119">
        <v>175.548987815549</v>
      </c>
      <c r="I26" s="119">
        <v>165.60755703760128</v>
      </c>
      <c r="J26" s="119">
        <v>54.277571401327215</v>
      </c>
      <c r="K26" s="119">
        <v>168.73560026238258</v>
      </c>
      <c r="L26" s="119">
        <v>147.7222477316547</v>
      </c>
      <c r="M26" s="119">
        <v>175.6549047215448</v>
      </c>
      <c r="N26" s="119">
        <v>172.51278374311687</v>
      </c>
      <c r="O26" s="122">
        <f t="shared" si="1"/>
        <v>1908.5878250630233</v>
      </c>
    </row>
    <row r="27" spans="1:18" ht="14.25" x14ac:dyDescent="0.2">
      <c r="A27" t="s">
        <v>56</v>
      </c>
      <c r="B27" s="115" t="s">
        <v>52</v>
      </c>
      <c r="C27" s="116">
        <v>16.744807856628693</v>
      </c>
      <c r="D27" s="116">
        <v>15.052074319818006</v>
      </c>
      <c r="E27" s="116">
        <v>16.780873360922214</v>
      </c>
      <c r="F27" s="116">
        <v>18.397289123065651</v>
      </c>
      <c r="G27" s="116">
        <v>18.582599281789932</v>
      </c>
      <c r="H27" s="116">
        <v>19.738047847874736</v>
      </c>
      <c r="I27" s="116">
        <v>19.805644264594285</v>
      </c>
      <c r="J27" s="116">
        <v>0</v>
      </c>
      <c r="K27" s="116">
        <v>18.871935727091905</v>
      </c>
      <c r="L27" s="116">
        <v>17.403528037130584</v>
      </c>
      <c r="M27" s="116">
        <v>19.861099799858348</v>
      </c>
      <c r="N27" s="116">
        <v>21.149083444950545</v>
      </c>
      <c r="O27" s="88">
        <f t="shared" si="1"/>
        <v>202.38698306372493</v>
      </c>
    </row>
    <row r="28" spans="1:18" s="117" customFormat="1" ht="14.25" x14ac:dyDescent="0.2">
      <c r="A28" s="117" t="s">
        <v>55</v>
      </c>
      <c r="B28" s="120" t="s">
        <v>81</v>
      </c>
      <c r="C28" s="119">
        <v>0</v>
      </c>
      <c r="D28" s="119">
        <v>0</v>
      </c>
      <c r="E28" s="119">
        <v>0</v>
      </c>
      <c r="F28" s="119">
        <v>0</v>
      </c>
      <c r="G28" s="119">
        <v>0</v>
      </c>
      <c r="H28" s="119">
        <v>0</v>
      </c>
      <c r="I28" s="119">
        <v>0</v>
      </c>
      <c r="J28" s="119">
        <v>0</v>
      </c>
      <c r="K28" s="119">
        <v>0</v>
      </c>
      <c r="L28" s="119">
        <v>0</v>
      </c>
      <c r="M28" s="119">
        <v>0</v>
      </c>
      <c r="N28" s="119">
        <v>0</v>
      </c>
      <c r="O28" s="122">
        <f t="shared" si="1"/>
        <v>0</v>
      </c>
    </row>
    <row r="29" spans="1:18" ht="14.25" x14ac:dyDescent="0.2">
      <c r="A29" t="s">
        <v>56</v>
      </c>
      <c r="B29" s="115" t="s">
        <v>82</v>
      </c>
      <c r="C29" s="116">
        <v>63.082854394633827</v>
      </c>
      <c r="D29" s="116">
        <v>59.940921076012785</v>
      </c>
      <c r="E29" s="116">
        <v>63.661390252899309</v>
      </c>
      <c r="F29" s="116">
        <v>52.166864861651419</v>
      </c>
      <c r="G29" s="116">
        <v>53.459483046336707</v>
      </c>
      <c r="H29" s="116">
        <v>65.480169535242922</v>
      </c>
      <c r="I29" s="116">
        <v>54.470461404536842</v>
      </c>
      <c r="J29" s="116">
        <v>496.95854256524797</v>
      </c>
      <c r="K29" s="116">
        <v>58.370229119458344</v>
      </c>
      <c r="L29" s="116">
        <v>53.181361849761622</v>
      </c>
      <c r="M29" s="116">
        <v>55.086760395400752</v>
      </c>
      <c r="N29" s="116">
        <v>67.354661549501401</v>
      </c>
      <c r="O29" s="88">
        <f t="shared" si="1"/>
        <v>1143.2137000506839</v>
      </c>
    </row>
    <row r="30" spans="1:18" ht="14.25" x14ac:dyDescent="0.2">
      <c r="A30" t="s">
        <v>56</v>
      </c>
      <c r="B30" s="115" t="s">
        <v>53</v>
      </c>
      <c r="C30" s="116">
        <v>0</v>
      </c>
      <c r="D30" s="116">
        <v>0</v>
      </c>
      <c r="E30" s="116">
        <v>0</v>
      </c>
      <c r="F30" s="116">
        <v>0</v>
      </c>
      <c r="G30" s="116">
        <v>0</v>
      </c>
      <c r="H30" s="116">
        <v>0</v>
      </c>
      <c r="I30" s="116">
        <v>0</v>
      </c>
      <c r="J30" s="116">
        <v>0</v>
      </c>
      <c r="K30" s="116">
        <v>0</v>
      </c>
      <c r="L30" s="116">
        <v>0</v>
      </c>
      <c r="M30" s="116">
        <v>0</v>
      </c>
      <c r="N30" s="116">
        <v>0</v>
      </c>
      <c r="O30" s="88">
        <f t="shared" si="1"/>
        <v>0</v>
      </c>
    </row>
    <row r="31" spans="1:18" s="117" customFormat="1" ht="14.25" x14ac:dyDescent="0.2">
      <c r="A31" s="117" t="s">
        <v>55</v>
      </c>
      <c r="B31" s="118" t="s">
        <v>50</v>
      </c>
      <c r="C31" s="119">
        <v>0</v>
      </c>
      <c r="D31" s="119">
        <v>0</v>
      </c>
      <c r="E31" s="119">
        <v>0</v>
      </c>
      <c r="F31" s="119">
        <v>0</v>
      </c>
      <c r="G31" s="119">
        <v>0</v>
      </c>
      <c r="H31" s="119">
        <v>0</v>
      </c>
      <c r="I31" s="119">
        <v>0</v>
      </c>
      <c r="J31" s="119">
        <v>0</v>
      </c>
      <c r="K31" s="119">
        <v>0</v>
      </c>
      <c r="L31" s="119">
        <v>0</v>
      </c>
      <c r="M31" s="119">
        <v>0</v>
      </c>
      <c r="N31" s="119">
        <v>0</v>
      </c>
      <c r="O31" s="122">
        <f t="shared" si="1"/>
        <v>0</v>
      </c>
    </row>
    <row r="33" spans="18:18" x14ac:dyDescent="0.2">
      <c r="R33" s="88">
        <f>SUM(O21+O22+O23+O26+O28+O31)</f>
        <v>4947.1788558786475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91"/>
  <sheetViews>
    <sheetView topLeftCell="A9" workbookViewId="0">
      <selection activeCell="B3" sqref="B3:B59"/>
    </sheetView>
  </sheetViews>
  <sheetFormatPr defaultRowHeight="12.75" outlineLevelRow="1" x14ac:dyDescent="0.2"/>
  <cols>
    <col min="2" max="2" width="11.28515625" bestFit="1" customWidth="1"/>
    <col min="3" max="3" width="28.140625" bestFit="1" customWidth="1"/>
  </cols>
  <sheetData>
    <row r="2" spans="1:20" x14ac:dyDescent="0.2">
      <c r="D2" t="s">
        <v>63</v>
      </c>
      <c r="E2" t="s">
        <v>64</v>
      </c>
      <c r="F2" t="s">
        <v>65</v>
      </c>
      <c r="G2" t="s">
        <v>66</v>
      </c>
      <c r="H2" t="s">
        <v>67</v>
      </c>
      <c r="I2" t="s">
        <v>68</v>
      </c>
      <c r="J2" t="s">
        <v>69</v>
      </c>
      <c r="K2" t="s">
        <v>70</v>
      </c>
      <c r="L2" t="s">
        <v>71</v>
      </c>
      <c r="M2" t="s">
        <v>72</v>
      </c>
      <c r="N2" t="s">
        <v>73</v>
      </c>
      <c r="O2" t="s">
        <v>74</v>
      </c>
      <c r="P2" t="s">
        <v>75</v>
      </c>
    </row>
    <row r="3" spans="1:20" x14ac:dyDescent="0.2">
      <c r="A3" t="s">
        <v>55</v>
      </c>
      <c r="B3" t="s">
        <v>44</v>
      </c>
      <c r="C3" s="105" t="s">
        <v>57</v>
      </c>
    </row>
    <row r="4" spans="1:20" x14ac:dyDescent="0.2">
      <c r="A4" t="s">
        <v>55</v>
      </c>
      <c r="C4" s="105"/>
      <c r="Q4" t="s">
        <v>119</v>
      </c>
      <c r="R4" t="s">
        <v>120</v>
      </c>
      <c r="S4" t="s">
        <v>121</v>
      </c>
      <c r="T4" t="s">
        <v>122</v>
      </c>
    </row>
    <row r="5" spans="1:20" x14ac:dyDescent="0.2">
      <c r="A5" t="s">
        <v>55</v>
      </c>
      <c r="C5" s="105" t="s">
        <v>58</v>
      </c>
      <c r="D5" s="180">
        <v>2223</v>
      </c>
      <c r="E5" s="180">
        <v>2266</v>
      </c>
      <c r="F5" s="180">
        <v>2295</v>
      </c>
      <c r="G5" s="180">
        <v>2253</v>
      </c>
      <c r="H5" s="180">
        <v>2291</v>
      </c>
      <c r="I5" s="180">
        <v>2328</v>
      </c>
      <c r="J5" s="180">
        <v>2275</v>
      </c>
      <c r="K5" s="180">
        <v>2328</v>
      </c>
      <c r="L5" s="180">
        <v>2327</v>
      </c>
      <c r="M5" s="180">
        <v>2288</v>
      </c>
      <c r="N5" s="180">
        <v>2322</v>
      </c>
      <c r="O5" s="180">
        <v>2353</v>
      </c>
      <c r="P5" s="183"/>
      <c r="Q5" s="183">
        <f>SUM(O5,O37,O45,O53,O61)</f>
        <v>17579</v>
      </c>
      <c r="R5" s="183">
        <f>SUM(P10,P42,P50,P58,P66,)</f>
        <v>11093.489104223634</v>
      </c>
      <c r="S5" s="183">
        <f>SUM(P8,P40,P48,P56,P64)</f>
        <v>6138.2085542354935</v>
      </c>
      <c r="T5" s="183">
        <f>SUM(P9,P41,P49,P57,P65)</f>
        <v>8978.2109535185082</v>
      </c>
    </row>
    <row r="6" spans="1:20" x14ac:dyDescent="0.2">
      <c r="A6" t="s">
        <v>55</v>
      </c>
      <c r="C6" s="105" t="s">
        <v>59</v>
      </c>
      <c r="D6" s="180">
        <v>530</v>
      </c>
      <c r="E6" s="180">
        <v>550</v>
      </c>
      <c r="F6" s="180">
        <v>560</v>
      </c>
      <c r="G6" s="180">
        <v>548</v>
      </c>
      <c r="H6" s="180">
        <v>551</v>
      </c>
      <c r="I6" s="180">
        <v>554</v>
      </c>
      <c r="J6" s="180">
        <v>535</v>
      </c>
      <c r="K6" s="180">
        <v>542</v>
      </c>
      <c r="L6" s="180">
        <v>531</v>
      </c>
      <c r="M6" s="180">
        <v>517</v>
      </c>
      <c r="N6" s="180">
        <v>528</v>
      </c>
      <c r="O6" s="180">
        <v>546</v>
      </c>
      <c r="P6" s="183"/>
    </row>
    <row r="7" spans="1:20" x14ac:dyDescent="0.2">
      <c r="A7" t="s">
        <v>55</v>
      </c>
      <c r="C7" s="105"/>
      <c r="D7" s="181"/>
      <c r="E7" s="180"/>
      <c r="F7" s="180"/>
      <c r="G7" s="180"/>
      <c r="H7" s="180"/>
      <c r="I7" s="180"/>
      <c r="J7" s="180"/>
      <c r="K7" s="180"/>
      <c r="P7" s="183">
        <f t="shared" ref="P7:P66" si="0">SUM(D7:O7)</f>
        <v>0</v>
      </c>
    </row>
    <row r="8" spans="1:20" x14ac:dyDescent="0.2">
      <c r="A8" t="s">
        <v>55</v>
      </c>
      <c r="C8" s="106" t="s">
        <v>60</v>
      </c>
      <c r="D8" s="182">
        <v>63.254623370457274</v>
      </c>
      <c r="E8" s="182">
        <v>71.126263483576096</v>
      </c>
      <c r="F8" s="182">
        <v>70.42705185023928</v>
      </c>
      <c r="G8" s="182">
        <v>66.863451953340359</v>
      </c>
      <c r="H8" s="182">
        <v>73.850832184136138</v>
      </c>
      <c r="I8" s="182">
        <v>61.034483398275448</v>
      </c>
      <c r="J8" s="182">
        <v>60.273992257726221</v>
      </c>
      <c r="K8" s="182">
        <v>80.592648017373619</v>
      </c>
      <c r="L8" s="182">
        <v>72.7</v>
      </c>
      <c r="M8" s="182">
        <v>59.5</v>
      </c>
      <c r="N8" s="182">
        <v>72.900000000000006</v>
      </c>
      <c r="O8" s="182">
        <v>66.400000000000006</v>
      </c>
      <c r="P8" s="183">
        <f t="shared" si="0"/>
        <v>818.92334651512442</v>
      </c>
    </row>
    <row r="9" spans="1:20" x14ac:dyDescent="0.2">
      <c r="A9" t="s">
        <v>55</v>
      </c>
      <c r="C9" s="106" t="s">
        <v>61</v>
      </c>
      <c r="D9" s="182">
        <v>75.34788162918035</v>
      </c>
      <c r="E9" s="182">
        <v>85.633331805331196</v>
      </c>
      <c r="F9" s="182">
        <v>53.004380389489178</v>
      </c>
      <c r="G9" s="182">
        <v>44.136461409746197</v>
      </c>
      <c r="H9" s="182">
        <v>53.190265811065039</v>
      </c>
      <c r="I9" s="182">
        <v>56.109309906349765</v>
      </c>
      <c r="J9" s="182">
        <v>60.360611999405279</v>
      </c>
      <c r="K9" s="182">
        <v>16.061908448325092</v>
      </c>
      <c r="L9" s="182">
        <v>13.44</v>
      </c>
      <c r="M9" s="182">
        <v>20.239999999999998</v>
      </c>
      <c r="N9" s="182">
        <v>44.32</v>
      </c>
      <c r="O9" s="182">
        <v>60.91</v>
      </c>
      <c r="P9" s="183">
        <f t="shared" si="0"/>
        <v>582.75415139889208</v>
      </c>
    </row>
    <row r="10" spans="1:20" x14ac:dyDescent="0.2">
      <c r="A10" t="s">
        <v>55</v>
      </c>
      <c r="C10" s="106" t="s">
        <v>62</v>
      </c>
      <c r="D10" s="182">
        <v>118.6999942061186</v>
      </c>
      <c r="E10" s="182">
        <v>150.10353856314697</v>
      </c>
      <c r="F10" s="182">
        <v>140.50156628222592</v>
      </c>
      <c r="G10" s="182">
        <v>126.27927375539868</v>
      </c>
      <c r="H10" s="182">
        <v>168.09993636001835</v>
      </c>
      <c r="I10" s="182">
        <v>128.57135604011728</v>
      </c>
      <c r="J10" s="182">
        <v>126.70095640385082</v>
      </c>
      <c r="K10" s="182">
        <v>168.33075983370176</v>
      </c>
      <c r="L10" s="182">
        <v>134.66</v>
      </c>
      <c r="M10" s="182">
        <v>126.57</v>
      </c>
      <c r="N10" s="182">
        <v>154.56</v>
      </c>
      <c r="O10" s="182">
        <v>129.76</v>
      </c>
      <c r="P10" s="183">
        <f t="shared" si="0"/>
        <v>1672.8373814445783</v>
      </c>
    </row>
    <row r="11" spans="1:20" hidden="1" outlineLevel="1" x14ac:dyDescent="0.2">
      <c r="A11" t="s">
        <v>56</v>
      </c>
      <c r="B11" t="s">
        <v>45</v>
      </c>
      <c r="C11" s="105" t="s">
        <v>57</v>
      </c>
      <c r="P11" s="183">
        <f t="shared" si="0"/>
        <v>0</v>
      </c>
    </row>
    <row r="12" spans="1:20" hidden="1" outlineLevel="1" x14ac:dyDescent="0.2">
      <c r="A12" t="s">
        <v>56</v>
      </c>
      <c r="C12" s="105"/>
      <c r="P12" s="183">
        <f t="shared" si="0"/>
        <v>0</v>
      </c>
    </row>
    <row r="13" spans="1:20" hidden="1" outlineLevel="1" x14ac:dyDescent="0.2">
      <c r="A13" t="s">
        <v>56</v>
      </c>
      <c r="C13" s="105" t="s">
        <v>58</v>
      </c>
      <c r="P13" s="183">
        <f t="shared" si="0"/>
        <v>0</v>
      </c>
    </row>
    <row r="14" spans="1:20" hidden="1" outlineLevel="1" x14ac:dyDescent="0.2">
      <c r="A14" t="s">
        <v>56</v>
      </c>
      <c r="C14" s="105" t="s">
        <v>59</v>
      </c>
      <c r="P14" s="183">
        <f t="shared" si="0"/>
        <v>0</v>
      </c>
    </row>
    <row r="15" spans="1:20" hidden="1" outlineLevel="1" x14ac:dyDescent="0.2">
      <c r="A15" t="s">
        <v>56</v>
      </c>
      <c r="C15" s="105"/>
      <c r="P15" s="183">
        <f t="shared" si="0"/>
        <v>0</v>
      </c>
    </row>
    <row r="16" spans="1:20" hidden="1" outlineLevel="1" x14ac:dyDescent="0.2">
      <c r="A16" t="s">
        <v>56</v>
      </c>
      <c r="C16" s="106" t="s">
        <v>60</v>
      </c>
      <c r="P16" s="183">
        <f t="shared" si="0"/>
        <v>0</v>
      </c>
    </row>
    <row r="17" spans="1:16" hidden="1" outlineLevel="1" x14ac:dyDescent="0.2">
      <c r="A17" t="s">
        <v>56</v>
      </c>
      <c r="C17" s="106" t="s">
        <v>61</v>
      </c>
      <c r="P17" s="183">
        <f t="shared" si="0"/>
        <v>0</v>
      </c>
    </row>
    <row r="18" spans="1:16" hidden="1" outlineLevel="1" x14ac:dyDescent="0.2">
      <c r="A18" t="s">
        <v>56</v>
      </c>
      <c r="C18" s="106" t="s">
        <v>62</v>
      </c>
      <c r="P18" s="183">
        <f t="shared" si="0"/>
        <v>0</v>
      </c>
    </row>
    <row r="19" spans="1:16" hidden="1" outlineLevel="1" x14ac:dyDescent="0.2">
      <c r="A19" t="s">
        <v>56</v>
      </c>
      <c r="B19" t="s">
        <v>46</v>
      </c>
      <c r="C19" s="105" t="s">
        <v>57</v>
      </c>
      <c r="P19" s="183">
        <f t="shared" si="0"/>
        <v>0</v>
      </c>
    </row>
    <row r="20" spans="1:16" hidden="1" outlineLevel="1" x14ac:dyDescent="0.2">
      <c r="A20" t="s">
        <v>56</v>
      </c>
      <c r="C20" s="105"/>
      <c r="P20" s="183">
        <f t="shared" si="0"/>
        <v>0</v>
      </c>
    </row>
    <row r="21" spans="1:16" hidden="1" outlineLevel="1" x14ac:dyDescent="0.2">
      <c r="A21" t="s">
        <v>56</v>
      </c>
      <c r="C21" s="105" t="s">
        <v>58</v>
      </c>
      <c r="P21" s="183">
        <f t="shared" si="0"/>
        <v>0</v>
      </c>
    </row>
    <row r="22" spans="1:16" hidden="1" outlineLevel="1" x14ac:dyDescent="0.2">
      <c r="A22" t="s">
        <v>56</v>
      </c>
      <c r="C22" s="105" t="s">
        <v>59</v>
      </c>
      <c r="P22" s="183">
        <f t="shared" si="0"/>
        <v>0</v>
      </c>
    </row>
    <row r="23" spans="1:16" hidden="1" outlineLevel="1" x14ac:dyDescent="0.2">
      <c r="A23" t="s">
        <v>56</v>
      </c>
      <c r="C23" s="105"/>
      <c r="P23" s="183">
        <f t="shared" si="0"/>
        <v>0</v>
      </c>
    </row>
    <row r="24" spans="1:16" hidden="1" outlineLevel="1" x14ac:dyDescent="0.2">
      <c r="A24" t="s">
        <v>56</v>
      </c>
      <c r="C24" s="106" t="s">
        <v>60</v>
      </c>
      <c r="P24" s="183">
        <f t="shared" si="0"/>
        <v>0</v>
      </c>
    </row>
    <row r="25" spans="1:16" hidden="1" outlineLevel="1" x14ac:dyDescent="0.2">
      <c r="A25" t="s">
        <v>56</v>
      </c>
      <c r="C25" s="106" t="s">
        <v>61</v>
      </c>
      <c r="P25" s="183">
        <f t="shared" si="0"/>
        <v>0</v>
      </c>
    </row>
    <row r="26" spans="1:16" hidden="1" outlineLevel="1" x14ac:dyDescent="0.2">
      <c r="A26" t="s">
        <v>56</v>
      </c>
      <c r="C26" s="106" t="s">
        <v>62</v>
      </c>
      <c r="P26" s="183">
        <f t="shared" si="0"/>
        <v>0</v>
      </c>
    </row>
    <row r="27" spans="1:16" hidden="1" outlineLevel="1" x14ac:dyDescent="0.2">
      <c r="A27" t="s">
        <v>56</v>
      </c>
      <c r="B27" t="s">
        <v>47</v>
      </c>
      <c r="C27" s="105" t="s">
        <v>57</v>
      </c>
      <c r="P27" s="183">
        <f t="shared" si="0"/>
        <v>0</v>
      </c>
    </row>
    <row r="28" spans="1:16" hidden="1" outlineLevel="1" x14ac:dyDescent="0.2">
      <c r="A28" t="s">
        <v>56</v>
      </c>
      <c r="C28" s="105"/>
      <c r="P28" s="183">
        <f t="shared" si="0"/>
        <v>0</v>
      </c>
    </row>
    <row r="29" spans="1:16" hidden="1" outlineLevel="1" x14ac:dyDescent="0.2">
      <c r="A29" t="s">
        <v>56</v>
      </c>
      <c r="C29" s="105" t="s">
        <v>58</v>
      </c>
      <c r="P29" s="183">
        <f t="shared" si="0"/>
        <v>0</v>
      </c>
    </row>
    <row r="30" spans="1:16" hidden="1" outlineLevel="1" x14ac:dyDescent="0.2">
      <c r="A30" t="s">
        <v>56</v>
      </c>
      <c r="C30" s="105" t="s">
        <v>59</v>
      </c>
      <c r="P30" s="183">
        <f t="shared" si="0"/>
        <v>0</v>
      </c>
    </row>
    <row r="31" spans="1:16" hidden="1" outlineLevel="1" x14ac:dyDescent="0.2">
      <c r="A31" t="s">
        <v>56</v>
      </c>
      <c r="C31" s="105"/>
      <c r="P31" s="183">
        <f t="shared" si="0"/>
        <v>0</v>
      </c>
    </row>
    <row r="32" spans="1:16" hidden="1" outlineLevel="1" x14ac:dyDescent="0.2">
      <c r="A32" t="s">
        <v>56</v>
      </c>
      <c r="C32" s="106" t="s">
        <v>60</v>
      </c>
      <c r="P32" s="183">
        <f t="shared" si="0"/>
        <v>0</v>
      </c>
    </row>
    <row r="33" spans="1:16" hidden="1" outlineLevel="1" x14ac:dyDescent="0.2">
      <c r="A33" t="s">
        <v>56</v>
      </c>
      <c r="C33" s="106" t="s">
        <v>61</v>
      </c>
      <c r="P33" s="183">
        <f t="shared" si="0"/>
        <v>0</v>
      </c>
    </row>
    <row r="34" spans="1:16" hidden="1" outlineLevel="1" x14ac:dyDescent="0.2">
      <c r="A34" t="s">
        <v>56</v>
      </c>
      <c r="C34" s="106" t="s">
        <v>62</v>
      </c>
      <c r="P34" s="183">
        <f t="shared" si="0"/>
        <v>0</v>
      </c>
    </row>
    <row r="35" spans="1:16" collapsed="1" x14ac:dyDescent="0.2">
      <c r="A35" t="s">
        <v>55</v>
      </c>
      <c r="B35" t="s">
        <v>48</v>
      </c>
      <c r="C35" s="105" t="s">
        <v>57</v>
      </c>
      <c r="P35" s="183">
        <f t="shared" si="0"/>
        <v>0</v>
      </c>
    </row>
    <row r="36" spans="1:16" x14ac:dyDescent="0.2">
      <c r="A36" t="s">
        <v>55</v>
      </c>
      <c r="C36" s="105"/>
      <c r="P36" s="183">
        <f t="shared" si="0"/>
        <v>0</v>
      </c>
    </row>
    <row r="37" spans="1:16" x14ac:dyDescent="0.2">
      <c r="A37" t="s">
        <v>55</v>
      </c>
      <c r="C37" s="105" t="s">
        <v>58</v>
      </c>
      <c r="D37" s="181">
        <v>8753</v>
      </c>
      <c r="E37" s="181">
        <v>8771</v>
      </c>
      <c r="F37" s="181">
        <v>8785</v>
      </c>
      <c r="G37" s="181">
        <v>8783</v>
      </c>
      <c r="H37" s="181">
        <v>8814</v>
      </c>
      <c r="I37" s="181">
        <v>8814</v>
      </c>
      <c r="J37" s="181">
        <v>8776</v>
      </c>
      <c r="K37" s="181">
        <v>8814</v>
      </c>
      <c r="L37" s="181">
        <v>8790</v>
      </c>
      <c r="M37" s="181">
        <v>8791</v>
      </c>
      <c r="N37" s="181">
        <v>8798</v>
      </c>
      <c r="O37">
        <v>8858</v>
      </c>
      <c r="P37" s="183"/>
    </row>
    <row r="38" spans="1:16" x14ac:dyDescent="0.2">
      <c r="A38" t="s">
        <v>55</v>
      </c>
      <c r="C38" s="105" t="s">
        <v>59</v>
      </c>
      <c r="D38" s="180">
        <v>6303</v>
      </c>
      <c r="E38" s="180">
        <v>6374</v>
      </c>
      <c r="F38" s="180">
        <v>6397</v>
      </c>
      <c r="G38" s="180">
        <v>6392</v>
      </c>
      <c r="H38" s="180">
        <v>6389</v>
      </c>
      <c r="I38" s="180">
        <v>6336</v>
      </c>
      <c r="J38" s="180">
        <v>6290</v>
      </c>
      <c r="K38" s="180">
        <v>6248</v>
      </c>
      <c r="L38" s="180">
        <v>6220</v>
      </c>
      <c r="M38" s="180">
        <v>6225</v>
      </c>
      <c r="N38" s="180">
        <v>6298</v>
      </c>
      <c r="O38">
        <v>6386</v>
      </c>
      <c r="P38" s="183"/>
    </row>
    <row r="39" spans="1:16" x14ac:dyDescent="0.2">
      <c r="A39" t="s">
        <v>55</v>
      </c>
      <c r="C39" s="105"/>
      <c r="D39" s="181"/>
      <c r="E39" s="180"/>
      <c r="F39" s="180"/>
      <c r="G39" s="180"/>
      <c r="H39" s="180"/>
      <c r="I39" s="180"/>
      <c r="J39" s="180"/>
      <c r="K39" s="180"/>
      <c r="P39" s="183">
        <f t="shared" si="0"/>
        <v>0</v>
      </c>
    </row>
    <row r="40" spans="1:16" x14ac:dyDescent="0.2">
      <c r="A40" t="s">
        <v>55</v>
      </c>
      <c r="C40" s="106" t="s">
        <v>60</v>
      </c>
      <c r="D40" s="182">
        <v>243.20807792234498</v>
      </c>
      <c r="E40" s="182">
        <v>250.68565794408713</v>
      </c>
      <c r="F40" s="182">
        <v>292.30623338379797</v>
      </c>
      <c r="G40" s="182">
        <v>238.07065062579994</v>
      </c>
      <c r="H40" s="182">
        <v>263.19451636522865</v>
      </c>
      <c r="I40" s="182">
        <v>262.18103109755333</v>
      </c>
      <c r="J40" s="182">
        <v>239.84265127033606</v>
      </c>
      <c r="K40" s="182">
        <v>330.37616965531146</v>
      </c>
      <c r="L40" s="182">
        <v>305.25</v>
      </c>
      <c r="M40" s="182">
        <v>243.89</v>
      </c>
      <c r="N40" s="182">
        <v>242.65</v>
      </c>
      <c r="O40" s="182">
        <v>258.44</v>
      </c>
      <c r="P40" s="183">
        <f t="shared" si="0"/>
        <v>3170.0949882644595</v>
      </c>
    </row>
    <row r="41" spans="1:16" x14ac:dyDescent="0.2">
      <c r="A41" t="s">
        <v>55</v>
      </c>
      <c r="C41" s="106" t="s">
        <v>61</v>
      </c>
      <c r="D41" s="182">
        <v>818.35125826283434</v>
      </c>
      <c r="E41" s="182">
        <v>625.91140618306315</v>
      </c>
      <c r="F41" s="182">
        <v>501.39370471124823</v>
      </c>
      <c r="G41" s="182">
        <v>345.89621704285599</v>
      </c>
      <c r="H41" s="182">
        <v>363.32953364980892</v>
      </c>
      <c r="I41" s="182">
        <v>486.6989875050931</v>
      </c>
      <c r="J41" s="182">
        <v>398.67846944175562</v>
      </c>
      <c r="K41" s="182">
        <v>415.47214998097905</v>
      </c>
      <c r="L41" s="182">
        <v>291.44</v>
      </c>
      <c r="M41" s="182">
        <v>305.19</v>
      </c>
      <c r="N41" s="182">
        <v>416.56</v>
      </c>
      <c r="O41" s="182">
        <v>564.11</v>
      </c>
      <c r="P41" s="183">
        <f t="shared" si="0"/>
        <v>5533.0317267776372</v>
      </c>
    </row>
    <row r="42" spans="1:16" x14ac:dyDescent="0.2">
      <c r="A42" t="s">
        <v>55</v>
      </c>
      <c r="C42" s="106" t="s">
        <v>62</v>
      </c>
      <c r="D42" s="182">
        <v>429.00576081237074</v>
      </c>
      <c r="E42" s="182">
        <v>441.36193708170435</v>
      </c>
      <c r="F42" s="182">
        <v>493.67703530117382</v>
      </c>
      <c r="G42" s="182">
        <v>424.17692353759867</v>
      </c>
      <c r="H42" s="182">
        <v>464.01679921796114</v>
      </c>
      <c r="I42" s="182">
        <v>451.34004954646309</v>
      </c>
      <c r="J42" s="182">
        <v>397.68502140059752</v>
      </c>
      <c r="K42" s="182">
        <v>509.03988491214494</v>
      </c>
      <c r="L42" s="182">
        <v>419.42</v>
      </c>
      <c r="M42" s="182">
        <v>381.91</v>
      </c>
      <c r="N42" s="182">
        <v>443.97</v>
      </c>
      <c r="O42" s="182">
        <v>436.88</v>
      </c>
      <c r="P42" s="183">
        <f t="shared" si="0"/>
        <v>5292.4834118100143</v>
      </c>
    </row>
    <row r="43" spans="1:16" x14ac:dyDescent="0.2">
      <c r="A43" t="s">
        <v>55</v>
      </c>
      <c r="B43" t="s">
        <v>49</v>
      </c>
      <c r="C43" s="105" t="s">
        <v>57</v>
      </c>
      <c r="P43" s="183">
        <f t="shared" si="0"/>
        <v>0</v>
      </c>
    </row>
    <row r="44" spans="1:16" x14ac:dyDescent="0.2">
      <c r="A44" t="s">
        <v>55</v>
      </c>
      <c r="C44" s="105"/>
      <c r="P44" s="183">
        <f t="shared" si="0"/>
        <v>0</v>
      </c>
    </row>
    <row r="45" spans="1:16" x14ac:dyDescent="0.2">
      <c r="A45" t="s">
        <v>55</v>
      </c>
      <c r="C45" s="105" t="s">
        <v>58</v>
      </c>
      <c r="D45" s="180">
        <v>2927</v>
      </c>
      <c r="E45" s="180">
        <v>2943</v>
      </c>
      <c r="F45" s="180">
        <v>2928</v>
      </c>
      <c r="G45" s="180">
        <v>2940</v>
      </c>
      <c r="H45" s="180">
        <v>2939</v>
      </c>
      <c r="I45" s="180">
        <v>2962</v>
      </c>
      <c r="J45" s="180">
        <v>2941</v>
      </c>
      <c r="K45" s="180">
        <v>2962</v>
      </c>
      <c r="L45" s="182">
        <v>2937</v>
      </c>
      <c r="M45" s="182">
        <v>2949</v>
      </c>
      <c r="N45" s="182">
        <v>2962</v>
      </c>
      <c r="O45" s="182">
        <v>2998</v>
      </c>
      <c r="P45" s="183"/>
    </row>
    <row r="46" spans="1:16" x14ac:dyDescent="0.2">
      <c r="A46" t="s">
        <v>55</v>
      </c>
      <c r="C46" s="105" t="s">
        <v>59</v>
      </c>
      <c r="D46" s="180">
        <v>1814</v>
      </c>
      <c r="E46" s="180">
        <v>1841</v>
      </c>
      <c r="F46" s="180">
        <v>1840</v>
      </c>
      <c r="G46" s="180">
        <v>1851</v>
      </c>
      <c r="H46" s="180">
        <v>1839</v>
      </c>
      <c r="I46" s="180">
        <v>1828</v>
      </c>
      <c r="J46" s="180">
        <v>1797</v>
      </c>
      <c r="K46" s="180">
        <v>1793</v>
      </c>
      <c r="L46" s="182">
        <v>1769</v>
      </c>
      <c r="M46" s="182">
        <v>1785</v>
      </c>
      <c r="N46" s="182">
        <v>1804</v>
      </c>
      <c r="O46" s="182">
        <v>1836</v>
      </c>
      <c r="P46" s="183"/>
    </row>
    <row r="47" spans="1:16" x14ac:dyDescent="0.2">
      <c r="A47" t="s">
        <v>55</v>
      </c>
      <c r="C47" s="105"/>
      <c r="D47" s="181"/>
      <c r="E47" s="180"/>
      <c r="F47" s="180"/>
      <c r="G47" s="180"/>
      <c r="H47" s="180"/>
      <c r="I47" s="180"/>
      <c r="J47" s="180"/>
      <c r="K47" s="180"/>
      <c r="P47" s="183">
        <f t="shared" si="0"/>
        <v>0</v>
      </c>
    </row>
    <row r="48" spans="1:16" x14ac:dyDescent="0.2">
      <c r="A48" t="s">
        <v>55</v>
      </c>
      <c r="C48" s="106" t="s">
        <v>60</v>
      </c>
      <c r="D48" s="182">
        <v>69.701914625652051</v>
      </c>
      <c r="E48" s="182">
        <v>80.130265638993578</v>
      </c>
      <c r="F48" s="182">
        <v>78.73844613326537</v>
      </c>
      <c r="G48" s="182">
        <v>96.001004886197521</v>
      </c>
      <c r="H48" s="182">
        <v>87.068266076424592</v>
      </c>
      <c r="I48" s="182">
        <v>69.525630874586767</v>
      </c>
      <c r="J48" s="182">
        <v>72.575746573893383</v>
      </c>
      <c r="K48" s="182">
        <v>96.892201629361679</v>
      </c>
      <c r="L48" s="182">
        <v>98.38</v>
      </c>
      <c r="M48" s="182">
        <v>76.95</v>
      </c>
      <c r="N48" s="182">
        <v>88.89</v>
      </c>
      <c r="O48">
        <v>76.790000000000006</v>
      </c>
      <c r="P48" s="183">
        <f t="shared" si="0"/>
        <v>991.64347643837493</v>
      </c>
    </row>
    <row r="49" spans="1:16" x14ac:dyDescent="0.2">
      <c r="A49" t="s">
        <v>55</v>
      </c>
      <c r="C49" s="106" t="s">
        <v>61</v>
      </c>
      <c r="D49" s="182">
        <v>147.99672366892133</v>
      </c>
      <c r="E49" s="182">
        <v>121.95916406688683</v>
      </c>
      <c r="F49" s="182">
        <v>83.205684608899119</v>
      </c>
      <c r="G49" s="182">
        <v>95.440431770208534</v>
      </c>
      <c r="H49" s="182">
        <v>96.672370446597057</v>
      </c>
      <c r="I49" s="182">
        <v>106.75746620082386</v>
      </c>
      <c r="J49" s="182">
        <v>107.4006749289733</v>
      </c>
      <c r="K49" s="182">
        <v>107.39263496936563</v>
      </c>
      <c r="L49" s="182">
        <v>65.680000000000007</v>
      </c>
      <c r="M49" s="182">
        <v>79</v>
      </c>
      <c r="N49" s="182">
        <v>111.43</v>
      </c>
      <c r="O49">
        <v>126.2</v>
      </c>
      <c r="P49" s="183">
        <f t="shared" si="0"/>
        <v>1249.1351506606759</v>
      </c>
    </row>
    <row r="50" spans="1:16" x14ac:dyDescent="0.2">
      <c r="A50" t="s">
        <v>55</v>
      </c>
      <c r="C50" s="106" t="s">
        <v>62</v>
      </c>
      <c r="D50" s="182">
        <v>171.72706835009714</v>
      </c>
      <c r="E50" s="182">
        <v>157.27937274935212</v>
      </c>
      <c r="F50" s="182">
        <v>163.37750817731668</v>
      </c>
      <c r="G50" s="182">
        <v>176.41947713369757</v>
      </c>
      <c r="H50" s="182">
        <v>159.63944927335118</v>
      </c>
      <c r="I50" s="182">
        <v>167.47055804776693</v>
      </c>
      <c r="J50" s="182">
        <v>142.59151171613078</v>
      </c>
      <c r="K50" s="182">
        <v>165.69391663774653</v>
      </c>
      <c r="L50" s="182">
        <v>166.23</v>
      </c>
      <c r="M50" s="182">
        <v>135.55000000000001</v>
      </c>
      <c r="N50" s="182">
        <v>152.08000000000001</v>
      </c>
      <c r="O50">
        <v>138.97</v>
      </c>
      <c r="P50" s="183">
        <f t="shared" si="0"/>
        <v>1897.0288620854587</v>
      </c>
    </row>
    <row r="51" spans="1:16" x14ac:dyDescent="0.2">
      <c r="A51" t="s">
        <v>55</v>
      </c>
      <c r="B51" t="s">
        <v>50</v>
      </c>
      <c r="C51" s="105" t="s">
        <v>57</v>
      </c>
      <c r="P51" s="183">
        <f t="shared" si="0"/>
        <v>0</v>
      </c>
    </row>
    <row r="52" spans="1:16" x14ac:dyDescent="0.2">
      <c r="A52" t="s">
        <v>55</v>
      </c>
      <c r="C52" s="105"/>
      <c r="P52" s="183">
        <f t="shared" si="0"/>
        <v>0</v>
      </c>
    </row>
    <row r="53" spans="1:16" x14ac:dyDescent="0.2">
      <c r="A53" t="s">
        <v>55</v>
      </c>
      <c r="C53" s="105" t="s">
        <v>58</v>
      </c>
      <c r="D53" s="180">
        <v>359</v>
      </c>
      <c r="E53" s="180">
        <v>359</v>
      </c>
      <c r="F53" s="180">
        <v>364</v>
      </c>
      <c r="G53" s="180">
        <v>363</v>
      </c>
      <c r="H53" s="180">
        <v>367</v>
      </c>
      <c r="I53" s="180">
        <v>367</v>
      </c>
      <c r="J53" s="180">
        <v>366</v>
      </c>
      <c r="K53" s="180">
        <v>367</v>
      </c>
      <c r="L53" s="182">
        <v>365</v>
      </c>
      <c r="M53" s="182">
        <v>364</v>
      </c>
      <c r="N53" s="182">
        <v>361</v>
      </c>
      <c r="O53">
        <v>368</v>
      </c>
      <c r="P53" s="183"/>
    </row>
    <row r="54" spans="1:16" x14ac:dyDescent="0.2">
      <c r="A54" t="s">
        <v>55</v>
      </c>
      <c r="C54" s="105" t="s">
        <v>59</v>
      </c>
      <c r="D54" s="180">
        <v>231</v>
      </c>
      <c r="E54" s="180">
        <v>230</v>
      </c>
      <c r="F54" s="180">
        <v>233</v>
      </c>
      <c r="G54" s="180">
        <v>232</v>
      </c>
      <c r="H54" s="180">
        <v>235</v>
      </c>
      <c r="I54" s="180">
        <v>234</v>
      </c>
      <c r="J54" s="180">
        <v>234</v>
      </c>
      <c r="K54" s="180">
        <v>233</v>
      </c>
      <c r="L54" s="182">
        <v>232</v>
      </c>
      <c r="M54" s="182">
        <v>231</v>
      </c>
      <c r="N54" s="182">
        <v>232</v>
      </c>
      <c r="O54">
        <v>238</v>
      </c>
      <c r="P54" s="183"/>
    </row>
    <row r="55" spans="1:16" x14ac:dyDescent="0.2">
      <c r="A55" t="s">
        <v>55</v>
      </c>
      <c r="C55" s="105"/>
      <c r="D55" s="181"/>
      <c r="E55" s="180"/>
      <c r="F55" s="180"/>
      <c r="G55" s="180"/>
      <c r="H55" s="180"/>
      <c r="I55" s="180"/>
      <c r="J55" s="180"/>
      <c r="K55" s="180"/>
      <c r="P55" s="183">
        <f t="shared" si="0"/>
        <v>0</v>
      </c>
    </row>
    <row r="56" spans="1:16" x14ac:dyDescent="0.2">
      <c r="A56" t="s">
        <v>55</v>
      </c>
      <c r="C56" s="106" t="s">
        <v>60</v>
      </c>
      <c r="D56" s="182">
        <v>10.273485271171907</v>
      </c>
      <c r="E56" s="182">
        <v>13.066189344916005</v>
      </c>
      <c r="F56" s="182">
        <v>12.314284472733103</v>
      </c>
      <c r="G56" s="182">
        <v>8.8132701938174094</v>
      </c>
      <c r="H56" s="182">
        <v>17.870025875258115</v>
      </c>
      <c r="I56" s="182">
        <v>11.558759441026004</v>
      </c>
      <c r="J56" s="182">
        <v>12.801724863452542</v>
      </c>
      <c r="K56" s="182">
        <v>14.143125274727495</v>
      </c>
      <c r="L56" s="182">
        <v>13.72</v>
      </c>
      <c r="M56" s="182">
        <v>11.91</v>
      </c>
      <c r="N56" s="182">
        <v>17.45</v>
      </c>
      <c r="O56" s="182">
        <v>11.66</v>
      </c>
      <c r="P56" s="183">
        <f t="shared" si="0"/>
        <v>155.58086473710256</v>
      </c>
    </row>
    <row r="57" spans="1:16" x14ac:dyDescent="0.2">
      <c r="A57" t="s">
        <v>55</v>
      </c>
      <c r="C57" s="106" t="s">
        <v>61</v>
      </c>
      <c r="D57" s="182">
        <v>22.444253777365244</v>
      </c>
      <c r="E57" s="182">
        <v>28.977216600732927</v>
      </c>
      <c r="F57" s="182">
        <v>12.44169539921689</v>
      </c>
      <c r="G57" s="182">
        <v>8.5236687483370002</v>
      </c>
      <c r="H57" s="182">
        <v>19.81485719329017</v>
      </c>
      <c r="I57" s="182">
        <v>18.192767141418717</v>
      </c>
      <c r="J57" s="182">
        <v>26.454873846455971</v>
      </c>
      <c r="K57" s="182">
        <v>32.211423470385533</v>
      </c>
      <c r="L57" s="182">
        <v>18.190000000000001</v>
      </c>
      <c r="M57" s="182">
        <v>18.420000000000002</v>
      </c>
      <c r="N57" s="182">
        <v>25.65</v>
      </c>
      <c r="O57" s="182">
        <v>29.59</v>
      </c>
      <c r="P57" s="183">
        <f t="shared" si="0"/>
        <v>260.91075617720247</v>
      </c>
    </row>
    <row r="58" spans="1:16" x14ac:dyDescent="0.2">
      <c r="A58" t="s">
        <v>55</v>
      </c>
      <c r="C58" s="106" t="s">
        <v>62</v>
      </c>
      <c r="D58" s="182">
        <v>21.322461370844465</v>
      </c>
      <c r="E58" s="182">
        <v>28.245755061069755</v>
      </c>
      <c r="F58" s="182">
        <v>21.793472949939609</v>
      </c>
      <c r="G58" s="182">
        <v>21.24492501188411</v>
      </c>
      <c r="H58" s="182">
        <v>27.918353422694288</v>
      </c>
      <c r="I58" s="182">
        <v>21.2587589597691</v>
      </c>
      <c r="J58" s="182">
        <v>18.99368802310714</v>
      </c>
      <c r="K58" s="182">
        <v>28.280884312271212</v>
      </c>
      <c r="L58" s="182">
        <v>20.07</v>
      </c>
      <c r="M58" s="182">
        <v>19.88</v>
      </c>
      <c r="N58" s="182">
        <v>24.39</v>
      </c>
      <c r="O58" s="182">
        <v>19.57</v>
      </c>
      <c r="P58" s="183">
        <f t="shared" si="0"/>
        <v>272.96829911157965</v>
      </c>
    </row>
    <row r="59" spans="1:16" x14ac:dyDescent="0.2">
      <c r="A59" t="s">
        <v>55</v>
      </c>
      <c r="B59" t="s">
        <v>51</v>
      </c>
      <c r="C59" s="105" t="s">
        <v>57</v>
      </c>
      <c r="P59" s="183">
        <f t="shared" si="0"/>
        <v>0</v>
      </c>
    </row>
    <row r="60" spans="1:16" x14ac:dyDescent="0.2">
      <c r="A60" t="s">
        <v>55</v>
      </c>
      <c r="C60" s="105"/>
      <c r="P60" s="183">
        <f t="shared" si="0"/>
        <v>0</v>
      </c>
    </row>
    <row r="61" spans="1:16" x14ac:dyDescent="0.2">
      <c r="A61" t="s">
        <v>55</v>
      </c>
      <c r="C61" s="105" t="s">
        <v>58</v>
      </c>
      <c r="D61" s="180">
        <v>2985</v>
      </c>
      <c r="E61" s="180">
        <v>2974</v>
      </c>
      <c r="F61" s="180">
        <v>2994</v>
      </c>
      <c r="G61" s="180">
        <v>2985</v>
      </c>
      <c r="H61" s="180">
        <v>2998</v>
      </c>
      <c r="I61" s="180">
        <v>3014</v>
      </c>
      <c r="J61" s="180">
        <v>2986</v>
      </c>
      <c r="K61" s="180">
        <v>3014</v>
      </c>
      <c r="L61" s="182">
        <v>2998</v>
      </c>
      <c r="M61" s="182">
        <v>3001</v>
      </c>
      <c r="N61" s="182">
        <v>2974</v>
      </c>
      <c r="O61" s="182">
        <v>3002</v>
      </c>
      <c r="P61" s="183"/>
    </row>
    <row r="62" spans="1:16" x14ac:dyDescent="0.2">
      <c r="A62" t="s">
        <v>55</v>
      </c>
      <c r="C62" s="105" t="s">
        <v>59</v>
      </c>
      <c r="D62" s="180">
        <v>2080</v>
      </c>
      <c r="E62" s="180">
        <v>2108</v>
      </c>
      <c r="F62" s="180">
        <v>2125</v>
      </c>
      <c r="G62" s="180">
        <v>2117</v>
      </c>
      <c r="H62" s="180">
        <v>2102</v>
      </c>
      <c r="I62" s="180">
        <v>2080</v>
      </c>
      <c r="J62" s="180">
        <v>2036</v>
      </c>
      <c r="K62" s="180">
        <v>2022</v>
      </c>
      <c r="L62" s="182">
        <v>2001</v>
      </c>
      <c r="M62" s="182">
        <v>2016</v>
      </c>
      <c r="N62" s="182">
        <v>2042</v>
      </c>
      <c r="O62" s="182">
        <v>2099</v>
      </c>
      <c r="P62" s="183"/>
    </row>
    <row r="63" spans="1:16" x14ac:dyDescent="0.2">
      <c r="A63" t="s">
        <v>55</v>
      </c>
      <c r="C63" s="105"/>
      <c r="D63" s="181"/>
      <c r="E63" s="180"/>
      <c r="F63" s="180"/>
      <c r="G63" s="180"/>
      <c r="H63" s="180"/>
      <c r="I63" s="180"/>
      <c r="J63" s="180"/>
      <c r="K63" s="180"/>
      <c r="P63" s="183">
        <f t="shared" si="0"/>
        <v>0</v>
      </c>
    </row>
    <row r="64" spans="1:16" x14ac:dyDescent="0.2">
      <c r="A64" t="s">
        <v>55</v>
      </c>
      <c r="C64" s="106" t="s">
        <v>60</v>
      </c>
      <c r="D64" s="182">
        <v>117.82699314638286</v>
      </c>
      <c r="E64" s="182">
        <v>84.055964378798677</v>
      </c>
      <c r="F64" s="182">
        <v>86.477270307144835</v>
      </c>
      <c r="G64" s="182">
        <v>77.42550067668698</v>
      </c>
      <c r="H64" s="182">
        <v>75.718684062806545</v>
      </c>
      <c r="I64" s="182">
        <v>95.54575265371713</v>
      </c>
      <c r="J64" s="182">
        <v>52.843010177042459</v>
      </c>
      <c r="K64" s="182">
        <v>85.852702877853261</v>
      </c>
      <c r="L64" s="182">
        <v>92.19</v>
      </c>
      <c r="M64" s="182">
        <v>71.819999999999993</v>
      </c>
      <c r="N64" s="182">
        <v>76.37</v>
      </c>
      <c r="O64" s="182">
        <v>85.84</v>
      </c>
      <c r="P64" s="183">
        <f t="shared" si="0"/>
        <v>1001.9658782804329</v>
      </c>
    </row>
    <row r="65" spans="1:16" x14ac:dyDescent="0.2">
      <c r="A65" t="s">
        <v>55</v>
      </c>
      <c r="C65" s="106" t="s">
        <v>61</v>
      </c>
      <c r="D65" s="182">
        <v>152.80590515731461</v>
      </c>
      <c r="E65" s="182">
        <v>122.04740189825891</v>
      </c>
      <c r="F65" s="182">
        <v>124.06750934834102</v>
      </c>
      <c r="G65" s="182">
        <v>102.95896850464254</v>
      </c>
      <c r="H65" s="182">
        <v>79.187359108444383</v>
      </c>
      <c r="I65" s="182">
        <v>109.42767969803924</v>
      </c>
      <c r="J65" s="182">
        <v>112.14659177837574</v>
      </c>
      <c r="K65" s="182">
        <v>95.167753010684805</v>
      </c>
      <c r="L65" s="182">
        <v>95.35</v>
      </c>
      <c r="M65" s="182">
        <v>80.48</v>
      </c>
      <c r="N65" s="182">
        <v>110.24</v>
      </c>
      <c r="O65" s="182">
        <v>168.5</v>
      </c>
      <c r="P65" s="183">
        <f t="shared" si="0"/>
        <v>1352.3791685041012</v>
      </c>
    </row>
    <row r="66" spans="1:16" x14ac:dyDescent="0.2">
      <c r="A66" t="s">
        <v>55</v>
      </c>
      <c r="C66" s="106" t="s">
        <v>62</v>
      </c>
      <c r="D66" s="182">
        <v>184.97814946369664</v>
      </c>
      <c r="E66" s="182">
        <v>149.38422726173997</v>
      </c>
      <c r="F66" s="182">
        <v>184.08694845336422</v>
      </c>
      <c r="G66" s="182">
        <v>164.04626729956976</v>
      </c>
      <c r="H66" s="182">
        <v>156.76306315158178</v>
      </c>
      <c r="I66" s="182">
        <v>182.66324498894755</v>
      </c>
      <c r="J66" s="182">
        <v>147.40930520856975</v>
      </c>
      <c r="K66" s="182">
        <v>153.60994394453294</v>
      </c>
      <c r="L66" s="182">
        <v>173.11</v>
      </c>
      <c r="M66" s="182">
        <v>144.22999999999999</v>
      </c>
      <c r="N66" s="182">
        <v>142.79</v>
      </c>
      <c r="O66" s="182">
        <v>175.1</v>
      </c>
      <c r="P66" s="183">
        <f t="shared" si="0"/>
        <v>1958.1711497720025</v>
      </c>
    </row>
    <row r="67" spans="1:16" hidden="1" outlineLevel="1" x14ac:dyDescent="0.2">
      <c r="A67" t="s">
        <v>56</v>
      </c>
      <c r="B67" t="s">
        <v>52</v>
      </c>
      <c r="C67" s="105" t="s">
        <v>57</v>
      </c>
    </row>
    <row r="68" spans="1:16" hidden="1" outlineLevel="1" x14ac:dyDescent="0.2">
      <c r="A68" t="s">
        <v>56</v>
      </c>
      <c r="C68" s="105"/>
    </row>
    <row r="69" spans="1:16" hidden="1" outlineLevel="1" x14ac:dyDescent="0.2">
      <c r="A69" t="s">
        <v>56</v>
      </c>
      <c r="C69" s="105" t="s">
        <v>58</v>
      </c>
    </row>
    <row r="70" spans="1:16" hidden="1" outlineLevel="1" x14ac:dyDescent="0.2">
      <c r="A70" t="s">
        <v>56</v>
      </c>
      <c r="C70" s="105" t="s">
        <v>59</v>
      </c>
    </row>
    <row r="71" spans="1:16" hidden="1" outlineLevel="1" x14ac:dyDescent="0.2">
      <c r="A71" t="s">
        <v>56</v>
      </c>
      <c r="C71" s="105"/>
    </row>
    <row r="72" spans="1:16" hidden="1" outlineLevel="1" x14ac:dyDescent="0.2">
      <c r="A72" t="s">
        <v>56</v>
      </c>
      <c r="C72" s="106" t="s">
        <v>60</v>
      </c>
    </row>
    <row r="73" spans="1:16" hidden="1" outlineLevel="1" x14ac:dyDescent="0.2">
      <c r="A73" t="s">
        <v>56</v>
      </c>
      <c r="C73" s="106" t="s">
        <v>61</v>
      </c>
    </row>
    <row r="74" spans="1:16" hidden="1" outlineLevel="1" x14ac:dyDescent="0.2">
      <c r="A74" t="s">
        <v>56</v>
      </c>
      <c r="C74" s="106" t="s">
        <v>62</v>
      </c>
    </row>
    <row r="75" spans="1:16" hidden="1" outlineLevel="1" x14ac:dyDescent="0.2">
      <c r="A75" t="s">
        <v>56</v>
      </c>
      <c r="B75" t="s">
        <v>53</v>
      </c>
      <c r="C75" s="105" t="s">
        <v>57</v>
      </c>
    </row>
    <row r="76" spans="1:16" hidden="1" outlineLevel="1" x14ac:dyDescent="0.2">
      <c r="A76" t="s">
        <v>56</v>
      </c>
      <c r="C76" s="105"/>
    </row>
    <row r="77" spans="1:16" hidden="1" outlineLevel="1" x14ac:dyDescent="0.2">
      <c r="A77" t="s">
        <v>56</v>
      </c>
      <c r="C77" s="105" t="s">
        <v>58</v>
      </c>
    </row>
    <row r="78" spans="1:16" hidden="1" outlineLevel="1" x14ac:dyDescent="0.2">
      <c r="A78" t="s">
        <v>56</v>
      </c>
      <c r="C78" s="105" t="s">
        <v>59</v>
      </c>
    </row>
    <row r="79" spans="1:16" hidden="1" outlineLevel="1" x14ac:dyDescent="0.2">
      <c r="A79" t="s">
        <v>56</v>
      </c>
      <c r="C79" s="105"/>
    </row>
    <row r="80" spans="1:16" hidden="1" outlineLevel="1" x14ac:dyDescent="0.2">
      <c r="A80" t="s">
        <v>56</v>
      </c>
      <c r="C80" s="106" t="s">
        <v>60</v>
      </c>
    </row>
    <row r="81" spans="1:3" hidden="1" outlineLevel="1" x14ac:dyDescent="0.2">
      <c r="A81" t="s">
        <v>56</v>
      </c>
      <c r="C81" s="106" t="s">
        <v>61</v>
      </c>
    </row>
    <row r="82" spans="1:3" hidden="1" outlineLevel="1" x14ac:dyDescent="0.2">
      <c r="A82" t="s">
        <v>56</v>
      </c>
      <c r="C82" s="106" t="s">
        <v>62</v>
      </c>
    </row>
    <row r="83" spans="1:3" hidden="1" outlineLevel="1" x14ac:dyDescent="0.2">
      <c r="A83" t="s">
        <v>56</v>
      </c>
      <c r="B83" t="s">
        <v>54</v>
      </c>
      <c r="C83" s="105" t="s">
        <v>57</v>
      </c>
    </row>
    <row r="84" spans="1:3" hidden="1" outlineLevel="1" x14ac:dyDescent="0.2">
      <c r="A84" t="s">
        <v>56</v>
      </c>
      <c r="C84" s="105"/>
    </row>
    <row r="85" spans="1:3" hidden="1" outlineLevel="1" x14ac:dyDescent="0.2">
      <c r="A85" t="s">
        <v>56</v>
      </c>
      <c r="C85" s="105" t="s">
        <v>58</v>
      </c>
    </row>
    <row r="86" spans="1:3" hidden="1" outlineLevel="1" x14ac:dyDescent="0.2">
      <c r="A86" t="s">
        <v>56</v>
      </c>
      <c r="C86" s="105" t="s">
        <v>59</v>
      </c>
    </row>
    <row r="87" spans="1:3" hidden="1" outlineLevel="1" x14ac:dyDescent="0.2">
      <c r="A87" t="s">
        <v>56</v>
      </c>
      <c r="C87" s="105"/>
    </row>
    <row r="88" spans="1:3" hidden="1" outlineLevel="1" x14ac:dyDescent="0.2">
      <c r="A88" t="s">
        <v>56</v>
      </c>
      <c r="C88" s="106" t="s">
        <v>60</v>
      </c>
    </row>
    <row r="89" spans="1:3" hidden="1" outlineLevel="1" x14ac:dyDescent="0.2">
      <c r="A89" t="s">
        <v>56</v>
      </c>
      <c r="C89" s="106" t="s">
        <v>61</v>
      </c>
    </row>
    <row r="90" spans="1:3" hidden="1" outlineLevel="1" x14ac:dyDescent="0.2">
      <c r="A90" t="s">
        <v>56</v>
      </c>
      <c r="C90" s="106" t="s">
        <v>62</v>
      </c>
    </row>
    <row r="91" spans="1:3" collapsed="1" x14ac:dyDescent="0.2"/>
  </sheetData>
  <dataConsolidate>
    <dataRefs count="1">
      <dataRef ref="A11:A34" sheet="SF 14-15"/>
    </dataRefs>
  </dataConsolid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1"/>
  <sheetViews>
    <sheetView workbookViewId="0">
      <selection activeCell="S5" sqref="S5"/>
    </sheetView>
  </sheetViews>
  <sheetFormatPr defaultRowHeight="12.75" x14ac:dyDescent="0.2"/>
  <cols>
    <col min="1" max="1" width="11.28515625" bestFit="1" customWidth="1"/>
  </cols>
  <sheetData>
    <row r="2" spans="1:19" x14ac:dyDescent="0.2">
      <c r="C2" t="s">
        <v>83</v>
      </c>
      <c r="D2" t="s">
        <v>84</v>
      </c>
      <c r="E2" t="s">
        <v>65</v>
      </c>
      <c r="F2" t="s">
        <v>66</v>
      </c>
      <c r="G2" t="s">
        <v>67</v>
      </c>
      <c r="H2" t="s">
        <v>68</v>
      </c>
      <c r="I2" t="s">
        <v>69</v>
      </c>
      <c r="J2" t="s">
        <v>70</v>
      </c>
      <c r="K2" t="s">
        <v>71</v>
      </c>
      <c r="L2" t="s">
        <v>72</v>
      </c>
      <c r="M2" t="s">
        <v>73</v>
      </c>
      <c r="N2" t="s">
        <v>74</v>
      </c>
      <c r="O2" t="s">
        <v>75</v>
      </c>
    </row>
    <row r="3" spans="1:19" ht="14.25" x14ac:dyDescent="0.2">
      <c r="A3" t="s">
        <v>44</v>
      </c>
      <c r="B3" t="s">
        <v>120</v>
      </c>
      <c r="C3" s="116">
        <v>2.4556618378387092</v>
      </c>
      <c r="D3" s="116">
        <v>2.8097145886105404</v>
      </c>
      <c r="E3" s="116">
        <v>3.0686577091969678</v>
      </c>
      <c r="F3" s="116">
        <v>2.6159033639967246</v>
      </c>
      <c r="G3" s="116">
        <v>3.5574484194225944</v>
      </c>
      <c r="H3" s="116">
        <v>2.5871070304752388</v>
      </c>
      <c r="I3" s="116">
        <v>2.4484815835380367</v>
      </c>
      <c r="J3" s="116">
        <v>3.2896979494797272</v>
      </c>
      <c r="K3" s="116">
        <v>0.4</v>
      </c>
      <c r="L3" s="116">
        <v>0.4</v>
      </c>
      <c r="M3" s="116">
        <v>0.55000000000000004</v>
      </c>
      <c r="N3">
        <v>0.38</v>
      </c>
      <c r="O3" s="88">
        <f>SUM(C3:N3)</f>
        <v>24.562672482558536</v>
      </c>
      <c r="Q3" t="s">
        <v>120</v>
      </c>
      <c r="R3" t="s">
        <v>121</v>
      </c>
      <c r="S3" t="s">
        <v>122</v>
      </c>
    </row>
    <row r="4" spans="1:19" ht="14.25" x14ac:dyDescent="0.2">
      <c r="B4" t="s">
        <v>121</v>
      </c>
      <c r="C4" s="116">
        <v>0.35846143024027183</v>
      </c>
      <c r="D4" s="116">
        <v>0.31603283291518336</v>
      </c>
      <c r="E4" s="116">
        <v>0.34339167497979245</v>
      </c>
      <c r="F4" s="116">
        <v>0.35703847323786431</v>
      </c>
      <c r="G4" s="116">
        <v>0.35581024156642543</v>
      </c>
      <c r="H4" s="116">
        <v>0.44904370949003131</v>
      </c>
      <c r="I4" s="116">
        <v>0.22646307094860296</v>
      </c>
      <c r="J4" s="116">
        <v>0.45061688419331924</v>
      </c>
      <c r="K4" s="116">
        <v>0.14000000000000001</v>
      </c>
      <c r="L4" s="116">
        <v>0.12</v>
      </c>
      <c r="M4" s="116">
        <v>0.11</v>
      </c>
      <c r="N4">
        <v>0.13</v>
      </c>
      <c r="O4" s="88">
        <f t="shared" ref="O4:O21" si="0">SUM(C4:N4)</f>
        <v>3.3568583175714908</v>
      </c>
      <c r="Q4" s="88">
        <f>SUM(O3,O7,O11,O19)</f>
        <v>5177.0476614732543</v>
      </c>
      <c r="R4" s="88">
        <f>SUM(O4,O8,O12,O20)</f>
        <v>1100.3423546543941</v>
      </c>
      <c r="S4" s="88">
        <f>SUM(O5,O9,O13,O21)</f>
        <v>32.337846286829766</v>
      </c>
    </row>
    <row r="5" spans="1:19" ht="14.25" x14ac:dyDescent="0.2">
      <c r="B5" t="s">
        <v>122</v>
      </c>
      <c r="C5" s="116">
        <v>0.43379750730881678</v>
      </c>
      <c r="D5" s="116">
        <v>0.30154639175257736</v>
      </c>
      <c r="E5" s="116">
        <v>0.2795276196337898</v>
      </c>
      <c r="F5" s="116">
        <v>0.1812048007385752</v>
      </c>
      <c r="G5" s="116">
        <v>0.22801200184643794</v>
      </c>
      <c r="H5" s="116">
        <v>0.18072011078627481</v>
      </c>
      <c r="I5" s="116">
        <v>0.2372211109401447</v>
      </c>
      <c r="J5" s="116">
        <v>9.049861495844877E-2</v>
      </c>
      <c r="K5" s="116">
        <v>0.09</v>
      </c>
      <c r="L5" s="116">
        <v>0.11</v>
      </c>
      <c r="M5" s="116">
        <v>0.27</v>
      </c>
      <c r="N5">
        <v>0.33</v>
      </c>
      <c r="O5" s="88">
        <f t="shared" si="0"/>
        <v>2.7325281579650653</v>
      </c>
    </row>
    <row r="6" spans="1:19" x14ac:dyDescent="0.2">
      <c r="O6" s="88">
        <f t="shared" si="0"/>
        <v>0</v>
      </c>
    </row>
    <row r="7" spans="1:19" ht="14.25" x14ac:dyDescent="0.2">
      <c r="A7" t="s">
        <v>48</v>
      </c>
      <c r="B7" t="s">
        <v>120</v>
      </c>
      <c r="C7" s="116">
        <v>214.2826921635947</v>
      </c>
      <c r="D7" s="116">
        <v>207.66430140532523</v>
      </c>
      <c r="E7" s="116">
        <v>216.19823747536256</v>
      </c>
      <c r="F7" s="116">
        <v>199.88605661176479</v>
      </c>
      <c r="G7" s="116">
        <v>222.00937834641908</v>
      </c>
      <c r="H7" s="116">
        <v>218.98561906358182</v>
      </c>
      <c r="I7" s="116">
        <v>189.72487736676911</v>
      </c>
      <c r="J7" s="116">
        <v>219.62385950833226</v>
      </c>
      <c r="K7" s="116">
        <v>204.97</v>
      </c>
      <c r="L7" s="116">
        <v>186.53</v>
      </c>
      <c r="M7" s="116">
        <v>217.88</v>
      </c>
      <c r="N7" s="116">
        <v>204.5</v>
      </c>
      <c r="O7" s="88">
        <f t="shared" si="0"/>
        <v>2502.2550219411496</v>
      </c>
    </row>
    <row r="8" spans="1:19" ht="14.25" x14ac:dyDescent="0.2">
      <c r="B8" t="s">
        <v>121</v>
      </c>
      <c r="C8" s="116">
        <v>45.616198928576445</v>
      </c>
      <c r="D8" s="116">
        <v>49.562165794932504</v>
      </c>
      <c r="E8" s="116">
        <v>50.275244497635292</v>
      </c>
      <c r="F8" s="116">
        <v>40.424039323848795</v>
      </c>
      <c r="G8" s="116">
        <v>55.15403233890477</v>
      </c>
      <c r="H8" s="116">
        <v>52.799331144743199</v>
      </c>
      <c r="I8" s="116">
        <v>46.916933783265392</v>
      </c>
      <c r="J8" s="116">
        <v>59.123547965500258</v>
      </c>
      <c r="K8" s="116">
        <v>46.86</v>
      </c>
      <c r="L8" s="116">
        <v>41.13</v>
      </c>
      <c r="M8" s="116">
        <v>45.95</v>
      </c>
      <c r="N8" s="116">
        <v>51.15</v>
      </c>
      <c r="O8" s="88">
        <f t="shared" si="0"/>
        <v>584.96149377740664</v>
      </c>
    </row>
    <row r="9" spans="1:19" ht="14.25" x14ac:dyDescent="0.2">
      <c r="B9" t="s">
        <v>122</v>
      </c>
      <c r="C9" s="116">
        <v>2.0162582500271822</v>
      </c>
      <c r="D9" s="116">
        <v>2.8911050877095144</v>
      </c>
      <c r="E9" s="116">
        <v>1.5632012807450577</v>
      </c>
      <c r="F9" s="116">
        <v>1.3141977904624706</v>
      </c>
      <c r="G9" s="116">
        <v>1.3262613780880443</v>
      </c>
      <c r="H9" s="116">
        <v>1.2324121064376292</v>
      </c>
      <c r="I9" s="116">
        <v>1.6632858655629645</v>
      </c>
      <c r="J9" s="116">
        <v>0.49595704930748963</v>
      </c>
      <c r="K9" s="116">
        <v>1.19</v>
      </c>
      <c r="L9" s="116">
        <v>1.1399999999999999</v>
      </c>
      <c r="M9" s="116">
        <v>1.7</v>
      </c>
      <c r="N9" s="116">
        <v>1.96</v>
      </c>
      <c r="O9" s="88">
        <f t="shared" si="0"/>
        <v>18.492678808340354</v>
      </c>
    </row>
    <row r="10" spans="1:19" x14ac:dyDescent="0.2">
      <c r="O10" s="88">
        <f t="shared" si="0"/>
        <v>0</v>
      </c>
    </row>
    <row r="11" spans="1:19" ht="14.25" x14ac:dyDescent="0.2">
      <c r="A11" t="s">
        <v>49</v>
      </c>
      <c r="B11" t="s">
        <v>120</v>
      </c>
      <c r="C11" s="116">
        <v>52.952492150307663</v>
      </c>
      <c r="D11" s="116">
        <v>50.225744453416397</v>
      </c>
      <c r="E11" s="116">
        <v>53.310525467371448</v>
      </c>
      <c r="F11" s="116">
        <v>52.558916101064149</v>
      </c>
      <c r="G11" s="116">
        <v>53.464167101011675</v>
      </c>
      <c r="H11" s="116">
        <v>52.966441491275582</v>
      </c>
      <c r="I11" s="116">
        <v>48.474872355161217</v>
      </c>
      <c r="J11" s="116">
        <v>53.498462784277613</v>
      </c>
      <c r="K11" s="116">
        <v>49.41</v>
      </c>
      <c r="L11" s="116">
        <v>44.35</v>
      </c>
      <c r="M11" s="116">
        <v>52.63</v>
      </c>
      <c r="N11" s="116">
        <v>48.35</v>
      </c>
      <c r="O11" s="88">
        <f t="shared" si="0"/>
        <v>612.19162190388579</v>
      </c>
    </row>
    <row r="12" spans="1:19" ht="14.25" x14ac:dyDescent="0.2">
      <c r="B12" t="s">
        <v>121</v>
      </c>
      <c r="C12" s="116">
        <v>23.341470427335754</v>
      </c>
      <c r="D12" s="116">
        <v>24.216945038125623</v>
      </c>
      <c r="E12" s="116">
        <v>25.047961641313112</v>
      </c>
      <c r="F12" s="116">
        <v>22.58225070929177</v>
      </c>
      <c r="G12" s="116">
        <v>25.432814897429772</v>
      </c>
      <c r="H12" s="116">
        <v>24.26122717537287</v>
      </c>
      <c r="I12" s="116">
        <v>20.827931726203381</v>
      </c>
      <c r="J12" s="116">
        <v>26.697916342217376</v>
      </c>
      <c r="K12" s="116">
        <v>21.44</v>
      </c>
      <c r="L12" s="116">
        <v>18.309999999999999</v>
      </c>
      <c r="M12" s="116">
        <v>20.190000000000001</v>
      </c>
      <c r="N12" s="116">
        <v>19.010000000000002</v>
      </c>
      <c r="O12" s="88">
        <f t="shared" si="0"/>
        <v>271.35851795728968</v>
      </c>
    </row>
    <row r="13" spans="1:19" ht="14.25" x14ac:dyDescent="0.2">
      <c r="B13" t="s">
        <v>122</v>
      </c>
      <c r="C13" s="116">
        <v>9.884407081076714E-2</v>
      </c>
      <c r="D13" s="116">
        <v>6.9671004769218337E-2</v>
      </c>
      <c r="E13" s="116">
        <v>4.9131032252849406E-2</v>
      </c>
      <c r="F13" s="116">
        <v>5.2210815617169191E-2</v>
      </c>
      <c r="G13" s="116">
        <v>9.6394794276938006E-2</v>
      </c>
      <c r="H13" s="116">
        <v>5.0198043812141303E-2</v>
      </c>
      <c r="I13" s="116">
        <v>8.4633416862016031E-2</v>
      </c>
      <c r="J13" s="116">
        <v>0</v>
      </c>
      <c r="O13" s="88">
        <f t="shared" si="0"/>
        <v>0.50108317840109939</v>
      </c>
    </row>
    <row r="14" spans="1:19" x14ac:dyDescent="0.2">
      <c r="O14" s="88">
        <f t="shared" si="0"/>
        <v>0</v>
      </c>
    </row>
    <row r="15" spans="1:19" x14ac:dyDescent="0.2">
      <c r="A15" t="s">
        <v>50</v>
      </c>
      <c r="B15" t="s">
        <v>120</v>
      </c>
      <c r="O15" s="88">
        <f t="shared" si="0"/>
        <v>0</v>
      </c>
    </row>
    <row r="16" spans="1:19" x14ac:dyDescent="0.2">
      <c r="B16" t="s">
        <v>121</v>
      </c>
      <c r="O16" s="88">
        <f t="shared" si="0"/>
        <v>0</v>
      </c>
    </row>
    <row r="17" spans="1:15" x14ac:dyDescent="0.2">
      <c r="B17" t="s">
        <v>122</v>
      </c>
      <c r="O17" s="88">
        <f t="shared" si="0"/>
        <v>0</v>
      </c>
    </row>
    <row r="18" spans="1:15" x14ac:dyDescent="0.2">
      <c r="O18" s="88">
        <f t="shared" si="0"/>
        <v>0</v>
      </c>
    </row>
    <row r="19" spans="1:15" ht="14.25" x14ac:dyDescent="0.2">
      <c r="A19" t="s">
        <v>51</v>
      </c>
      <c r="B19" t="s">
        <v>120</v>
      </c>
      <c r="C19" s="116">
        <v>175.20394191700981</v>
      </c>
      <c r="D19" s="116">
        <v>175.3977932722994</v>
      </c>
      <c r="E19" s="116">
        <v>175.19852750342034</v>
      </c>
      <c r="F19" s="116">
        <v>169.40541107895206</v>
      </c>
      <c r="G19" s="116">
        <v>178.00210123052838</v>
      </c>
      <c r="H19" s="116">
        <v>184.10446357180186</v>
      </c>
      <c r="I19" s="116">
        <v>166.46465298141456</v>
      </c>
      <c r="J19" s="116">
        <v>185.43145359023475</v>
      </c>
      <c r="K19" s="116">
        <v>157.31</v>
      </c>
      <c r="L19" s="116">
        <v>151.34</v>
      </c>
      <c r="M19" s="116">
        <v>164.89</v>
      </c>
      <c r="N19" s="116">
        <v>155.29</v>
      </c>
      <c r="O19" s="88">
        <f t="shared" si="0"/>
        <v>2038.038345145661</v>
      </c>
    </row>
    <row r="20" spans="1:15" ht="14.25" x14ac:dyDescent="0.2">
      <c r="B20" t="s">
        <v>121</v>
      </c>
      <c r="C20" s="116">
        <v>18.328237066600362</v>
      </c>
      <c r="D20" s="116">
        <v>19.396343711303409</v>
      </c>
      <c r="E20" s="116">
        <v>21.954313534857519</v>
      </c>
      <c r="F20" s="116">
        <v>18.969574421179999</v>
      </c>
      <c r="G20" s="116">
        <v>21.5120811428827</v>
      </c>
      <c r="H20" s="116">
        <v>23.214554428373784</v>
      </c>
      <c r="I20" s="116">
        <v>20.446224708205865</v>
      </c>
      <c r="J20" s="116">
        <v>22.584155588722691</v>
      </c>
      <c r="K20" s="116">
        <v>20.27</v>
      </c>
      <c r="L20" s="116">
        <v>15.79</v>
      </c>
      <c r="M20" s="116">
        <v>20.25</v>
      </c>
      <c r="N20" s="116">
        <v>17.95</v>
      </c>
      <c r="O20" s="88">
        <f t="shared" si="0"/>
        <v>240.66548460212633</v>
      </c>
    </row>
    <row r="21" spans="1:15" ht="14.25" x14ac:dyDescent="0.2">
      <c r="B21" t="s">
        <v>122</v>
      </c>
      <c r="C21" s="116">
        <v>0.85928727771907343</v>
      </c>
      <c r="D21" s="116">
        <v>0.46158088572650879</v>
      </c>
      <c r="E21" s="116">
        <v>0.37625326618328309</v>
      </c>
      <c r="F21" s="116">
        <v>0.46862941834511207</v>
      </c>
      <c r="G21" s="116">
        <v>0.31535326165640509</v>
      </c>
      <c r="H21" s="116">
        <v>0.97310971031651039</v>
      </c>
      <c r="I21" s="116">
        <v>0.50354776121411682</v>
      </c>
      <c r="J21" s="116">
        <v>4.3137945609622337</v>
      </c>
      <c r="K21" s="116">
        <v>0.42</v>
      </c>
      <c r="L21" s="116">
        <v>0.45</v>
      </c>
      <c r="M21" s="116">
        <v>0.56999999999999995</v>
      </c>
      <c r="N21" s="116">
        <v>0.9</v>
      </c>
      <c r="O21" s="88">
        <f t="shared" si="0"/>
        <v>10.611556142123243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E3E8368E577B043B8C84FFFE7A952C0" ma:contentTypeVersion="68" ma:contentTypeDescription="" ma:contentTypeScope="" ma:versionID="04ccefd63c376a6fa14f527e881db6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2018-05-31T07:00:00+00:00</OpenedDate>
    <SignificantOrder xmlns="dc463f71-b30c-4ab2-9473-d307f9d35888">false</SignificantOrder>
    <Date1 xmlns="dc463f71-b30c-4ab2-9473-d307f9d35888">2018-05-31T07:00:00+00:00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180486</DocketNumber>
    <DelegatedOrder xmlns="dc463f71-b30c-4ab2-9473-d307f9d35888">false</DelegatedOrder>
  </documentManagement>
</p:properties>
</file>

<file path=customXml/itemProps1.xml><?xml version="1.0" encoding="utf-8"?>
<ds:datastoreItem xmlns:ds="http://schemas.openxmlformats.org/officeDocument/2006/customXml" ds:itemID="{F2CF6A9B-7866-4C4F-844D-F6C0F80FBF1E}"/>
</file>

<file path=customXml/itemProps2.xml><?xml version="1.0" encoding="utf-8"?>
<ds:datastoreItem xmlns:ds="http://schemas.openxmlformats.org/officeDocument/2006/customXml" ds:itemID="{A3329A8D-1D21-4818-B083-BF01672E9C9F}"/>
</file>

<file path=customXml/itemProps3.xml><?xml version="1.0" encoding="utf-8"?>
<ds:datastoreItem xmlns:ds="http://schemas.openxmlformats.org/officeDocument/2006/customXml" ds:itemID="{14D51CBE-9CBD-42D3-996B-63BFFB91F0DA}"/>
</file>

<file path=customXml/itemProps4.xml><?xml version="1.0" encoding="utf-8"?>
<ds:datastoreItem xmlns:ds="http://schemas.openxmlformats.org/officeDocument/2006/customXml" ds:itemID="{F4CD1F2A-E6BB-4A23-A2C3-67640EFD0D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Budget Summary 2017-2019</vt:lpstr>
      <vt:lpstr>Admin Time </vt:lpstr>
      <vt:lpstr>Impact on Recycling</vt:lpstr>
      <vt:lpstr>Cost summary 2017-2018</vt:lpstr>
      <vt:lpstr>SF 13-14</vt:lpstr>
      <vt:lpstr>MF</vt:lpstr>
      <vt:lpstr>SF 14-15</vt:lpstr>
      <vt:lpstr>MF 14-15</vt:lpstr>
      <vt:lpstr>'Cost summary 2017-2018'!Print_Area</vt:lpstr>
      <vt:lpstr>'Impact on Recycling'!Print_Area</vt:lpstr>
    </vt:vector>
  </TitlesOfParts>
  <Company>Republic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 Zalm, Connor</dc:creator>
  <cp:lastModifiedBy>Cramer, Diane</cp:lastModifiedBy>
  <cp:lastPrinted>2015-06-11T15:30:11Z</cp:lastPrinted>
  <dcterms:created xsi:type="dcterms:W3CDTF">2013-06-14T01:01:28Z</dcterms:created>
  <dcterms:modified xsi:type="dcterms:W3CDTF">2018-05-23T15:18:40Z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0x0101006E56B4D1795A2E4DB2F0B01679ED314A00AE3E8368E577B043B8C84FFFE7A952C0</vt:lpwstr>
  </property>
  <property fmtid="{D5CDD505-2E9C-101B-9397-08002B2CF9AE}" pid="3" name="_docset_NoMedatataSyncRequired">
    <vt:lpwstr>False</vt:lpwstr>
  </property>
  <property fmtid="{D5CDD505-2E9C-101B-9397-08002B2CF9AE}" pid="4" name="IsEFSEC">
    <vt:bool>false</vt:bool>
  </property>
</Properties>
</file>